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D:\proj\si-xlsx\"/>
    </mc:Choice>
  </mc:AlternateContent>
  <xr:revisionPtr revIDLastSave="0" documentId="13_ncr:1_{74E58279-9802-4725-AD79-47AA5766874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Input" sheetId="3" r:id="rId1"/>
    <sheet name="Base_CF" sheetId="2" r:id="rId2"/>
    <sheet name="Rider_CF" sheetId="5" r:id="rId3"/>
    <sheet name="UVL" sheetId="6" r:id="rId4"/>
    <sheet name="ILP" sheetId="7" r:id="rId5"/>
    <sheet name="Setting" sheetId="8" state="hidden" r:id="rId6"/>
    <sheet name="Tariff" sheetId="9" state="hidden" r:id="rId7"/>
    <sheet name="Extra_Prem_Rate" sheetId="10" state="hidden" r:id="rId8"/>
    <sheet name="FormulaTest" sheetId="11" state="hidden" r:id="rId9"/>
  </sheets>
  <definedNames>
    <definedName name="_xleta.OFFSET" hidden="1">#NAME?</definedName>
    <definedName name="_xleta.VALUE" hidden="1">#NAME?</definedName>
    <definedName name="acc_ben_coeff">Input!$N$47</definedName>
    <definedName name="acc_ben_term" localSheetId="1">Base_CF!$G$11</definedName>
    <definedName name="add_rate">Tariff!$B$3</definedName>
    <definedName name="base" localSheetId="1">Base_CF!$G$8</definedName>
    <definedName name="base">Input!$N$11</definedName>
    <definedName name="base_term">Input!$N$44</definedName>
    <definedName name="big_case_bonus_tp" localSheetId="1">Base_CF!$G$13</definedName>
    <definedName name="channel">Input!$N$10</definedName>
    <definedName name="customer_type">Input!$N$12</definedName>
    <definedName name="death_tpd_option">Input!$N$42</definedName>
    <definedName name="em_load" localSheetId="1">Base_CF!$C$13</definedName>
    <definedName name="em_load_term" localSheetId="1">Base_CF!$C$14</definedName>
    <definedName name="entry_age" localSheetId="2">Rider_CF!$L$8</definedName>
    <definedName name="ep">Input!$N$48</definedName>
    <definedName name="ep_term" localSheetId="1">Base_CF!$C$11</definedName>
    <definedName name="extra_prem_rate">Base_CF!$G$14</definedName>
    <definedName name="gender" localSheetId="2">Rider_CF!$K$8</definedName>
    <definedName name="hop2_option" localSheetId="2">Rider_CF!$F$8</definedName>
    <definedName name="input" localSheetId="2">Rider_CF!$C$8:$J$8</definedName>
    <definedName name="input_validation" localSheetId="0">Input!$K$3</definedName>
    <definedName name="insured" localSheetId="2">Rider_CF!$D$8</definedName>
    <definedName name="int_rate" localSheetId="1">Base_CF!$C$8</definedName>
    <definedName name="int_rate_scenario" localSheetId="1">Base_CF!$C$7</definedName>
    <definedName name="is_waiver">Rider_CF!$O$8</definedName>
    <definedName name="lb_review_period">Setting!$CT$4</definedName>
    <definedName name="mainLI_entry_age">Input!$R$26</definedName>
    <definedName name="mainLI_gender">Input!$O$26</definedName>
    <definedName name="maturity_age" localSheetId="2">Rider_CF!$M$8</definedName>
    <definedName name="maturity_option">Input!$N$43</definedName>
    <definedName name="max_ep">Setting!$CT$7</definedName>
    <definedName name="min_base_si">Setting!$CT$8</definedName>
    <definedName name="min_ep">Setting!$CT$6</definedName>
    <definedName name="min_pav_after_withdrawal">Setting!$CT$12</definedName>
    <definedName name="min_withdrawal_amount">Setting!$CT$11</definedName>
    <definedName name="monthly_acc_coi">Setting!$Z$3</definedName>
    <definedName name="must_pay_period">Setting!$CT$3</definedName>
    <definedName name="opted_ep_term">Input!$N$49</definedName>
    <definedName name="opted_tp_term">Input!$N$45</definedName>
    <definedName name="pay_freq">Input!$N$50</definedName>
    <definedName name="pm_load" localSheetId="1">Base_CF!$C$15</definedName>
    <definedName name="pm_load" localSheetId="2">Rider_CF!$I$8</definedName>
    <definedName name="pm_load_term" localSheetId="1">Base_CF!$C$16</definedName>
    <definedName name="pm_load_term" localSheetId="2">Rider_CF!$J$8</definedName>
    <definedName name="prem_load" localSheetId="2">Rider_CF!$G$8</definedName>
    <definedName name="prem_load_term" localSheetId="2">Rider_CF!$H$8</definedName>
    <definedName name="prem_term_scenario" localSheetId="1">Base_CF!$C$9</definedName>
    <definedName name="print_dir">Input!$N$9</definedName>
    <definedName name="rcd">Input!$N$13</definedName>
    <definedName name="rider" localSheetId="2">Rider_CF!$C$8</definedName>
    <definedName name="risk" localSheetId="2">Rider_CF!$B$8</definedName>
    <definedName name="risk_scenario" localSheetId="1">Base_CF!$C$12</definedName>
    <definedName name="sb_review_period">Setting!$CT$5</definedName>
    <definedName name="si" localSheetId="1">Base_CF!$G$9</definedName>
    <definedName name="si" localSheetId="2">Rider_CF!$E$8</definedName>
    <definedName name="term" localSheetId="1">Base_CF!$G$10</definedName>
    <definedName name="term" localSheetId="2">Rider_CF!$N$8</definedName>
    <definedName name="tp" localSheetId="1">Base_CF!$J$8</definedName>
    <definedName name="tp" localSheetId="2">Rider_CF!$P$8</definedName>
    <definedName name="tp_rate" localSheetId="1">Base_CF!$G$12</definedName>
    <definedName name="tp_term" localSheetId="1">Base_CF!$C$10</definedName>
    <definedName name="version" localSheetId="0">Input!$K$2</definedName>
    <definedName name="withdrawal_start_year">Setting!$CT$10</definedName>
  </definedNames>
  <calcPr calcId="191029" iterate="1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14" i="5" l="1"/>
  <c r="AT14" i="5"/>
  <c r="AW14" i="5"/>
  <c r="AS15" i="5"/>
  <c r="AT15" i="5"/>
  <c r="AW15" i="5"/>
  <c r="AS16" i="5"/>
  <c r="AT16" i="5"/>
  <c r="AW16" i="5"/>
  <c r="AS17" i="5"/>
  <c r="AT17" i="5"/>
  <c r="AW17" i="5"/>
  <c r="AS18" i="5"/>
  <c r="AT18" i="5"/>
  <c r="AW18" i="5"/>
  <c r="AS19" i="5"/>
  <c r="AT19" i="5"/>
  <c r="AW19" i="5"/>
  <c r="AS20" i="5"/>
  <c r="AT20" i="5"/>
  <c r="AW20" i="5"/>
  <c r="AS21" i="5"/>
  <c r="AT21" i="5"/>
  <c r="AW21" i="5"/>
  <c r="AS22" i="5"/>
  <c r="AT22" i="5"/>
  <c r="AW22" i="5"/>
  <c r="AS23" i="5"/>
  <c r="AT23" i="5"/>
  <c r="AW23" i="5"/>
  <c r="AS24" i="5"/>
  <c r="AT24" i="5"/>
  <c r="AW24" i="5"/>
  <c r="AS25" i="5"/>
  <c r="AT25" i="5"/>
  <c r="AW25" i="5"/>
  <c r="AS26" i="5"/>
  <c r="AT26" i="5"/>
  <c r="AW26" i="5"/>
  <c r="AS27" i="5"/>
  <c r="AT27" i="5"/>
  <c r="AW27" i="5"/>
  <c r="AS28" i="5"/>
  <c r="AT28" i="5"/>
  <c r="AW28" i="5"/>
  <c r="AS29" i="5"/>
  <c r="AT29" i="5"/>
  <c r="AW29" i="5"/>
  <c r="AS30" i="5"/>
  <c r="AT30" i="5"/>
  <c r="AW30" i="5"/>
  <c r="AS31" i="5"/>
  <c r="AT31" i="5"/>
  <c r="AW31" i="5"/>
  <c r="AS32" i="5"/>
  <c r="AT32" i="5"/>
  <c r="AW32" i="5"/>
  <c r="AS33" i="5"/>
  <c r="AT33" i="5"/>
  <c r="AW33" i="5"/>
  <c r="AS34" i="5"/>
  <c r="AT34" i="5"/>
  <c r="AW34" i="5"/>
  <c r="AS35" i="5"/>
  <c r="AT35" i="5"/>
  <c r="AW35" i="5"/>
  <c r="AS36" i="5"/>
  <c r="AT36" i="5"/>
  <c r="AW36" i="5"/>
  <c r="AS37" i="5"/>
  <c r="AT37" i="5"/>
  <c r="AW37" i="5"/>
  <c r="AS38" i="5"/>
  <c r="AT38" i="5"/>
  <c r="AW38" i="5"/>
  <c r="AS39" i="5"/>
  <c r="AT39" i="5"/>
  <c r="AW39" i="5"/>
  <c r="AS40" i="5"/>
  <c r="AT40" i="5"/>
  <c r="AW40" i="5"/>
  <c r="AS41" i="5"/>
  <c r="AT41" i="5"/>
  <c r="AW41" i="5"/>
  <c r="AS42" i="5"/>
  <c r="AT42" i="5"/>
  <c r="AW42" i="5"/>
  <c r="AS43" i="5"/>
  <c r="AT43" i="5"/>
  <c r="AW43" i="5"/>
  <c r="AS44" i="5"/>
  <c r="AT44" i="5"/>
  <c r="AW44" i="5"/>
  <c r="AS45" i="5"/>
  <c r="AT45" i="5"/>
  <c r="AW45" i="5"/>
  <c r="AS46" i="5"/>
  <c r="AT46" i="5"/>
  <c r="AW46" i="5"/>
  <c r="AS47" i="5"/>
  <c r="AT47" i="5"/>
  <c r="AW47" i="5"/>
  <c r="AS48" i="5"/>
  <c r="AT48" i="5"/>
  <c r="AW48" i="5"/>
  <c r="AS49" i="5"/>
  <c r="AT49" i="5"/>
  <c r="AW49" i="5"/>
  <c r="AS50" i="5"/>
  <c r="AT50" i="5"/>
  <c r="AW50" i="5"/>
  <c r="AS51" i="5"/>
  <c r="AT51" i="5"/>
  <c r="AW51" i="5"/>
  <c r="AS52" i="5"/>
  <c r="AT52" i="5"/>
  <c r="AW52" i="5"/>
  <c r="AS53" i="5"/>
  <c r="AT53" i="5"/>
  <c r="AW53" i="5"/>
  <c r="AS54" i="5"/>
  <c r="AT54" i="5"/>
  <c r="AW54" i="5"/>
  <c r="AS55" i="5"/>
  <c r="AT55" i="5"/>
  <c r="AW55" i="5"/>
  <c r="AS56" i="5"/>
  <c r="AT56" i="5"/>
  <c r="AW56" i="5"/>
  <c r="AS57" i="5"/>
  <c r="AT57" i="5"/>
  <c r="AW57" i="5"/>
  <c r="AS58" i="5"/>
  <c r="AT58" i="5"/>
  <c r="AW58" i="5"/>
  <c r="AS59" i="5"/>
  <c r="AT59" i="5"/>
  <c r="AW59" i="5"/>
  <c r="AS60" i="5"/>
  <c r="AT60" i="5"/>
  <c r="AW60" i="5"/>
  <c r="AS61" i="5"/>
  <c r="AT61" i="5"/>
  <c r="AW61" i="5"/>
  <c r="AS62" i="5"/>
  <c r="AT62" i="5"/>
  <c r="AW62" i="5"/>
  <c r="AS63" i="5"/>
  <c r="AT63" i="5"/>
  <c r="AW63" i="5"/>
  <c r="AS64" i="5"/>
  <c r="AT64" i="5"/>
  <c r="AW64" i="5"/>
  <c r="AS65" i="5"/>
  <c r="AT65" i="5"/>
  <c r="AW65" i="5"/>
  <c r="AS66" i="5"/>
  <c r="AT66" i="5"/>
  <c r="AW66" i="5"/>
  <c r="AS67" i="5"/>
  <c r="AT67" i="5"/>
  <c r="AW67" i="5"/>
  <c r="AS68" i="5"/>
  <c r="AT68" i="5"/>
  <c r="AW68" i="5"/>
  <c r="AS69" i="5"/>
  <c r="AT69" i="5"/>
  <c r="AW69" i="5"/>
  <c r="AS70" i="5"/>
  <c r="AT70" i="5"/>
  <c r="AW70" i="5"/>
  <c r="AS71" i="5"/>
  <c r="AT71" i="5"/>
  <c r="AW71" i="5"/>
  <c r="AS72" i="5"/>
  <c r="AT72" i="5"/>
  <c r="AW72" i="5"/>
  <c r="AS73" i="5"/>
  <c r="AT73" i="5"/>
  <c r="AW73" i="5"/>
  <c r="AS74" i="5"/>
  <c r="AT74" i="5"/>
  <c r="AW74" i="5"/>
  <c r="AS75" i="5"/>
  <c r="AT75" i="5"/>
  <c r="AW75" i="5"/>
  <c r="AS76" i="5"/>
  <c r="AT76" i="5"/>
  <c r="AW76" i="5"/>
  <c r="AS77" i="5"/>
  <c r="AT77" i="5"/>
  <c r="AW77" i="5"/>
  <c r="AS78" i="5"/>
  <c r="AT78" i="5"/>
  <c r="AW78" i="5"/>
  <c r="AS79" i="5"/>
  <c r="AT79" i="5"/>
  <c r="AW79" i="5"/>
  <c r="AS80" i="5"/>
  <c r="AT80" i="5"/>
  <c r="AW80" i="5"/>
  <c r="AS81" i="5"/>
  <c r="AT81" i="5"/>
  <c r="AW81" i="5"/>
  <c r="AS82" i="5"/>
  <c r="AT82" i="5"/>
  <c r="AW82" i="5"/>
  <c r="AS83" i="5"/>
  <c r="AT83" i="5"/>
  <c r="AW83" i="5"/>
  <c r="AS84" i="5"/>
  <c r="AT84" i="5"/>
  <c r="AW84" i="5"/>
  <c r="AS85" i="5"/>
  <c r="AT85" i="5"/>
  <c r="AW85" i="5"/>
  <c r="AS86" i="5"/>
  <c r="AT86" i="5"/>
  <c r="AW86" i="5"/>
  <c r="AS87" i="5"/>
  <c r="AT87" i="5"/>
  <c r="AW87" i="5"/>
  <c r="AS88" i="5"/>
  <c r="AT88" i="5"/>
  <c r="AW88" i="5"/>
  <c r="AS89" i="5"/>
  <c r="AT89" i="5"/>
  <c r="AW89" i="5"/>
  <c r="AS90" i="5"/>
  <c r="AT90" i="5"/>
  <c r="AW90" i="5"/>
  <c r="AS91" i="5"/>
  <c r="AT91" i="5"/>
  <c r="AW91" i="5"/>
  <c r="AS92" i="5"/>
  <c r="AT92" i="5"/>
  <c r="AW92" i="5"/>
  <c r="AS93" i="5"/>
  <c r="AT93" i="5"/>
  <c r="AW93" i="5"/>
  <c r="AS94" i="5"/>
  <c r="AT94" i="5"/>
  <c r="AW94" i="5"/>
  <c r="AS95" i="5"/>
  <c r="AT95" i="5"/>
  <c r="AW95" i="5"/>
  <c r="AS96" i="5"/>
  <c r="AT96" i="5"/>
  <c r="AW96" i="5"/>
  <c r="AS97" i="5"/>
  <c r="AT97" i="5"/>
  <c r="AW97" i="5"/>
  <c r="AS98" i="5"/>
  <c r="AT98" i="5"/>
  <c r="AW98" i="5"/>
  <c r="AS99" i="5"/>
  <c r="AT99" i="5"/>
  <c r="AW99" i="5"/>
  <c r="AS100" i="5"/>
  <c r="AT100" i="5"/>
  <c r="AW100" i="5"/>
  <c r="AS101" i="5"/>
  <c r="AT101" i="5"/>
  <c r="AW101" i="5"/>
  <c r="AS102" i="5"/>
  <c r="AT102" i="5"/>
  <c r="AW102" i="5"/>
  <c r="AS103" i="5"/>
  <c r="AT103" i="5"/>
  <c r="AW103" i="5"/>
  <c r="AS104" i="5"/>
  <c r="AT104" i="5"/>
  <c r="AW104" i="5"/>
  <c r="AS105" i="5"/>
  <c r="AT105" i="5"/>
  <c r="AW105" i="5"/>
  <c r="AS106" i="5"/>
  <c r="AT106" i="5"/>
  <c r="AW106" i="5"/>
  <c r="AS107" i="5"/>
  <c r="AT107" i="5"/>
  <c r="AW107" i="5"/>
  <c r="AS108" i="5"/>
  <c r="AT108" i="5"/>
  <c r="AW108" i="5"/>
  <c r="AS109" i="5"/>
  <c r="AT109" i="5"/>
  <c r="AW109" i="5"/>
  <c r="AS110" i="5"/>
  <c r="AT110" i="5"/>
  <c r="AW110" i="5"/>
  <c r="AS111" i="5"/>
  <c r="AT111" i="5"/>
  <c r="AW111" i="5"/>
  <c r="AS112" i="5"/>
  <c r="AT112" i="5"/>
  <c r="AW112" i="5"/>
  <c r="AS113" i="5"/>
  <c r="AT113" i="5"/>
  <c r="AW113" i="5"/>
  <c r="B14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K8" i="5"/>
  <c r="L8" i="5"/>
  <c r="M8" i="5"/>
  <c r="N8" i="5" s="1" a="1"/>
  <c r="N8" i="5"/>
  <c r="O8" i="5"/>
  <c r="V10" i="5"/>
  <c r="W10" i="5"/>
  <c r="X10" i="5"/>
  <c r="AA10" i="5"/>
  <c r="AB10" i="5"/>
  <c r="AC10" i="5"/>
  <c r="AF10" i="5"/>
  <c r="AG10" i="5"/>
  <c r="AH10" i="5"/>
  <c r="AK10" i="5"/>
  <c r="AL10" i="5"/>
  <c r="AM10" i="5"/>
  <c r="DS21" i="2"/>
  <c r="DT21" i="2"/>
  <c r="DU21" i="2"/>
  <c r="DS22" i="2"/>
  <c r="DT22" i="2"/>
  <c r="DU22" i="2"/>
  <c r="DS23" i="2"/>
  <c r="DT23" i="2"/>
  <c r="DU23" i="2"/>
  <c r="DS24" i="2"/>
  <c r="DT24" i="2"/>
  <c r="DU24" i="2"/>
  <c r="DS25" i="2"/>
  <c r="DT25" i="2"/>
  <c r="DU25" i="2"/>
  <c r="DS26" i="2"/>
  <c r="DT26" i="2"/>
  <c r="DU26" i="2"/>
  <c r="DS27" i="2"/>
  <c r="DT27" i="2"/>
  <c r="DU27" i="2"/>
  <c r="DS28" i="2"/>
  <c r="DT28" i="2"/>
  <c r="DU28" i="2"/>
  <c r="DS29" i="2"/>
  <c r="DT29" i="2"/>
  <c r="DU29" i="2"/>
  <c r="DS30" i="2"/>
  <c r="DT30" i="2"/>
  <c r="DU30" i="2"/>
  <c r="DS31" i="2"/>
  <c r="DT31" i="2"/>
  <c r="DU31" i="2"/>
  <c r="DS32" i="2"/>
  <c r="DT32" i="2"/>
  <c r="DU32" i="2"/>
  <c r="DS33" i="2"/>
  <c r="DT33" i="2"/>
  <c r="DU33" i="2"/>
  <c r="DS34" i="2"/>
  <c r="DT34" i="2"/>
  <c r="DU34" i="2"/>
  <c r="DS35" i="2"/>
  <c r="DT35" i="2"/>
  <c r="DU35" i="2"/>
  <c r="DS36" i="2"/>
  <c r="DT36" i="2"/>
  <c r="DU36" i="2"/>
  <c r="DS37" i="2"/>
  <c r="DT37" i="2"/>
  <c r="DU37" i="2"/>
  <c r="DS38" i="2"/>
  <c r="DT38" i="2"/>
  <c r="DU38" i="2"/>
  <c r="DS39" i="2"/>
  <c r="DT39" i="2"/>
  <c r="DU39" i="2"/>
  <c r="DS40" i="2"/>
  <c r="DT40" i="2"/>
  <c r="DU40" i="2"/>
  <c r="DS41" i="2"/>
  <c r="DT41" i="2"/>
  <c r="DU41" i="2"/>
  <c r="DS42" i="2"/>
  <c r="DT42" i="2"/>
  <c r="DU42" i="2"/>
  <c r="DS43" i="2"/>
  <c r="DT43" i="2"/>
  <c r="DU43" i="2"/>
  <c r="DS44" i="2"/>
  <c r="DT44" i="2"/>
  <c r="DU44" i="2"/>
  <c r="DS45" i="2"/>
  <c r="DT45" i="2"/>
  <c r="DU45" i="2"/>
  <c r="DS46" i="2"/>
  <c r="DT46" i="2"/>
  <c r="DU46" i="2"/>
  <c r="DS47" i="2"/>
  <c r="DT47" i="2"/>
  <c r="DU47" i="2"/>
  <c r="DS48" i="2"/>
  <c r="DT48" i="2"/>
  <c r="DU48" i="2"/>
  <c r="DS49" i="2"/>
  <c r="DT49" i="2"/>
  <c r="DU49" i="2"/>
  <c r="DS50" i="2"/>
  <c r="DT50" i="2"/>
  <c r="DU50" i="2"/>
  <c r="DS51" i="2"/>
  <c r="DT51" i="2"/>
  <c r="DU51" i="2"/>
  <c r="DS52" i="2"/>
  <c r="DT52" i="2"/>
  <c r="DU52" i="2"/>
  <c r="DS53" i="2"/>
  <c r="DT53" i="2"/>
  <c r="DU53" i="2"/>
  <c r="DS54" i="2"/>
  <c r="DT54" i="2"/>
  <c r="DU54" i="2"/>
  <c r="DS55" i="2"/>
  <c r="DT55" i="2"/>
  <c r="DU55" i="2"/>
  <c r="DS56" i="2"/>
  <c r="DT56" i="2"/>
  <c r="DU56" i="2"/>
  <c r="DS57" i="2"/>
  <c r="DT57" i="2"/>
  <c r="DU57" i="2"/>
  <c r="DS58" i="2"/>
  <c r="DT58" i="2"/>
  <c r="DU58" i="2"/>
  <c r="DS59" i="2"/>
  <c r="DT59" i="2"/>
  <c r="DU59" i="2"/>
  <c r="DS60" i="2"/>
  <c r="DT60" i="2"/>
  <c r="DU60" i="2"/>
  <c r="DS61" i="2"/>
  <c r="DT61" i="2"/>
  <c r="DU61" i="2"/>
  <c r="DS62" i="2"/>
  <c r="DT62" i="2"/>
  <c r="DU62" i="2"/>
  <c r="DS63" i="2"/>
  <c r="DT63" i="2"/>
  <c r="DU63" i="2"/>
  <c r="DS64" i="2"/>
  <c r="DT64" i="2"/>
  <c r="DU64" i="2"/>
  <c r="DS65" i="2"/>
  <c r="DT65" i="2"/>
  <c r="DU65" i="2"/>
  <c r="DS66" i="2"/>
  <c r="DT66" i="2"/>
  <c r="DU66" i="2"/>
  <c r="DS67" i="2"/>
  <c r="DT67" i="2"/>
  <c r="DU67" i="2"/>
  <c r="DS68" i="2"/>
  <c r="DT68" i="2"/>
  <c r="DU68" i="2"/>
  <c r="DS69" i="2"/>
  <c r="DT69" i="2"/>
  <c r="DU69" i="2"/>
  <c r="DS70" i="2"/>
  <c r="DT70" i="2"/>
  <c r="DU70" i="2"/>
  <c r="DS71" i="2"/>
  <c r="DT71" i="2"/>
  <c r="DU71" i="2"/>
  <c r="DS72" i="2"/>
  <c r="DT72" i="2"/>
  <c r="DU72" i="2"/>
  <c r="DS73" i="2"/>
  <c r="DT73" i="2"/>
  <c r="DU73" i="2"/>
  <c r="DS74" i="2"/>
  <c r="DT74" i="2"/>
  <c r="DU74" i="2"/>
  <c r="DS75" i="2"/>
  <c r="DT75" i="2"/>
  <c r="DU75" i="2"/>
  <c r="DS76" i="2"/>
  <c r="DT76" i="2"/>
  <c r="DU76" i="2"/>
  <c r="DS77" i="2"/>
  <c r="DT77" i="2"/>
  <c r="DU77" i="2"/>
  <c r="DS78" i="2"/>
  <c r="DT78" i="2"/>
  <c r="DU78" i="2"/>
  <c r="DS79" i="2"/>
  <c r="DT79" i="2"/>
  <c r="DU79" i="2"/>
  <c r="DS80" i="2"/>
  <c r="DT80" i="2"/>
  <c r="DU80" i="2"/>
  <c r="DS81" i="2"/>
  <c r="DT81" i="2"/>
  <c r="DU81" i="2"/>
  <c r="DS82" i="2"/>
  <c r="DT82" i="2"/>
  <c r="DU82" i="2"/>
  <c r="DS83" i="2"/>
  <c r="DT83" i="2"/>
  <c r="DU83" i="2"/>
  <c r="DS84" i="2"/>
  <c r="DT84" i="2"/>
  <c r="DU84" i="2"/>
  <c r="DS85" i="2"/>
  <c r="DT85" i="2"/>
  <c r="DU85" i="2"/>
  <c r="DS86" i="2"/>
  <c r="DT86" i="2"/>
  <c r="DU86" i="2"/>
  <c r="DS87" i="2"/>
  <c r="DT87" i="2"/>
  <c r="DU87" i="2"/>
  <c r="DS88" i="2"/>
  <c r="DT88" i="2"/>
  <c r="DU88" i="2"/>
  <c r="DS89" i="2"/>
  <c r="DT89" i="2"/>
  <c r="DU89" i="2"/>
  <c r="DS90" i="2"/>
  <c r="DT90" i="2"/>
  <c r="DU90" i="2"/>
  <c r="DS91" i="2"/>
  <c r="DT91" i="2"/>
  <c r="DU91" i="2"/>
  <c r="DS92" i="2"/>
  <c r="DT92" i="2"/>
  <c r="DU92" i="2"/>
  <c r="DS93" i="2"/>
  <c r="DT93" i="2"/>
  <c r="DU93" i="2"/>
  <c r="DS94" i="2"/>
  <c r="DT94" i="2"/>
  <c r="DU94" i="2"/>
  <c r="DS95" i="2"/>
  <c r="DT95" i="2"/>
  <c r="DU95" i="2"/>
  <c r="DS96" i="2"/>
  <c r="DT96" i="2"/>
  <c r="DU96" i="2"/>
  <c r="DS97" i="2"/>
  <c r="DT97" i="2"/>
  <c r="DU97" i="2"/>
  <c r="DS98" i="2"/>
  <c r="DT98" i="2"/>
  <c r="DU98" i="2"/>
  <c r="DS99" i="2"/>
  <c r="DT99" i="2"/>
  <c r="DU99" i="2"/>
  <c r="DS100" i="2"/>
  <c r="DT100" i="2"/>
  <c r="DU100" i="2"/>
  <c r="DS101" i="2"/>
  <c r="DT101" i="2"/>
  <c r="DU101" i="2"/>
  <c r="DS102" i="2"/>
  <c r="DT102" i="2"/>
  <c r="DU102" i="2"/>
  <c r="DS103" i="2"/>
  <c r="DT103" i="2"/>
  <c r="DU103" i="2"/>
  <c r="DS104" i="2"/>
  <c r="DT104" i="2"/>
  <c r="DU104" i="2"/>
  <c r="DS105" i="2"/>
  <c r="DT105" i="2"/>
  <c r="DU105" i="2"/>
  <c r="DS106" i="2"/>
  <c r="DT106" i="2"/>
  <c r="DU106" i="2"/>
  <c r="DS107" i="2"/>
  <c r="DT107" i="2"/>
  <c r="DU107" i="2"/>
  <c r="DS108" i="2"/>
  <c r="DT108" i="2"/>
  <c r="DU108" i="2"/>
  <c r="DS109" i="2"/>
  <c r="DT109" i="2"/>
  <c r="DU109" i="2"/>
  <c r="DS110" i="2"/>
  <c r="DT110" i="2"/>
  <c r="DU110" i="2"/>
  <c r="DS111" i="2"/>
  <c r="DT111" i="2"/>
  <c r="DU111" i="2"/>
  <c r="DS112" i="2"/>
  <c r="DT112" i="2"/>
  <c r="DU112" i="2"/>
  <c r="DS113" i="2"/>
  <c r="DT113" i="2"/>
  <c r="DU113" i="2"/>
  <c r="DS114" i="2"/>
  <c r="DT114" i="2"/>
  <c r="DU114" i="2"/>
  <c r="DS115" i="2"/>
  <c r="DT115" i="2"/>
  <c r="DU115" i="2"/>
  <c r="DS116" i="2"/>
  <c r="DT116" i="2"/>
  <c r="DU116" i="2"/>
  <c r="DS117" i="2"/>
  <c r="DT117" i="2"/>
  <c r="DU117" i="2"/>
  <c r="DS118" i="2"/>
  <c r="DT118" i="2"/>
  <c r="DU118" i="2"/>
  <c r="DS119" i="2"/>
  <c r="DT119" i="2"/>
  <c r="DU119" i="2"/>
  <c r="DS120" i="2"/>
  <c r="DT120" i="2"/>
  <c r="DU120" i="2"/>
  <c r="B21" i="2"/>
  <c r="C8" i="2"/>
  <c r="BD98" i="2" s="1"/>
  <c r="C13" i="2"/>
  <c r="C14" i="2"/>
  <c r="C15" i="2"/>
  <c r="C16" i="2"/>
  <c r="CD3" i="8"/>
  <c r="CD4" i="8"/>
  <c r="CD5" i="8"/>
  <c r="FA98" i="2" l="1"/>
  <c r="BE98" i="2"/>
  <c r="BD120" i="2"/>
  <c r="BD113" i="2"/>
  <c r="BD118" i="2"/>
  <c r="BD112" i="2"/>
  <c r="BD116" i="2"/>
  <c r="BD114" i="2"/>
  <c r="BD119" i="2"/>
  <c r="BD117" i="2"/>
  <c r="BD105" i="2"/>
  <c r="BD115" i="2"/>
  <c r="BD22" i="2"/>
  <c r="BD21" i="2"/>
  <c r="BD31" i="2"/>
  <c r="BD24" i="2"/>
  <c r="BD33" i="2"/>
  <c r="BD26" i="2"/>
  <c r="BD28" i="2"/>
  <c r="BD23" i="2"/>
  <c r="BD25" i="2"/>
  <c r="BD27" i="2"/>
  <c r="BD29" i="2"/>
  <c r="BD38" i="2"/>
  <c r="BD40" i="2"/>
  <c r="BD42" i="2"/>
  <c r="BD35" i="2"/>
  <c r="BD37" i="2"/>
  <c r="BD32" i="2"/>
  <c r="BD39" i="2"/>
  <c r="BD30" i="2"/>
  <c r="BD41" i="2"/>
  <c r="BD34" i="2"/>
  <c r="BD36" i="2"/>
  <c r="BD50" i="2"/>
  <c r="BD46" i="2"/>
  <c r="BD44" i="2"/>
  <c r="BD52" i="2"/>
  <c r="BD61" i="2"/>
  <c r="BD54" i="2"/>
  <c r="BD43" i="2"/>
  <c r="BD47" i="2"/>
  <c r="BD56" i="2"/>
  <c r="BD49" i="2"/>
  <c r="BD65" i="2"/>
  <c r="BD51" i="2"/>
  <c r="BD60" i="2"/>
  <c r="BD53" i="2"/>
  <c r="BD48" i="2"/>
  <c r="BD59" i="2"/>
  <c r="BD71" i="2"/>
  <c r="BD45" i="2"/>
  <c r="BD73" i="2"/>
  <c r="BD63" i="2"/>
  <c r="BD66" i="2"/>
  <c r="BD55" i="2"/>
  <c r="BD68" i="2"/>
  <c r="BD57" i="2"/>
  <c r="BD70" i="2"/>
  <c r="BD64" i="2"/>
  <c r="BD74" i="2"/>
  <c r="BD58" i="2"/>
  <c r="BD67" i="2"/>
  <c r="BD76" i="2"/>
  <c r="BD69" i="2"/>
  <c r="BD89" i="2"/>
  <c r="BD82" i="2"/>
  <c r="BD91" i="2"/>
  <c r="BD62" i="2"/>
  <c r="BD84" i="2"/>
  <c r="BD80" i="2"/>
  <c r="BD93" i="2"/>
  <c r="BD72" i="2"/>
  <c r="BD75" i="2"/>
  <c r="BD86" i="2"/>
  <c r="BD95" i="2"/>
  <c r="BD88" i="2"/>
  <c r="BD81" i="2"/>
  <c r="BD79" i="2"/>
  <c r="BD90" i="2"/>
  <c r="BD83" i="2"/>
  <c r="BD77" i="2"/>
  <c r="BD85" i="2"/>
  <c r="BD87" i="2"/>
  <c r="BD107" i="2"/>
  <c r="BD92" i="2"/>
  <c r="BD100" i="2"/>
  <c r="BD109" i="2"/>
  <c r="BD102" i="2"/>
  <c r="BD111" i="2"/>
  <c r="BD104" i="2"/>
  <c r="BD97" i="2"/>
  <c r="BD96" i="2"/>
  <c r="BD106" i="2"/>
  <c r="BD99" i="2"/>
  <c r="BD108" i="2"/>
  <c r="BD101" i="2"/>
  <c r="BD110" i="2"/>
  <c r="BD94" i="2"/>
  <c r="BD103" i="2"/>
  <c r="BD78" i="2"/>
  <c r="L21" i="2"/>
  <c r="DV21" i="2"/>
  <c r="C21" i="2"/>
  <c r="E21" i="2" s="1"/>
  <c r="D21" i="2"/>
  <c r="G21" i="2"/>
  <c r="DY21" i="2" s="1"/>
  <c r="K21" i="2"/>
  <c r="B22" i="2"/>
  <c r="AX15" i="5"/>
  <c r="AX19" i="5"/>
  <c r="AX23" i="5"/>
  <c r="AX27" i="5"/>
  <c r="AX31" i="5"/>
  <c r="AX35" i="5"/>
  <c r="AX39" i="5"/>
  <c r="AX43" i="5"/>
  <c r="AX47" i="5"/>
  <c r="AX51" i="5"/>
  <c r="AX55" i="5"/>
  <c r="AX59" i="5"/>
  <c r="AX63" i="5"/>
  <c r="AX67" i="5"/>
  <c r="AX71" i="5"/>
  <c r="AX75" i="5"/>
  <c r="AX79" i="5"/>
  <c r="AX83" i="5"/>
  <c r="AX87" i="5"/>
  <c r="AX91" i="5"/>
  <c r="AX95" i="5"/>
  <c r="AX99" i="5"/>
  <c r="AX103" i="5"/>
  <c r="AX107" i="5"/>
  <c r="AX111" i="5"/>
  <c r="AX14" i="5"/>
  <c r="AX18" i="5"/>
  <c r="AX22" i="5"/>
  <c r="AX26" i="5"/>
  <c r="AX30" i="5"/>
  <c r="AX34" i="5"/>
  <c r="AX38" i="5"/>
  <c r="AX42" i="5"/>
  <c r="AX46" i="5"/>
  <c r="AX50" i="5"/>
  <c r="AX54" i="5"/>
  <c r="AX58" i="5"/>
  <c r="AX62" i="5"/>
  <c r="AX66" i="5"/>
  <c r="AX70" i="5"/>
  <c r="AX74" i="5"/>
  <c r="AX78" i="5"/>
  <c r="AX82" i="5"/>
  <c r="AX86" i="5"/>
  <c r="AX90" i="5"/>
  <c r="AX94" i="5"/>
  <c r="AX98" i="5"/>
  <c r="AX102" i="5"/>
  <c r="AX106" i="5"/>
  <c r="AX110" i="5"/>
  <c r="AX17" i="5"/>
  <c r="AX21" i="5"/>
  <c r="AX25" i="5"/>
  <c r="AX29" i="5"/>
  <c r="AX33" i="5"/>
  <c r="AX37" i="5"/>
  <c r="AX41" i="5"/>
  <c r="AX45" i="5"/>
  <c r="AX49" i="5"/>
  <c r="AX53" i="5"/>
  <c r="AX57" i="5"/>
  <c r="AX61" i="5"/>
  <c r="AX65" i="5"/>
  <c r="AX69" i="5"/>
  <c r="AX73" i="5"/>
  <c r="AX77" i="5"/>
  <c r="AX81" i="5"/>
  <c r="AX85" i="5"/>
  <c r="AX89" i="5"/>
  <c r="AX93" i="5"/>
  <c r="AX97" i="5"/>
  <c r="AX101" i="5"/>
  <c r="AX105" i="5"/>
  <c r="AX109" i="5"/>
  <c r="AX113" i="5"/>
  <c r="AX16" i="5"/>
  <c r="AX20" i="5"/>
  <c r="AX24" i="5"/>
  <c r="AX28" i="5"/>
  <c r="AX32" i="5"/>
  <c r="AX36" i="5"/>
  <c r="AX40" i="5"/>
  <c r="AX44" i="5"/>
  <c r="AX48" i="5"/>
  <c r="AX52" i="5"/>
  <c r="AX56" i="5"/>
  <c r="AX60" i="5"/>
  <c r="AX64" i="5"/>
  <c r="AX68" i="5"/>
  <c r="AX72" i="5"/>
  <c r="AX76" i="5"/>
  <c r="AX80" i="5"/>
  <c r="AX84" i="5"/>
  <c r="AX112" i="5"/>
  <c r="AX88" i="5"/>
  <c r="AX92" i="5"/>
  <c r="AX96" i="5"/>
  <c r="AX100" i="5"/>
  <c r="AX104" i="5"/>
  <c r="AX108" i="5"/>
  <c r="AY15" i="5"/>
  <c r="AY19" i="5"/>
  <c r="AY23" i="5"/>
  <c r="AY27" i="5"/>
  <c r="AY31" i="5"/>
  <c r="AY35" i="5"/>
  <c r="AY39" i="5"/>
  <c r="AY43" i="5"/>
  <c r="AY47" i="5"/>
  <c r="AY51" i="5"/>
  <c r="AY55" i="5"/>
  <c r="AY59" i="5"/>
  <c r="AY63" i="5"/>
  <c r="AY67" i="5"/>
  <c r="AY71" i="5"/>
  <c r="AY75" i="5"/>
  <c r="AY79" i="5"/>
  <c r="AY83" i="5"/>
  <c r="AY87" i="5"/>
  <c r="AY91" i="5"/>
  <c r="AY95" i="5"/>
  <c r="AY99" i="5"/>
  <c r="AY103" i="5"/>
  <c r="AY107" i="5"/>
  <c r="AY111" i="5"/>
  <c r="AY14" i="5"/>
  <c r="AY18" i="5"/>
  <c r="AY22" i="5"/>
  <c r="AY26" i="5"/>
  <c r="AY30" i="5"/>
  <c r="AY34" i="5"/>
  <c r="AY38" i="5"/>
  <c r="AY42" i="5"/>
  <c r="AY46" i="5"/>
  <c r="AY50" i="5"/>
  <c r="AY54" i="5"/>
  <c r="AY58" i="5"/>
  <c r="AY62" i="5"/>
  <c r="AY66" i="5"/>
  <c r="AY70" i="5"/>
  <c r="AY74" i="5"/>
  <c r="AY78" i="5"/>
  <c r="AY82" i="5"/>
  <c r="AY17" i="5"/>
  <c r="AY21" i="5"/>
  <c r="AY25" i="5"/>
  <c r="AY29" i="5"/>
  <c r="AY33" i="5"/>
  <c r="AY37" i="5"/>
  <c r="AY41" i="5"/>
  <c r="AY45" i="5"/>
  <c r="AY49" i="5"/>
  <c r="AY53" i="5"/>
  <c r="AY57" i="5"/>
  <c r="AY61" i="5"/>
  <c r="AY65" i="5"/>
  <c r="AY69" i="5"/>
  <c r="AY73" i="5"/>
  <c r="AY77" i="5"/>
  <c r="AY81" i="5"/>
  <c r="AY85" i="5"/>
  <c r="AY89" i="5"/>
  <c r="AY93" i="5"/>
  <c r="AY97" i="5"/>
  <c r="AY101" i="5"/>
  <c r="AY105" i="5"/>
  <c r="AY109" i="5"/>
  <c r="AY113" i="5"/>
  <c r="AY16" i="5"/>
  <c r="AY20" i="5"/>
  <c r="AY24" i="5"/>
  <c r="AY28" i="5"/>
  <c r="AY32" i="5"/>
  <c r="AY36" i="5"/>
  <c r="AY40" i="5"/>
  <c r="AY44" i="5"/>
  <c r="AY48" i="5"/>
  <c r="AY52" i="5"/>
  <c r="AY56" i="5"/>
  <c r="AY60" i="5"/>
  <c r="AY64" i="5"/>
  <c r="AY68" i="5"/>
  <c r="AY72" i="5"/>
  <c r="AY76" i="5"/>
  <c r="AY80" i="5"/>
  <c r="AY84" i="5"/>
  <c r="AY110" i="5"/>
  <c r="AY112" i="5"/>
  <c r="AY88" i="5"/>
  <c r="AY90" i="5"/>
  <c r="AY92" i="5"/>
  <c r="AY94" i="5"/>
  <c r="AY96" i="5"/>
  <c r="AY98" i="5"/>
  <c r="AY100" i="5"/>
  <c r="AY102" i="5"/>
  <c r="AY104" i="5"/>
  <c r="AY86" i="5"/>
  <c r="AY108" i="5"/>
  <c r="AY106" i="5"/>
  <c r="C14" i="5"/>
  <c r="D14" i="5" s="1"/>
  <c r="AU14" i="5"/>
  <c r="B15" i="5"/>
  <c r="I14" i="5"/>
  <c r="H14" i="5"/>
  <c r="N7" i="7" a="1"/>
  <c r="N7" i="7" s="1"/>
  <c r="M7" i="7" a="1"/>
  <c r="M7" i="7" s="1"/>
  <c r="L7" i="7" a="1"/>
  <c r="L7" i="7" s="1"/>
  <c r="K7" i="7" a="1"/>
  <c r="K7" i="7" s="1"/>
  <c r="I94" i="7" a="1"/>
  <c r="I94" i="7" s="1"/>
  <c r="H94" i="7" a="1"/>
  <c r="H94" i="7" s="1"/>
  <c r="AT113" i="7" a="1"/>
  <c r="AT113" i="7" s="1"/>
  <c r="AR113" i="7" a="1"/>
  <c r="AR113" i="7" s="1"/>
  <c r="AQ113" i="7" a="1"/>
  <c r="AQ113" i="7" s="1"/>
  <c r="AP113" i="7" a="1"/>
  <c r="AP113" i="7" s="1"/>
  <c r="AO113" i="7" a="1"/>
  <c r="AO113" i="7" s="1"/>
  <c r="AN113" i="7" a="1"/>
  <c r="AN113" i="7" s="1"/>
  <c r="AM113" i="7" a="1"/>
  <c r="AM113" i="7" s="1"/>
  <c r="AT112" i="7" a="1"/>
  <c r="AT112" i="7" s="1"/>
  <c r="AR112" i="7" a="1"/>
  <c r="AR112" i="7" s="1"/>
  <c r="AQ112" i="7" a="1"/>
  <c r="AQ112" i="7" s="1"/>
  <c r="AP112" i="7" a="1"/>
  <c r="AP112" i="7" s="1"/>
  <c r="AO112" i="7" a="1"/>
  <c r="AO112" i="7" s="1"/>
  <c r="AN112" i="7" a="1"/>
  <c r="AN112" i="7" s="1"/>
  <c r="AM112" i="7" a="1"/>
  <c r="AM112" i="7" s="1"/>
  <c r="AT111" i="7" a="1"/>
  <c r="AT111" i="7" s="1"/>
  <c r="AR111" i="7" a="1"/>
  <c r="AR111" i="7" s="1"/>
  <c r="AQ111" i="7" a="1"/>
  <c r="AQ111" i="7" s="1"/>
  <c r="AP111" i="7" a="1"/>
  <c r="AP111" i="7" s="1"/>
  <c r="AO111" i="7" a="1"/>
  <c r="AO111" i="7" s="1"/>
  <c r="AN111" i="7" a="1"/>
  <c r="AN111" i="7" s="1"/>
  <c r="AM111" i="7" a="1"/>
  <c r="AM111" i="7" s="1"/>
  <c r="AT110" i="7" a="1"/>
  <c r="AT110" i="7" s="1"/>
  <c r="AR110" i="7" a="1"/>
  <c r="AR110" i="7" s="1"/>
  <c r="AQ110" i="7" a="1"/>
  <c r="AQ110" i="7" s="1"/>
  <c r="AP110" i="7" a="1"/>
  <c r="AP110" i="7" s="1"/>
  <c r="AO110" i="7" a="1"/>
  <c r="AO110" i="7" s="1"/>
  <c r="AN110" i="7" a="1"/>
  <c r="AN110" i="7" s="1"/>
  <c r="AM110" i="7" a="1"/>
  <c r="AM110" i="7" s="1"/>
  <c r="AT109" i="7" a="1"/>
  <c r="AT109" i="7" s="1"/>
  <c r="AR109" i="7" a="1"/>
  <c r="AR109" i="7" s="1"/>
  <c r="AQ109" i="7" a="1"/>
  <c r="AQ109" i="7" s="1"/>
  <c r="AP109" i="7" a="1"/>
  <c r="AP109" i="7" s="1"/>
  <c r="AO109" i="7" a="1"/>
  <c r="AO109" i="7" s="1"/>
  <c r="AN109" i="7" a="1"/>
  <c r="AN109" i="7" s="1"/>
  <c r="AM109" i="7" a="1"/>
  <c r="AM109" i="7" s="1"/>
  <c r="AT108" i="7" a="1"/>
  <c r="AT108" i="7" s="1"/>
  <c r="AR108" i="7" a="1"/>
  <c r="AR108" i="7" s="1"/>
  <c r="AQ108" i="7" a="1"/>
  <c r="AQ108" i="7" s="1"/>
  <c r="AP108" i="7" a="1"/>
  <c r="AP108" i="7" s="1"/>
  <c r="AO108" i="7" a="1"/>
  <c r="AO108" i="7" s="1"/>
  <c r="AN108" i="7" a="1"/>
  <c r="AN108" i="7" s="1"/>
  <c r="AM108" i="7" a="1"/>
  <c r="AM108" i="7" s="1"/>
  <c r="AT107" i="7" a="1"/>
  <c r="AT107" i="7" s="1"/>
  <c r="AR107" i="7" a="1"/>
  <c r="AR107" i="7" s="1"/>
  <c r="AQ107" i="7" a="1"/>
  <c r="AQ107" i="7" s="1"/>
  <c r="AP107" i="7" a="1"/>
  <c r="AP107" i="7" s="1"/>
  <c r="AO107" i="7" a="1"/>
  <c r="AO107" i="7" s="1"/>
  <c r="AN107" i="7" a="1"/>
  <c r="AN107" i="7" s="1"/>
  <c r="AM107" i="7" a="1"/>
  <c r="AM107" i="7" s="1"/>
  <c r="AT106" i="7" a="1"/>
  <c r="AT106" i="7" s="1"/>
  <c r="AR106" i="7" a="1"/>
  <c r="AR106" i="7" s="1"/>
  <c r="AQ106" i="7" a="1"/>
  <c r="AQ106" i="7" s="1"/>
  <c r="AP106" i="7" a="1"/>
  <c r="AP106" i="7" s="1"/>
  <c r="AO106" i="7" a="1"/>
  <c r="AO106" i="7" s="1"/>
  <c r="AN106" i="7" a="1"/>
  <c r="AN106" i="7" s="1"/>
  <c r="AM106" i="7" a="1"/>
  <c r="AM106" i="7" s="1"/>
  <c r="AT105" i="7" a="1"/>
  <c r="AT105" i="7" s="1"/>
  <c r="AR105" i="7" a="1"/>
  <c r="AR105" i="7" s="1"/>
  <c r="AQ105" i="7" a="1"/>
  <c r="AQ105" i="7" s="1"/>
  <c r="AP105" i="7" a="1"/>
  <c r="AP105" i="7" s="1"/>
  <c r="AO105" i="7" a="1"/>
  <c r="AO105" i="7" s="1"/>
  <c r="AN105" i="7" a="1"/>
  <c r="AN105" i="7" s="1"/>
  <c r="AM105" i="7" a="1"/>
  <c r="AM105" i="7" s="1"/>
  <c r="AT104" i="7" a="1"/>
  <c r="AT104" i="7" s="1"/>
  <c r="AR104" i="7" a="1"/>
  <c r="AR104" i="7" s="1"/>
  <c r="AQ104" i="7" a="1"/>
  <c r="AQ104" i="7" s="1"/>
  <c r="AP104" i="7" a="1"/>
  <c r="AP104" i="7" s="1"/>
  <c r="AO104" i="7" a="1"/>
  <c r="AO104" i="7" s="1"/>
  <c r="AN104" i="7" a="1"/>
  <c r="AN104" i="7" s="1"/>
  <c r="AM104" i="7" a="1"/>
  <c r="AM104" i="7" s="1"/>
  <c r="AT103" i="7" a="1"/>
  <c r="AT103" i="7" s="1"/>
  <c r="AR103" i="7" a="1"/>
  <c r="AR103" i="7" s="1"/>
  <c r="AQ103" i="7" a="1"/>
  <c r="AQ103" i="7" s="1"/>
  <c r="AP103" i="7" a="1"/>
  <c r="AP103" i="7" s="1"/>
  <c r="AO103" i="7" a="1"/>
  <c r="AO103" i="7" s="1"/>
  <c r="AN103" i="7" a="1"/>
  <c r="AN103" i="7" s="1"/>
  <c r="AM103" i="7" a="1"/>
  <c r="AM103" i="7" s="1"/>
  <c r="AT102" i="7" a="1"/>
  <c r="AT102" i="7" s="1"/>
  <c r="AR102" i="7" a="1"/>
  <c r="AR102" i="7" s="1"/>
  <c r="AQ102" i="7" a="1"/>
  <c r="AQ102" i="7" s="1"/>
  <c r="AP102" i="7" a="1"/>
  <c r="AP102" i="7" s="1"/>
  <c r="AO102" i="7" a="1"/>
  <c r="AO102" i="7" s="1"/>
  <c r="AN102" i="7" a="1"/>
  <c r="AN102" i="7" s="1"/>
  <c r="AM102" i="7" a="1"/>
  <c r="AM102" i="7" s="1"/>
  <c r="AT101" i="7" a="1"/>
  <c r="AT101" i="7" s="1"/>
  <c r="AR101" i="7" a="1"/>
  <c r="AR101" i="7" s="1"/>
  <c r="AQ101" i="7" a="1"/>
  <c r="AQ101" i="7" s="1"/>
  <c r="AP101" i="7" a="1"/>
  <c r="AP101" i="7" s="1"/>
  <c r="AO101" i="7" a="1"/>
  <c r="AO101" i="7" s="1"/>
  <c r="AN101" i="7" a="1"/>
  <c r="AN101" i="7" s="1"/>
  <c r="AM101" i="7" a="1"/>
  <c r="AM101" i="7" s="1"/>
  <c r="AT100" i="7" a="1"/>
  <c r="AT100" i="7" s="1"/>
  <c r="AR100" i="7" a="1"/>
  <c r="AR100" i="7" s="1"/>
  <c r="AQ100" i="7" a="1"/>
  <c r="AQ100" i="7" s="1"/>
  <c r="AP100" i="7" a="1"/>
  <c r="AP100" i="7" s="1"/>
  <c r="AO100" i="7" a="1"/>
  <c r="AO100" i="7" s="1"/>
  <c r="AN100" i="7" a="1"/>
  <c r="AN100" i="7" s="1"/>
  <c r="AM100" i="7" a="1"/>
  <c r="AM100" i="7" s="1"/>
  <c r="AT99" i="7" a="1"/>
  <c r="AT99" i="7" s="1"/>
  <c r="AR99" i="7" a="1"/>
  <c r="AR99" i="7" s="1"/>
  <c r="AQ99" i="7" a="1"/>
  <c r="AQ99" i="7" s="1"/>
  <c r="AP99" i="7" a="1"/>
  <c r="AP99" i="7" s="1"/>
  <c r="AO99" i="7" a="1"/>
  <c r="AO99" i="7" s="1"/>
  <c r="AN99" i="7" a="1"/>
  <c r="AN99" i="7" s="1"/>
  <c r="AM99" i="7" a="1"/>
  <c r="AM99" i="7" s="1"/>
  <c r="AT98" i="7" a="1"/>
  <c r="AT98" i="7" s="1"/>
  <c r="AR98" i="7" a="1"/>
  <c r="AR98" i="7" s="1"/>
  <c r="AQ98" i="7" a="1"/>
  <c r="AQ98" i="7" s="1"/>
  <c r="AP98" i="7" a="1"/>
  <c r="AP98" i="7" s="1"/>
  <c r="AO98" i="7" a="1"/>
  <c r="AO98" i="7" s="1"/>
  <c r="AN98" i="7" a="1"/>
  <c r="AN98" i="7" s="1"/>
  <c r="AM98" i="7" a="1"/>
  <c r="AM98" i="7" s="1"/>
  <c r="AT97" i="7" a="1"/>
  <c r="AT97" i="7" s="1"/>
  <c r="AR97" i="7" a="1"/>
  <c r="AR97" i="7" s="1"/>
  <c r="AQ97" i="7" a="1"/>
  <c r="AQ97" i="7" s="1"/>
  <c r="AP97" i="7" a="1"/>
  <c r="AP97" i="7" s="1"/>
  <c r="AO97" i="7" a="1"/>
  <c r="AO97" i="7" s="1"/>
  <c r="AN97" i="7" a="1"/>
  <c r="AN97" i="7" s="1"/>
  <c r="AM97" i="7" a="1"/>
  <c r="AM97" i="7" s="1"/>
  <c r="AT96" i="7" a="1"/>
  <c r="AT96" i="7" s="1"/>
  <c r="AR96" i="7" a="1"/>
  <c r="AR96" i="7" s="1"/>
  <c r="AQ96" i="7" a="1"/>
  <c r="AQ96" i="7" s="1"/>
  <c r="AP96" i="7" a="1"/>
  <c r="AP96" i="7" s="1"/>
  <c r="AO96" i="7" a="1"/>
  <c r="AO96" i="7" s="1"/>
  <c r="AN96" i="7" a="1"/>
  <c r="AN96" i="7" s="1"/>
  <c r="AM96" i="7" a="1"/>
  <c r="AM96" i="7" s="1"/>
  <c r="AT95" i="7" a="1"/>
  <c r="AT95" i="7" s="1"/>
  <c r="AR95" i="7" a="1"/>
  <c r="AR95" i="7" s="1"/>
  <c r="AQ95" i="7" a="1"/>
  <c r="AQ95" i="7" s="1"/>
  <c r="AP95" i="7" a="1"/>
  <c r="AP95" i="7" s="1"/>
  <c r="AO95" i="7" a="1"/>
  <c r="AO95" i="7" s="1"/>
  <c r="AN95" i="7" a="1"/>
  <c r="AN95" i="7" s="1"/>
  <c r="AM95" i="7" a="1"/>
  <c r="AM95" i="7" s="1"/>
  <c r="AM94" i="7" a="1"/>
  <c r="AM94" i="7" s="1"/>
  <c r="AT94" i="7" a="1"/>
  <c r="AT94" i="7" s="1"/>
  <c r="AR94" i="7" a="1"/>
  <c r="AR94" i="7" s="1"/>
  <c r="AQ94" i="7" a="1"/>
  <c r="AQ94" i="7" s="1"/>
  <c r="AP94" i="7" a="1"/>
  <c r="AP94" i="7" s="1"/>
  <c r="AN94" i="7" a="1"/>
  <c r="AN94" i="7" s="1"/>
  <c r="AO94" i="7" a="1"/>
  <c r="AO94" i="7" s="1"/>
  <c r="AM88" i="7"/>
  <c r="AM87" i="7"/>
  <c r="F94" i="7" a="1"/>
  <c r="F94" i="7" s="1"/>
  <c r="H106" i="7" a="1"/>
  <c r="H106" i="7" s="1"/>
  <c r="H105" i="7" a="1"/>
  <c r="H105" i="7" s="1"/>
  <c r="H104" i="7" a="1"/>
  <c r="H104" i="7" s="1"/>
  <c r="H103" i="7" a="1"/>
  <c r="H103" i="7" s="1"/>
  <c r="H100" i="7" a="1"/>
  <c r="H100" i="7" s="1"/>
  <c r="H99" i="7" a="1"/>
  <c r="H99" i="7" s="1"/>
  <c r="H98" i="7" a="1"/>
  <c r="H98" i="7" s="1"/>
  <c r="H97" i="7" a="1"/>
  <c r="H97" i="7" s="1"/>
  <c r="H96" i="7" a="1"/>
  <c r="H96" i="7" s="1"/>
  <c r="H95" i="7" a="1"/>
  <c r="H95" i="7" s="1"/>
  <c r="E89" i="7"/>
  <c r="E88" i="7"/>
  <c r="I112" i="7" s="1" a="1"/>
  <c r="I112" i="7" s="1"/>
  <c r="E10" i="7" a="1"/>
  <c r="E10" i="7" s="1"/>
  <c r="P68" i="6" a="1"/>
  <c r="P68" i="6" s="1"/>
  <c r="O167" i="6" a="1"/>
  <c r="O167" i="6" s="1"/>
  <c r="O166" i="6" a="1"/>
  <c r="O166" i="6" s="1"/>
  <c r="O165" i="6" a="1"/>
  <c r="O165" i="6" s="1"/>
  <c r="O164" i="6" a="1"/>
  <c r="O164" i="6" s="1"/>
  <c r="O163" i="6" a="1"/>
  <c r="O163" i="6" s="1"/>
  <c r="O162" i="6" a="1"/>
  <c r="O162" i="6" s="1"/>
  <c r="O161" i="6" a="1"/>
  <c r="O161" i="6" s="1"/>
  <c r="O160" i="6" a="1"/>
  <c r="O160" i="6" s="1"/>
  <c r="O159" i="6" a="1"/>
  <c r="O159" i="6" s="1"/>
  <c r="O158" i="6" a="1"/>
  <c r="O158" i="6" s="1"/>
  <c r="O157" i="6" a="1"/>
  <c r="O157" i="6" s="1"/>
  <c r="O156" i="6" a="1"/>
  <c r="O156" i="6" s="1"/>
  <c r="O155" i="6" a="1"/>
  <c r="O155" i="6" s="1"/>
  <c r="O154" i="6" a="1"/>
  <c r="O154" i="6" s="1"/>
  <c r="O153" i="6" a="1"/>
  <c r="O153" i="6" s="1"/>
  <c r="O152" i="6" a="1"/>
  <c r="O152" i="6" s="1"/>
  <c r="O151" i="6" a="1"/>
  <c r="O151" i="6" s="1"/>
  <c r="O150" i="6" a="1"/>
  <c r="O150" i="6" s="1"/>
  <c r="O149" i="6" a="1"/>
  <c r="O149" i="6" s="1"/>
  <c r="O148" i="6" a="1"/>
  <c r="O148" i="6" s="1"/>
  <c r="O147" i="6" a="1"/>
  <c r="O147" i="6" s="1"/>
  <c r="O146" i="6" a="1"/>
  <c r="O146" i="6" s="1"/>
  <c r="O145" i="6" a="1"/>
  <c r="O145" i="6" s="1"/>
  <c r="O144" i="6" a="1"/>
  <c r="O144" i="6" s="1"/>
  <c r="O143" i="6" a="1"/>
  <c r="O143" i="6" s="1"/>
  <c r="O142" i="6" a="1"/>
  <c r="O142" i="6" s="1"/>
  <c r="O141" i="6" a="1"/>
  <c r="O141" i="6" s="1"/>
  <c r="O140" i="6" a="1"/>
  <c r="O140" i="6" s="1"/>
  <c r="O139" i="6" a="1"/>
  <c r="O139" i="6" s="1"/>
  <c r="O138" i="6" a="1"/>
  <c r="O138" i="6" s="1"/>
  <c r="O137" i="6" a="1"/>
  <c r="O137" i="6" s="1"/>
  <c r="O136" i="6" a="1"/>
  <c r="O136" i="6" s="1"/>
  <c r="O135" i="6" a="1"/>
  <c r="O135" i="6" s="1"/>
  <c r="O134" i="6" a="1"/>
  <c r="O134" i="6" s="1"/>
  <c r="O133" i="6" a="1"/>
  <c r="O133" i="6" s="1"/>
  <c r="O132" i="6" a="1"/>
  <c r="O132" i="6" s="1"/>
  <c r="O131" i="6" a="1"/>
  <c r="O131" i="6" s="1"/>
  <c r="O130" i="6" a="1"/>
  <c r="O130" i="6" s="1"/>
  <c r="O129" i="6" a="1"/>
  <c r="O129" i="6" s="1"/>
  <c r="O128" i="6" a="1"/>
  <c r="O128" i="6" s="1"/>
  <c r="O127" i="6" a="1"/>
  <c r="O127" i="6" s="1"/>
  <c r="O126" i="6" a="1"/>
  <c r="O126" i="6" s="1"/>
  <c r="O125" i="6" a="1"/>
  <c r="O125" i="6" s="1"/>
  <c r="O124" i="6" a="1"/>
  <c r="O124" i="6" s="1"/>
  <c r="O123" i="6" a="1"/>
  <c r="O123" i="6" s="1"/>
  <c r="O122" i="6" a="1"/>
  <c r="O122" i="6" s="1"/>
  <c r="O121" i="6" a="1"/>
  <c r="O121" i="6" s="1"/>
  <c r="O120" i="6" a="1"/>
  <c r="O120" i="6" s="1"/>
  <c r="O119" i="6" a="1"/>
  <c r="O119" i="6" s="1"/>
  <c r="O118" i="6" a="1"/>
  <c r="O118" i="6" s="1"/>
  <c r="O117" i="6" a="1"/>
  <c r="O117" i="6" s="1"/>
  <c r="O116" i="6" a="1"/>
  <c r="O116" i="6" s="1"/>
  <c r="O115" i="6" a="1"/>
  <c r="O115" i="6" s="1"/>
  <c r="O114" i="6" a="1"/>
  <c r="O114" i="6" s="1"/>
  <c r="O113" i="6" a="1"/>
  <c r="O113" i="6" s="1"/>
  <c r="O112" i="6" a="1"/>
  <c r="O112" i="6" s="1"/>
  <c r="O111" i="6" a="1"/>
  <c r="O111" i="6" s="1"/>
  <c r="O110" i="6" a="1"/>
  <c r="O110" i="6" s="1"/>
  <c r="O109" i="6" a="1"/>
  <c r="O109" i="6" s="1"/>
  <c r="O108" i="6" a="1"/>
  <c r="O108" i="6" s="1"/>
  <c r="O107" i="6" a="1"/>
  <c r="O107" i="6" s="1"/>
  <c r="O106" i="6" a="1"/>
  <c r="O106" i="6" s="1"/>
  <c r="O105" i="6" a="1"/>
  <c r="O105" i="6" s="1"/>
  <c r="O104" i="6" a="1"/>
  <c r="O104" i="6" s="1"/>
  <c r="O103" i="6" a="1"/>
  <c r="O103" i="6" s="1"/>
  <c r="O102" i="6" a="1"/>
  <c r="O102" i="6" s="1"/>
  <c r="O101" i="6" a="1"/>
  <c r="O101" i="6" s="1"/>
  <c r="O100" i="6" a="1"/>
  <c r="O100" i="6" s="1"/>
  <c r="O99" i="6" a="1"/>
  <c r="O99" i="6" s="1"/>
  <c r="O98" i="6" a="1"/>
  <c r="O98" i="6" s="1"/>
  <c r="O97" i="6" a="1"/>
  <c r="O97" i="6" s="1"/>
  <c r="O96" i="6" a="1"/>
  <c r="O96" i="6" s="1"/>
  <c r="O95" i="6" a="1"/>
  <c r="O95" i="6" s="1"/>
  <c r="O94" i="6" a="1"/>
  <c r="O94" i="6" s="1"/>
  <c r="O93" i="6" a="1"/>
  <c r="O93" i="6" s="1"/>
  <c r="O92" i="6" a="1"/>
  <c r="O92" i="6" s="1"/>
  <c r="O91" i="6" a="1"/>
  <c r="O91" i="6" s="1"/>
  <c r="O90" i="6" a="1"/>
  <c r="O90" i="6" s="1"/>
  <c r="O89" i="6" a="1"/>
  <c r="O89" i="6" s="1"/>
  <c r="O88" i="6" a="1"/>
  <c r="O88" i="6" s="1"/>
  <c r="O87" i="6" a="1"/>
  <c r="O87" i="6" s="1"/>
  <c r="O86" i="6" a="1"/>
  <c r="O86" i="6" s="1"/>
  <c r="O85" i="6" a="1"/>
  <c r="O85" i="6" s="1"/>
  <c r="O84" i="6" a="1"/>
  <c r="O84" i="6" s="1"/>
  <c r="O83" i="6" a="1"/>
  <c r="O83" i="6" s="1"/>
  <c r="O82" i="6" a="1"/>
  <c r="O82" i="6" s="1"/>
  <c r="O81" i="6" a="1"/>
  <c r="O81" i="6" s="1"/>
  <c r="O80" i="6" a="1"/>
  <c r="O80" i="6" s="1"/>
  <c r="O79" i="6" a="1"/>
  <c r="O79" i="6" s="1"/>
  <c r="O78" i="6" a="1"/>
  <c r="O78" i="6" s="1"/>
  <c r="O77" i="6" a="1"/>
  <c r="O77" i="6" s="1"/>
  <c r="O76" i="6" a="1"/>
  <c r="O76" i="6" s="1"/>
  <c r="O75" i="6" a="1"/>
  <c r="O75" i="6" s="1"/>
  <c r="O74" i="6" a="1"/>
  <c r="O74" i="6" s="1"/>
  <c r="O73" i="6" a="1"/>
  <c r="O73" i="6" s="1"/>
  <c r="O72" i="6" a="1"/>
  <c r="O72" i="6" s="1"/>
  <c r="O71" i="6" a="1"/>
  <c r="O71" i="6" s="1"/>
  <c r="O70" i="6" a="1"/>
  <c r="O70" i="6" s="1"/>
  <c r="O69" i="6" a="1"/>
  <c r="O69" i="6" s="1"/>
  <c r="O68" i="6" a="1"/>
  <c r="O68" i="6" s="1"/>
  <c r="L167" i="6" a="1"/>
  <c r="L167" i="6" s="1"/>
  <c r="L166" i="6" a="1"/>
  <c r="L166" i="6" s="1"/>
  <c r="L165" i="6" a="1"/>
  <c r="L165" i="6" s="1"/>
  <c r="L164" i="6" a="1"/>
  <c r="L164" i="6" s="1"/>
  <c r="L163" i="6" a="1"/>
  <c r="L163" i="6" s="1"/>
  <c r="L162" i="6" a="1"/>
  <c r="L162" i="6" s="1"/>
  <c r="L161" i="6" a="1"/>
  <c r="L161" i="6" s="1"/>
  <c r="L160" i="6" a="1"/>
  <c r="L160" i="6" s="1"/>
  <c r="L159" i="6" a="1"/>
  <c r="L159" i="6" s="1"/>
  <c r="L158" i="6" a="1"/>
  <c r="L158" i="6" s="1"/>
  <c r="L157" i="6" a="1"/>
  <c r="L157" i="6" s="1"/>
  <c r="L156" i="6" a="1"/>
  <c r="L156" i="6" s="1"/>
  <c r="L155" i="6" a="1"/>
  <c r="L155" i="6" s="1"/>
  <c r="L154" i="6" a="1"/>
  <c r="L154" i="6" s="1"/>
  <c r="L153" i="6" a="1"/>
  <c r="L153" i="6" s="1"/>
  <c r="L152" i="6" a="1"/>
  <c r="L152" i="6" s="1"/>
  <c r="L151" i="6" a="1"/>
  <c r="L151" i="6" s="1"/>
  <c r="L150" i="6" a="1"/>
  <c r="L150" i="6" s="1"/>
  <c r="L149" i="6" a="1"/>
  <c r="L149" i="6" s="1"/>
  <c r="L148" i="6" a="1"/>
  <c r="L148" i="6" s="1"/>
  <c r="L147" i="6" a="1"/>
  <c r="L147" i="6" s="1"/>
  <c r="L146" i="6" a="1"/>
  <c r="L146" i="6" s="1"/>
  <c r="L145" i="6" a="1"/>
  <c r="L145" i="6" s="1"/>
  <c r="L144" i="6" a="1"/>
  <c r="L144" i="6" s="1"/>
  <c r="L143" i="6" a="1"/>
  <c r="L143" i="6" s="1"/>
  <c r="L142" i="6" a="1"/>
  <c r="L142" i="6" s="1"/>
  <c r="L141" i="6" a="1"/>
  <c r="L141" i="6" s="1"/>
  <c r="L140" i="6" a="1"/>
  <c r="L140" i="6" s="1"/>
  <c r="L139" i="6" a="1"/>
  <c r="L139" i="6" s="1"/>
  <c r="L138" i="6" a="1"/>
  <c r="L138" i="6" s="1"/>
  <c r="L137" i="6" a="1"/>
  <c r="L137" i="6" s="1"/>
  <c r="L136" i="6" a="1"/>
  <c r="L136" i="6" s="1"/>
  <c r="L135" i="6" a="1"/>
  <c r="L135" i="6" s="1"/>
  <c r="L134" i="6" a="1"/>
  <c r="L134" i="6" s="1"/>
  <c r="L133" i="6" a="1"/>
  <c r="L133" i="6" s="1"/>
  <c r="L132" i="6" a="1"/>
  <c r="L132" i="6" s="1"/>
  <c r="L131" i="6" a="1"/>
  <c r="L131" i="6" s="1"/>
  <c r="L130" i="6" a="1"/>
  <c r="L130" i="6" s="1"/>
  <c r="L129" i="6" a="1"/>
  <c r="L129" i="6" s="1"/>
  <c r="L128" i="6" a="1"/>
  <c r="L128" i="6" s="1"/>
  <c r="L127" i="6" a="1"/>
  <c r="L127" i="6" s="1"/>
  <c r="L126" i="6" a="1"/>
  <c r="L126" i="6" s="1"/>
  <c r="L125" i="6" a="1"/>
  <c r="L125" i="6" s="1"/>
  <c r="L124" i="6" a="1"/>
  <c r="L124" i="6" s="1"/>
  <c r="L123" i="6" a="1"/>
  <c r="L123" i="6" s="1"/>
  <c r="L122" i="6" a="1"/>
  <c r="L122" i="6" s="1"/>
  <c r="L121" i="6" a="1"/>
  <c r="L121" i="6" s="1"/>
  <c r="L120" i="6" a="1"/>
  <c r="L120" i="6" s="1"/>
  <c r="L119" i="6" a="1"/>
  <c r="L119" i="6" s="1"/>
  <c r="L118" i="6" a="1"/>
  <c r="L118" i="6" s="1"/>
  <c r="L117" i="6" a="1"/>
  <c r="L117" i="6" s="1"/>
  <c r="L116" i="6" a="1"/>
  <c r="L116" i="6" s="1"/>
  <c r="L115" i="6" a="1"/>
  <c r="L115" i="6" s="1"/>
  <c r="L114" i="6" a="1"/>
  <c r="L114" i="6" s="1"/>
  <c r="L113" i="6" a="1"/>
  <c r="L113" i="6" s="1"/>
  <c r="L112" i="6" a="1"/>
  <c r="L112" i="6" s="1"/>
  <c r="L111" i="6" a="1"/>
  <c r="L111" i="6" s="1"/>
  <c r="L110" i="6" a="1"/>
  <c r="L110" i="6" s="1"/>
  <c r="L109" i="6" a="1"/>
  <c r="L109" i="6" s="1"/>
  <c r="L108" i="6" a="1"/>
  <c r="L108" i="6" s="1"/>
  <c r="L107" i="6" a="1"/>
  <c r="L107" i="6" s="1"/>
  <c r="L106" i="6" a="1"/>
  <c r="L106" i="6" s="1"/>
  <c r="L105" i="6" a="1"/>
  <c r="L105" i="6" s="1"/>
  <c r="L104" i="6" a="1"/>
  <c r="L104" i="6" s="1"/>
  <c r="L103" i="6" a="1"/>
  <c r="L103" i="6" s="1"/>
  <c r="L102" i="6" a="1"/>
  <c r="L102" i="6" s="1"/>
  <c r="L101" i="6" a="1"/>
  <c r="L101" i="6" s="1"/>
  <c r="L100" i="6" a="1"/>
  <c r="L100" i="6" s="1"/>
  <c r="L99" i="6" a="1"/>
  <c r="L99" i="6" s="1"/>
  <c r="L98" i="6" a="1"/>
  <c r="L98" i="6" s="1"/>
  <c r="L97" i="6" a="1"/>
  <c r="L97" i="6" s="1"/>
  <c r="L96" i="6" a="1"/>
  <c r="L96" i="6" s="1"/>
  <c r="L95" i="6" a="1"/>
  <c r="L95" i="6" s="1"/>
  <c r="L94" i="6" a="1"/>
  <c r="L94" i="6" s="1"/>
  <c r="L93" i="6" a="1"/>
  <c r="L93" i="6" s="1"/>
  <c r="L92" i="6" a="1"/>
  <c r="L92" i="6" s="1"/>
  <c r="L91" i="6" a="1"/>
  <c r="L91" i="6" s="1"/>
  <c r="L90" i="6" a="1"/>
  <c r="L90" i="6" s="1"/>
  <c r="L89" i="6" a="1"/>
  <c r="L89" i="6" s="1"/>
  <c r="L88" i="6" a="1"/>
  <c r="L88" i="6" s="1"/>
  <c r="L87" i="6" a="1"/>
  <c r="L87" i="6" s="1"/>
  <c r="L86" i="6" a="1"/>
  <c r="L86" i="6" s="1"/>
  <c r="L85" i="6" a="1"/>
  <c r="L85" i="6" s="1"/>
  <c r="L84" i="6" a="1"/>
  <c r="L84" i="6" s="1"/>
  <c r="L83" i="6" a="1"/>
  <c r="L83" i="6" s="1"/>
  <c r="L82" i="6" a="1"/>
  <c r="L82" i="6" s="1"/>
  <c r="L81" i="6" a="1"/>
  <c r="L81" i="6" s="1"/>
  <c r="L80" i="6" a="1"/>
  <c r="L80" i="6" s="1"/>
  <c r="L79" i="6" a="1"/>
  <c r="L79" i="6" s="1"/>
  <c r="L78" i="6" a="1"/>
  <c r="L78" i="6" s="1"/>
  <c r="L77" i="6" a="1"/>
  <c r="L77" i="6" s="1"/>
  <c r="L76" i="6" a="1"/>
  <c r="L76" i="6" s="1"/>
  <c r="L75" i="6" a="1"/>
  <c r="L75" i="6" s="1"/>
  <c r="L74" i="6" a="1"/>
  <c r="L74" i="6" s="1"/>
  <c r="L73" i="6" a="1"/>
  <c r="L73" i="6" s="1"/>
  <c r="L72" i="6" a="1"/>
  <c r="L72" i="6" s="1"/>
  <c r="L71" i="6" a="1"/>
  <c r="L71" i="6" s="1"/>
  <c r="L70" i="6" a="1"/>
  <c r="L70" i="6" s="1"/>
  <c r="L69" i="6" a="1"/>
  <c r="L69" i="6" s="1"/>
  <c r="L68" i="6" a="1"/>
  <c r="L68" i="6" s="1"/>
  <c r="I167" i="6" a="1"/>
  <c r="I167" i="6" s="1"/>
  <c r="I166" i="6" a="1"/>
  <c r="I166" i="6" s="1"/>
  <c r="I165" i="6" a="1"/>
  <c r="I165" i="6" s="1"/>
  <c r="I164" i="6" a="1"/>
  <c r="I164" i="6" s="1"/>
  <c r="I163" i="6" a="1"/>
  <c r="I163" i="6" s="1"/>
  <c r="I162" i="6" a="1"/>
  <c r="I162" i="6" s="1"/>
  <c r="I161" i="6" a="1"/>
  <c r="I161" i="6" s="1"/>
  <c r="I160" i="6" a="1"/>
  <c r="I160" i="6" s="1"/>
  <c r="I159" i="6" a="1"/>
  <c r="I159" i="6" s="1"/>
  <c r="I158" i="6" a="1"/>
  <c r="I158" i="6" s="1"/>
  <c r="I157" i="6" a="1"/>
  <c r="I157" i="6" s="1"/>
  <c r="I156" i="6" a="1"/>
  <c r="I156" i="6" s="1"/>
  <c r="I155" i="6" a="1"/>
  <c r="I155" i="6" s="1"/>
  <c r="I154" i="6" a="1"/>
  <c r="I154" i="6" s="1"/>
  <c r="I153" i="6" a="1"/>
  <c r="I153" i="6" s="1"/>
  <c r="I152" i="6" a="1"/>
  <c r="I152" i="6" s="1"/>
  <c r="I151" i="6" a="1"/>
  <c r="I151" i="6" s="1"/>
  <c r="I150" i="6" a="1"/>
  <c r="I150" i="6" s="1"/>
  <c r="I149" i="6" a="1"/>
  <c r="I149" i="6" s="1"/>
  <c r="I148" i="6" a="1"/>
  <c r="I148" i="6" s="1"/>
  <c r="I147" i="6" a="1"/>
  <c r="I147" i="6" s="1"/>
  <c r="I146" i="6" a="1"/>
  <c r="I146" i="6" s="1"/>
  <c r="I145" i="6" a="1"/>
  <c r="I145" i="6" s="1"/>
  <c r="I144" i="6" a="1"/>
  <c r="I144" i="6" s="1"/>
  <c r="I143" i="6" a="1"/>
  <c r="I143" i="6" s="1"/>
  <c r="I142" i="6" a="1"/>
  <c r="I142" i="6" s="1"/>
  <c r="I141" i="6" a="1"/>
  <c r="I141" i="6" s="1"/>
  <c r="I140" i="6" a="1"/>
  <c r="I140" i="6" s="1"/>
  <c r="I139" i="6" a="1"/>
  <c r="I139" i="6" s="1"/>
  <c r="I138" i="6" a="1"/>
  <c r="I138" i="6" s="1"/>
  <c r="I137" i="6" a="1"/>
  <c r="I137" i="6" s="1"/>
  <c r="I136" i="6" a="1"/>
  <c r="I136" i="6" s="1"/>
  <c r="I135" i="6" a="1"/>
  <c r="I135" i="6" s="1"/>
  <c r="I134" i="6" a="1"/>
  <c r="I134" i="6" s="1"/>
  <c r="I133" i="6" a="1"/>
  <c r="I133" i="6" s="1"/>
  <c r="I132" i="6" a="1"/>
  <c r="I132" i="6" s="1"/>
  <c r="I131" i="6" a="1"/>
  <c r="I131" i="6" s="1"/>
  <c r="I130" i="6" a="1"/>
  <c r="I130" i="6" s="1"/>
  <c r="I129" i="6" a="1"/>
  <c r="I129" i="6" s="1"/>
  <c r="I128" i="6" a="1"/>
  <c r="I128" i="6" s="1"/>
  <c r="I127" i="6" a="1"/>
  <c r="I127" i="6" s="1"/>
  <c r="I126" i="6" a="1"/>
  <c r="I126" i="6" s="1"/>
  <c r="I125" i="6" a="1"/>
  <c r="I125" i="6" s="1"/>
  <c r="I124" i="6" a="1"/>
  <c r="I124" i="6" s="1"/>
  <c r="I123" i="6" a="1"/>
  <c r="I123" i="6" s="1"/>
  <c r="I122" i="6" a="1"/>
  <c r="I122" i="6" s="1"/>
  <c r="I121" i="6" a="1"/>
  <c r="I121" i="6" s="1"/>
  <c r="I120" i="6" a="1"/>
  <c r="I120" i="6" s="1"/>
  <c r="I119" i="6" a="1"/>
  <c r="I119" i="6" s="1"/>
  <c r="I118" i="6" a="1"/>
  <c r="I118" i="6" s="1"/>
  <c r="I117" i="6" a="1"/>
  <c r="I117" i="6" s="1"/>
  <c r="I116" i="6" a="1"/>
  <c r="I116" i="6" s="1"/>
  <c r="I115" i="6" a="1"/>
  <c r="I115" i="6" s="1"/>
  <c r="I114" i="6" a="1"/>
  <c r="I114" i="6" s="1"/>
  <c r="I113" i="6" a="1"/>
  <c r="I113" i="6" s="1"/>
  <c r="I112" i="6" a="1"/>
  <c r="I112" i="6" s="1"/>
  <c r="I111" i="6" a="1"/>
  <c r="I111" i="6" s="1"/>
  <c r="I110" i="6" a="1"/>
  <c r="I110" i="6" s="1"/>
  <c r="I109" i="6" a="1"/>
  <c r="I109" i="6" s="1"/>
  <c r="I108" i="6" a="1"/>
  <c r="I108" i="6" s="1"/>
  <c r="I107" i="6" a="1"/>
  <c r="I107" i="6" s="1"/>
  <c r="I106" i="6" a="1"/>
  <c r="I106" i="6" s="1"/>
  <c r="I105" i="6" a="1"/>
  <c r="I105" i="6" s="1"/>
  <c r="I104" i="6" a="1"/>
  <c r="I104" i="6" s="1"/>
  <c r="I103" i="6" a="1"/>
  <c r="I103" i="6" s="1"/>
  <c r="I102" i="6" a="1"/>
  <c r="I102" i="6" s="1"/>
  <c r="I101" i="6" a="1"/>
  <c r="I101" i="6" s="1"/>
  <c r="I100" i="6" a="1"/>
  <c r="I100" i="6" s="1"/>
  <c r="I99" i="6" a="1"/>
  <c r="I99" i="6" s="1"/>
  <c r="I98" i="6" a="1"/>
  <c r="I98" i="6" s="1"/>
  <c r="I97" i="6" a="1"/>
  <c r="I97" i="6" s="1"/>
  <c r="I96" i="6" a="1"/>
  <c r="I96" i="6" s="1"/>
  <c r="I95" i="6" a="1"/>
  <c r="I95" i="6" s="1"/>
  <c r="I94" i="6" a="1"/>
  <c r="I94" i="6" s="1"/>
  <c r="I93" i="6" a="1"/>
  <c r="I93" i="6" s="1"/>
  <c r="I92" i="6" a="1"/>
  <c r="I92" i="6" s="1"/>
  <c r="I91" i="6" a="1"/>
  <c r="I91" i="6" s="1"/>
  <c r="I90" i="6" a="1"/>
  <c r="I90" i="6" s="1"/>
  <c r="I89" i="6" a="1"/>
  <c r="I89" i="6" s="1"/>
  <c r="I88" i="6" a="1"/>
  <c r="I88" i="6" s="1"/>
  <c r="I87" i="6" a="1"/>
  <c r="I87" i="6" s="1"/>
  <c r="I86" i="6" a="1"/>
  <c r="I86" i="6" s="1"/>
  <c r="I85" i="6" a="1"/>
  <c r="I85" i="6" s="1"/>
  <c r="I84" i="6" a="1"/>
  <c r="I84" i="6" s="1"/>
  <c r="I83" i="6" a="1"/>
  <c r="I83" i="6" s="1"/>
  <c r="I82" i="6" a="1"/>
  <c r="I82" i="6" s="1"/>
  <c r="I81" i="6" a="1"/>
  <c r="I81" i="6" s="1"/>
  <c r="I80" i="6" a="1"/>
  <c r="I80" i="6" s="1"/>
  <c r="I79" i="6" a="1"/>
  <c r="I79" i="6" s="1"/>
  <c r="I78" i="6" a="1"/>
  <c r="I78" i="6" s="1"/>
  <c r="I77" i="6" a="1"/>
  <c r="I77" i="6" s="1"/>
  <c r="I76" i="6" a="1"/>
  <c r="I76" i="6" s="1"/>
  <c r="I75" i="6" a="1"/>
  <c r="I75" i="6" s="1"/>
  <c r="I74" i="6" a="1"/>
  <c r="I74" i="6" s="1"/>
  <c r="I73" i="6" a="1"/>
  <c r="I73" i="6" s="1"/>
  <c r="I72" i="6" a="1"/>
  <c r="I72" i="6" s="1"/>
  <c r="I71" i="6" a="1"/>
  <c r="I71" i="6" s="1"/>
  <c r="I70" i="6" a="1"/>
  <c r="I70" i="6" s="1"/>
  <c r="I69" i="6" a="1"/>
  <c r="I69" i="6" s="1"/>
  <c r="I68" i="6" a="1"/>
  <c r="I68" i="6" s="1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AC39" i="6" s="1" a="1"/>
  <c r="AC39" i="6" s="1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AB23" i="6" s="1" a="1"/>
  <c r="AB23" i="6" s="1"/>
  <c r="U22" i="6"/>
  <c r="U21" i="6"/>
  <c r="U20" i="6"/>
  <c r="U19" i="6"/>
  <c r="U18" i="6"/>
  <c r="U17" i="6"/>
  <c r="AC54" i="6" a="1"/>
  <c r="AC54" i="6" s="1"/>
  <c r="AB54" i="6" a="1"/>
  <c r="AB54" i="6" s="1"/>
  <c r="AC53" i="6" a="1"/>
  <c r="AC53" i="6" s="1"/>
  <c r="AB53" i="6" a="1"/>
  <c r="AB53" i="6" s="1"/>
  <c r="AC52" i="6" a="1"/>
  <c r="AC52" i="6" s="1"/>
  <c r="AB52" i="6" a="1"/>
  <c r="AB52" i="6" s="1"/>
  <c r="AC51" i="6" a="1"/>
  <c r="AC51" i="6" s="1"/>
  <c r="AB51" i="6" a="1"/>
  <c r="AB51" i="6" s="1"/>
  <c r="AC50" i="6" a="1"/>
  <c r="AC50" i="6" s="1"/>
  <c r="AB50" i="6" a="1"/>
  <c r="AB50" i="6" s="1"/>
  <c r="AC49" i="6" a="1"/>
  <c r="AC49" i="6" s="1"/>
  <c r="AB49" i="6" a="1"/>
  <c r="AB49" i="6" s="1"/>
  <c r="AC48" i="6" a="1"/>
  <c r="AC48" i="6" s="1"/>
  <c r="AB48" i="6" a="1"/>
  <c r="AB48" i="6" s="1"/>
  <c r="AC47" i="6" a="1"/>
  <c r="AC47" i="6" s="1"/>
  <c r="AB47" i="6" a="1"/>
  <c r="AB47" i="6" s="1"/>
  <c r="AC46" i="6" a="1"/>
  <c r="AC46" i="6" s="1"/>
  <c r="AB46" i="6" a="1"/>
  <c r="AB46" i="6" s="1"/>
  <c r="AC45" i="6" a="1"/>
  <c r="AC45" i="6" s="1"/>
  <c r="AB45" i="6" a="1"/>
  <c r="AB45" i="6" s="1"/>
  <c r="AC44" i="6" a="1"/>
  <c r="AC44" i="6" s="1"/>
  <c r="AB44" i="6" a="1"/>
  <c r="AB44" i="6" s="1"/>
  <c r="AC43" i="6" a="1"/>
  <c r="AC43" i="6" s="1"/>
  <c r="AB43" i="6" a="1"/>
  <c r="AB43" i="6" s="1"/>
  <c r="AC42" i="6" a="1"/>
  <c r="AC42" i="6" s="1"/>
  <c r="AB42" i="6" a="1"/>
  <c r="AB42" i="6" s="1"/>
  <c r="AC41" i="6" a="1"/>
  <c r="AC41" i="6" s="1"/>
  <c r="AB41" i="6" a="1"/>
  <c r="AB41" i="6" s="1"/>
  <c r="AC40" i="6" a="1"/>
  <c r="AC40" i="6" s="1"/>
  <c r="AB40" i="6" a="1"/>
  <c r="AB40" i="6" s="1"/>
  <c r="AC38" i="6" a="1"/>
  <c r="AC38" i="6" s="1"/>
  <c r="AB38" i="6" a="1"/>
  <c r="AB38" i="6" s="1"/>
  <c r="AC37" i="6" a="1"/>
  <c r="AC37" i="6" s="1"/>
  <c r="AB37" i="6" a="1"/>
  <c r="AB37" i="6" s="1"/>
  <c r="AC36" i="6" a="1"/>
  <c r="AC36" i="6" s="1"/>
  <c r="AB36" i="6" a="1"/>
  <c r="AB36" i="6" s="1"/>
  <c r="AC35" i="6" a="1"/>
  <c r="AC35" i="6" s="1"/>
  <c r="AB35" i="6" a="1"/>
  <c r="AB35" i="6" s="1"/>
  <c r="AC34" i="6" a="1"/>
  <c r="AC34" i="6" s="1"/>
  <c r="AB34" i="6" a="1"/>
  <c r="AB34" i="6" s="1"/>
  <c r="AC33" i="6" a="1"/>
  <c r="AC33" i="6" s="1"/>
  <c r="AB33" i="6" a="1"/>
  <c r="AB33" i="6" s="1"/>
  <c r="AC32" i="6" a="1"/>
  <c r="AC32" i="6" s="1"/>
  <c r="AB32" i="6" a="1"/>
  <c r="AB32" i="6" s="1"/>
  <c r="AC31" i="6" a="1"/>
  <c r="AC31" i="6" s="1"/>
  <c r="AB31" i="6" a="1"/>
  <c r="AB31" i="6" s="1"/>
  <c r="AC30" i="6" a="1"/>
  <c r="AC30" i="6" s="1"/>
  <c r="AB30" i="6" a="1"/>
  <c r="AB30" i="6" s="1"/>
  <c r="AC29" i="6" a="1"/>
  <c r="AC29" i="6" s="1"/>
  <c r="AB29" i="6" a="1"/>
  <c r="AB29" i="6" s="1"/>
  <c r="AC28" i="6" a="1"/>
  <c r="AC28" i="6" s="1"/>
  <c r="AB28" i="6" a="1"/>
  <c r="AB28" i="6" s="1"/>
  <c r="AC27" i="6" a="1"/>
  <c r="AC27" i="6" s="1"/>
  <c r="AB27" i="6" a="1"/>
  <c r="AB27" i="6" s="1"/>
  <c r="AC26" i="6" a="1"/>
  <c r="AC26" i="6" s="1"/>
  <c r="AB26" i="6" a="1"/>
  <c r="AB26" i="6" s="1"/>
  <c r="AC25" i="6" a="1"/>
  <c r="AC25" i="6" s="1"/>
  <c r="AB25" i="6" a="1"/>
  <c r="AB25" i="6" s="1"/>
  <c r="AC24" i="6" a="1"/>
  <c r="AC24" i="6" s="1"/>
  <c r="AB24" i="6" a="1"/>
  <c r="AB24" i="6" s="1"/>
  <c r="AC23" i="6" a="1"/>
  <c r="AC23" i="6" s="1"/>
  <c r="AC22" i="6" a="1"/>
  <c r="AC22" i="6" s="1"/>
  <c r="AB22" i="6" a="1"/>
  <c r="AB22" i="6" s="1"/>
  <c r="AC21" i="6" a="1"/>
  <c r="AC21" i="6" s="1"/>
  <c r="AB21" i="6" a="1"/>
  <c r="AB21" i="6" s="1"/>
  <c r="AC20" i="6" a="1"/>
  <c r="AC20" i="6" s="1"/>
  <c r="AB20" i="6" a="1"/>
  <c r="AB20" i="6" s="1"/>
  <c r="AC19" i="6" a="1"/>
  <c r="AC19" i="6" s="1"/>
  <c r="AB19" i="6" a="1"/>
  <c r="AB19" i="6" s="1"/>
  <c r="AC18" i="6" a="1"/>
  <c r="AC18" i="6" s="1"/>
  <c r="AB18" i="6" a="1"/>
  <c r="AB18" i="6" s="1"/>
  <c r="AC17" i="6" a="1"/>
  <c r="AC17" i="6" s="1"/>
  <c r="AB17" i="6" a="1"/>
  <c r="AB17" i="6" s="1"/>
  <c r="Y54" i="6"/>
  <c r="Y53" i="6"/>
  <c r="Y52" i="6"/>
  <c r="Y51" i="6"/>
  <c r="Y50" i="6"/>
  <c r="Y49" i="6"/>
  <c r="Y48" i="6"/>
  <c r="Y47" i="6"/>
  <c r="Y46" i="6"/>
  <c r="Y45" i="6"/>
  <c r="Y44" i="6"/>
  <c r="Y43" i="6"/>
  <c r="Y42" i="6"/>
  <c r="Y41" i="6"/>
  <c r="Y40" i="6"/>
  <c r="Y39" i="6"/>
  <c r="Y38" i="6"/>
  <c r="Y37" i="6"/>
  <c r="Y36" i="6"/>
  <c r="Y35" i="6"/>
  <c r="Y34" i="6"/>
  <c r="Y33" i="6"/>
  <c r="Y32" i="6"/>
  <c r="Y31" i="6"/>
  <c r="Y30" i="6"/>
  <c r="Y29" i="6"/>
  <c r="Y28" i="6"/>
  <c r="Y27" i="6"/>
  <c r="Y26" i="6"/>
  <c r="Y25" i="6"/>
  <c r="Y24" i="6"/>
  <c r="Y23" i="6"/>
  <c r="Y22" i="6"/>
  <c r="Y21" i="6"/>
  <c r="Y20" i="6"/>
  <c r="Y19" i="6"/>
  <c r="Y18" i="6"/>
  <c r="Y17" i="6"/>
  <c r="V54" i="6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T8" i="6" a="1"/>
  <c r="T8" i="6" s="1"/>
  <c r="V8" i="6" s="1"/>
  <c r="E11" i="6" a="1"/>
  <c r="E11" i="6" s="1"/>
  <c r="F21" i="2" l="1"/>
  <c r="W21" i="2" s="1"/>
  <c r="EG21" i="2" s="1"/>
  <c r="M21" i="2"/>
  <c r="X21" i="2"/>
  <c r="AG21" i="2" s="1"/>
  <c r="EH21" i="2" s="1"/>
  <c r="AV14" i="5"/>
  <c r="P14" i="5"/>
  <c r="FA111" i="2"/>
  <c r="BE111" i="2"/>
  <c r="FA75" i="2"/>
  <c r="BE75" i="2"/>
  <c r="FA57" i="2"/>
  <c r="BE57" i="2"/>
  <c r="FA47" i="2"/>
  <c r="BE47" i="2"/>
  <c r="FA42" i="2"/>
  <c r="BE42" i="2"/>
  <c r="FA119" i="2"/>
  <c r="BE119" i="2"/>
  <c r="C15" i="5"/>
  <c r="D15" i="5" s="1"/>
  <c r="AU15" i="5"/>
  <c r="B16" i="5"/>
  <c r="I15" i="5"/>
  <c r="H15" i="5"/>
  <c r="J14" i="5" a="1"/>
  <c r="J14" i="5" s="1"/>
  <c r="R14" i="5" s="1"/>
  <c r="FA102" i="2"/>
  <c r="BE102" i="2"/>
  <c r="FA72" i="2"/>
  <c r="BE72" i="2"/>
  <c r="FA68" i="2"/>
  <c r="BE68" i="2"/>
  <c r="FA43" i="2"/>
  <c r="BE43" i="2"/>
  <c r="FA40" i="2"/>
  <c r="BE40" i="2"/>
  <c r="FA116" i="2"/>
  <c r="BE116" i="2"/>
  <c r="FA109" i="2"/>
  <c r="BE109" i="2"/>
  <c r="FA93" i="2"/>
  <c r="BE93" i="2"/>
  <c r="FA55" i="2"/>
  <c r="BE55" i="2"/>
  <c r="FA54" i="2"/>
  <c r="BE54" i="2"/>
  <c r="FA38" i="2"/>
  <c r="BE38" i="2"/>
  <c r="DV22" i="2"/>
  <c r="E22" i="2"/>
  <c r="K22" i="2"/>
  <c r="B23" i="2"/>
  <c r="C22" i="2"/>
  <c r="D22" i="2" s="1"/>
  <c r="L22" i="2"/>
  <c r="DW21" i="2"/>
  <c r="FA100" i="2"/>
  <c r="BE100" i="2"/>
  <c r="FA80" i="2"/>
  <c r="BE80" i="2"/>
  <c r="FA66" i="2"/>
  <c r="BE66" i="2"/>
  <c r="FA61" i="2"/>
  <c r="BE61" i="2"/>
  <c r="FA29" i="2"/>
  <c r="BE29" i="2"/>
  <c r="S14" i="5"/>
  <c r="E14" i="5"/>
  <c r="FA92" i="2"/>
  <c r="BE92" i="2"/>
  <c r="FA84" i="2"/>
  <c r="BE84" i="2"/>
  <c r="FA63" i="2"/>
  <c r="BE63" i="2"/>
  <c r="FA52" i="2"/>
  <c r="BE52" i="2"/>
  <c r="FA27" i="2"/>
  <c r="BE27" i="2"/>
  <c r="FA78" i="2"/>
  <c r="BE78" i="2"/>
  <c r="FA107" i="2"/>
  <c r="BE107" i="2"/>
  <c r="FA62" i="2"/>
  <c r="BE62" i="2"/>
  <c r="FA73" i="2"/>
  <c r="BE73" i="2"/>
  <c r="FA44" i="2"/>
  <c r="BE44" i="2"/>
  <c r="FA25" i="2"/>
  <c r="BE25" i="2"/>
  <c r="H21" i="2"/>
  <c r="FA103" i="2"/>
  <c r="BE103" i="2"/>
  <c r="FA87" i="2"/>
  <c r="BE87" i="2"/>
  <c r="FA91" i="2"/>
  <c r="BE91" i="2"/>
  <c r="FA45" i="2"/>
  <c r="BE45" i="2"/>
  <c r="FA46" i="2"/>
  <c r="BE46" i="2"/>
  <c r="FA23" i="2"/>
  <c r="BE23" i="2"/>
  <c r="FA112" i="2"/>
  <c r="BE112" i="2"/>
  <c r="FA94" i="2"/>
  <c r="BE94" i="2"/>
  <c r="FA85" i="2"/>
  <c r="BE85" i="2"/>
  <c r="FA82" i="2"/>
  <c r="BE82" i="2"/>
  <c r="FA71" i="2"/>
  <c r="BE71" i="2"/>
  <c r="FA50" i="2"/>
  <c r="BE50" i="2"/>
  <c r="FA28" i="2"/>
  <c r="BE28" i="2"/>
  <c r="FA115" i="2"/>
  <c r="BE115" i="2"/>
  <c r="FA118" i="2"/>
  <c r="BE118" i="2"/>
  <c r="FA110" i="2"/>
  <c r="BE110" i="2"/>
  <c r="FA77" i="2"/>
  <c r="BE77" i="2"/>
  <c r="FA89" i="2"/>
  <c r="BE89" i="2"/>
  <c r="FA59" i="2"/>
  <c r="BE59" i="2"/>
  <c r="FA36" i="2"/>
  <c r="BE36" i="2"/>
  <c r="FA26" i="2"/>
  <c r="BE26" i="2"/>
  <c r="FA101" i="2"/>
  <c r="BE101" i="2"/>
  <c r="FA83" i="2"/>
  <c r="BE83" i="2"/>
  <c r="FA69" i="2"/>
  <c r="BE69" i="2"/>
  <c r="FA48" i="2"/>
  <c r="BE48" i="2"/>
  <c r="FA34" i="2"/>
  <c r="BE34" i="2"/>
  <c r="FA33" i="2"/>
  <c r="BE33" i="2"/>
  <c r="FA108" i="2"/>
  <c r="BE108" i="2"/>
  <c r="FA90" i="2"/>
  <c r="BE90" i="2"/>
  <c r="FA76" i="2"/>
  <c r="BE76" i="2"/>
  <c r="FA53" i="2"/>
  <c r="BE53" i="2"/>
  <c r="FA41" i="2"/>
  <c r="BE41" i="2"/>
  <c r="FA24" i="2"/>
  <c r="BE24" i="2"/>
  <c r="FA113" i="2"/>
  <c r="BE113" i="2"/>
  <c r="N21" i="2"/>
  <c r="O21" i="2"/>
  <c r="FA99" i="2"/>
  <c r="BE99" i="2"/>
  <c r="FA79" i="2"/>
  <c r="BE79" i="2"/>
  <c r="FA67" i="2"/>
  <c r="BE67" i="2"/>
  <c r="FA60" i="2"/>
  <c r="BE60" i="2"/>
  <c r="FA30" i="2"/>
  <c r="BE30" i="2"/>
  <c r="FA31" i="2"/>
  <c r="BE31" i="2"/>
  <c r="FA105" i="2"/>
  <c r="BE105" i="2"/>
  <c r="FA120" i="2"/>
  <c r="BE120" i="2"/>
  <c r="FA106" i="2"/>
  <c r="BE106" i="2"/>
  <c r="FA81" i="2"/>
  <c r="BE81" i="2"/>
  <c r="FA58" i="2"/>
  <c r="BE58" i="2"/>
  <c r="FA51" i="2"/>
  <c r="BE51" i="2"/>
  <c r="FA39" i="2"/>
  <c r="BE39" i="2"/>
  <c r="FA21" i="2"/>
  <c r="BE21" i="2"/>
  <c r="FA117" i="2"/>
  <c r="BE117" i="2"/>
  <c r="FA114" i="2"/>
  <c r="BE114" i="2"/>
  <c r="FA96" i="2"/>
  <c r="BE96" i="2"/>
  <c r="FA88" i="2"/>
  <c r="BE88" i="2"/>
  <c r="FA74" i="2"/>
  <c r="BE74" i="2"/>
  <c r="FA65" i="2"/>
  <c r="BE65" i="2"/>
  <c r="FA32" i="2"/>
  <c r="BE32" i="2"/>
  <c r="FA22" i="2"/>
  <c r="BE22" i="2"/>
  <c r="FA97" i="2"/>
  <c r="BE97" i="2"/>
  <c r="FA95" i="2"/>
  <c r="BE95" i="2"/>
  <c r="FA64" i="2"/>
  <c r="BE64" i="2"/>
  <c r="FA49" i="2"/>
  <c r="BE49" i="2"/>
  <c r="FA37" i="2"/>
  <c r="BE37" i="2"/>
  <c r="BF98" i="2"/>
  <c r="FB98" i="2" s="1"/>
  <c r="BG98" i="2"/>
  <c r="FA104" i="2"/>
  <c r="BE104" i="2"/>
  <c r="FA86" i="2"/>
  <c r="BE86" i="2"/>
  <c r="FA70" i="2"/>
  <c r="BE70" i="2"/>
  <c r="FA56" i="2"/>
  <c r="BE56" i="2"/>
  <c r="FA35" i="2"/>
  <c r="BE35" i="2"/>
  <c r="H107" i="7" a="1"/>
  <c r="H107" i="7" s="1"/>
  <c r="H110" i="7" a="1"/>
  <c r="H110" i="7" s="1"/>
  <c r="I95" i="7" a="1"/>
  <c r="I95" i="7" s="1"/>
  <c r="I113" i="7" a="1"/>
  <c r="I113" i="7" s="1"/>
  <c r="H101" i="7" a="1"/>
  <c r="H101" i="7" s="1"/>
  <c r="H102" i="7" a="1"/>
  <c r="H102" i="7" s="1"/>
  <c r="H108" i="7" a="1"/>
  <c r="H108" i="7" s="1"/>
  <c r="H109" i="7" a="1"/>
  <c r="H109" i="7" s="1"/>
  <c r="H111" i="7" a="1"/>
  <c r="H111" i="7" s="1"/>
  <c r="H112" i="7" a="1"/>
  <c r="H112" i="7" s="1"/>
  <c r="H113" i="7" a="1"/>
  <c r="H113" i="7" s="1"/>
  <c r="I96" i="7" a="1"/>
  <c r="I96" i="7" s="1"/>
  <c r="I97" i="7" a="1"/>
  <c r="I97" i="7" s="1"/>
  <c r="I98" i="7" a="1"/>
  <c r="I98" i="7" s="1"/>
  <c r="I99" i="7" a="1"/>
  <c r="I99" i="7" s="1"/>
  <c r="I102" i="7" a="1"/>
  <c r="I102" i="7" s="1"/>
  <c r="I106" i="7" a="1"/>
  <c r="I106" i="7" s="1"/>
  <c r="I100" i="7" a="1"/>
  <c r="I100" i="7" s="1"/>
  <c r="I101" i="7" a="1"/>
  <c r="I101" i="7" s="1"/>
  <c r="I103" i="7" a="1"/>
  <c r="I103" i="7" s="1"/>
  <c r="I104" i="7" a="1"/>
  <c r="I104" i="7" s="1"/>
  <c r="I105" i="7" a="1"/>
  <c r="I105" i="7" s="1"/>
  <c r="I107" i="7" a="1"/>
  <c r="I107" i="7" s="1"/>
  <c r="I108" i="7" a="1"/>
  <c r="I108" i="7" s="1"/>
  <c r="I109" i="7" a="1"/>
  <c r="I109" i="7" s="1"/>
  <c r="I110" i="7" a="1"/>
  <c r="I110" i="7" s="1"/>
  <c r="I111" i="7" a="1"/>
  <c r="I111" i="7" s="1"/>
  <c r="U8" i="6"/>
  <c r="Y8" i="6" s="1"/>
  <c r="AB39" i="6" a="1"/>
  <c r="AB39" i="6" s="1"/>
  <c r="T16" i="6"/>
  <c r="T15" i="6"/>
  <c r="T14" i="6"/>
  <c r="T13" i="6"/>
  <c r="T12" i="6"/>
  <c r="T11" i="6"/>
  <c r="T10" i="6"/>
  <c r="T9" i="6"/>
  <c r="CP3" i="8"/>
  <c r="CL3" i="8"/>
  <c r="Q21" i="2" s="1"/>
  <c r="S21" i="2" s="1"/>
  <c r="G8" i="2"/>
  <c r="G9" i="2"/>
  <c r="AB7" i="6" s="1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Q63" i="3"/>
  <c r="K63" i="3"/>
  <c r="J63" i="3"/>
  <c r="O61" i="3"/>
  <c r="N61" i="3"/>
  <c r="K126" i="3" a="1"/>
  <c r="K126" i="3" s="1"/>
  <c r="V126" i="3" s="1"/>
  <c r="K125" i="3" a="1"/>
  <c r="K125" i="3" s="1"/>
  <c r="V125" i="3" s="1"/>
  <c r="K124" i="3" a="1"/>
  <c r="K124" i="3" s="1"/>
  <c r="V124" i="3" s="1"/>
  <c r="K123" i="3" a="1"/>
  <c r="K123" i="3" s="1"/>
  <c r="V123" i="3" s="1"/>
  <c r="K122" i="3" a="1"/>
  <c r="K122" i="3" s="1"/>
  <c r="V122" i="3" s="1"/>
  <c r="K121" i="3" a="1"/>
  <c r="K121" i="3" s="1"/>
  <c r="V121" i="3" s="1"/>
  <c r="K120" i="3" a="1"/>
  <c r="K120" i="3" s="1"/>
  <c r="V120" i="3" s="1"/>
  <c r="K119" i="3" a="1"/>
  <c r="K119" i="3" s="1"/>
  <c r="V119" i="3" s="1"/>
  <c r="K118" i="3" a="1"/>
  <c r="K118" i="3" s="1"/>
  <c r="V118" i="3" s="1"/>
  <c r="K117" i="3" a="1"/>
  <c r="K117" i="3" s="1"/>
  <c r="V117" i="3" s="1"/>
  <c r="K116" i="3" a="1"/>
  <c r="K116" i="3" s="1"/>
  <c r="V116" i="3" s="1"/>
  <c r="K115" i="3" a="1"/>
  <c r="K115" i="3" s="1"/>
  <c r="V115" i="3" s="1"/>
  <c r="K114" i="3" a="1"/>
  <c r="K114" i="3" s="1"/>
  <c r="V114" i="3" s="1"/>
  <c r="K113" i="3" a="1"/>
  <c r="K113" i="3" s="1"/>
  <c r="V113" i="3" s="1"/>
  <c r="K112" i="3" a="1"/>
  <c r="K112" i="3" s="1"/>
  <c r="V112" i="3" s="1"/>
  <c r="K111" i="3" a="1"/>
  <c r="K111" i="3" s="1"/>
  <c r="V111" i="3" s="1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H126" i="3"/>
  <c r="G126" i="3"/>
  <c r="H125" i="3"/>
  <c r="G125" i="3"/>
  <c r="H124" i="3"/>
  <c r="G124" i="3"/>
  <c r="H123" i="3"/>
  <c r="G123" i="3"/>
  <c r="H122" i="3"/>
  <c r="G122" i="3"/>
  <c r="H121" i="3"/>
  <c r="G121" i="3"/>
  <c r="H120" i="3"/>
  <c r="G120" i="3"/>
  <c r="H119" i="3"/>
  <c r="G119" i="3"/>
  <c r="H118" i="3"/>
  <c r="G118" i="3"/>
  <c r="H117" i="3"/>
  <c r="G117" i="3"/>
  <c r="H116" i="3"/>
  <c r="G116" i="3"/>
  <c r="H115" i="3"/>
  <c r="G115" i="3"/>
  <c r="H114" i="3"/>
  <c r="G114" i="3"/>
  <c r="H113" i="3"/>
  <c r="G113" i="3"/>
  <c r="H112" i="3"/>
  <c r="G112" i="3"/>
  <c r="H111" i="3"/>
  <c r="G111" i="3"/>
  <c r="H109" i="3"/>
  <c r="G109" i="3"/>
  <c r="H108" i="3"/>
  <c r="G108" i="3"/>
  <c r="H107" i="3"/>
  <c r="G107" i="3"/>
  <c r="H106" i="3"/>
  <c r="G106" i="3"/>
  <c r="H105" i="3"/>
  <c r="G105" i="3"/>
  <c r="H104" i="3"/>
  <c r="G104" i="3"/>
  <c r="H103" i="3"/>
  <c r="G103" i="3"/>
  <c r="H110" i="3"/>
  <c r="G110" i="3"/>
  <c r="K110" i="3" s="1" a="1"/>
  <c r="K110" i="3" s="1"/>
  <c r="V110" i="3" s="1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I36" i="3" a="1"/>
  <c r="I36" i="3" s="1"/>
  <c r="I35" i="3" a="1"/>
  <c r="I35" i="3" s="1"/>
  <c r="I34" i="3" a="1"/>
  <c r="I34" i="3" s="1"/>
  <c r="I33" i="3" a="1"/>
  <c r="I33" i="3" s="1"/>
  <c r="I32" i="3" a="1"/>
  <c r="I32" i="3" s="1"/>
  <c r="I31" i="3" a="1"/>
  <c r="I31" i="3" s="1"/>
  <c r="I30" i="3" a="1"/>
  <c r="I30" i="3" s="1"/>
  <c r="I29" i="3" a="1"/>
  <c r="I29" i="3" s="1"/>
  <c r="I28" i="3" a="1"/>
  <c r="I28" i="3" s="1"/>
  <c r="I27" i="3" a="1"/>
  <c r="I27" i="3" s="1"/>
  <c r="I26" i="3" a="1"/>
  <c r="I26" i="3" s="1"/>
  <c r="J36" i="3" a="1"/>
  <c r="J36" i="3" s="1"/>
  <c r="J35" i="3" a="1"/>
  <c r="J35" i="3" s="1"/>
  <c r="J34" i="3" a="1"/>
  <c r="J34" i="3" s="1"/>
  <c r="J33" i="3" a="1"/>
  <c r="J33" i="3" s="1"/>
  <c r="J32" i="3" a="1"/>
  <c r="J32" i="3" s="1"/>
  <c r="J31" i="3" a="1"/>
  <c r="J31" i="3" s="1"/>
  <c r="J30" i="3" a="1"/>
  <c r="J30" i="3" s="1"/>
  <c r="J29" i="3" a="1"/>
  <c r="J29" i="3" s="1"/>
  <c r="J28" i="3" a="1"/>
  <c r="J28" i="3" s="1"/>
  <c r="J27" i="3" a="1"/>
  <c r="J27" i="3" s="1"/>
  <c r="J26" i="3" a="1"/>
  <c r="J26" i="3" s="1"/>
  <c r="R26" i="3"/>
  <c r="R27" i="3"/>
  <c r="S27" i="3" s="1"/>
  <c r="R28" i="3"/>
  <c r="S28" i="3" s="1"/>
  <c r="R29" i="3"/>
  <c r="S29" i="3" s="1"/>
  <c r="R30" i="3"/>
  <c r="S30" i="3" s="1"/>
  <c r="R31" i="3"/>
  <c r="S31" i="3" s="1"/>
  <c r="R32" i="3"/>
  <c r="S32" i="3" s="1"/>
  <c r="R33" i="3"/>
  <c r="S33" i="3" s="1"/>
  <c r="R34" i="3"/>
  <c r="S34" i="3" s="1"/>
  <c r="R35" i="3"/>
  <c r="S35" i="3" s="1"/>
  <c r="R36" i="3"/>
  <c r="S36" i="3" s="1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73" i="3"/>
  <c r="J73" i="3"/>
  <c r="K72" i="3"/>
  <c r="J72" i="3"/>
  <c r="K71" i="3"/>
  <c r="J71" i="3"/>
  <c r="K70" i="3"/>
  <c r="J70" i="3"/>
  <c r="K69" i="3"/>
  <c r="J69" i="3"/>
  <c r="K68" i="3"/>
  <c r="J68" i="3"/>
  <c r="K67" i="3"/>
  <c r="J67" i="3"/>
  <c r="K66" i="3"/>
  <c r="J66" i="3"/>
  <c r="K65" i="3"/>
  <c r="J65" i="3"/>
  <c r="K64" i="3"/>
  <c r="J64" i="3"/>
  <c r="J85" i="6" a="1"/>
  <c r="J85" i="6" s="1"/>
  <c r="K9" i="6"/>
  <c r="N8" i="6" a="1"/>
  <c r="N8" i="6" s="1"/>
  <c r="M8" i="6" a="1"/>
  <c r="M8" i="6" s="1"/>
  <c r="L8" i="6" a="1"/>
  <c r="L8" i="6" s="1"/>
  <c r="K8" i="6" a="1"/>
  <c r="K8" i="6" s="1"/>
  <c r="L9" i="6"/>
  <c r="N9" i="6"/>
  <c r="M9" i="6"/>
  <c r="G11" i="6" a="1"/>
  <c r="G11" i="6" s="1"/>
  <c r="AU12" i="5"/>
  <c r="AV12" i="5"/>
  <c r="AW12" i="5"/>
  <c r="AX12" i="5"/>
  <c r="AY12" i="5"/>
  <c r="AZ12" i="5"/>
  <c r="BA12" i="5"/>
  <c r="BB12" i="5"/>
  <c r="BC12" i="5"/>
  <c r="BD12" i="5"/>
  <c r="BG12" i="5"/>
  <c r="N8" i="7"/>
  <c r="M8" i="7"/>
  <c r="L8" i="7"/>
  <c r="K8" i="7"/>
  <c r="U105" i="7" a="1"/>
  <c r="U105" i="7" s="1"/>
  <c r="V105" i="7" a="1"/>
  <c r="V105" i="7" s="1"/>
  <c r="Y105" i="7" a="1"/>
  <c r="Y105" i="7" s="1"/>
  <c r="AE105" i="7" a="1"/>
  <c r="AE105" i="7" s="1"/>
  <c r="X105" i="7" a="1"/>
  <c r="X105" i="7" s="1"/>
  <c r="AD105" i="7" a="1"/>
  <c r="AD105" i="7" s="1"/>
  <c r="G105" i="7" a="1"/>
  <c r="G105" i="7" s="1"/>
  <c r="K105" i="7" a="1"/>
  <c r="K105" i="7" s="1"/>
  <c r="E105" i="7" a="1"/>
  <c r="E105" i="7" s="1"/>
  <c r="AE104" i="7" a="1"/>
  <c r="AE104" i="7" s="1"/>
  <c r="AD104" i="7" a="1"/>
  <c r="AD104" i="7" s="1"/>
  <c r="L105" i="7" a="1"/>
  <c r="L105" i="7" s="1"/>
  <c r="F105" i="7" a="1"/>
  <c r="F105" i="7" s="1"/>
  <c r="J105" i="7" a="1"/>
  <c r="J105" i="7" s="1"/>
  <c r="Y104" i="7" a="1"/>
  <c r="Y104" i="7" s="1"/>
  <c r="AE103" i="7" a="1"/>
  <c r="AE103" i="7" s="1"/>
  <c r="K104" i="7" a="1"/>
  <c r="K104" i="7" s="1"/>
  <c r="X104" i="7" a="1"/>
  <c r="X104" i="7" s="1"/>
  <c r="V104" i="7" a="1"/>
  <c r="V104" i="7" s="1"/>
  <c r="E104" i="7" a="1"/>
  <c r="E104" i="7" s="1"/>
  <c r="L104" i="7" a="1"/>
  <c r="L104" i="7" s="1"/>
  <c r="U104" i="7" a="1"/>
  <c r="U104" i="7" s="1"/>
  <c r="J104" i="7" a="1"/>
  <c r="J104" i="7" s="1"/>
  <c r="G104" i="7" a="1"/>
  <c r="G104" i="7" s="1"/>
  <c r="F104" i="7" a="1"/>
  <c r="F104" i="7" s="1"/>
  <c r="U103" i="7" a="1"/>
  <c r="U103" i="7" s="1"/>
  <c r="V103" i="7" a="1"/>
  <c r="V103" i="7" s="1"/>
  <c r="F103" i="7" a="1"/>
  <c r="F103" i="7" s="1"/>
  <c r="L103" i="7" a="1"/>
  <c r="L103" i="7" s="1"/>
  <c r="K103" i="7" a="1"/>
  <c r="K103" i="7" s="1"/>
  <c r="E103" i="7" a="1"/>
  <c r="E103" i="7" s="1"/>
  <c r="AD103" i="7" a="1"/>
  <c r="AD103" i="7" s="1"/>
  <c r="G103" i="7" a="1"/>
  <c r="G103" i="7" s="1"/>
  <c r="J103" i="7" a="1"/>
  <c r="J103" i="7" s="1"/>
  <c r="X103" i="7" a="1"/>
  <c r="X103" i="7" s="1"/>
  <c r="Y103" i="7" a="1"/>
  <c r="Y103" i="7" s="1"/>
  <c r="Y102" i="7" a="1"/>
  <c r="Y102" i="7" s="1"/>
  <c r="G102" i="7" a="1"/>
  <c r="G102" i="7" s="1"/>
  <c r="J102" i="7" a="1"/>
  <c r="J102" i="7" s="1"/>
  <c r="U102" i="7" a="1"/>
  <c r="U102" i="7" s="1"/>
  <c r="E102" i="7" a="1"/>
  <c r="E102" i="7" s="1"/>
  <c r="AE102" i="7" a="1"/>
  <c r="AE102" i="7" s="1"/>
  <c r="L102" i="7" a="1"/>
  <c r="L102" i="7" s="1"/>
  <c r="AD102" i="7" a="1"/>
  <c r="AD102" i="7" s="1"/>
  <c r="K102" i="7" a="1"/>
  <c r="K102" i="7" s="1"/>
  <c r="X102" i="7" a="1"/>
  <c r="X102" i="7" s="1"/>
  <c r="F102" i="7" a="1"/>
  <c r="F102" i="7" s="1"/>
  <c r="V102" i="7" a="1"/>
  <c r="V102" i="7" s="1"/>
  <c r="U101" i="7" a="1"/>
  <c r="U101" i="7" s="1"/>
  <c r="L101" i="7" a="1"/>
  <c r="L101" i="7" s="1"/>
  <c r="X101" i="7" a="1"/>
  <c r="X101" i="7" s="1"/>
  <c r="K101" i="7" a="1"/>
  <c r="K101" i="7" s="1"/>
  <c r="AD101" i="7" a="1"/>
  <c r="AD101" i="7" s="1"/>
  <c r="J101" i="7" a="1"/>
  <c r="J101" i="7" s="1"/>
  <c r="V101" i="7" a="1"/>
  <c r="V101" i="7" s="1"/>
  <c r="AE101" i="7" a="1"/>
  <c r="AE101" i="7" s="1"/>
  <c r="Y101" i="7" a="1"/>
  <c r="Y101" i="7" s="1"/>
  <c r="U100" i="7" a="1"/>
  <c r="U100" i="7" s="1"/>
  <c r="AE100" i="7" a="1"/>
  <c r="AE100" i="7" s="1"/>
  <c r="V100" i="7" a="1"/>
  <c r="V100" i="7" s="1"/>
  <c r="X100" i="7" a="1"/>
  <c r="X100" i="7" s="1"/>
  <c r="G101" i="7" a="1"/>
  <c r="G101" i="7" s="1"/>
  <c r="F101" i="7" a="1"/>
  <c r="F101" i="7" s="1"/>
  <c r="AD100" i="7" a="1"/>
  <c r="AD100" i="7" s="1"/>
  <c r="Y100" i="7" a="1"/>
  <c r="Y100" i="7" s="1"/>
  <c r="E101" i="7" a="1"/>
  <c r="E101" i="7" s="1"/>
  <c r="G100" i="7" a="1"/>
  <c r="G100" i="7" s="1"/>
  <c r="F100" i="7" a="1"/>
  <c r="F100" i="7" s="1"/>
  <c r="AE99" i="7" a="1"/>
  <c r="AE99" i="7" s="1"/>
  <c r="Y99" i="7" a="1"/>
  <c r="Y99" i="7" s="1"/>
  <c r="AD99" i="7" a="1"/>
  <c r="AD99" i="7" s="1"/>
  <c r="X99" i="7" a="1"/>
  <c r="X99" i="7" s="1"/>
  <c r="L100" i="7" a="1"/>
  <c r="L100" i="7" s="1"/>
  <c r="E100" i="7" a="1"/>
  <c r="E100" i="7" s="1"/>
  <c r="K100" i="7" a="1"/>
  <c r="K100" i="7" s="1"/>
  <c r="J100" i="7" a="1"/>
  <c r="J100" i="7" s="1"/>
  <c r="AD98" i="7" a="1"/>
  <c r="AD98" i="7" s="1"/>
  <c r="U99" i="7" a="1"/>
  <c r="U99" i="7" s="1"/>
  <c r="E99" i="7" a="1"/>
  <c r="E99" i="7" s="1"/>
  <c r="F99" i="7" a="1"/>
  <c r="F99" i="7" s="1"/>
  <c r="K99" i="7" a="1"/>
  <c r="K99" i="7" s="1"/>
  <c r="J99" i="7" a="1"/>
  <c r="J99" i="7" s="1"/>
  <c r="Y98" i="7" a="1"/>
  <c r="Y98" i="7" s="1"/>
  <c r="G99" i="7" a="1"/>
  <c r="G99" i="7" s="1"/>
  <c r="V99" i="7" a="1"/>
  <c r="V99" i="7" s="1"/>
  <c r="AE98" i="7" a="1"/>
  <c r="AE98" i="7" s="1"/>
  <c r="L99" i="7" a="1"/>
  <c r="L99" i="7" s="1"/>
  <c r="X98" i="7" a="1"/>
  <c r="X98" i="7" s="1"/>
  <c r="V98" i="7" a="1"/>
  <c r="V98" i="7" s="1"/>
  <c r="U98" i="7" a="1"/>
  <c r="U98" i="7" s="1"/>
  <c r="G98" i="7" a="1"/>
  <c r="G98" i="7" s="1"/>
  <c r="J98" i="7" a="1"/>
  <c r="J98" i="7" s="1"/>
  <c r="E98" i="7" a="1"/>
  <c r="E98" i="7" s="1"/>
  <c r="K98" i="7" a="1"/>
  <c r="K98" i="7" s="1"/>
  <c r="L98" i="7" a="1"/>
  <c r="L98" i="7" s="1"/>
  <c r="F98" i="7" a="1"/>
  <c r="F98" i="7" s="1"/>
  <c r="AE97" i="7" a="1"/>
  <c r="AE97" i="7" s="1"/>
  <c r="E97" i="7" a="1"/>
  <c r="E97" i="7" s="1"/>
  <c r="L97" i="7" a="1"/>
  <c r="L97" i="7" s="1"/>
  <c r="F97" i="7" a="1"/>
  <c r="F97" i="7" s="1"/>
  <c r="Y97" i="7" a="1"/>
  <c r="Y97" i="7" s="1"/>
  <c r="J97" i="7" a="1"/>
  <c r="J97" i="7" s="1"/>
  <c r="V97" i="7" a="1"/>
  <c r="V97" i="7" s="1"/>
  <c r="G97" i="7" a="1"/>
  <c r="G97" i="7" s="1"/>
  <c r="U97" i="7" a="1"/>
  <c r="U97" i="7" s="1"/>
  <c r="X97" i="7" a="1"/>
  <c r="X97" i="7" s="1"/>
  <c r="K97" i="7" a="1"/>
  <c r="K97" i="7" s="1"/>
  <c r="AD97" i="7" a="1"/>
  <c r="AD97" i="7" s="1"/>
  <c r="L96" i="7" a="1"/>
  <c r="L96" i="7" s="1"/>
  <c r="AE96" i="7" a="1"/>
  <c r="AE96" i="7" s="1"/>
  <c r="U96" i="7" a="1"/>
  <c r="U96" i="7" s="1"/>
  <c r="J96" i="7" a="1"/>
  <c r="J96" i="7" s="1"/>
  <c r="AD96" i="7" a="1"/>
  <c r="AD96" i="7" s="1"/>
  <c r="G96" i="7" a="1"/>
  <c r="G96" i="7" s="1"/>
  <c r="Y96" i="7" a="1"/>
  <c r="Y96" i="7" s="1"/>
  <c r="X96" i="7" a="1"/>
  <c r="X96" i="7" s="1"/>
  <c r="V96" i="7" a="1"/>
  <c r="V96" i="7" s="1"/>
  <c r="K96" i="7" a="1"/>
  <c r="K96" i="7" s="1"/>
  <c r="AD95" i="7" a="1"/>
  <c r="AD95" i="7" s="1"/>
  <c r="X95" i="7" a="1"/>
  <c r="X95" i="7" s="1"/>
  <c r="Y95" i="7" a="1"/>
  <c r="Y95" i="7" s="1"/>
  <c r="AE95" i="7" a="1"/>
  <c r="AE95" i="7" s="1"/>
  <c r="F96" i="7" a="1"/>
  <c r="F96" i="7" s="1"/>
  <c r="E96" i="7" a="1"/>
  <c r="E96" i="7" s="1"/>
  <c r="U95" i="7" a="1"/>
  <c r="U95" i="7" s="1"/>
  <c r="G95" i="7" a="1"/>
  <c r="G95" i="7" s="1"/>
  <c r="F95" i="7" a="1"/>
  <c r="F95" i="7" s="1"/>
  <c r="L95" i="7" a="1"/>
  <c r="L95" i="7" s="1"/>
  <c r="V95" i="7" a="1"/>
  <c r="V95" i="7" s="1"/>
  <c r="J95" i="7" a="1"/>
  <c r="J95" i="7" s="1"/>
  <c r="E95" i="7" a="1"/>
  <c r="E95" i="7" s="1"/>
  <c r="K95" i="7" a="1"/>
  <c r="K95" i="7" s="1"/>
  <c r="AE94" i="7" a="1"/>
  <c r="AE94" i="7" s="1"/>
  <c r="V94" i="7" a="1"/>
  <c r="V94" i="7" s="1"/>
  <c r="Y94" i="7" a="1"/>
  <c r="Y94" i="7" s="1"/>
  <c r="AD94" i="7" a="1"/>
  <c r="AD94" i="7" s="1"/>
  <c r="X94" i="7" a="1"/>
  <c r="X94" i="7" s="1"/>
  <c r="U94" i="7" a="1"/>
  <c r="U94" i="7" s="1"/>
  <c r="L94" i="7" a="1"/>
  <c r="L94" i="7" s="1"/>
  <c r="K94" i="7" a="1"/>
  <c r="K94" i="7" s="1"/>
  <c r="J94" i="7" a="1"/>
  <c r="J94" i="7" s="1"/>
  <c r="G94" i="7" a="1"/>
  <c r="G94" i="7" s="1"/>
  <c r="AD113" i="7" a="1"/>
  <c r="AD113" i="7" s="1"/>
  <c r="V113" i="7" a="1"/>
  <c r="V113" i="7" s="1"/>
  <c r="AE113" i="7" a="1"/>
  <c r="AE113" i="7" s="1"/>
  <c r="X113" i="7" a="1"/>
  <c r="X113" i="7" s="1"/>
  <c r="Y113" i="7" a="1"/>
  <c r="Y113" i="7" s="1"/>
  <c r="U113" i="7" a="1"/>
  <c r="U113" i="7" s="1"/>
  <c r="K113" i="7" a="1"/>
  <c r="K113" i="7" s="1"/>
  <c r="E94" i="7" a="1"/>
  <c r="E94" i="7" s="1"/>
  <c r="G10" i="7" a="1"/>
  <c r="G10" i="7" s="1"/>
  <c r="L113" i="7" a="1"/>
  <c r="L113" i="7" s="1"/>
  <c r="F10" i="7" a="1"/>
  <c r="F10" i="7" s="1"/>
  <c r="F113" i="7" a="1"/>
  <c r="F113" i="7" s="1"/>
  <c r="G113" i="7" a="1"/>
  <c r="G113" i="7" s="1"/>
  <c r="E113" i="7" a="1"/>
  <c r="E113" i="7" s="1"/>
  <c r="J113" i="7" a="1"/>
  <c r="J113" i="7" s="1"/>
  <c r="AD112" i="7" a="1"/>
  <c r="AD112" i="7" s="1"/>
  <c r="V112" i="7" a="1"/>
  <c r="V112" i="7" s="1"/>
  <c r="X112" i="7" a="1"/>
  <c r="X112" i="7" s="1"/>
  <c r="U112" i="7" a="1"/>
  <c r="U112" i="7" s="1"/>
  <c r="AE112" i="7" a="1"/>
  <c r="AE112" i="7" s="1"/>
  <c r="Y112" i="7" a="1"/>
  <c r="Y112" i="7" s="1"/>
  <c r="J112" i="7" a="1"/>
  <c r="J112" i="7" s="1"/>
  <c r="K112" i="7" a="1"/>
  <c r="K112" i="7" s="1"/>
  <c r="F112" i="7" a="1"/>
  <c r="F112" i="7" s="1"/>
  <c r="E112" i="7" a="1"/>
  <c r="E112" i="7" s="1"/>
  <c r="G112" i="7" a="1"/>
  <c r="G112" i="7" s="1"/>
  <c r="AE111" i="7" a="1"/>
  <c r="AE111" i="7" s="1"/>
  <c r="L112" i="7" a="1"/>
  <c r="L112" i="7" s="1"/>
  <c r="E111" i="7" a="1"/>
  <c r="E111" i="7" s="1"/>
  <c r="Y111" i="7" a="1"/>
  <c r="Y111" i="7" s="1"/>
  <c r="J111" i="7" a="1"/>
  <c r="J111" i="7" s="1"/>
  <c r="V111" i="7" a="1"/>
  <c r="V111" i="7" s="1"/>
  <c r="K111" i="7" a="1"/>
  <c r="K111" i="7" s="1"/>
  <c r="G111" i="7" a="1"/>
  <c r="G111" i="7" s="1"/>
  <c r="AD111" i="7" a="1"/>
  <c r="AD111" i="7" s="1"/>
  <c r="L111" i="7" a="1"/>
  <c r="L111" i="7" s="1"/>
  <c r="U111" i="7" a="1"/>
  <c r="U111" i="7" s="1"/>
  <c r="X111" i="7" a="1"/>
  <c r="X111" i="7" s="1"/>
  <c r="F111" i="7" a="1"/>
  <c r="F111" i="7" s="1"/>
  <c r="X110" i="7" a="1"/>
  <c r="X110" i="7" s="1"/>
  <c r="U110" i="7" a="1"/>
  <c r="U110" i="7" s="1"/>
  <c r="L110" i="7" a="1"/>
  <c r="L110" i="7" s="1"/>
  <c r="K110" i="7" a="1"/>
  <c r="K110" i="7" s="1"/>
  <c r="AD110" i="7" a="1"/>
  <c r="AD110" i="7" s="1"/>
  <c r="AE110" i="7" a="1"/>
  <c r="AE110" i="7" s="1"/>
  <c r="J110" i="7" a="1"/>
  <c r="J110" i="7" s="1"/>
  <c r="V110" i="7" a="1"/>
  <c r="V110" i="7" s="1"/>
  <c r="E110" i="7" a="1"/>
  <c r="E110" i="7" s="1"/>
  <c r="G110" i="7" a="1"/>
  <c r="G110" i="7" s="1"/>
  <c r="Y110" i="7" a="1"/>
  <c r="Y110" i="7" s="1"/>
  <c r="F110" i="7" a="1"/>
  <c r="F110" i="7" s="1"/>
  <c r="L109" i="7" a="1"/>
  <c r="L109" i="7" s="1"/>
  <c r="Y109" i="7" a="1"/>
  <c r="Y109" i="7" s="1"/>
  <c r="F109" i="7" a="1"/>
  <c r="F109" i="7" s="1"/>
  <c r="AD109" i="7" a="1"/>
  <c r="AD109" i="7" s="1"/>
  <c r="X109" i="7" a="1"/>
  <c r="X109" i="7" s="1"/>
  <c r="G109" i="7" a="1"/>
  <c r="G109" i="7" s="1"/>
  <c r="V109" i="7" a="1"/>
  <c r="V109" i="7" s="1"/>
  <c r="U109" i="7" a="1"/>
  <c r="U109" i="7" s="1"/>
  <c r="J109" i="7" a="1"/>
  <c r="J109" i="7" s="1"/>
  <c r="AE109" i="7" a="1"/>
  <c r="AE109" i="7" s="1"/>
  <c r="K109" i="7" a="1"/>
  <c r="K109" i="7" s="1"/>
  <c r="V108" i="7" a="1"/>
  <c r="V108" i="7" s="1"/>
  <c r="L108" i="7" a="1"/>
  <c r="L108" i="7" s="1"/>
  <c r="AD108" i="7" a="1"/>
  <c r="AD108" i="7" s="1"/>
  <c r="AE108" i="7" a="1"/>
  <c r="AE108" i="7" s="1"/>
  <c r="J108" i="7" a="1"/>
  <c r="J108" i="7" s="1"/>
  <c r="E109" i="7" a="1"/>
  <c r="E109" i="7" s="1"/>
  <c r="Y108" i="7" a="1"/>
  <c r="Y108" i="7" s="1"/>
  <c r="K108" i="7" a="1"/>
  <c r="K108" i="7" s="1"/>
  <c r="X108" i="7" a="1"/>
  <c r="X108" i="7" s="1"/>
  <c r="U108" i="7" a="1"/>
  <c r="U108" i="7" s="1"/>
  <c r="F108" i="7" a="1"/>
  <c r="F108" i="7" s="1"/>
  <c r="AE107" i="7" a="1"/>
  <c r="AE107" i="7" s="1"/>
  <c r="Y107" i="7" a="1"/>
  <c r="Y107" i="7" s="1"/>
  <c r="X107" i="7" a="1"/>
  <c r="X107" i="7" s="1"/>
  <c r="AD107" i="7" a="1"/>
  <c r="AD107" i="7" s="1"/>
  <c r="E108" i="7" a="1"/>
  <c r="E108" i="7" s="1"/>
  <c r="G108" i="7" a="1"/>
  <c r="G108" i="7" s="1"/>
  <c r="K107" i="7" a="1"/>
  <c r="K107" i="7" s="1"/>
  <c r="L107" i="7" a="1"/>
  <c r="L107" i="7" s="1"/>
  <c r="J107" i="7" a="1"/>
  <c r="J107" i="7" s="1"/>
  <c r="V107" i="7" a="1"/>
  <c r="V107" i="7" s="1"/>
  <c r="F107" i="7" a="1"/>
  <c r="F107" i="7" s="1"/>
  <c r="E107" i="7" a="1"/>
  <c r="E107" i="7" s="1"/>
  <c r="G107" i="7" a="1"/>
  <c r="G107" i="7" s="1"/>
  <c r="U107" i="7" a="1"/>
  <c r="U107" i="7" s="1"/>
  <c r="E106" i="7" a="1"/>
  <c r="E106" i="7" s="1"/>
  <c r="G106" i="7" a="1"/>
  <c r="G106" i="7" s="1"/>
  <c r="K106" i="7" a="1"/>
  <c r="K106" i="7" s="1"/>
  <c r="AE106" i="7" a="1"/>
  <c r="AE106" i="7" s="1"/>
  <c r="Y106" i="7" a="1"/>
  <c r="Y106" i="7" s="1"/>
  <c r="J106" i="7" a="1"/>
  <c r="J106" i="7" s="1"/>
  <c r="X106" i="7" a="1"/>
  <c r="X106" i="7" s="1"/>
  <c r="V106" i="7" a="1"/>
  <c r="V106" i="7" s="1"/>
  <c r="F106" i="7" a="1"/>
  <c r="F106" i="7" s="1"/>
  <c r="L106" i="7" a="1"/>
  <c r="L106" i="7" s="1"/>
  <c r="U106" i="7" a="1"/>
  <c r="U106" i="7" s="1"/>
  <c r="AD106" i="7" a="1"/>
  <c r="AD106" i="7" s="1"/>
  <c r="M125" i="6" a="1"/>
  <c r="M125" i="6" s="1"/>
  <c r="K125" i="6" a="1"/>
  <c r="K125" i="6" s="1"/>
  <c r="G125" i="6" a="1"/>
  <c r="G125" i="6" s="1"/>
  <c r="AJ124" i="6" a="1"/>
  <c r="AJ124" i="6" s="1"/>
  <c r="Z124" i="6" a="1"/>
  <c r="Z124" i="6" s="1"/>
  <c r="E125" i="6" a="1"/>
  <c r="E125" i="6" s="1"/>
  <c r="AB124" i="6" a="1"/>
  <c r="AB124" i="6" s="1"/>
  <c r="F125" i="6" a="1"/>
  <c r="F125" i="6" s="1"/>
  <c r="H125" i="6" a="1"/>
  <c r="H125" i="6" s="1"/>
  <c r="J125" i="6" a="1"/>
  <c r="J125" i="6" s="1"/>
  <c r="AC124" i="6" a="1"/>
  <c r="AC124" i="6" s="1"/>
  <c r="AB125" i="6" a="1"/>
  <c r="AB125" i="6" s="1"/>
  <c r="AH124" i="6" a="1"/>
  <c r="AH124" i="6" s="1"/>
  <c r="Z125" i="6" a="1"/>
  <c r="Z125" i="6" s="1"/>
  <c r="Y125" i="6" a="1"/>
  <c r="Y125" i="6" s="1"/>
  <c r="AK124" i="6" a="1"/>
  <c r="AK124" i="6" s="1"/>
  <c r="AI124" i="6" a="1"/>
  <c r="AI124" i="6" s="1"/>
  <c r="P125" i="6" a="1"/>
  <c r="P125" i="6" s="1"/>
  <c r="N125" i="6" a="1"/>
  <c r="N125" i="6" s="1"/>
  <c r="P167" i="6" a="1"/>
  <c r="P167" i="6" s="1"/>
  <c r="N167" i="6" a="1"/>
  <c r="N167" i="6" s="1"/>
  <c r="M167" i="6" a="1"/>
  <c r="M167" i="6" s="1"/>
  <c r="AK166" i="6" a="1"/>
  <c r="AK166" i="6" s="1"/>
  <c r="AH166" i="6" a="1"/>
  <c r="AH166" i="6" s="1"/>
  <c r="AK167" i="6" a="1"/>
  <c r="AK167" i="6" s="1"/>
  <c r="Y167" i="6" a="1"/>
  <c r="Y167" i="6" s="1"/>
  <c r="AC167" i="6" a="1"/>
  <c r="AC167" i="6" s="1"/>
  <c r="H167" i="6" a="1"/>
  <c r="H167" i="6" s="1"/>
  <c r="J167" i="6" a="1"/>
  <c r="J167" i="6" s="1"/>
  <c r="AJ166" i="6" a="1"/>
  <c r="AJ166" i="6" s="1"/>
  <c r="AI167" i="6" a="1"/>
  <c r="AI167" i="6" s="1"/>
  <c r="AJ167" i="6" a="1"/>
  <c r="AJ167" i="6" s="1"/>
  <c r="AI166" i="6" a="1"/>
  <c r="AI166" i="6" s="1"/>
  <c r="AH167" i="6" a="1"/>
  <c r="AH167" i="6" s="1"/>
  <c r="Z167" i="6" a="1"/>
  <c r="Z167" i="6" s="1"/>
  <c r="F167" i="6" a="1"/>
  <c r="F167" i="6" s="1"/>
  <c r="E167" i="6" a="1"/>
  <c r="E167" i="6" s="1"/>
  <c r="G167" i="6" a="1"/>
  <c r="G167" i="6" s="1"/>
  <c r="AB167" i="6" a="1"/>
  <c r="AB167" i="6" s="1"/>
  <c r="K167" i="6" a="1"/>
  <c r="K167" i="6" s="1"/>
  <c r="Z165" i="6" a="1"/>
  <c r="Z165" i="6" s="1"/>
  <c r="J166" i="6" a="1"/>
  <c r="J166" i="6" s="1"/>
  <c r="AK165" i="6" a="1"/>
  <c r="AK165" i="6" s="1"/>
  <c r="G164" i="6" a="1"/>
  <c r="G164" i="6" s="1"/>
  <c r="AC164" i="6" a="1"/>
  <c r="AC164" i="6" s="1"/>
  <c r="AC163" i="6" a="1"/>
  <c r="AC163" i="6" s="1"/>
  <c r="K164" i="6" a="1"/>
  <c r="K164" i="6" s="1"/>
  <c r="N165" i="6" a="1"/>
  <c r="N165" i="6" s="1"/>
  <c r="AH163" i="6" a="1"/>
  <c r="AH163" i="6" s="1"/>
  <c r="Y165" i="6" a="1"/>
  <c r="Y165" i="6" s="1"/>
  <c r="AC166" i="6" a="1"/>
  <c r="AC166" i="6" s="1"/>
  <c r="AB166" i="6" a="1"/>
  <c r="AB166" i="6" s="1"/>
  <c r="Z166" i="6" a="1"/>
  <c r="Z166" i="6" s="1"/>
  <c r="Y166" i="6" a="1"/>
  <c r="Y166" i="6" s="1"/>
  <c r="P166" i="6" a="1"/>
  <c r="P166" i="6" s="1"/>
  <c r="N166" i="6" a="1"/>
  <c r="N166" i="6" s="1"/>
  <c r="AJ163" i="6" a="1"/>
  <c r="AJ163" i="6" s="1"/>
  <c r="E166" i="6" a="1"/>
  <c r="E166" i="6" s="1"/>
  <c r="AI165" i="6" a="1"/>
  <c r="AI165" i="6" s="1"/>
  <c r="AI164" i="6" a="1"/>
  <c r="AI164" i="6" s="1"/>
  <c r="AH165" i="6" a="1"/>
  <c r="AH165" i="6" s="1"/>
  <c r="AK163" i="6" a="1"/>
  <c r="AK163" i="6" s="1"/>
  <c r="Y164" i="6" a="1"/>
  <c r="Y164" i="6" s="1"/>
  <c r="E164" i="6" a="1"/>
  <c r="E164" i="6" s="1"/>
  <c r="AC165" i="6" a="1"/>
  <c r="AC165" i="6" s="1"/>
  <c r="H165" i="6" a="1"/>
  <c r="H165" i="6" s="1"/>
  <c r="AB164" i="6" a="1"/>
  <c r="AB164" i="6" s="1"/>
  <c r="H164" i="6" a="1"/>
  <c r="H164" i="6" s="1"/>
  <c r="P164" i="6" a="1"/>
  <c r="P164" i="6" s="1"/>
  <c r="N164" i="6" a="1"/>
  <c r="N164" i="6" s="1"/>
  <c r="E165" i="6" a="1"/>
  <c r="E165" i="6" s="1"/>
  <c r="AK164" i="6" a="1"/>
  <c r="AK164" i="6" s="1"/>
  <c r="F164" i="6" a="1"/>
  <c r="F164" i="6" s="1"/>
  <c r="AI163" i="6" a="1"/>
  <c r="AI163" i="6" s="1"/>
  <c r="Z164" i="6" a="1"/>
  <c r="Z164" i="6" s="1"/>
  <c r="G165" i="6" a="1"/>
  <c r="G165" i="6" s="1"/>
  <c r="G166" i="6" a="1"/>
  <c r="G166" i="6" s="1"/>
  <c r="K166" i="6" a="1"/>
  <c r="K166" i="6" s="1"/>
  <c r="AB165" i="6" a="1"/>
  <c r="AB165" i="6" s="1"/>
  <c r="H166" i="6" a="1"/>
  <c r="H166" i="6" s="1"/>
  <c r="P165" i="6" a="1"/>
  <c r="P165" i="6" s="1"/>
  <c r="AJ165" i="6" a="1"/>
  <c r="AJ165" i="6" s="1"/>
  <c r="F165" i="6" a="1"/>
  <c r="F165" i="6" s="1"/>
  <c r="K165" i="6" a="1"/>
  <c r="K165" i="6" s="1"/>
  <c r="M165" i="6" a="1"/>
  <c r="M165" i="6" s="1"/>
  <c r="J165" i="6" a="1"/>
  <c r="J165" i="6" s="1"/>
  <c r="AJ164" i="6" a="1"/>
  <c r="AJ164" i="6" s="1"/>
  <c r="J164" i="6" a="1"/>
  <c r="J164" i="6" s="1"/>
  <c r="M166" i="6" a="1"/>
  <c r="M166" i="6" s="1"/>
  <c r="AB163" i="6" a="1"/>
  <c r="AB163" i="6" s="1"/>
  <c r="AH164" i="6" a="1"/>
  <c r="AH164" i="6" s="1"/>
  <c r="F166" i="6" a="1"/>
  <c r="F166" i="6" s="1"/>
  <c r="M164" i="6" a="1"/>
  <c r="M164" i="6" s="1"/>
  <c r="AC161" i="6" a="1"/>
  <c r="AC161" i="6" s="1"/>
  <c r="E163" i="6" a="1"/>
  <c r="E163" i="6" s="1"/>
  <c r="M163" i="6" a="1"/>
  <c r="M163" i="6" s="1"/>
  <c r="G162" i="6" a="1"/>
  <c r="G162" i="6" s="1"/>
  <c r="AB160" i="6" a="1"/>
  <c r="AB160" i="6" s="1"/>
  <c r="H163" i="6" a="1"/>
  <c r="H163" i="6" s="1"/>
  <c r="Z161" i="6" a="1"/>
  <c r="Z161" i="6" s="1"/>
  <c r="AI162" i="6" a="1"/>
  <c r="AI162" i="6" s="1"/>
  <c r="AC162" i="6" a="1"/>
  <c r="AC162" i="6" s="1"/>
  <c r="Z162" i="6" a="1"/>
  <c r="Z162" i="6" s="1"/>
  <c r="Y161" i="6" a="1"/>
  <c r="Y161" i="6" s="1"/>
  <c r="N161" i="6" a="1"/>
  <c r="N161" i="6" s="1"/>
  <c r="H162" i="6" a="1"/>
  <c r="H162" i="6" s="1"/>
  <c r="AI161" i="6" a="1"/>
  <c r="AI161" i="6" s="1"/>
  <c r="E161" i="6" a="1"/>
  <c r="E161" i="6" s="1"/>
  <c r="AJ161" i="6" a="1"/>
  <c r="AJ161" i="6" s="1"/>
  <c r="AC160" i="6" a="1"/>
  <c r="AC160" i="6" s="1"/>
  <c r="Z163" i="6" a="1"/>
  <c r="Z163" i="6" s="1"/>
  <c r="Y163" i="6" a="1"/>
  <c r="Y163" i="6" s="1"/>
  <c r="E162" i="6" a="1"/>
  <c r="E162" i="6" s="1"/>
  <c r="K161" i="6" a="1"/>
  <c r="K161" i="6" s="1"/>
  <c r="AB161" i="6" a="1"/>
  <c r="AB161" i="6" s="1"/>
  <c r="P163" i="6" a="1"/>
  <c r="P163" i="6" s="1"/>
  <c r="AK162" i="6" a="1"/>
  <c r="AK162" i="6" s="1"/>
  <c r="AH160" i="6" a="1"/>
  <c r="AH160" i="6" s="1"/>
  <c r="AJ162" i="6" a="1"/>
  <c r="AJ162" i="6" s="1"/>
  <c r="F162" i="6" a="1"/>
  <c r="F162" i="6" s="1"/>
  <c r="J162" i="6" a="1"/>
  <c r="J162" i="6" s="1"/>
  <c r="Y162" i="6" a="1"/>
  <c r="Y162" i="6" s="1"/>
  <c r="AK161" i="6" a="1"/>
  <c r="AK161" i="6" s="1"/>
  <c r="P162" i="6" a="1"/>
  <c r="P162" i="6" s="1"/>
  <c r="F161" i="6" a="1"/>
  <c r="F161" i="6" s="1"/>
  <c r="N163" i="6" a="1"/>
  <c r="N163" i="6" s="1"/>
  <c r="K163" i="6" a="1"/>
  <c r="K163" i="6" s="1"/>
  <c r="H161" i="6" a="1"/>
  <c r="H161" i="6" s="1"/>
  <c r="F163" i="6" a="1"/>
  <c r="F163" i="6" s="1"/>
  <c r="J163" i="6" a="1"/>
  <c r="J163" i="6" s="1"/>
  <c r="N162" i="6" a="1"/>
  <c r="N162" i="6" s="1"/>
  <c r="M162" i="6" a="1"/>
  <c r="M162" i="6" s="1"/>
  <c r="K162" i="6" a="1"/>
  <c r="K162" i="6" s="1"/>
  <c r="AJ160" i="6" a="1"/>
  <c r="AJ160" i="6" s="1"/>
  <c r="AH161" i="6" a="1"/>
  <c r="AH161" i="6" s="1"/>
  <c r="Y160" i="6" a="1"/>
  <c r="Y160" i="6" s="1"/>
  <c r="AK160" i="6" a="1"/>
  <c r="AK160" i="6" s="1"/>
  <c r="J161" i="6" a="1"/>
  <c r="J161" i="6" s="1"/>
  <c r="M161" i="6" a="1"/>
  <c r="M161" i="6" s="1"/>
  <c r="G161" i="6" a="1"/>
  <c r="G161" i="6" s="1"/>
  <c r="G163" i="6" a="1"/>
  <c r="G163" i="6" s="1"/>
  <c r="AH162" i="6" a="1"/>
  <c r="AH162" i="6" s="1"/>
  <c r="P161" i="6" a="1"/>
  <c r="P161" i="6" s="1"/>
  <c r="Z160" i="6" a="1"/>
  <c r="Z160" i="6" s="1"/>
  <c r="AI160" i="6" a="1"/>
  <c r="AI160" i="6" s="1"/>
  <c r="AB162" i="6" a="1"/>
  <c r="AB162" i="6" s="1"/>
  <c r="P160" i="6" a="1"/>
  <c r="P160" i="6" s="1"/>
  <c r="P158" i="6" a="1"/>
  <c r="P158" i="6" s="1"/>
  <c r="K158" i="6" a="1"/>
  <c r="K158" i="6" s="1"/>
  <c r="AK157" i="6" a="1"/>
  <c r="AK157" i="6" s="1"/>
  <c r="AI157" i="6" a="1"/>
  <c r="AI157" i="6" s="1"/>
  <c r="AH157" i="6" a="1"/>
  <c r="AH157" i="6" s="1"/>
  <c r="Y159" i="6" a="1"/>
  <c r="Y159" i="6" s="1"/>
  <c r="H159" i="6" a="1"/>
  <c r="H159" i="6" s="1"/>
  <c r="J158" i="6" a="1"/>
  <c r="J158" i="6" s="1"/>
  <c r="N160" i="6" a="1"/>
  <c r="N160" i="6" s="1"/>
  <c r="M160" i="6" a="1"/>
  <c r="M160" i="6" s="1"/>
  <c r="K160" i="6" a="1"/>
  <c r="K160" i="6" s="1"/>
  <c r="J160" i="6" a="1"/>
  <c r="J160" i="6" s="1"/>
  <c r="P159" i="6" a="1"/>
  <c r="P159" i="6" s="1"/>
  <c r="G160" i="6" a="1"/>
  <c r="G160" i="6" s="1"/>
  <c r="AH159" i="6" a="1"/>
  <c r="AH159" i="6" s="1"/>
  <c r="H160" i="6" a="1"/>
  <c r="H160" i="6" s="1"/>
  <c r="F160" i="6" a="1"/>
  <c r="F160" i="6" s="1"/>
  <c r="E160" i="6" a="1"/>
  <c r="E160" i="6" s="1"/>
  <c r="AK159" i="6" a="1"/>
  <c r="AK159" i="6" s="1"/>
  <c r="AI159" i="6" a="1"/>
  <c r="AI159" i="6" s="1"/>
  <c r="AC159" i="6" a="1"/>
  <c r="AC159" i="6" s="1"/>
  <c r="AB159" i="6" a="1"/>
  <c r="AB159" i="6" s="1"/>
  <c r="M158" i="6" a="1"/>
  <c r="M158" i="6" s="1"/>
  <c r="J159" i="6" a="1"/>
  <c r="J159" i="6" s="1"/>
  <c r="G159" i="6" a="1"/>
  <c r="G159" i="6" s="1"/>
  <c r="N157" i="6" a="1"/>
  <c r="N157" i="6" s="1"/>
  <c r="AC158" i="6" a="1"/>
  <c r="AC158" i="6" s="1"/>
  <c r="K157" i="6" a="1"/>
  <c r="K157" i="6" s="1"/>
  <c r="Z159" i="6" a="1"/>
  <c r="Z159" i="6" s="1"/>
  <c r="AH158" i="6" a="1"/>
  <c r="AH158" i="6" s="1"/>
  <c r="E158" i="6" a="1"/>
  <c r="E158" i="6" s="1"/>
  <c r="AK158" i="6" a="1"/>
  <c r="AK158" i="6" s="1"/>
  <c r="G158" i="6" a="1"/>
  <c r="G158" i="6" s="1"/>
  <c r="E159" i="6" a="1"/>
  <c r="E159" i="6" s="1"/>
  <c r="AJ159" i="6" a="1"/>
  <c r="AJ159" i="6" s="1"/>
  <c r="N158" i="6" a="1"/>
  <c r="N158" i="6" s="1"/>
  <c r="H158" i="6" a="1"/>
  <c r="H158" i="6" s="1"/>
  <c r="AB157" i="6" a="1"/>
  <c r="AB157" i="6" s="1"/>
  <c r="Y157" i="6" a="1"/>
  <c r="Y157" i="6" s="1"/>
  <c r="N159" i="6" a="1"/>
  <c r="N159" i="6" s="1"/>
  <c r="M159" i="6" a="1"/>
  <c r="M159" i="6" s="1"/>
  <c r="AJ158" i="6" a="1"/>
  <c r="AJ158" i="6" s="1"/>
  <c r="M157" i="6" a="1"/>
  <c r="M157" i="6" s="1"/>
  <c r="P157" i="6" a="1"/>
  <c r="P157" i="6" s="1"/>
  <c r="AI158" i="6" a="1"/>
  <c r="AI158" i="6" s="1"/>
  <c r="K159" i="6" a="1"/>
  <c r="K159" i="6" s="1"/>
  <c r="Z158" i="6" a="1"/>
  <c r="Z158" i="6" s="1"/>
  <c r="AJ157" i="6" a="1"/>
  <c r="AJ157" i="6" s="1"/>
  <c r="Y158" i="6" a="1"/>
  <c r="Y158" i="6" s="1"/>
  <c r="F158" i="6" a="1"/>
  <c r="F158" i="6" s="1"/>
  <c r="Z157" i="6" a="1"/>
  <c r="Z157" i="6" s="1"/>
  <c r="AB158" i="6" a="1"/>
  <c r="AB158" i="6" s="1"/>
  <c r="AC157" i="6" a="1"/>
  <c r="AC157" i="6" s="1"/>
  <c r="F159" i="6" a="1"/>
  <c r="F159" i="6" s="1"/>
  <c r="AI154" i="6" a="1"/>
  <c r="AI154" i="6" s="1"/>
  <c r="N154" i="6" a="1"/>
  <c r="N154" i="6" s="1"/>
  <c r="J157" i="6" a="1"/>
  <c r="J157" i="6" s="1"/>
  <c r="N155" i="6" a="1"/>
  <c r="N155" i="6" s="1"/>
  <c r="AK155" i="6" a="1"/>
  <c r="AK155" i="6" s="1"/>
  <c r="G154" i="6" a="1"/>
  <c r="G154" i="6" s="1"/>
  <c r="AH154" i="6" a="1"/>
  <c r="AH154" i="6" s="1"/>
  <c r="AB155" i="6" a="1"/>
  <c r="AB155" i="6" s="1"/>
  <c r="H154" i="6" a="1"/>
  <c r="H154" i="6" s="1"/>
  <c r="H157" i="6" a="1"/>
  <c r="H157" i="6" s="1"/>
  <c r="J154" i="6" a="1"/>
  <c r="J154" i="6" s="1"/>
  <c r="K154" i="6" a="1"/>
  <c r="K154" i="6" s="1"/>
  <c r="AJ156" i="6" a="1"/>
  <c r="AJ156" i="6" s="1"/>
  <c r="M154" i="6" a="1"/>
  <c r="M154" i="6" s="1"/>
  <c r="J155" i="6" a="1"/>
  <c r="J155" i="6" s="1"/>
  <c r="G157" i="6" a="1"/>
  <c r="G157" i="6" s="1"/>
  <c r="N156" i="6" a="1"/>
  <c r="N156" i="6" s="1"/>
  <c r="F156" i="6" a="1"/>
  <c r="F156" i="6" s="1"/>
  <c r="E156" i="6" a="1"/>
  <c r="E156" i="6" s="1"/>
  <c r="G156" i="6" a="1"/>
  <c r="G156" i="6" s="1"/>
  <c r="P156" i="6" a="1"/>
  <c r="P156" i="6" s="1"/>
  <c r="Z155" i="6" a="1"/>
  <c r="Z155" i="6" s="1"/>
  <c r="AC154" i="6" a="1"/>
  <c r="AC154" i="6" s="1"/>
  <c r="E155" i="6" a="1"/>
  <c r="E155" i="6" s="1"/>
  <c r="P154" i="6" a="1"/>
  <c r="P154" i="6" s="1"/>
  <c r="F157" i="6" a="1"/>
  <c r="F157" i="6" s="1"/>
  <c r="E157" i="6" a="1"/>
  <c r="E157" i="6" s="1"/>
  <c r="AK156" i="6" a="1"/>
  <c r="AK156" i="6" s="1"/>
  <c r="AB156" i="6" a="1"/>
  <c r="AB156" i="6" s="1"/>
  <c r="Y156" i="6" a="1"/>
  <c r="Y156" i="6" s="1"/>
  <c r="M155" i="6" a="1"/>
  <c r="M155" i="6" s="1"/>
  <c r="H155" i="6" a="1"/>
  <c r="H155" i="6" s="1"/>
  <c r="Y154" i="6" a="1"/>
  <c r="Y154" i="6" s="1"/>
  <c r="Z154" i="6" a="1"/>
  <c r="Z154" i="6" s="1"/>
  <c r="Z156" i="6" a="1"/>
  <c r="Z156" i="6" s="1"/>
  <c r="G155" i="6" a="1"/>
  <c r="G155" i="6" s="1"/>
  <c r="AJ154" i="6" a="1"/>
  <c r="AJ154" i="6" s="1"/>
  <c r="AI156" i="6" a="1"/>
  <c r="AI156" i="6" s="1"/>
  <c r="AB154" i="6" a="1"/>
  <c r="AB154" i="6" s="1"/>
  <c r="AH156" i="6" a="1"/>
  <c r="AH156" i="6" s="1"/>
  <c r="AC156" i="6" a="1"/>
  <c r="AC156" i="6" s="1"/>
  <c r="M156" i="6" a="1"/>
  <c r="M156" i="6" s="1"/>
  <c r="K155" i="6" a="1"/>
  <c r="K155" i="6" s="1"/>
  <c r="K156" i="6" a="1"/>
  <c r="K156" i="6" s="1"/>
  <c r="AJ155" i="6" a="1"/>
  <c r="AJ155" i="6" s="1"/>
  <c r="AK154" i="6" a="1"/>
  <c r="AK154" i="6" s="1"/>
  <c r="H156" i="6" a="1"/>
  <c r="H156" i="6" s="1"/>
  <c r="AI155" i="6" a="1"/>
  <c r="AI155" i="6" s="1"/>
  <c r="AH155" i="6" a="1"/>
  <c r="AH155" i="6" s="1"/>
  <c r="AC155" i="6" a="1"/>
  <c r="AC155" i="6" s="1"/>
  <c r="J156" i="6" a="1"/>
  <c r="J156" i="6" s="1"/>
  <c r="P155" i="6" a="1"/>
  <c r="P155" i="6" s="1"/>
  <c r="F155" i="6" a="1"/>
  <c r="F155" i="6" s="1"/>
  <c r="Y155" i="6" a="1"/>
  <c r="Y155" i="6" s="1"/>
  <c r="AI153" i="6" a="1"/>
  <c r="AI153" i="6" s="1"/>
  <c r="AC153" i="6" a="1"/>
  <c r="AC153" i="6" s="1"/>
  <c r="Z153" i="6" a="1"/>
  <c r="Z153" i="6" s="1"/>
  <c r="Y153" i="6" a="1"/>
  <c r="Y153" i="6" s="1"/>
  <c r="Z152" i="6" a="1"/>
  <c r="Z152" i="6" s="1"/>
  <c r="M151" i="6" a="1"/>
  <c r="M151" i="6" s="1"/>
  <c r="AI151" i="6" a="1"/>
  <c r="AI151" i="6" s="1"/>
  <c r="P153" i="6" a="1"/>
  <c r="P153" i="6" s="1"/>
  <c r="N153" i="6" a="1"/>
  <c r="N153" i="6" s="1"/>
  <c r="F151" i="6" a="1"/>
  <c r="F151" i="6" s="1"/>
  <c r="H152" i="6" a="1"/>
  <c r="H152" i="6" s="1"/>
  <c r="AB152" i="6" a="1"/>
  <c r="AB152" i="6" s="1"/>
  <c r="N152" i="6" a="1"/>
  <c r="N152" i="6" s="1"/>
  <c r="M152" i="6" a="1"/>
  <c r="M152" i="6" s="1"/>
  <c r="AK152" i="6" a="1"/>
  <c r="AK152" i="6" s="1"/>
  <c r="AC152" i="6" a="1"/>
  <c r="AC152" i="6" s="1"/>
  <c r="E152" i="6" a="1"/>
  <c r="E152" i="6" s="1"/>
  <c r="AB151" i="6" a="1"/>
  <c r="AB151" i="6" s="1"/>
  <c r="P151" i="6" a="1"/>
  <c r="P151" i="6" s="1"/>
  <c r="J151" i="6" a="1"/>
  <c r="J151" i="6" s="1"/>
  <c r="AI152" i="6" a="1"/>
  <c r="AI152" i="6" s="1"/>
  <c r="AK151" i="6" a="1"/>
  <c r="AK151" i="6" s="1"/>
  <c r="AJ150" i="6" a="1"/>
  <c r="AJ150" i="6" s="1"/>
  <c r="H151" i="6" a="1"/>
  <c r="H151" i="6" s="1"/>
  <c r="AH151" i="6" a="1"/>
  <c r="AH151" i="6" s="1"/>
  <c r="Y152" i="6" a="1"/>
  <c r="Y152" i="6" s="1"/>
  <c r="AJ151" i="6" a="1"/>
  <c r="AJ151" i="6" s="1"/>
  <c r="J152" i="6" a="1"/>
  <c r="J152" i="6" s="1"/>
  <c r="G151" i="6" a="1"/>
  <c r="G151" i="6" s="1"/>
  <c r="H153" i="6" a="1"/>
  <c r="H153" i="6" s="1"/>
  <c r="Z151" i="6" a="1"/>
  <c r="Z151" i="6" s="1"/>
  <c r="G152" i="6" a="1"/>
  <c r="G152" i="6" s="1"/>
  <c r="AC151" i="6" a="1"/>
  <c r="AC151" i="6" s="1"/>
  <c r="N151" i="6" a="1"/>
  <c r="N151" i="6" s="1"/>
  <c r="Y151" i="6" a="1"/>
  <c r="Y151" i="6" s="1"/>
  <c r="F154" i="6" a="1"/>
  <c r="F154" i="6" s="1"/>
  <c r="AK150" i="6" a="1"/>
  <c r="AK150" i="6" s="1"/>
  <c r="E154" i="6" a="1"/>
  <c r="E154" i="6" s="1"/>
  <c r="AH153" i="6" a="1"/>
  <c r="AH153" i="6" s="1"/>
  <c r="AB153" i="6" a="1"/>
  <c r="AB153" i="6" s="1"/>
  <c r="K153" i="6" a="1"/>
  <c r="K153" i="6" s="1"/>
  <c r="J153" i="6" a="1"/>
  <c r="J153" i="6" s="1"/>
  <c r="F153" i="6" a="1"/>
  <c r="F153" i="6" s="1"/>
  <c r="E151" i="6" a="1"/>
  <c r="E151" i="6" s="1"/>
  <c r="F152" i="6" a="1"/>
  <c r="F152" i="6" s="1"/>
  <c r="P152" i="6" a="1"/>
  <c r="P152" i="6" s="1"/>
  <c r="K151" i="6" a="1"/>
  <c r="K151" i="6" s="1"/>
  <c r="E153" i="6" a="1"/>
  <c r="E153" i="6" s="1"/>
  <c r="M153" i="6" a="1"/>
  <c r="M153" i="6" s="1"/>
  <c r="G153" i="6" a="1"/>
  <c r="G153" i="6" s="1"/>
  <c r="AH152" i="6" a="1"/>
  <c r="AH152" i="6" s="1"/>
  <c r="K152" i="6" a="1"/>
  <c r="K152" i="6" s="1"/>
  <c r="AJ152" i="6" a="1"/>
  <c r="AJ152" i="6" s="1"/>
  <c r="AK153" i="6" a="1"/>
  <c r="AK153" i="6" s="1"/>
  <c r="AJ153" i="6" a="1"/>
  <c r="AJ153" i="6" s="1"/>
  <c r="E150" i="6" a="1"/>
  <c r="E150" i="6" s="1"/>
  <c r="AJ147" i="6" a="1"/>
  <c r="AJ147" i="6" s="1"/>
  <c r="H148" i="6" a="1"/>
  <c r="H148" i="6" s="1"/>
  <c r="J150" i="6" a="1"/>
  <c r="J150" i="6" s="1"/>
  <c r="M149" i="6" a="1"/>
  <c r="M149" i="6" s="1"/>
  <c r="F149" i="6" a="1"/>
  <c r="F149" i="6" s="1"/>
  <c r="N150" i="6" a="1"/>
  <c r="N150" i="6" s="1"/>
  <c r="AH148" i="6" a="1"/>
  <c r="AH148" i="6" s="1"/>
  <c r="AK149" i="6" a="1"/>
  <c r="AK149" i="6" s="1"/>
  <c r="AB149" i="6" a="1"/>
  <c r="AB149" i="6" s="1"/>
  <c r="AC148" i="6" a="1"/>
  <c r="AC148" i="6" s="1"/>
  <c r="AH147" i="6" a="1"/>
  <c r="AH147" i="6" s="1"/>
  <c r="M150" i="6" a="1"/>
  <c r="M150" i="6" s="1"/>
  <c r="H150" i="6" a="1"/>
  <c r="H150" i="6" s="1"/>
  <c r="E148" i="6" a="1"/>
  <c r="E148" i="6" s="1"/>
  <c r="F150" i="6" a="1"/>
  <c r="F150" i="6" s="1"/>
  <c r="K148" i="6" a="1"/>
  <c r="K148" i="6" s="1"/>
  <c r="AI147" i="6" a="1"/>
  <c r="AI147" i="6" s="1"/>
  <c r="AB147" i="6" a="1"/>
  <c r="AB147" i="6" s="1"/>
  <c r="N149" i="6" a="1"/>
  <c r="N149" i="6" s="1"/>
  <c r="AK147" i="6" a="1"/>
  <c r="AK147" i="6" s="1"/>
  <c r="K150" i="6" a="1"/>
  <c r="K150" i="6" s="1"/>
  <c r="G150" i="6" a="1"/>
  <c r="G150" i="6" s="1"/>
  <c r="AJ149" i="6" a="1"/>
  <c r="AJ149" i="6" s="1"/>
  <c r="Z149" i="6" a="1"/>
  <c r="Z149" i="6" s="1"/>
  <c r="AB148" i="6" a="1"/>
  <c r="AB148" i="6" s="1"/>
  <c r="AI149" i="6" a="1"/>
  <c r="AI149" i="6" s="1"/>
  <c r="H149" i="6" a="1"/>
  <c r="H149" i="6" s="1"/>
  <c r="AC149" i="6" a="1"/>
  <c r="AC149" i="6" s="1"/>
  <c r="P149" i="6" a="1"/>
  <c r="P149" i="6" s="1"/>
  <c r="Z148" i="6" a="1"/>
  <c r="Z148" i="6" s="1"/>
  <c r="N148" i="6" a="1"/>
  <c r="N148" i="6" s="1"/>
  <c r="G148" i="6" a="1"/>
  <c r="G148" i="6" s="1"/>
  <c r="AC147" i="6" a="1"/>
  <c r="AC147" i="6" s="1"/>
  <c r="AI148" i="6" a="1"/>
  <c r="AI148" i="6" s="1"/>
  <c r="K149" i="6" a="1"/>
  <c r="K149" i="6" s="1"/>
  <c r="E149" i="6" a="1"/>
  <c r="E149" i="6" s="1"/>
  <c r="M148" i="6" a="1"/>
  <c r="M148" i="6" s="1"/>
  <c r="J148" i="6" a="1"/>
  <c r="J148" i="6" s="1"/>
  <c r="Y148" i="6" a="1"/>
  <c r="Y148" i="6" s="1"/>
  <c r="AH149" i="6" a="1"/>
  <c r="AH149" i="6" s="1"/>
  <c r="AI150" i="6" a="1"/>
  <c r="AI150" i="6" s="1"/>
  <c r="AH150" i="6" a="1"/>
  <c r="AH150" i="6" s="1"/>
  <c r="AC150" i="6" a="1"/>
  <c r="AC150" i="6" s="1"/>
  <c r="AB150" i="6" a="1"/>
  <c r="AB150" i="6" s="1"/>
  <c r="Z150" i="6" a="1"/>
  <c r="Z150" i="6" s="1"/>
  <c r="Y149" i="6" a="1"/>
  <c r="Y149" i="6" s="1"/>
  <c r="P148" i="6" a="1"/>
  <c r="P148" i="6" s="1"/>
  <c r="AK148" i="6" a="1"/>
  <c r="AK148" i="6" s="1"/>
  <c r="P150" i="6" a="1"/>
  <c r="P150" i="6" s="1"/>
  <c r="J149" i="6" a="1"/>
  <c r="J149" i="6" s="1"/>
  <c r="G149" i="6" a="1"/>
  <c r="G149" i="6" s="1"/>
  <c r="AJ148" i="6" a="1"/>
  <c r="AJ148" i="6" s="1"/>
  <c r="F148" i="6" a="1"/>
  <c r="F148" i="6" s="1"/>
  <c r="Y150" i="6" a="1"/>
  <c r="Y150" i="6" s="1"/>
  <c r="P144" i="6" a="1"/>
  <c r="P144" i="6" s="1"/>
  <c r="G147" i="6" a="1"/>
  <c r="G147" i="6" s="1"/>
  <c r="M145" i="6" a="1"/>
  <c r="M145" i="6" s="1"/>
  <c r="AC146" i="6" a="1"/>
  <c r="AC146" i="6" s="1"/>
  <c r="Y144" i="6" a="1"/>
  <c r="Y144" i="6" s="1"/>
  <c r="N145" i="6" a="1"/>
  <c r="N145" i="6" s="1"/>
  <c r="F146" i="6" a="1"/>
  <c r="F146" i="6" s="1"/>
  <c r="Z144" i="6" a="1"/>
  <c r="Z144" i="6" s="1"/>
  <c r="G145" i="6" a="1"/>
  <c r="G145" i="6" s="1"/>
  <c r="AJ144" i="6" a="1"/>
  <c r="AJ144" i="6" s="1"/>
  <c r="K146" i="6" a="1"/>
  <c r="K146" i="6" s="1"/>
  <c r="K147" i="6" a="1"/>
  <c r="K147" i="6" s="1"/>
  <c r="F145" i="6" a="1"/>
  <c r="F145" i="6" s="1"/>
  <c r="AJ145" i="6" a="1"/>
  <c r="AJ145" i="6" s="1"/>
  <c r="H147" i="6" a="1"/>
  <c r="H147" i="6" s="1"/>
  <c r="AJ146" i="6" a="1"/>
  <c r="AJ146" i="6" s="1"/>
  <c r="J146" i="6" a="1"/>
  <c r="J146" i="6" s="1"/>
  <c r="Y145" i="6" a="1"/>
  <c r="Y145" i="6" s="1"/>
  <c r="AH144" i="6" a="1"/>
  <c r="AH144" i="6" s="1"/>
  <c r="AI145" i="6" a="1"/>
  <c r="AI145" i="6" s="1"/>
  <c r="AC145" i="6" a="1"/>
  <c r="AC145" i="6" s="1"/>
  <c r="N146" i="6" a="1"/>
  <c r="N146" i="6" s="1"/>
  <c r="E145" i="6" a="1"/>
  <c r="E145" i="6" s="1"/>
  <c r="F147" i="6" a="1"/>
  <c r="F147" i="6" s="1"/>
  <c r="AI146" i="6" a="1"/>
  <c r="AI146" i="6" s="1"/>
  <c r="AK144" i="6" a="1"/>
  <c r="AK144" i="6" s="1"/>
  <c r="AK146" i="6" a="1"/>
  <c r="AK146" i="6" s="1"/>
  <c r="AB146" i="6" a="1"/>
  <c r="AB146" i="6" s="1"/>
  <c r="P146" i="6" a="1"/>
  <c r="P146" i="6" s="1"/>
  <c r="K145" i="6" a="1"/>
  <c r="K145" i="6" s="1"/>
  <c r="Z145" i="6" a="1"/>
  <c r="Z145" i="6" s="1"/>
  <c r="AI144" i="6" a="1"/>
  <c r="AI144" i="6" s="1"/>
  <c r="AB145" i="6" a="1"/>
  <c r="AB145" i="6" s="1"/>
  <c r="Z147" i="6" a="1"/>
  <c r="Z147" i="6" s="1"/>
  <c r="M146" i="6" a="1"/>
  <c r="M146" i="6" s="1"/>
  <c r="Y147" i="6" a="1"/>
  <c r="Y147" i="6" s="1"/>
  <c r="E146" i="6" a="1"/>
  <c r="E146" i="6" s="1"/>
  <c r="P147" i="6" a="1"/>
  <c r="P147" i="6" s="1"/>
  <c r="H146" i="6" a="1"/>
  <c r="H146" i="6" s="1"/>
  <c r="Y146" i="6" a="1"/>
  <c r="Y146" i="6" s="1"/>
  <c r="G146" i="6" a="1"/>
  <c r="G146" i="6" s="1"/>
  <c r="P145" i="6" a="1"/>
  <c r="P145" i="6" s="1"/>
  <c r="AH146" i="6" a="1"/>
  <c r="AH146" i="6" s="1"/>
  <c r="Z146" i="6" a="1"/>
  <c r="Z146" i="6" s="1"/>
  <c r="AC144" i="6" a="1"/>
  <c r="AC144" i="6" s="1"/>
  <c r="E147" i="6" a="1"/>
  <c r="E147" i="6" s="1"/>
  <c r="AH145" i="6" a="1"/>
  <c r="AH145" i="6" s="1"/>
  <c r="J145" i="6" a="1"/>
  <c r="J145" i="6" s="1"/>
  <c r="H145" i="6" a="1"/>
  <c r="H145" i="6" s="1"/>
  <c r="AK145" i="6" a="1"/>
  <c r="AK145" i="6" s="1"/>
  <c r="AB144" i="6" a="1"/>
  <c r="AB144" i="6" s="1"/>
  <c r="N147" i="6" a="1"/>
  <c r="N147" i="6" s="1"/>
  <c r="M147" i="6" a="1"/>
  <c r="M147" i="6" s="1"/>
  <c r="J147" i="6" a="1"/>
  <c r="J147" i="6" s="1"/>
  <c r="AK141" i="6" a="1"/>
  <c r="AK141" i="6" s="1"/>
  <c r="AK143" i="6" a="1"/>
  <c r="AK143" i="6" s="1"/>
  <c r="AH143" i="6" a="1"/>
  <c r="AH143" i="6" s="1"/>
  <c r="AB143" i="6" a="1"/>
  <c r="AB143" i="6" s="1"/>
  <c r="Z143" i="6" a="1"/>
  <c r="Z143" i="6" s="1"/>
  <c r="N143" i="6" a="1"/>
  <c r="N143" i="6" s="1"/>
  <c r="H142" i="6" a="1"/>
  <c r="H142" i="6" s="1"/>
  <c r="J143" i="6" a="1"/>
  <c r="J143" i="6" s="1"/>
  <c r="G143" i="6" a="1"/>
  <c r="G143" i="6" s="1"/>
  <c r="AI142" i="6" a="1"/>
  <c r="AI142" i="6" s="1"/>
  <c r="M142" i="6" a="1"/>
  <c r="M142" i="6" s="1"/>
  <c r="J142" i="6" a="1"/>
  <c r="J142" i="6" s="1"/>
  <c r="M141" i="6" a="1"/>
  <c r="M141" i="6" s="1"/>
  <c r="N141" i="6" a="1"/>
  <c r="N141" i="6" s="1"/>
  <c r="P141" i="6" a="1"/>
  <c r="P141" i="6" s="1"/>
  <c r="Y143" i="6" a="1"/>
  <c r="Y143" i="6" s="1"/>
  <c r="K143" i="6" a="1"/>
  <c r="K143" i="6" s="1"/>
  <c r="AK142" i="6" a="1"/>
  <c r="AK142" i="6" s="1"/>
  <c r="Z142" i="6" a="1"/>
  <c r="Z142" i="6" s="1"/>
  <c r="M143" i="6" a="1"/>
  <c r="M143" i="6" s="1"/>
  <c r="Y142" i="6" a="1"/>
  <c r="Y142" i="6" s="1"/>
  <c r="AH141" i="6" a="1"/>
  <c r="AH141" i="6" s="1"/>
  <c r="E143" i="6" a="1"/>
  <c r="E143" i="6" s="1"/>
  <c r="N142" i="6" a="1"/>
  <c r="N142" i="6" s="1"/>
  <c r="P142" i="6" a="1"/>
  <c r="P142" i="6" s="1"/>
  <c r="AC141" i="6" a="1"/>
  <c r="AC141" i="6" s="1"/>
  <c r="E144" i="6" a="1"/>
  <c r="E144" i="6" s="1"/>
  <c r="AI143" i="6" a="1"/>
  <c r="AI143" i="6" s="1"/>
  <c r="AC143" i="6" a="1"/>
  <c r="AC143" i="6" s="1"/>
  <c r="H143" i="6" a="1"/>
  <c r="H143" i="6" s="1"/>
  <c r="AJ142" i="6" a="1"/>
  <c r="AJ142" i="6" s="1"/>
  <c r="AH142" i="6" a="1"/>
  <c r="AH142" i="6" s="1"/>
  <c r="AC142" i="6" a="1"/>
  <c r="AC142" i="6" s="1"/>
  <c r="K142" i="6" a="1"/>
  <c r="K142" i="6" s="1"/>
  <c r="G142" i="6" a="1"/>
  <c r="G142" i="6" s="1"/>
  <c r="F142" i="6" a="1"/>
  <c r="F142" i="6" s="1"/>
  <c r="AB141" i="6" a="1"/>
  <c r="AB141" i="6" s="1"/>
  <c r="E142" i="6" a="1"/>
  <c r="E142" i="6" s="1"/>
  <c r="K141" i="6" a="1"/>
  <c r="K141" i="6" s="1"/>
  <c r="Z141" i="6" a="1"/>
  <c r="Z141" i="6" s="1"/>
  <c r="N144" i="6" a="1"/>
  <c r="N144" i="6" s="1"/>
  <c r="M144" i="6" a="1"/>
  <c r="M144" i="6" s="1"/>
  <c r="P143" i="6" a="1"/>
  <c r="P143" i="6" s="1"/>
  <c r="AJ143" i="6" a="1"/>
  <c r="AJ143" i="6" s="1"/>
  <c r="F143" i="6" a="1"/>
  <c r="F143" i="6" s="1"/>
  <c r="AJ141" i="6" a="1"/>
  <c r="AJ141" i="6" s="1"/>
  <c r="AI141" i="6" a="1"/>
  <c r="AI141" i="6" s="1"/>
  <c r="AB142" i="6" a="1"/>
  <c r="AB142" i="6" s="1"/>
  <c r="K144" i="6" a="1"/>
  <c r="K144" i="6" s="1"/>
  <c r="J144" i="6" a="1"/>
  <c r="J144" i="6" s="1"/>
  <c r="H144" i="6" a="1"/>
  <c r="H144" i="6" s="1"/>
  <c r="G144" i="6" a="1"/>
  <c r="G144" i="6" s="1"/>
  <c r="Y141" i="6" a="1"/>
  <c r="Y141" i="6" s="1"/>
  <c r="F144" i="6" a="1"/>
  <c r="F144" i="6" s="1"/>
  <c r="K138" i="6" a="1"/>
  <c r="K138" i="6" s="1"/>
  <c r="G141" i="6" a="1"/>
  <c r="G141" i="6" s="1"/>
  <c r="F141" i="6" a="1"/>
  <c r="F141" i="6" s="1"/>
  <c r="AI140" i="6" a="1"/>
  <c r="AI140" i="6" s="1"/>
  <c r="Z140" i="6" a="1"/>
  <c r="Z140" i="6" s="1"/>
  <c r="N139" i="6" a="1"/>
  <c r="N139" i="6" s="1"/>
  <c r="N138" i="6" a="1"/>
  <c r="N138" i="6" s="1"/>
  <c r="E141" i="6" a="1"/>
  <c r="E141" i="6" s="1"/>
  <c r="AJ140" i="6" a="1"/>
  <c r="AJ140" i="6" s="1"/>
  <c r="AH140" i="6" a="1"/>
  <c r="AH140" i="6" s="1"/>
  <c r="Y140" i="6" a="1"/>
  <c r="Y140" i="6" s="1"/>
  <c r="AJ139" i="6" a="1"/>
  <c r="AJ139" i="6" s="1"/>
  <c r="Z139" i="6" a="1"/>
  <c r="Z139" i="6" s="1"/>
  <c r="H139" i="6" a="1"/>
  <c r="H139" i="6" s="1"/>
  <c r="Z138" i="6" a="1"/>
  <c r="Z138" i="6" s="1"/>
  <c r="AJ138" i="6" a="1"/>
  <c r="AJ138" i="6" s="1"/>
  <c r="H138" i="6" a="1"/>
  <c r="H138" i="6" s="1"/>
  <c r="G139" i="6" a="1"/>
  <c r="G139" i="6" s="1"/>
  <c r="M140" i="6" a="1"/>
  <c r="M140" i="6" s="1"/>
  <c r="AB139" i="6" a="1"/>
  <c r="AB139" i="6" s="1"/>
  <c r="AB138" i="6" a="1"/>
  <c r="AB138" i="6" s="1"/>
  <c r="M138" i="6" a="1"/>
  <c r="M138" i="6" s="1"/>
  <c r="AC140" i="6" a="1"/>
  <c r="AC140" i="6" s="1"/>
  <c r="P140" i="6" a="1"/>
  <c r="P140" i="6" s="1"/>
  <c r="M139" i="6" a="1"/>
  <c r="M139" i="6" s="1"/>
  <c r="N140" i="6" a="1"/>
  <c r="N140" i="6" s="1"/>
  <c r="Y139" i="6" a="1"/>
  <c r="Y139" i="6" s="1"/>
  <c r="J139" i="6" a="1"/>
  <c r="J139" i="6" s="1"/>
  <c r="Y138" i="6" a="1"/>
  <c r="Y138" i="6" s="1"/>
  <c r="K140" i="6" a="1"/>
  <c r="K140" i="6" s="1"/>
  <c r="H140" i="6" a="1"/>
  <c r="H140" i="6" s="1"/>
  <c r="G140" i="6" a="1"/>
  <c r="G140" i="6" s="1"/>
  <c r="AK139" i="6" a="1"/>
  <c r="AK139" i="6" s="1"/>
  <c r="G138" i="6" a="1"/>
  <c r="G138" i="6" s="1"/>
  <c r="AI139" i="6" a="1"/>
  <c r="AI139" i="6" s="1"/>
  <c r="AC139" i="6" a="1"/>
  <c r="AC139" i="6" s="1"/>
  <c r="P139" i="6" a="1"/>
  <c r="P139" i="6" s="1"/>
  <c r="AK138" i="6" a="1"/>
  <c r="AK138" i="6" s="1"/>
  <c r="AI138" i="6" a="1"/>
  <c r="AI138" i="6" s="1"/>
  <c r="AC138" i="6" a="1"/>
  <c r="AC138" i="6" s="1"/>
  <c r="J138" i="6" a="1"/>
  <c r="J138" i="6" s="1"/>
  <c r="H141" i="6" a="1"/>
  <c r="H141" i="6" s="1"/>
  <c r="AK140" i="6" a="1"/>
  <c r="AK140" i="6" s="1"/>
  <c r="AB140" i="6" a="1"/>
  <c r="AB140" i="6" s="1"/>
  <c r="J140" i="6" a="1"/>
  <c r="J140" i="6" s="1"/>
  <c r="K139" i="6" a="1"/>
  <c r="K139" i="6" s="1"/>
  <c r="F140" i="6" a="1"/>
  <c r="F140" i="6" s="1"/>
  <c r="F139" i="6" a="1"/>
  <c r="F139" i="6" s="1"/>
  <c r="E140" i="6" a="1"/>
  <c r="E140" i="6" s="1"/>
  <c r="E139" i="6" a="1"/>
  <c r="E139" i="6" s="1"/>
  <c r="J141" i="6" a="1"/>
  <c r="J141" i="6" s="1"/>
  <c r="AH139" i="6" a="1"/>
  <c r="AH139" i="6" s="1"/>
  <c r="AH138" i="6" a="1"/>
  <c r="AH138" i="6" s="1"/>
  <c r="P138" i="6" a="1"/>
  <c r="P138" i="6" s="1"/>
  <c r="G136" i="6" a="1"/>
  <c r="G136" i="6" s="1"/>
  <c r="Y137" i="6" a="1"/>
  <c r="Y137" i="6" s="1"/>
  <c r="F136" i="6" a="1"/>
  <c r="F136" i="6" s="1"/>
  <c r="AI135" i="6" a="1"/>
  <c r="AI135" i="6" s="1"/>
  <c r="N137" i="6" a="1"/>
  <c r="N137" i="6" s="1"/>
  <c r="H137" i="6" a="1"/>
  <c r="H137" i="6" s="1"/>
  <c r="K136" i="6" a="1"/>
  <c r="K136" i="6" s="1"/>
  <c r="G137" i="6" a="1"/>
  <c r="G137" i="6" s="1"/>
  <c r="E137" i="6" a="1"/>
  <c r="E137" i="6" s="1"/>
  <c r="AC136" i="6" a="1"/>
  <c r="AC136" i="6" s="1"/>
  <c r="P136" i="6" a="1"/>
  <c r="P136" i="6" s="1"/>
  <c r="Y135" i="6" a="1"/>
  <c r="Y135" i="6" s="1"/>
  <c r="J136" i="6" a="1"/>
  <c r="J136" i="6" s="1"/>
  <c r="M137" i="6" a="1"/>
  <c r="M137" i="6" s="1"/>
  <c r="E136" i="6" a="1"/>
  <c r="E136" i="6" s="1"/>
  <c r="K137" i="6" a="1"/>
  <c r="K137" i="6" s="1"/>
  <c r="M136" i="6" a="1"/>
  <c r="M136" i="6" s="1"/>
  <c r="M135" i="6" a="1"/>
  <c r="M135" i="6" s="1"/>
  <c r="G135" i="6" a="1"/>
  <c r="G135" i="6" s="1"/>
  <c r="F137" i="6" a="1"/>
  <c r="F137" i="6" s="1"/>
  <c r="AI136" i="6" a="1"/>
  <c r="AI136" i="6" s="1"/>
  <c r="Y136" i="6" a="1"/>
  <c r="Y136" i="6" s="1"/>
  <c r="AJ135" i="6" a="1"/>
  <c r="AJ135" i="6" s="1"/>
  <c r="AJ134" i="6" a="1"/>
  <c r="AJ134" i="6" s="1"/>
  <c r="AK135" i="6" a="1"/>
  <c r="AK135" i="6" s="1"/>
  <c r="H136" i="6" a="1"/>
  <c r="H136" i="6" s="1"/>
  <c r="AK134" i="6" a="1"/>
  <c r="AK134" i="6" s="1"/>
  <c r="AC137" i="6" a="1"/>
  <c r="AC137" i="6" s="1"/>
  <c r="AH136" i="6" a="1"/>
  <c r="AH136" i="6" s="1"/>
  <c r="Z135" i="6" a="1"/>
  <c r="Z135" i="6" s="1"/>
  <c r="P135" i="6" a="1"/>
  <c r="P135" i="6" s="1"/>
  <c r="AC135" i="6" a="1"/>
  <c r="AC135" i="6" s="1"/>
  <c r="F138" i="6" a="1"/>
  <c r="F138" i="6" s="1"/>
  <c r="AK137" i="6" a="1"/>
  <c r="AK137" i="6" s="1"/>
  <c r="Z137" i="6" a="1"/>
  <c r="Z137" i="6" s="1"/>
  <c r="J137" i="6" a="1"/>
  <c r="J137" i="6" s="1"/>
  <c r="AK136" i="6" a="1"/>
  <c r="AK136" i="6" s="1"/>
  <c r="AB136" i="6" a="1"/>
  <c r="AB136" i="6" s="1"/>
  <c r="Z136" i="6" a="1"/>
  <c r="Z136" i="6" s="1"/>
  <c r="N136" i="6" a="1"/>
  <c r="N136" i="6" s="1"/>
  <c r="N135" i="6" a="1"/>
  <c r="N135" i="6" s="1"/>
  <c r="H135" i="6" a="1"/>
  <c r="H135" i="6" s="1"/>
  <c r="F135" i="6" a="1"/>
  <c r="F135" i="6" s="1"/>
  <c r="E138" i="6" a="1"/>
  <c r="E138" i="6" s="1"/>
  <c r="AI137" i="6" a="1"/>
  <c r="AI137" i="6" s="1"/>
  <c r="AB135" i="6" a="1"/>
  <c r="AB135" i="6" s="1"/>
  <c r="J135" i="6" a="1"/>
  <c r="J135" i="6" s="1"/>
  <c r="AJ137" i="6" a="1"/>
  <c r="AJ137" i="6" s="1"/>
  <c r="K135" i="6" a="1"/>
  <c r="K135" i="6" s="1"/>
  <c r="AH137" i="6" a="1"/>
  <c r="AH137" i="6" s="1"/>
  <c r="P137" i="6" a="1"/>
  <c r="P137" i="6" s="1"/>
  <c r="AJ136" i="6" a="1"/>
  <c r="AJ136" i="6" s="1"/>
  <c r="E135" i="6" a="1"/>
  <c r="E135" i="6" s="1"/>
  <c r="AH135" i="6" a="1"/>
  <c r="AH135" i="6" s="1"/>
  <c r="AB137" i="6" a="1"/>
  <c r="AB137" i="6" s="1"/>
  <c r="Z133" i="6" a="1"/>
  <c r="Z133" i="6" s="1"/>
  <c r="Y133" i="6" a="1"/>
  <c r="Y133" i="6" s="1"/>
  <c r="P133" i="6" a="1"/>
  <c r="P133" i="6" s="1"/>
  <c r="N132" i="6" a="1"/>
  <c r="N132" i="6" s="1"/>
  <c r="J133" i="6" a="1"/>
  <c r="J133" i="6" s="1"/>
  <c r="K133" i="6" a="1"/>
  <c r="K133" i="6" s="1"/>
  <c r="G133" i="6" a="1"/>
  <c r="G133" i="6" s="1"/>
  <c r="AH132" i="6" a="1"/>
  <c r="AH132" i="6" s="1"/>
  <c r="H133" i="6" a="1"/>
  <c r="H133" i="6" s="1"/>
  <c r="N134" i="6" a="1"/>
  <c r="N134" i="6" s="1"/>
  <c r="J132" i="6" a="1"/>
  <c r="J132" i="6" s="1"/>
  <c r="J134" i="6" a="1"/>
  <c r="J134" i="6" s="1"/>
  <c r="Y132" i="6" a="1"/>
  <c r="Y132" i="6" s="1"/>
  <c r="H134" i="6" a="1"/>
  <c r="H134" i="6" s="1"/>
  <c r="K132" i="6" a="1"/>
  <c r="K132" i="6" s="1"/>
  <c r="G132" i="6" a="1"/>
  <c r="G132" i="6" s="1"/>
  <c r="N133" i="6" a="1"/>
  <c r="N133" i="6" s="1"/>
  <c r="E134" i="6" a="1"/>
  <c r="E134" i="6" s="1"/>
  <c r="AB132" i="6" a="1"/>
  <c r="AB132" i="6" s="1"/>
  <c r="AK133" i="6" a="1"/>
  <c r="AK133" i="6" s="1"/>
  <c r="AJ133" i="6" a="1"/>
  <c r="AJ133" i="6" s="1"/>
  <c r="AI132" i="6" a="1"/>
  <c r="AI132" i="6" s="1"/>
  <c r="M133" i="6" a="1"/>
  <c r="M133" i="6" s="1"/>
  <c r="E133" i="6" a="1"/>
  <c r="E133" i="6" s="1"/>
  <c r="Z132" i="6" a="1"/>
  <c r="Z132" i="6" s="1"/>
  <c r="P132" i="6" a="1"/>
  <c r="P132" i="6" s="1"/>
  <c r="F133" i="6" a="1"/>
  <c r="F133" i="6" s="1"/>
  <c r="H132" i="6" a="1"/>
  <c r="H132" i="6" s="1"/>
  <c r="M132" i="6" a="1"/>
  <c r="M132" i="6" s="1"/>
  <c r="AJ132" i="6" a="1"/>
  <c r="AJ132" i="6" s="1"/>
  <c r="AI134" i="6" a="1"/>
  <c r="AI134" i="6" s="1"/>
  <c r="AH134" i="6" a="1"/>
  <c r="AH134" i="6" s="1"/>
  <c r="AC134" i="6" a="1"/>
  <c r="AC134" i="6" s="1"/>
  <c r="AB134" i="6" a="1"/>
  <c r="AB134" i="6" s="1"/>
  <c r="AC133" i="6" a="1"/>
  <c r="AC133" i="6" s="1"/>
  <c r="Z134" i="6" a="1"/>
  <c r="Z134" i="6" s="1"/>
  <c r="Y134" i="6" a="1"/>
  <c r="Y134" i="6" s="1"/>
  <c r="P134" i="6" a="1"/>
  <c r="P134" i="6" s="1"/>
  <c r="M134" i="6" a="1"/>
  <c r="M134" i="6" s="1"/>
  <c r="K134" i="6" a="1"/>
  <c r="K134" i="6" s="1"/>
  <c r="G134" i="6" a="1"/>
  <c r="G134" i="6" s="1"/>
  <c r="F134" i="6" a="1"/>
  <c r="F134" i="6" s="1"/>
  <c r="AI133" i="6" a="1"/>
  <c r="AI133" i="6" s="1"/>
  <c r="AH133" i="6" a="1"/>
  <c r="AH133" i="6" s="1"/>
  <c r="AC132" i="6" a="1"/>
  <c r="AC132" i="6" s="1"/>
  <c r="AB133" i="6" a="1"/>
  <c r="AB133" i="6" s="1"/>
  <c r="AK132" i="6" a="1"/>
  <c r="AK132" i="6" s="1"/>
  <c r="Y130" i="6" a="1"/>
  <c r="Y130" i="6" s="1"/>
  <c r="M130" i="6" a="1"/>
  <c r="M130" i="6" s="1"/>
  <c r="AI129" i="6" a="1"/>
  <c r="AI129" i="6" s="1"/>
  <c r="M129" i="6" a="1"/>
  <c r="M129" i="6" s="1"/>
  <c r="M131" i="6" a="1"/>
  <c r="M131" i="6" s="1"/>
  <c r="K130" i="6" a="1"/>
  <c r="K130" i="6" s="1"/>
  <c r="G130" i="6" a="1"/>
  <c r="G130" i="6" s="1"/>
  <c r="F129" i="6" a="1"/>
  <c r="F129" i="6" s="1"/>
  <c r="AB131" i="6" a="1"/>
  <c r="AB131" i="6" s="1"/>
  <c r="Z130" i="6" a="1"/>
  <c r="Z130" i="6" s="1"/>
  <c r="J129" i="6" a="1"/>
  <c r="J129" i="6" s="1"/>
  <c r="Y131" i="6" a="1"/>
  <c r="Y131" i="6" s="1"/>
  <c r="N129" i="6" a="1"/>
  <c r="N129" i="6" s="1"/>
  <c r="AJ129" i="6" a="1"/>
  <c r="AJ129" i="6" s="1"/>
  <c r="E130" i="6" a="1"/>
  <c r="E130" i="6" s="1"/>
  <c r="K131" i="6" a="1"/>
  <c r="K131" i="6" s="1"/>
  <c r="G131" i="6" a="1"/>
  <c r="G131" i="6" s="1"/>
  <c r="AJ130" i="6" a="1"/>
  <c r="AJ130" i="6" s="1"/>
  <c r="AK129" i="6" a="1"/>
  <c r="AK129" i="6" s="1"/>
  <c r="Y129" i="6" a="1"/>
  <c r="Y129" i="6" s="1"/>
  <c r="P129" i="6" a="1"/>
  <c r="P129" i="6" s="1"/>
  <c r="H129" i="6" a="1"/>
  <c r="H129" i="6" s="1"/>
  <c r="F132" i="6" a="1"/>
  <c r="F132" i="6" s="1"/>
  <c r="E132" i="6" a="1"/>
  <c r="E132" i="6" s="1"/>
  <c r="AK131" i="6" a="1"/>
  <c r="AK131" i="6" s="1"/>
  <c r="AI131" i="6" a="1"/>
  <c r="AI131" i="6" s="1"/>
  <c r="H131" i="6" a="1"/>
  <c r="H131" i="6" s="1"/>
  <c r="F131" i="6" a="1"/>
  <c r="F131" i="6" s="1"/>
  <c r="AC130" i="6" a="1"/>
  <c r="AC130" i="6" s="1"/>
  <c r="P130" i="6" a="1"/>
  <c r="P130" i="6" s="1"/>
  <c r="N130" i="6" a="1"/>
  <c r="N130" i="6" s="1"/>
  <c r="AH129" i="6" a="1"/>
  <c r="AH129" i="6" s="1"/>
  <c r="AH130" i="6" a="1"/>
  <c r="AH130" i="6" s="1"/>
  <c r="Z129" i="6" a="1"/>
  <c r="Z129" i="6" s="1"/>
  <c r="E129" i="6" a="1"/>
  <c r="E129" i="6" s="1"/>
  <c r="AK128" i="6" a="1"/>
  <c r="AK128" i="6" s="1"/>
  <c r="P131" i="6" a="1"/>
  <c r="P131" i="6" s="1"/>
  <c r="AJ131" i="6" a="1"/>
  <c r="AJ131" i="6" s="1"/>
  <c r="AH131" i="6" a="1"/>
  <c r="AH131" i="6" s="1"/>
  <c r="AC131" i="6" a="1"/>
  <c r="AC131" i="6" s="1"/>
  <c r="H130" i="6" a="1"/>
  <c r="H130" i="6" s="1"/>
  <c r="K129" i="6" a="1"/>
  <c r="K129" i="6" s="1"/>
  <c r="Z131" i="6" a="1"/>
  <c r="Z131" i="6" s="1"/>
  <c r="AB129" i="6" a="1"/>
  <c r="AB129" i="6" s="1"/>
  <c r="AI130" i="6" a="1"/>
  <c r="AI130" i="6" s="1"/>
  <c r="N131" i="6" a="1"/>
  <c r="N131" i="6" s="1"/>
  <c r="J131" i="6" a="1"/>
  <c r="J131" i="6" s="1"/>
  <c r="E131" i="6" a="1"/>
  <c r="E131" i="6" s="1"/>
  <c r="J130" i="6" a="1"/>
  <c r="J130" i="6" s="1"/>
  <c r="G129" i="6" a="1"/>
  <c r="G129" i="6" s="1"/>
  <c r="AC129" i="6" a="1"/>
  <c r="AC129" i="6" s="1"/>
  <c r="F130" i="6" a="1"/>
  <c r="F130" i="6" s="1"/>
  <c r="AK130" i="6" a="1"/>
  <c r="AK130" i="6" s="1"/>
  <c r="AB130" i="6" a="1"/>
  <c r="AB130" i="6" s="1"/>
  <c r="E126" i="6" a="1"/>
  <c r="E126" i="6" s="1"/>
  <c r="G128" i="6" a="1"/>
  <c r="G128" i="6" s="1"/>
  <c r="AI126" i="6" a="1"/>
  <c r="AI126" i="6" s="1"/>
  <c r="AC127" i="6" a="1"/>
  <c r="AC127" i="6" s="1"/>
  <c r="N127" i="6" a="1"/>
  <c r="N127" i="6" s="1"/>
  <c r="AC126" i="6" a="1"/>
  <c r="AC126" i="6" s="1"/>
  <c r="Z126" i="6" a="1"/>
  <c r="Z126" i="6" s="1"/>
  <c r="Y126" i="6" a="1"/>
  <c r="Y126" i="6" s="1"/>
  <c r="AH125" i="6" a="1"/>
  <c r="AH125" i="6" s="1"/>
  <c r="AC125" i="6" a="1"/>
  <c r="AC125" i="6" s="1"/>
  <c r="H126" i="6" a="1"/>
  <c r="H126" i="6" s="1"/>
  <c r="AK125" i="6" a="1"/>
  <c r="AK125" i="6" s="1"/>
  <c r="J128" i="6" a="1"/>
  <c r="J128" i="6" s="1"/>
  <c r="AB127" i="6" a="1"/>
  <c r="AB127" i="6" s="1"/>
  <c r="AI125" i="6" a="1"/>
  <c r="AI125" i="6" s="1"/>
  <c r="AK126" i="6" a="1"/>
  <c r="AK126" i="6" s="1"/>
  <c r="P126" i="6" a="1"/>
  <c r="P126" i="6" s="1"/>
  <c r="K126" i="6" a="1"/>
  <c r="K126" i="6" s="1"/>
  <c r="P127" i="6" a="1"/>
  <c r="P127" i="6" s="1"/>
  <c r="J127" i="6" a="1"/>
  <c r="J127" i="6" s="1"/>
  <c r="F127" i="6" a="1"/>
  <c r="F127" i="6" s="1"/>
  <c r="E127" i="6" a="1"/>
  <c r="E127" i="6" s="1"/>
  <c r="N128" i="6" a="1"/>
  <c r="N128" i="6" s="1"/>
  <c r="AI127" i="6" a="1"/>
  <c r="AI127" i="6" s="1"/>
  <c r="AB126" i="6" a="1"/>
  <c r="AB126" i="6" s="1"/>
  <c r="N126" i="6" a="1"/>
  <c r="N126" i="6" s="1"/>
  <c r="M127" i="6" a="1"/>
  <c r="M127" i="6" s="1"/>
  <c r="G126" i="6" a="1"/>
  <c r="G126" i="6" s="1"/>
  <c r="H128" i="6" a="1"/>
  <c r="H128" i="6" s="1"/>
  <c r="Z128" i="6" a="1"/>
  <c r="Z128" i="6" s="1"/>
  <c r="AJ125" i="6" a="1"/>
  <c r="AJ125" i="6" s="1"/>
  <c r="AK127" i="6" a="1"/>
  <c r="AK127" i="6" s="1"/>
  <c r="AH127" i="6" a="1"/>
  <c r="AH127" i="6" s="1"/>
  <c r="AH126" i="6" a="1"/>
  <c r="AH126" i="6" s="1"/>
  <c r="AJ128" i="6" a="1"/>
  <c r="AJ128" i="6" s="1"/>
  <c r="AI128" i="6" a="1"/>
  <c r="AI128" i="6" s="1"/>
  <c r="G127" i="6" a="1"/>
  <c r="G127" i="6" s="1"/>
  <c r="AH128" i="6" a="1"/>
  <c r="AH128" i="6" s="1"/>
  <c r="AC128" i="6" a="1"/>
  <c r="AC128" i="6" s="1"/>
  <c r="M128" i="6" a="1"/>
  <c r="M128" i="6" s="1"/>
  <c r="E128" i="6" a="1"/>
  <c r="E128" i="6" s="1"/>
  <c r="AJ126" i="6" a="1"/>
  <c r="AJ126" i="6" s="1"/>
  <c r="Z127" i="6" a="1"/>
  <c r="Z127" i="6" s="1"/>
  <c r="AB128" i="6" a="1"/>
  <c r="AB128" i="6" s="1"/>
  <c r="Y128" i="6" a="1"/>
  <c r="Y128" i="6" s="1"/>
  <c r="P128" i="6" a="1"/>
  <c r="P128" i="6" s="1"/>
  <c r="M126" i="6" a="1"/>
  <c r="M126" i="6" s="1"/>
  <c r="F126" i="6" a="1"/>
  <c r="F126" i="6" s="1"/>
  <c r="K128" i="6" a="1"/>
  <c r="K128" i="6" s="1"/>
  <c r="F128" i="6" a="1"/>
  <c r="F128" i="6" s="1"/>
  <c r="H127" i="6" a="1"/>
  <c r="H127" i="6" s="1"/>
  <c r="AJ127" i="6" a="1"/>
  <c r="AJ127" i="6" s="1"/>
  <c r="K127" i="6" a="1"/>
  <c r="K127" i="6" s="1"/>
  <c r="Y127" i="6" a="1"/>
  <c r="Y127" i="6" s="1"/>
  <c r="J126" i="6" a="1"/>
  <c r="J126" i="6" s="1"/>
  <c r="F121" i="6" a="1"/>
  <c r="F121" i="6" s="1"/>
  <c r="E121" i="6" a="1"/>
  <c r="E121" i="6" s="1"/>
  <c r="AJ119" i="6" a="1"/>
  <c r="AJ119" i="6" s="1"/>
  <c r="P120" i="6" a="1"/>
  <c r="P120" i="6" s="1"/>
  <c r="Z119" i="6" a="1"/>
  <c r="Z119" i="6" s="1"/>
  <c r="AH118" i="6" a="1"/>
  <c r="AH118" i="6" s="1"/>
  <c r="G119" i="6" a="1"/>
  <c r="G119" i="6" s="1"/>
  <c r="AK120" i="6" a="1"/>
  <c r="AK120" i="6" s="1"/>
  <c r="AI120" i="6" a="1"/>
  <c r="AI120" i="6" s="1"/>
  <c r="E120" i="6" a="1"/>
  <c r="E120" i="6" s="1"/>
  <c r="AH120" i="6" a="1"/>
  <c r="AH120" i="6" s="1"/>
  <c r="AB120" i="6" a="1"/>
  <c r="AB120" i="6" s="1"/>
  <c r="N120" i="6" a="1"/>
  <c r="N120" i="6" s="1"/>
  <c r="J120" i="6" a="1"/>
  <c r="J120" i="6" s="1"/>
  <c r="H120" i="6" a="1"/>
  <c r="H120" i="6" s="1"/>
  <c r="G120" i="6" a="1"/>
  <c r="G120" i="6" s="1"/>
  <c r="AH119" i="6" a="1"/>
  <c r="AH119" i="6" s="1"/>
  <c r="M119" i="6" a="1"/>
  <c r="M119" i="6" s="1"/>
  <c r="K119" i="6" a="1"/>
  <c r="K119" i="6" s="1"/>
  <c r="AK119" i="6" a="1"/>
  <c r="AK119" i="6" s="1"/>
  <c r="AI119" i="6" a="1"/>
  <c r="AI119" i="6" s="1"/>
  <c r="H119" i="6" a="1"/>
  <c r="H119" i="6" s="1"/>
  <c r="Y118" i="6" a="1"/>
  <c r="Y118" i="6" s="1"/>
  <c r="Y119" i="6" a="1"/>
  <c r="Y119" i="6" s="1"/>
  <c r="F119" i="6" a="1"/>
  <c r="F119" i="6" s="1"/>
  <c r="AJ118" i="6" a="1"/>
  <c r="AJ118" i="6" s="1"/>
  <c r="AB119" i="6" a="1"/>
  <c r="AB119" i="6" s="1"/>
  <c r="AC118" i="6" a="1"/>
  <c r="AC118" i="6" s="1"/>
  <c r="AK118" i="6" a="1"/>
  <c r="AK118" i="6" s="1"/>
  <c r="M120" i="6" a="1"/>
  <c r="M120" i="6" s="1"/>
  <c r="M121" i="6" a="1"/>
  <c r="M121" i="6" s="1"/>
  <c r="AI118" i="6" a="1"/>
  <c r="AI118" i="6" s="1"/>
  <c r="J121" i="6" a="1"/>
  <c r="J121" i="6" s="1"/>
  <c r="G121" i="6" a="1"/>
  <c r="G121" i="6" s="1"/>
  <c r="AC120" i="6" a="1"/>
  <c r="AC120" i="6" s="1"/>
  <c r="E119" i="6" a="1"/>
  <c r="E119" i="6" s="1"/>
  <c r="AB118" i="6" a="1"/>
  <c r="AB118" i="6" s="1"/>
  <c r="P119" i="6" a="1"/>
  <c r="P119" i="6" s="1"/>
  <c r="Z118" i="6" a="1"/>
  <c r="Z118" i="6" s="1"/>
  <c r="K121" i="6" a="1"/>
  <c r="K121" i="6" s="1"/>
  <c r="AJ120" i="6" a="1"/>
  <c r="AJ120" i="6" s="1"/>
  <c r="Z120" i="6" a="1"/>
  <c r="Z120" i="6" s="1"/>
  <c r="P118" i="6" a="1"/>
  <c r="P118" i="6" s="1"/>
  <c r="Y120" i="6" a="1"/>
  <c r="Y120" i="6" s="1"/>
  <c r="F120" i="6" a="1"/>
  <c r="F120" i="6" s="1"/>
  <c r="K120" i="6" a="1"/>
  <c r="K120" i="6" s="1"/>
  <c r="N119" i="6" a="1"/>
  <c r="N119" i="6" s="1"/>
  <c r="J119" i="6" a="1"/>
  <c r="J119" i="6" s="1"/>
  <c r="H121" i="6" a="1"/>
  <c r="H121" i="6" s="1"/>
  <c r="AC119" i="6" a="1"/>
  <c r="AC119" i="6" s="1"/>
  <c r="AC116" i="6" a="1"/>
  <c r="AC116" i="6" s="1"/>
  <c r="N117" i="6" a="1"/>
  <c r="N117" i="6" s="1"/>
  <c r="AH115" i="6" a="1"/>
  <c r="AH115" i="6" s="1"/>
  <c r="P115" i="6" a="1"/>
  <c r="P115" i="6" s="1"/>
  <c r="AJ115" i="6" a="1"/>
  <c r="AJ115" i="6" s="1"/>
  <c r="AB115" i="6" a="1"/>
  <c r="AB115" i="6" s="1"/>
  <c r="H116" i="6" a="1"/>
  <c r="H116" i="6" s="1"/>
  <c r="K117" i="6" a="1"/>
  <c r="K117" i="6" s="1"/>
  <c r="G116" i="6" a="1"/>
  <c r="G116" i="6" s="1"/>
  <c r="AI116" i="6" a="1"/>
  <c r="AI116" i="6" s="1"/>
  <c r="G117" i="6" a="1"/>
  <c r="G117" i="6" s="1"/>
  <c r="E117" i="6" a="1"/>
  <c r="E117" i="6" s="1"/>
  <c r="P117" i="6" a="1"/>
  <c r="P117" i="6" s="1"/>
  <c r="N118" i="6" a="1"/>
  <c r="N118" i="6" s="1"/>
  <c r="M118" i="6" a="1"/>
  <c r="M118" i="6" s="1"/>
  <c r="J118" i="6" a="1"/>
  <c r="J118" i="6" s="1"/>
  <c r="Y116" i="6" a="1"/>
  <c r="Y116" i="6" s="1"/>
  <c r="E118" i="6" a="1"/>
  <c r="E118" i="6" s="1"/>
  <c r="M117" i="6" a="1"/>
  <c r="M117" i="6" s="1"/>
  <c r="G118" i="6" a="1"/>
  <c r="G118" i="6" s="1"/>
  <c r="J116" i="6" a="1"/>
  <c r="J116" i="6" s="1"/>
  <c r="AJ117" i="6" a="1"/>
  <c r="AJ117" i="6" s="1"/>
  <c r="H118" i="6" a="1"/>
  <c r="H118" i="6" s="1"/>
  <c r="AB116" i="6" a="1"/>
  <c r="AB116" i="6" s="1"/>
  <c r="N115" i="6" a="1"/>
  <c r="N115" i="6" s="1"/>
  <c r="M116" i="6" a="1"/>
  <c r="M116" i="6" s="1"/>
  <c r="E116" i="6" a="1"/>
  <c r="E116" i="6" s="1"/>
  <c r="AH117" i="6" a="1"/>
  <c r="AH117" i="6" s="1"/>
  <c r="AH116" i="6" a="1"/>
  <c r="AH116" i="6" s="1"/>
  <c r="P116" i="6" a="1"/>
  <c r="P116" i="6" s="1"/>
  <c r="Y115" i="6" a="1"/>
  <c r="Y115" i="6" s="1"/>
  <c r="K118" i="6" a="1"/>
  <c r="K118" i="6" s="1"/>
  <c r="AI117" i="6" a="1"/>
  <c r="AI117" i="6" s="1"/>
  <c r="K116" i="6" a="1"/>
  <c r="K116" i="6" s="1"/>
  <c r="F118" i="6" a="1"/>
  <c r="F118" i="6" s="1"/>
  <c r="F116" i="6" a="1"/>
  <c r="F116" i="6" s="1"/>
  <c r="AJ116" i="6" a="1"/>
  <c r="AJ116" i="6" s="1"/>
  <c r="AK117" i="6" a="1"/>
  <c r="AK117" i="6" s="1"/>
  <c r="Z115" i="6" a="1"/>
  <c r="Z115" i="6" s="1"/>
  <c r="AC115" i="6" a="1"/>
  <c r="AC115" i="6" s="1"/>
  <c r="AC117" i="6" a="1"/>
  <c r="AC117" i="6" s="1"/>
  <c r="AK116" i="6" a="1"/>
  <c r="AK116" i="6" s="1"/>
  <c r="Z117" i="6" a="1"/>
  <c r="Z117" i="6" s="1"/>
  <c r="AB117" i="6" a="1"/>
  <c r="AB117" i="6" s="1"/>
  <c r="Y117" i="6" a="1"/>
  <c r="Y117" i="6" s="1"/>
  <c r="Z116" i="6" a="1"/>
  <c r="Z116" i="6" s="1"/>
  <c r="H117" i="6" a="1"/>
  <c r="H117" i="6" s="1"/>
  <c r="M115" i="6" a="1"/>
  <c r="M115" i="6" s="1"/>
  <c r="J117" i="6" a="1"/>
  <c r="J117" i="6" s="1"/>
  <c r="AI115" i="6" a="1"/>
  <c r="AI115" i="6" s="1"/>
  <c r="AK115" i="6" a="1"/>
  <c r="AK115" i="6" s="1"/>
  <c r="F117" i="6" a="1"/>
  <c r="F117" i="6" s="1"/>
  <c r="N116" i="6" a="1"/>
  <c r="N116" i="6" s="1"/>
  <c r="N113" i="6" a="1"/>
  <c r="N113" i="6" s="1"/>
  <c r="AI113" i="6" a="1"/>
  <c r="AI113" i="6" s="1"/>
  <c r="AK113" i="6" a="1"/>
  <c r="AK113" i="6" s="1"/>
  <c r="AJ114" i="6" a="1"/>
  <c r="AJ114" i="6" s="1"/>
  <c r="AC114" i="6" a="1"/>
  <c r="AC114" i="6" s="1"/>
  <c r="AH112" i="6" a="1"/>
  <c r="AH112" i="6" s="1"/>
  <c r="AB114" i="6" a="1"/>
  <c r="AB114" i="6" s="1"/>
  <c r="AC113" i="6" a="1"/>
  <c r="AC113" i="6" s="1"/>
  <c r="K113" i="6" a="1"/>
  <c r="K113" i="6" s="1"/>
  <c r="AI112" i="6" a="1"/>
  <c r="AI112" i="6" s="1"/>
  <c r="Z112" i="6" a="1"/>
  <c r="Z112" i="6" s="1"/>
  <c r="AC112" i="6" a="1"/>
  <c r="AC112" i="6" s="1"/>
  <c r="Y114" i="6" a="1"/>
  <c r="Y114" i="6" s="1"/>
  <c r="G114" i="6" a="1"/>
  <c r="G114" i="6" s="1"/>
  <c r="E114" i="6" a="1"/>
  <c r="E114" i="6" s="1"/>
  <c r="G113" i="6" a="1"/>
  <c r="G113" i="6" s="1"/>
  <c r="Y113" i="6" a="1"/>
  <c r="Y113" i="6" s="1"/>
  <c r="P113" i="6" a="1"/>
  <c r="P113" i="6" s="1"/>
  <c r="H113" i="6" a="1"/>
  <c r="H113" i="6" s="1"/>
  <c r="Y112" i="6" a="1"/>
  <c r="Y112" i="6" s="1"/>
  <c r="J112" i="6" a="1"/>
  <c r="J112" i="6" s="1"/>
  <c r="AK112" i="6" a="1"/>
  <c r="AK112" i="6" s="1"/>
  <c r="Z113" i="6" a="1"/>
  <c r="Z113" i="6" s="1"/>
  <c r="N114" i="6" a="1"/>
  <c r="N114" i="6" s="1"/>
  <c r="H112" i="6" a="1"/>
  <c r="H112" i="6" s="1"/>
  <c r="J114" i="6" a="1"/>
  <c r="J114" i="6" s="1"/>
  <c r="N112" i="6" a="1"/>
  <c r="N112" i="6" s="1"/>
  <c r="M112" i="6" a="1"/>
  <c r="M112" i="6" s="1"/>
  <c r="AB113" i="6" a="1"/>
  <c r="AB113" i="6" s="1"/>
  <c r="AH113" i="6" a="1"/>
  <c r="AH113" i="6" s="1"/>
  <c r="F113" i="6" a="1"/>
  <c r="F113" i="6" s="1"/>
  <c r="AB112" i="6" a="1"/>
  <c r="AB112" i="6" s="1"/>
  <c r="K115" i="6" a="1"/>
  <c r="K115" i="6" s="1"/>
  <c r="J113" i="6" a="1"/>
  <c r="J113" i="6" s="1"/>
  <c r="J115" i="6" a="1"/>
  <c r="J115" i="6" s="1"/>
  <c r="P112" i="6" a="1"/>
  <c r="P112" i="6" s="1"/>
  <c r="H115" i="6" a="1"/>
  <c r="H115" i="6" s="1"/>
  <c r="P114" i="6" a="1"/>
  <c r="P114" i="6" s="1"/>
  <c r="G115" i="6" a="1"/>
  <c r="G115" i="6" s="1"/>
  <c r="F115" i="6" a="1"/>
  <c r="F115" i="6" s="1"/>
  <c r="E115" i="6" a="1"/>
  <c r="E115" i="6" s="1"/>
  <c r="M114" i="6" a="1"/>
  <c r="M114" i="6" s="1"/>
  <c r="AJ113" i="6" a="1"/>
  <c r="AJ113" i="6" s="1"/>
  <c r="K112" i="6" a="1"/>
  <c r="K112" i="6" s="1"/>
  <c r="E113" i="6" a="1"/>
  <c r="E113" i="6" s="1"/>
  <c r="K114" i="6" a="1"/>
  <c r="K114" i="6" s="1"/>
  <c r="AJ112" i="6" a="1"/>
  <c r="AJ112" i="6" s="1"/>
  <c r="M113" i="6" a="1"/>
  <c r="M113" i="6" s="1"/>
  <c r="AK114" i="6" a="1"/>
  <c r="AK114" i="6" s="1"/>
  <c r="Z114" i="6" a="1"/>
  <c r="Z114" i="6" s="1"/>
  <c r="AI114" i="6" a="1"/>
  <c r="AI114" i="6" s="1"/>
  <c r="H114" i="6" a="1"/>
  <c r="H114" i="6" s="1"/>
  <c r="F114" i="6" a="1"/>
  <c r="F114" i="6" s="1"/>
  <c r="AH114" i="6" a="1"/>
  <c r="AH114" i="6" s="1"/>
  <c r="Z109" i="6" a="1"/>
  <c r="Z109" i="6" s="1"/>
  <c r="Z110" i="6" a="1"/>
  <c r="Z110" i="6" s="1"/>
  <c r="J110" i="6" a="1"/>
  <c r="J110" i="6" s="1"/>
  <c r="AJ109" i="6" a="1"/>
  <c r="AJ109" i="6" s="1"/>
  <c r="AC109" i="6" a="1"/>
  <c r="AC109" i="6" s="1"/>
  <c r="Y110" i="6" a="1"/>
  <c r="Y110" i="6" s="1"/>
  <c r="H110" i="6" a="1"/>
  <c r="H110" i="6" s="1"/>
  <c r="AK109" i="6" a="1"/>
  <c r="AK109" i="6" s="1"/>
  <c r="N110" i="6" a="1"/>
  <c r="N110" i="6" s="1"/>
  <c r="N109" i="6" a="1"/>
  <c r="N109" i="6" s="1"/>
  <c r="M110" i="6" a="1"/>
  <c r="M110" i="6" s="1"/>
  <c r="F110" i="6" a="1"/>
  <c r="F110" i="6" s="1"/>
  <c r="AI109" i="6" a="1"/>
  <c r="AI109" i="6" s="1"/>
  <c r="J109" i="6" a="1"/>
  <c r="J109" i="6" s="1"/>
  <c r="E109" i="6" a="1"/>
  <c r="E109" i="6" s="1"/>
  <c r="Y109" i="6" a="1"/>
  <c r="Y109" i="6" s="1"/>
  <c r="F109" i="6" a="1"/>
  <c r="F109" i="6" s="1"/>
  <c r="E112" i="6" a="1"/>
  <c r="E112" i="6" s="1"/>
  <c r="K110" i="6" a="1"/>
  <c r="K110" i="6" s="1"/>
  <c r="M109" i="6" a="1"/>
  <c r="M109" i="6" s="1"/>
  <c r="G112" i="6" a="1"/>
  <c r="G112" i="6" s="1"/>
  <c r="AB111" i="6" a="1"/>
  <c r="AB111" i="6" s="1"/>
  <c r="H109" i="6" a="1"/>
  <c r="H109" i="6" s="1"/>
  <c r="AB110" i="6" a="1"/>
  <c r="AB110" i="6" s="1"/>
  <c r="K109" i="6" a="1"/>
  <c r="K109" i="6" s="1"/>
  <c r="E110" i="6" a="1"/>
  <c r="E110" i="6" s="1"/>
  <c r="AH109" i="6" a="1"/>
  <c r="AH109" i="6" s="1"/>
  <c r="F112" i="6" a="1"/>
  <c r="F112" i="6" s="1"/>
  <c r="Y111" i="6" a="1"/>
  <c r="Y111" i="6" s="1"/>
  <c r="P111" i="6" a="1"/>
  <c r="P111" i="6" s="1"/>
  <c r="AK108" i="6" a="1"/>
  <c r="AK108" i="6" s="1"/>
  <c r="AK111" i="6" a="1"/>
  <c r="AK111" i="6" s="1"/>
  <c r="G109" i="6" a="1"/>
  <c r="G109" i="6" s="1"/>
  <c r="M111" i="6" a="1"/>
  <c r="M111" i="6" s="1"/>
  <c r="E111" i="6" a="1"/>
  <c r="E111" i="6" s="1"/>
  <c r="AJ111" i="6" a="1"/>
  <c r="AJ111" i="6" s="1"/>
  <c r="K111" i="6" a="1"/>
  <c r="K111" i="6" s="1"/>
  <c r="G111" i="6" a="1"/>
  <c r="G111" i="6" s="1"/>
  <c r="AH110" i="6" a="1"/>
  <c r="AH110" i="6" s="1"/>
  <c r="AI111" i="6" a="1"/>
  <c r="AI111" i="6" s="1"/>
  <c r="AH111" i="6" a="1"/>
  <c r="AH111" i="6" s="1"/>
  <c r="AC111" i="6" a="1"/>
  <c r="AC111" i="6" s="1"/>
  <c r="Z111" i="6" a="1"/>
  <c r="Z111" i="6" s="1"/>
  <c r="F111" i="6" a="1"/>
  <c r="F111" i="6" s="1"/>
  <c r="N111" i="6" a="1"/>
  <c r="N111" i="6" s="1"/>
  <c r="P110" i="6" a="1"/>
  <c r="P110" i="6" s="1"/>
  <c r="AI110" i="6" a="1"/>
  <c r="AI110" i="6" s="1"/>
  <c r="AC110" i="6" a="1"/>
  <c r="AC110" i="6" s="1"/>
  <c r="G110" i="6" a="1"/>
  <c r="G110" i="6" s="1"/>
  <c r="J111" i="6" a="1"/>
  <c r="J111" i="6" s="1"/>
  <c r="AB109" i="6" a="1"/>
  <c r="AB109" i="6" s="1"/>
  <c r="H111" i="6" a="1"/>
  <c r="H111" i="6" s="1"/>
  <c r="P109" i="6" a="1"/>
  <c r="P109" i="6" s="1"/>
  <c r="AK110" i="6" a="1"/>
  <c r="AK110" i="6" s="1"/>
  <c r="AJ110" i="6" a="1"/>
  <c r="AJ110" i="6" s="1"/>
  <c r="N106" i="6" a="1"/>
  <c r="N106" i="6" s="1"/>
  <c r="K108" i="6" a="1"/>
  <c r="K108" i="6" s="1"/>
  <c r="E108" i="6" a="1"/>
  <c r="E108" i="6" s="1"/>
  <c r="AB107" i="6" a="1"/>
  <c r="AB107" i="6" s="1"/>
  <c r="AC105" i="6" a="1"/>
  <c r="AC105" i="6" s="1"/>
  <c r="G108" i="6" a="1"/>
  <c r="G108" i="6" s="1"/>
  <c r="AH106" i="6" a="1"/>
  <c r="AH106" i="6" s="1"/>
  <c r="N108" i="6" a="1"/>
  <c r="N108" i="6" s="1"/>
  <c r="M108" i="6" a="1"/>
  <c r="M108" i="6" s="1"/>
  <c r="F108" i="6" a="1"/>
  <c r="F108" i="6" s="1"/>
  <c r="AK107" i="6" a="1"/>
  <c r="AK107" i="6" s="1"/>
  <c r="G107" i="6" a="1"/>
  <c r="G107" i="6" s="1"/>
  <c r="F106" i="6" a="1"/>
  <c r="F106" i="6" s="1"/>
  <c r="E107" i="6" a="1"/>
  <c r="E107" i="6" s="1"/>
  <c r="AI105" i="6" a="1"/>
  <c r="AI105" i="6" s="1"/>
  <c r="AJ107" i="6" a="1"/>
  <c r="AJ107" i="6" s="1"/>
  <c r="AC107" i="6" a="1"/>
  <c r="AC107" i="6" s="1"/>
  <c r="Y107" i="6" a="1"/>
  <c r="Y107" i="6" s="1"/>
  <c r="P107" i="6" a="1"/>
  <c r="P107" i="6" s="1"/>
  <c r="J107" i="6" a="1"/>
  <c r="J107" i="6" s="1"/>
  <c r="H107" i="6" a="1"/>
  <c r="H107" i="6" s="1"/>
  <c r="AH105" i="6" a="1"/>
  <c r="AH105" i="6" s="1"/>
  <c r="AC106" i="6" a="1"/>
  <c r="AC106" i="6" s="1"/>
  <c r="AK105" i="6" a="1"/>
  <c r="AK105" i="6" s="1"/>
  <c r="AB106" i="6" a="1"/>
  <c r="AB106" i="6" s="1"/>
  <c r="M106" i="6" a="1"/>
  <c r="M106" i="6" s="1"/>
  <c r="AJ105" i="6" a="1"/>
  <c r="AJ105" i="6" s="1"/>
  <c r="Z106" i="6" a="1"/>
  <c r="Z106" i="6" s="1"/>
  <c r="AJ106" i="6" a="1"/>
  <c r="AJ106" i="6" s="1"/>
  <c r="H108" i="6" a="1"/>
  <c r="H108" i="6" s="1"/>
  <c r="J106" i="6" a="1"/>
  <c r="J106" i="6" s="1"/>
  <c r="E106" i="6" a="1"/>
  <c r="E106" i="6" s="1"/>
  <c r="J108" i="6" a="1"/>
  <c r="J108" i="6" s="1"/>
  <c r="F107" i="6" a="1"/>
  <c r="F107" i="6" s="1"/>
  <c r="AH107" i="6" a="1"/>
  <c r="AH107" i="6" s="1"/>
  <c r="M107" i="6" a="1"/>
  <c r="M107" i="6" s="1"/>
  <c r="G106" i="6" a="1"/>
  <c r="G106" i="6" s="1"/>
  <c r="Z107" i="6" a="1"/>
  <c r="Z107" i="6" s="1"/>
  <c r="N107" i="6" a="1"/>
  <c r="N107" i="6" s="1"/>
  <c r="AK106" i="6" a="1"/>
  <c r="AK106" i="6" s="1"/>
  <c r="H106" i="6" a="1"/>
  <c r="H106" i="6" s="1"/>
  <c r="AJ108" i="6" a="1"/>
  <c r="AJ108" i="6" s="1"/>
  <c r="AI108" i="6" a="1"/>
  <c r="AI108" i="6" s="1"/>
  <c r="AH108" i="6" a="1"/>
  <c r="AH108" i="6" s="1"/>
  <c r="P106" i="6" a="1"/>
  <c r="P106" i="6" s="1"/>
  <c r="AI106" i="6" a="1"/>
  <c r="AI106" i="6" s="1"/>
  <c r="AC108" i="6" a="1"/>
  <c r="AC108" i="6" s="1"/>
  <c r="Y106" i="6" a="1"/>
  <c r="Y106" i="6" s="1"/>
  <c r="AB108" i="6" a="1"/>
  <c r="AB108" i="6" s="1"/>
  <c r="Z108" i="6" a="1"/>
  <c r="Z108" i="6" s="1"/>
  <c r="K107" i="6" a="1"/>
  <c r="K107" i="6" s="1"/>
  <c r="AI107" i="6" a="1"/>
  <c r="AI107" i="6" s="1"/>
  <c r="Y108" i="6" a="1"/>
  <c r="Y108" i="6" s="1"/>
  <c r="K106" i="6" a="1"/>
  <c r="K106" i="6" s="1"/>
  <c r="P108" i="6" a="1"/>
  <c r="P108" i="6" s="1"/>
  <c r="AK103" i="6" a="1"/>
  <c r="AK103" i="6" s="1"/>
  <c r="AJ103" i="6" a="1"/>
  <c r="AJ103" i="6" s="1"/>
  <c r="AC103" i="6" a="1"/>
  <c r="AC103" i="6" s="1"/>
  <c r="Z105" i="6" a="1"/>
  <c r="Z105" i="6" s="1"/>
  <c r="M105" i="6" a="1"/>
  <c r="M105" i="6" s="1"/>
  <c r="AI104" i="6" a="1"/>
  <c r="AI104" i="6" s="1"/>
  <c r="AH103" i="6" a="1"/>
  <c r="AH103" i="6" s="1"/>
  <c r="AI103" i="6" a="1"/>
  <c r="AI103" i="6" s="1"/>
  <c r="H103" i="6" a="1"/>
  <c r="H103" i="6" s="1"/>
  <c r="AI102" i="6" a="1"/>
  <c r="AI102" i="6" s="1"/>
  <c r="G103" i="6" a="1"/>
  <c r="G103" i="6" s="1"/>
  <c r="Z102" i="6" a="1"/>
  <c r="Z102" i="6" s="1"/>
  <c r="K104" i="6" a="1"/>
  <c r="K104" i="6" s="1"/>
  <c r="J104" i="6" a="1"/>
  <c r="J104" i="6" s="1"/>
  <c r="N103" i="6" a="1"/>
  <c r="N103" i="6" s="1"/>
  <c r="H104" i="6" a="1"/>
  <c r="H104" i="6" s="1"/>
  <c r="Y105" i="6" a="1"/>
  <c r="Y105" i="6" s="1"/>
  <c r="N105" i="6" a="1"/>
  <c r="N105" i="6" s="1"/>
  <c r="E103" i="6" a="1"/>
  <c r="E103" i="6" s="1"/>
  <c r="K105" i="6" a="1"/>
  <c r="K105" i="6" s="1"/>
  <c r="AH104" i="6" a="1"/>
  <c r="AH104" i="6" s="1"/>
  <c r="M104" i="6" a="1"/>
  <c r="M104" i="6" s="1"/>
  <c r="Y104" i="6" a="1"/>
  <c r="Y104" i="6" s="1"/>
  <c r="P104" i="6" a="1"/>
  <c r="P104" i="6" s="1"/>
  <c r="N104" i="6" a="1"/>
  <c r="N104" i="6" s="1"/>
  <c r="P103" i="6" a="1"/>
  <c r="P103" i="6" s="1"/>
  <c r="F103" i="6" a="1"/>
  <c r="F103" i="6" s="1"/>
  <c r="AC102" i="6" a="1"/>
  <c r="AC102" i="6" s="1"/>
  <c r="Y102" i="6" a="1"/>
  <c r="Y102" i="6" s="1"/>
  <c r="E105" i="6" a="1"/>
  <c r="E105" i="6" s="1"/>
  <c r="Z103" i="6" a="1"/>
  <c r="Z103" i="6" s="1"/>
  <c r="P105" i="6" a="1"/>
  <c r="P105" i="6" s="1"/>
  <c r="G105" i="6" a="1"/>
  <c r="G105" i="6" s="1"/>
  <c r="K103" i="6" a="1"/>
  <c r="K103" i="6" s="1"/>
  <c r="AB103" i="6" a="1"/>
  <c r="AB103" i="6" s="1"/>
  <c r="J105" i="6" a="1"/>
  <c r="J105" i="6" s="1"/>
  <c r="M103" i="6" a="1"/>
  <c r="M103" i="6" s="1"/>
  <c r="AH102" i="6" a="1"/>
  <c r="AH102" i="6" s="1"/>
  <c r="H105" i="6" a="1"/>
  <c r="H105" i="6" s="1"/>
  <c r="AK104" i="6" a="1"/>
  <c r="AK104" i="6" s="1"/>
  <c r="AC104" i="6" a="1"/>
  <c r="AC104" i="6" s="1"/>
  <c r="Z104" i="6" a="1"/>
  <c r="Z104" i="6" s="1"/>
  <c r="E104" i="6" a="1"/>
  <c r="E104" i="6" s="1"/>
  <c r="Y103" i="6" a="1"/>
  <c r="Y103" i="6" s="1"/>
  <c r="AJ102" i="6" a="1"/>
  <c r="AJ102" i="6" s="1"/>
  <c r="P102" i="6" a="1"/>
  <c r="P102" i="6" s="1"/>
  <c r="AB102" i="6" a="1"/>
  <c r="AB102" i="6" s="1"/>
  <c r="G104" i="6" a="1"/>
  <c r="G104" i="6" s="1"/>
  <c r="J103" i="6" a="1"/>
  <c r="J103" i="6" s="1"/>
  <c r="F104" i="6" a="1"/>
  <c r="F104" i="6" s="1"/>
  <c r="F105" i="6" a="1"/>
  <c r="F105" i="6" s="1"/>
  <c r="AJ104" i="6" a="1"/>
  <c r="AJ104" i="6" s="1"/>
  <c r="AB105" i="6" a="1"/>
  <c r="AB105" i="6" s="1"/>
  <c r="AK102" i="6" a="1"/>
  <c r="AK102" i="6" s="1"/>
  <c r="AB104" i="6" a="1"/>
  <c r="AB104" i="6" s="1"/>
  <c r="J100" i="6" a="1"/>
  <c r="J100" i="6" s="1"/>
  <c r="N99" i="6" a="1"/>
  <c r="N99" i="6" s="1"/>
  <c r="E100" i="6" a="1"/>
  <c r="E100" i="6" s="1"/>
  <c r="AJ99" i="6" a="1"/>
  <c r="AJ99" i="6" s="1"/>
  <c r="AH99" i="6" a="1"/>
  <c r="AH99" i="6" s="1"/>
  <c r="G100" i="6" a="1"/>
  <c r="G100" i="6" s="1"/>
  <c r="G102" i="6" a="1"/>
  <c r="G102" i="6" s="1"/>
  <c r="F102" i="6" a="1"/>
  <c r="F102" i="6" s="1"/>
  <c r="J101" i="6" a="1"/>
  <c r="J101" i="6" s="1"/>
  <c r="Z99" i="6" a="1"/>
  <c r="Z99" i="6" s="1"/>
  <c r="M101" i="6" a="1"/>
  <c r="M101" i="6" s="1"/>
  <c r="AJ101" i="6" a="1"/>
  <c r="AJ101" i="6" s="1"/>
  <c r="N101" i="6" a="1"/>
  <c r="N101" i="6" s="1"/>
  <c r="Y100" i="6" a="1"/>
  <c r="Y100" i="6" s="1"/>
  <c r="AB99" i="6" a="1"/>
  <c r="AB99" i="6" s="1"/>
  <c r="N100" i="6" a="1"/>
  <c r="N100" i="6" s="1"/>
  <c r="F100" i="6" a="1"/>
  <c r="F100" i="6" s="1"/>
  <c r="E102" i="6" a="1"/>
  <c r="E102" i="6" s="1"/>
  <c r="AH101" i="6" a="1"/>
  <c r="AH101" i="6" s="1"/>
  <c r="AH100" i="6" a="1"/>
  <c r="AH100" i="6" s="1"/>
  <c r="G101" i="6" a="1"/>
  <c r="G101" i="6" s="1"/>
  <c r="Z101" i="6" a="1"/>
  <c r="Z101" i="6" s="1"/>
  <c r="P101" i="6" a="1"/>
  <c r="P101" i="6" s="1"/>
  <c r="P99" i="6" a="1"/>
  <c r="P99" i="6" s="1"/>
  <c r="AI100" i="6" a="1"/>
  <c r="AI100" i="6" s="1"/>
  <c r="AC100" i="6" a="1"/>
  <c r="AC100" i="6" s="1"/>
  <c r="AK99" i="6" a="1"/>
  <c r="AK99" i="6" s="1"/>
  <c r="P100" i="6" a="1"/>
  <c r="P100" i="6" s="1"/>
  <c r="F101" i="6" a="1"/>
  <c r="F101" i="6" s="1"/>
  <c r="E101" i="6" a="1"/>
  <c r="E101" i="6" s="1"/>
  <c r="M100" i="6" a="1"/>
  <c r="M100" i="6" s="1"/>
  <c r="H101" i="6" a="1"/>
  <c r="H101" i="6" s="1"/>
  <c r="K100" i="6" a="1"/>
  <c r="K100" i="6" s="1"/>
  <c r="AB100" i="6" a="1"/>
  <c r="AB100" i="6" s="1"/>
  <c r="N102" i="6" a="1"/>
  <c r="N102" i="6" s="1"/>
  <c r="M102" i="6" a="1"/>
  <c r="M102" i="6" s="1"/>
  <c r="K102" i="6" a="1"/>
  <c r="K102" i="6" s="1"/>
  <c r="AI101" i="6" a="1"/>
  <c r="AI101" i="6" s="1"/>
  <c r="J102" i="6" a="1"/>
  <c r="J102" i="6" s="1"/>
  <c r="H102" i="6" a="1"/>
  <c r="H102" i="6" s="1"/>
  <c r="AI99" i="6" a="1"/>
  <c r="AI99" i="6" s="1"/>
  <c r="K101" i="6" a="1"/>
  <c r="K101" i="6" s="1"/>
  <c r="H100" i="6" a="1"/>
  <c r="H100" i="6" s="1"/>
  <c r="Y99" i="6" a="1"/>
  <c r="Y99" i="6" s="1"/>
  <c r="AC99" i="6" a="1"/>
  <c r="AC99" i="6" s="1"/>
  <c r="AK101" i="6" a="1"/>
  <c r="AK101" i="6" s="1"/>
  <c r="AC101" i="6" a="1"/>
  <c r="AC101" i="6" s="1"/>
  <c r="AB101" i="6" a="1"/>
  <c r="AB101" i="6" s="1"/>
  <c r="Y101" i="6" a="1"/>
  <c r="Y101" i="6" s="1"/>
  <c r="AK100" i="6" a="1"/>
  <c r="AK100" i="6" s="1"/>
  <c r="AJ100" i="6" a="1"/>
  <c r="AJ100" i="6" s="1"/>
  <c r="Z100" i="6" a="1"/>
  <c r="Z100" i="6" s="1"/>
  <c r="Y96" i="6" a="1"/>
  <c r="Y96" i="6" s="1"/>
  <c r="N97" i="6" a="1"/>
  <c r="N97" i="6" s="1"/>
  <c r="H97" i="6" a="1"/>
  <c r="H97" i="6" s="1"/>
  <c r="E97" i="6" a="1"/>
  <c r="E97" i="6" s="1"/>
  <c r="AJ96" i="6" a="1"/>
  <c r="AJ96" i="6" s="1"/>
  <c r="AB96" i="6" a="1"/>
  <c r="AB96" i="6" s="1"/>
  <c r="AH96" i="6" a="1"/>
  <c r="AH96" i="6" s="1"/>
  <c r="AC96" i="6" a="1"/>
  <c r="AC96" i="6" s="1"/>
  <c r="P96" i="6" a="1"/>
  <c r="P96" i="6" s="1"/>
  <c r="E98" i="6" a="1"/>
  <c r="E98" i="6" s="1"/>
  <c r="Z97" i="6" a="1"/>
  <c r="Z97" i="6" s="1"/>
  <c r="M99" i="6" a="1"/>
  <c r="M99" i="6" s="1"/>
  <c r="AB98" i="6" a="1"/>
  <c r="AB98" i="6" s="1"/>
  <c r="F97" i="6" a="1"/>
  <c r="F97" i="6" s="1"/>
  <c r="N98" i="6" a="1"/>
  <c r="N98" i="6" s="1"/>
  <c r="K99" i="6" a="1"/>
  <c r="K99" i="6" s="1"/>
  <c r="J99" i="6" a="1"/>
  <c r="J99" i="6" s="1"/>
  <c r="J96" i="6" a="1"/>
  <c r="J96" i="6" s="1"/>
  <c r="AK98" i="6" a="1"/>
  <c r="AK98" i="6" s="1"/>
  <c r="AI97" i="6" a="1"/>
  <c r="AI97" i="6" s="1"/>
  <c r="AJ98" i="6" a="1"/>
  <c r="AJ98" i="6" s="1"/>
  <c r="AH98" i="6" a="1"/>
  <c r="AH98" i="6" s="1"/>
  <c r="Y97" i="6" a="1"/>
  <c r="Y97" i="6" s="1"/>
  <c r="K97" i="6" a="1"/>
  <c r="K97" i="6" s="1"/>
  <c r="M96" i="6" a="1"/>
  <c r="M96" i="6" s="1"/>
  <c r="AC97" i="6" a="1"/>
  <c r="AC97" i="6" s="1"/>
  <c r="H99" i="6" a="1"/>
  <c r="H99" i="6" s="1"/>
  <c r="G99" i="6" a="1"/>
  <c r="G99" i="6" s="1"/>
  <c r="AK97" i="6" a="1"/>
  <c r="AK97" i="6" s="1"/>
  <c r="AI98" i="6" a="1"/>
  <c r="AI98" i="6" s="1"/>
  <c r="AC98" i="6" a="1"/>
  <c r="AC98" i="6" s="1"/>
  <c r="AH97" i="6" a="1"/>
  <c r="AH97" i="6" s="1"/>
  <c r="H98" i="6" a="1"/>
  <c r="H98" i="6" s="1"/>
  <c r="F98" i="6" a="1"/>
  <c r="F98" i="6" s="1"/>
  <c r="AJ97" i="6" a="1"/>
  <c r="AJ97" i="6" s="1"/>
  <c r="N96" i="6" a="1"/>
  <c r="N96" i="6" s="1"/>
  <c r="AB97" i="6" a="1"/>
  <c r="AB97" i="6" s="1"/>
  <c r="Z96" i="6" a="1"/>
  <c r="Z96" i="6" s="1"/>
  <c r="K96" i="6" a="1"/>
  <c r="K96" i="6" s="1"/>
  <c r="F99" i="6" a="1"/>
  <c r="F99" i="6" s="1"/>
  <c r="G98" i="6" a="1"/>
  <c r="G98" i="6" s="1"/>
  <c r="P97" i="6" a="1"/>
  <c r="P97" i="6" s="1"/>
  <c r="E99" i="6" a="1"/>
  <c r="E99" i="6" s="1"/>
  <c r="AI96" i="6" a="1"/>
  <c r="AI96" i="6" s="1"/>
  <c r="Z98" i="6" a="1"/>
  <c r="Z98" i="6" s="1"/>
  <c r="Y98" i="6" a="1"/>
  <c r="Y98" i="6" s="1"/>
  <c r="M97" i="6" a="1"/>
  <c r="M97" i="6" s="1"/>
  <c r="J97" i="6" a="1"/>
  <c r="J97" i="6" s="1"/>
  <c r="G97" i="6" a="1"/>
  <c r="G97" i="6" s="1"/>
  <c r="P98" i="6" a="1"/>
  <c r="P98" i="6" s="1"/>
  <c r="M98" i="6" a="1"/>
  <c r="M98" i="6" s="1"/>
  <c r="AK96" i="6" a="1"/>
  <c r="AK96" i="6" s="1"/>
  <c r="K98" i="6" a="1"/>
  <c r="K98" i="6" s="1"/>
  <c r="J98" i="6" a="1"/>
  <c r="J98" i="6" s="1"/>
  <c r="Y94" i="6" a="1"/>
  <c r="Y94" i="6" s="1"/>
  <c r="M93" i="6" a="1"/>
  <c r="M93" i="6" s="1"/>
  <c r="K93" i="6" a="1"/>
  <c r="K93" i="6" s="1"/>
  <c r="N93" i="6" a="1"/>
  <c r="N93" i="6" s="1"/>
  <c r="AI94" i="6" a="1"/>
  <c r="AI94" i="6" s="1"/>
  <c r="M94" i="6" a="1"/>
  <c r="M94" i="6" s="1"/>
  <c r="J94" i="6" a="1"/>
  <c r="J94" i="6" s="1"/>
  <c r="Y93" i="6" a="1"/>
  <c r="Y93" i="6" s="1"/>
  <c r="F94" i="6" a="1"/>
  <c r="F94" i="6" s="1"/>
  <c r="AH94" i="6" a="1"/>
  <c r="AH94" i="6" s="1"/>
  <c r="Z94" i="6" a="1"/>
  <c r="Z94" i="6" s="1"/>
  <c r="G96" i="6" a="1"/>
  <c r="G96" i="6" s="1"/>
  <c r="P95" i="6" a="1"/>
  <c r="P95" i="6" s="1"/>
  <c r="E95" i="6" a="1"/>
  <c r="E95" i="6" s="1"/>
  <c r="K94" i="6" a="1"/>
  <c r="K94" i="6" s="1"/>
  <c r="AB95" i="6" a="1"/>
  <c r="AB95" i="6" s="1"/>
  <c r="H96" i="6" a="1"/>
  <c r="H96" i="6" s="1"/>
  <c r="F96" i="6" a="1"/>
  <c r="F96" i="6" s="1"/>
  <c r="AC95" i="6" a="1"/>
  <c r="AC95" i="6" s="1"/>
  <c r="E96" i="6" a="1"/>
  <c r="E96" i="6" s="1"/>
  <c r="AK93" i="6" a="1"/>
  <c r="AK93" i="6" s="1"/>
  <c r="AK95" i="6" a="1"/>
  <c r="AK95" i="6" s="1"/>
  <c r="Y95" i="6" a="1"/>
  <c r="Y95" i="6" s="1"/>
  <c r="AJ95" i="6" a="1"/>
  <c r="AJ95" i="6" s="1"/>
  <c r="AI95" i="6" a="1"/>
  <c r="AI95" i="6" s="1"/>
  <c r="M95" i="6" a="1"/>
  <c r="M95" i="6" s="1"/>
  <c r="AH95" i="6" a="1"/>
  <c r="AH95" i="6" s="1"/>
  <c r="AJ93" i="6" a="1"/>
  <c r="AJ93" i="6" s="1"/>
  <c r="H95" i="6" a="1"/>
  <c r="H95" i="6" s="1"/>
  <c r="Z95" i="6" a="1"/>
  <c r="Z95" i="6" s="1"/>
  <c r="G95" i="6" a="1"/>
  <c r="G95" i="6" s="1"/>
  <c r="N95" i="6" a="1"/>
  <c r="N95" i="6" s="1"/>
  <c r="AK94" i="6" a="1"/>
  <c r="AK94" i="6" s="1"/>
  <c r="AC93" i="6" a="1"/>
  <c r="AC93" i="6" s="1"/>
  <c r="J95" i="6" a="1"/>
  <c r="J95" i="6" s="1"/>
  <c r="J93" i="6" a="1"/>
  <c r="J93" i="6" s="1"/>
  <c r="Z93" i="6" a="1"/>
  <c r="Z93" i="6" s="1"/>
  <c r="E94" i="6" a="1"/>
  <c r="E94" i="6" s="1"/>
  <c r="K95" i="6" a="1"/>
  <c r="K95" i="6" s="1"/>
  <c r="H93" i="6" a="1"/>
  <c r="H93" i="6" s="1"/>
  <c r="AB93" i="6" a="1"/>
  <c r="AB93" i="6" s="1"/>
  <c r="G94" i="6" a="1"/>
  <c r="G94" i="6" s="1"/>
  <c r="F95" i="6" a="1"/>
  <c r="F95" i="6" s="1"/>
  <c r="AB94" i="6" a="1"/>
  <c r="AB94" i="6" s="1"/>
  <c r="P94" i="6" a="1"/>
  <c r="P94" i="6" s="1"/>
  <c r="N94" i="6" a="1"/>
  <c r="N94" i="6" s="1"/>
  <c r="F93" i="6" a="1"/>
  <c r="F93" i="6" s="1"/>
  <c r="H94" i="6" a="1"/>
  <c r="H94" i="6" s="1"/>
  <c r="AI93" i="6" a="1"/>
  <c r="AI93" i="6" s="1"/>
  <c r="AH93" i="6" a="1"/>
  <c r="AH93" i="6" s="1"/>
  <c r="G93" i="6" a="1"/>
  <c r="G93" i="6" s="1"/>
  <c r="P93" i="6" a="1"/>
  <c r="P93" i="6" s="1"/>
  <c r="AJ94" i="6" a="1"/>
  <c r="AJ94" i="6" s="1"/>
  <c r="AC94" i="6" a="1"/>
  <c r="AC94" i="6" s="1"/>
  <c r="N92" i="6" a="1"/>
  <c r="N92" i="6" s="1"/>
  <c r="Z92" i="6" a="1"/>
  <c r="Z92" i="6" s="1"/>
  <c r="G92" i="6" a="1"/>
  <c r="G92" i="6" s="1"/>
  <c r="F92" i="6" a="1"/>
  <c r="F92" i="6" s="1"/>
  <c r="AC90" i="6" a="1"/>
  <c r="AC90" i="6" s="1"/>
  <c r="AB91" i="6" a="1"/>
  <c r="AB91" i="6" s="1"/>
  <c r="H91" i="6" a="1"/>
  <c r="H91" i="6" s="1"/>
  <c r="AH90" i="6" a="1"/>
  <c r="AH90" i="6" s="1"/>
  <c r="AI89" i="6" a="1"/>
  <c r="AI89" i="6" s="1"/>
  <c r="AI91" i="6" a="1"/>
  <c r="AI91" i="6" s="1"/>
  <c r="AI92" i="6" a="1"/>
  <c r="AI92" i="6" s="1"/>
  <c r="AC92" i="6" a="1"/>
  <c r="AC92" i="6" s="1"/>
  <c r="Y92" i="6" a="1"/>
  <c r="Y92" i="6" s="1"/>
  <c r="J90" i="6" a="1"/>
  <c r="J90" i="6" s="1"/>
  <c r="K92" i="6" a="1"/>
  <c r="K92" i="6" s="1"/>
  <c r="AH91" i="6" a="1"/>
  <c r="AH91" i="6" s="1"/>
  <c r="F90" i="6" a="1"/>
  <c r="F90" i="6" s="1"/>
  <c r="E91" i="6" a="1"/>
  <c r="E91" i="6" s="1"/>
  <c r="AC91" i="6" a="1"/>
  <c r="AC91" i="6" s="1"/>
  <c r="N91" i="6" a="1"/>
  <c r="N91" i="6" s="1"/>
  <c r="P90" i="6" a="1"/>
  <c r="P90" i="6" s="1"/>
  <c r="H92" i="6" a="1"/>
  <c r="H92" i="6" s="1"/>
  <c r="Z90" i="6" a="1"/>
  <c r="Z90" i="6" s="1"/>
  <c r="E90" i="6" a="1"/>
  <c r="E90" i="6" s="1"/>
  <c r="Y91" i="6" a="1"/>
  <c r="Y91" i="6" s="1"/>
  <c r="AI90" i="6" a="1"/>
  <c r="AI90" i="6" s="1"/>
  <c r="E92" i="6" a="1"/>
  <c r="E92" i="6" s="1"/>
  <c r="G90" i="6" a="1"/>
  <c r="G90" i="6" s="1"/>
  <c r="J91" i="6" a="1"/>
  <c r="J91" i="6" s="1"/>
  <c r="AK91" i="6" a="1"/>
  <c r="AK91" i="6" s="1"/>
  <c r="AJ91" i="6" a="1"/>
  <c r="AJ91" i="6" s="1"/>
  <c r="M91" i="6" a="1"/>
  <c r="M91" i="6" s="1"/>
  <c r="AB90" i="6" a="1"/>
  <c r="AB90" i="6" s="1"/>
  <c r="K91" i="6" a="1"/>
  <c r="K91" i="6" s="1"/>
  <c r="M90" i="6" a="1"/>
  <c r="M90" i="6" s="1"/>
  <c r="G91" i="6" a="1"/>
  <c r="G91" i="6" s="1"/>
  <c r="Y90" i="6" a="1"/>
  <c r="Y90" i="6" s="1"/>
  <c r="K90" i="6" a="1"/>
  <c r="K90" i="6" s="1"/>
  <c r="H90" i="6" a="1"/>
  <c r="H90" i="6" s="1"/>
  <c r="P92" i="6" a="1"/>
  <c r="P92" i="6" s="1"/>
  <c r="M92" i="6" a="1"/>
  <c r="M92" i="6" s="1"/>
  <c r="AK89" i="6" a="1"/>
  <c r="AK89" i="6" s="1"/>
  <c r="Z91" i="6" a="1"/>
  <c r="Z91" i="6" s="1"/>
  <c r="N90" i="6" a="1"/>
  <c r="N90" i="6" s="1"/>
  <c r="J92" i="6" a="1"/>
  <c r="J92" i="6" s="1"/>
  <c r="E93" i="6" a="1"/>
  <c r="E93" i="6" s="1"/>
  <c r="P91" i="6" a="1"/>
  <c r="P91" i="6" s="1"/>
  <c r="AJ89" i="6" a="1"/>
  <c r="AJ89" i="6" s="1"/>
  <c r="AK90" i="6" a="1"/>
  <c r="AK90" i="6" s="1"/>
  <c r="AK92" i="6" a="1"/>
  <c r="AK92" i="6" s="1"/>
  <c r="AJ92" i="6" a="1"/>
  <c r="AJ92" i="6" s="1"/>
  <c r="F91" i="6" a="1"/>
  <c r="F91" i="6" s="1"/>
  <c r="AH92" i="6" a="1"/>
  <c r="AH92" i="6" s="1"/>
  <c r="AB92" i="6" a="1"/>
  <c r="AB92" i="6" s="1"/>
  <c r="AJ90" i="6" a="1"/>
  <c r="AJ90" i="6" s="1"/>
  <c r="P87" i="6" a="1"/>
  <c r="P87" i="6" s="1"/>
  <c r="H89" i="6" a="1"/>
  <c r="H89" i="6" s="1"/>
  <c r="H88" i="6" a="1"/>
  <c r="H88" i="6" s="1"/>
  <c r="J87" i="6" a="1"/>
  <c r="J87" i="6" s="1"/>
  <c r="AI86" i="6" a="1"/>
  <c r="AI86" i="6" s="1"/>
  <c r="AJ88" i="6" a="1"/>
  <c r="AJ88" i="6" s="1"/>
  <c r="P88" i="6" a="1"/>
  <c r="P88" i="6" s="1"/>
  <c r="AK88" i="6" a="1"/>
  <c r="AK88" i="6" s="1"/>
  <c r="AC88" i="6" a="1"/>
  <c r="AC88" i="6" s="1"/>
  <c r="M88" i="6" a="1"/>
  <c r="M88" i="6" s="1"/>
  <c r="K88" i="6" a="1"/>
  <c r="K88" i="6" s="1"/>
  <c r="H87" i="6" a="1"/>
  <c r="H87" i="6" s="1"/>
  <c r="AJ86" i="6" a="1"/>
  <c r="AJ86" i="6" s="1"/>
  <c r="F88" i="6" a="1"/>
  <c r="F88" i="6" s="1"/>
  <c r="Z87" i="6" a="1"/>
  <c r="Z87" i="6" s="1"/>
  <c r="N87" i="6" a="1"/>
  <c r="N87" i="6" s="1"/>
  <c r="AC87" i="6" a="1"/>
  <c r="AC87" i="6" s="1"/>
  <c r="AH86" i="6" a="1"/>
  <c r="AH86" i="6" s="1"/>
  <c r="J89" i="6" a="1"/>
  <c r="J89" i="6" s="1"/>
  <c r="M89" i="6" a="1"/>
  <c r="M89" i="6" s="1"/>
  <c r="G89" i="6" a="1"/>
  <c r="G89" i="6" s="1"/>
  <c r="AH89" i="6" a="1"/>
  <c r="AH89" i="6" s="1"/>
  <c r="AC89" i="6" a="1"/>
  <c r="AC89" i="6" s="1"/>
  <c r="AB89" i="6" a="1"/>
  <c r="AB89" i="6" s="1"/>
  <c r="Z89" i="6" a="1"/>
  <c r="Z89" i="6" s="1"/>
  <c r="AJ87" i="6" a="1"/>
  <c r="AJ87" i="6" s="1"/>
  <c r="P89" i="6" a="1"/>
  <c r="P89" i="6" s="1"/>
  <c r="Y87" i="6" a="1"/>
  <c r="Y87" i="6" s="1"/>
  <c r="AB86" i="6" a="1"/>
  <c r="AB86" i="6" s="1"/>
  <c r="K89" i="6" a="1"/>
  <c r="K89" i="6" s="1"/>
  <c r="E88" i="6" a="1"/>
  <c r="E88" i="6" s="1"/>
  <c r="AI87" i="6" a="1"/>
  <c r="AI87" i="6" s="1"/>
  <c r="F89" i="6" a="1"/>
  <c r="F89" i="6" s="1"/>
  <c r="AH88" i="6" a="1"/>
  <c r="AH88" i="6" s="1"/>
  <c r="J88" i="6" a="1"/>
  <c r="J88" i="6" s="1"/>
  <c r="K87" i="6" a="1"/>
  <c r="K87" i="6" s="1"/>
  <c r="F87" i="6" a="1"/>
  <c r="F87" i="6" s="1"/>
  <c r="Z86" i="6" a="1"/>
  <c r="Z86" i="6" s="1"/>
  <c r="G87" i="6" a="1"/>
  <c r="G87" i="6" s="1"/>
  <c r="AI88" i="6" a="1"/>
  <c r="AI88" i="6" s="1"/>
  <c r="N88" i="6" a="1"/>
  <c r="N88" i="6" s="1"/>
  <c r="Z88" i="6" a="1"/>
  <c r="Z88" i="6" s="1"/>
  <c r="Y88" i="6" a="1"/>
  <c r="Y88" i="6" s="1"/>
  <c r="G88" i="6" a="1"/>
  <c r="G88" i="6" s="1"/>
  <c r="AK86" i="6" a="1"/>
  <c r="AK86" i="6" s="1"/>
  <c r="AH87" i="6" a="1"/>
  <c r="AH87" i="6" s="1"/>
  <c r="AK87" i="6" a="1"/>
  <c r="AK87" i="6" s="1"/>
  <c r="M87" i="6" a="1"/>
  <c r="M87" i="6" s="1"/>
  <c r="AC86" i="6" a="1"/>
  <c r="AC86" i="6" s="1"/>
  <c r="Y89" i="6" a="1"/>
  <c r="Y89" i="6" s="1"/>
  <c r="AB87" i="6" a="1"/>
  <c r="AB87" i="6" s="1"/>
  <c r="E89" i="6" a="1"/>
  <c r="E89" i="6" s="1"/>
  <c r="AB88" i="6" a="1"/>
  <c r="AB88" i="6" s="1"/>
  <c r="N89" i="6" a="1"/>
  <c r="N89" i="6" s="1"/>
  <c r="E87" i="6" a="1"/>
  <c r="E87" i="6" s="1"/>
  <c r="M85" i="6" a="1"/>
  <c r="M85" i="6" s="1"/>
  <c r="Z84" i="6" a="1"/>
  <c r="Z84" i="6" s="1"/>
  <c r="AC83" i="6" a="1"/>
  <c r="AC83" i="6" s="1"/>
  <c r="K85" i="6" a="1"/>
  <c r="K85" i="6" s="1"/>
  <c r="H84" i="6" a="1"/>
  <c r="H84" i="6" s="1"/>
  <c r="N83" i="6" a="1"/>
  <c r="N83" i="6" s="1"/>
  <c r="Z83" i="6" a="1"/>
  <c r="Z83" i="6" s="1"/>
  <c r="H86" i="6" a="1"/>
  <c r="H86" i="6" s="1"/>
  <c r="AH84" i="6" a="1"/>
  <c r="AH84" i="6" s="1"/>
  <c r="J84" i="6" a="1"/>
  <c r="J84" i="6" s="1"/>
  <c r="AB85" i="6" a="1"/>
  <c r="AB85" i="6" s="1"/>
  <c r="Z85" i="6" a="1"/>
  <c r="Z85" i="6" s="1"/>
  <c r="F84" i="6" a="1"/>
  <c r="F84" i="6" s="1"/>
  <c r="Y85" i="6" a="1"/>
  <c r="Y85" i="6" s="1"/>
  <c r="AC84" i="6" a="1"/>
  <c r="AC84" i="6" s="1"/>
  <c r="P84" i="6" a="1"/>
  <c r="P84" i="6" s="1"/>
  <c r="AH83" i="6" a="1"/>
  <c r="AH83" i="6" s="1"/>
  <c r="E84" i="6" a="1"/>
  <c r="E84" i="6" s="1"/>
  <c r="J86" i="6" a="1"/>
  <c r="J86" i="6" s="1"/>
  <c r="AC85" i="6" a="1"/>
  <c r="AC85" i="6" s="1"/>
  <c r="P85" i="6" a="1"/>
  <c r="P85" i="6" s="1"/>
  <c r="AJ84" i="6" a="1"/>
  <c r="AJ84" i="6" s="1"/>
  <c r="AK83" i="6" a="1"/>
  <c r="AK83" i="6" s="1"/>
  <c r="AI84" i="6" a="1"/>
  <c r="AI84" i="6" s="1"/>
  <c r="M86" i="6" a="1"/>
  <c r="M86" i="6" s="1"/>
  <c r="AB84" i="6" a="1"/>
  <c r="AB84" i="6" s="1"/>
  <c r="K84" i="6" a="1"/>
  <c r="K84" i="6" s="1"/>
  <c r="AI85" i="6" a="1"/>
  <c r="AI85" i="6" s="1"/>
  <c r="AK85" i="6" a="1"/>
  <c r="AK85" i="6" s="1"/>
  <c r="AH85" i="6" a="1"/>
  <c r="AH85" i="6" s="1"/>
  <c r="E85" i="6" a="1"/>
  <c r="E85" i="6" s="1"/>
  <c r="Y83" i="6" a="1"/>
  <c r="Y83" i="6" s="1"/>
  <c r="N84" i="6" a="1"/>
  <c r="N84" i="6" s="1"/>
  <c r="P83" i="6" a="1"/>
  <c r="P83" i="6" s="1"/>
  <c r="N86" i="6" a="1"/>
  <c r="N86" i="6" s="1"/>
  <c r="G84" i="6" a="1"/>
  <c r="G84" i="6" s="1"/>
  <c r="E86" i="6" a="1"/>
  <c r="E86" i="6" s="1"/>
  <c r="AJ85" i="6" a="1"/>
  <c r="AJ85" i="6" s="1"/>
  <c r="H85" i="6" a="1"/>
  <c r="H85" i="6" s="1"/>
  <c r="F85" i="6" a="1"/>
  <c r="F85" i="6" s="1"/>
  <c r="AK84" i="6" a="1"/>
  <c r="AK84" i="6" s="1"/>
  <c r="Y84" i="6" a="1"/>
  <c r="Y84" i="6" s="1"/>
  <c r="M84" i="6" a="1"/>
  <c r="M84" i="6" s="1"/>
  <c r="AJ83" i="6" a="1"/>
  <c r="AJ83" i="6" s="1"/>
  <c r="AI83" i="6" a="1"/>
  <c r="AI83" i="6" s="1"/>
  <c r="N85" i="6" a="1"/>
  <c r="N85" i="6" s="1"/>
  <c r="AB83" i="6" a="1"/>
  <c r="AB83" i="6" s="1"/>
  <c r="Y86" i="6" a="1"/>
  <c r="Y86" i="6" s="1"/>
  <c r="P86" i="6" a="1"/>
  <c r="P86" i="6" s="1"/>
  <c r="K86" i="6" a="1"/>
  <c r="K86" i="6" s="1"/>
  <c r="G86" i="6" a="1"/>
  <c r="G86" i="6" s="1"/>
  <c r="F86" i="6" a="1"/>
  <c r="F86" i="6" s="1"/>
  <c r="G85" i="6" a="1"/>
  <c r="G85" i="6" s="1"/>
  <c r="J80" i="6" a="1"/>
  <c r="J80" i="6" s="1"/>
  <c r="K81" i="6" a="1"/>
  <c r="K81" i="6" s="1"/>
  <c r="H81" i="6" a="1"/>
  <c r="H81" i="6" s="1"/>
  <c r="N81" i="6" a="1"/>
  <c r="N81" i="6" s="1"/>
  <c r="AK80" i="6" a="1"/>
  <c r="AK80" i="6" s="1"/>
  <c r="N80" i="6" a="1"/>
  <c r="N80" i="6" s="1"/>
  <c r="Z80" i="6" a="1"/>
  <c r="Z80" i="6" s="1"/>
  <c r="G81" i="6" a="1"/>
  <c r="G81" i="6" s="1"/>
  <c r="M83" i="6" a="1"/>
  <c r="M83" i="6" s="1"/>
  <c r="G82" i="6" a="1"/>
  <c r="G82" i="6" s="1"/>
  <c r="AJ82" i="6" a="1"/>
  <c r="AJ82" i="6" s="1"/>
  <c r="AC81" i="6" a="1"/>
  <c r="AC81" i="6" s="1"/>
  <c r="Z81" i="6" a="1"/>
  <c r="Z81" i="6" s="1"/>
  <c r="AH82" i="6" a="1"/>
  <c r="AH82" i="6" s="1"/>
  <c r="F82" i="6" a="1"/>
  <c r="F82" i="6" s="1"/>
  <c r="AB82" i="6" a="1"/>
  <c r="AB82" i="6" s="1"/>
  <c r="M82" i="6" a="1"/>
  <c r="M82" i="6" s="1"/>
  <c r="AH81" i="6" a="1"/>
  <c r="AH81" i="6" s="1"/>
  <c r="J81" i="6" a="1"/>
  <c r="J81" i="6" s="1"/>
  <c r="K82" i="6" a="1"/>
  <c r="K82" i="6" s="1"/>
  <c r="AK81" i="6" a="1"/>
  <c r="AK81" i="6" s="1"/>
  <c r="P80" i="6" a="1"/>
  <c r="P80" i="6" s="1"/>
  <c r="AH80" i="6" a="1"/>
  <c r="AH80" i="6" s="1"/>
  <c r="H83" i="6" a="1"/>
  <c r="H83" i="6" s="1"/>
  <c r="F83" i="6" a="1"/>
  <c r="F83" i="6" s="1"/>
  <c r="AI82" i="6" a="1"/>
  <c r="AI82" i="6" s="1"/>
  <c r="F81" i="6" a="1"/>
  <c r="F81" i="6" s="1"/>
  <c r="P81" i="6" a="1"/>
  <c r="P81" i="6" s="1"/>
  <c r="N82" i="6" a="1"/>
  <c r="N82" i="6" s="1"/>
  <c r="H82" i="6" a="1"/>
  <c r="H82" i="6" s="1"/>
  <c r="M81" i="6" a="1"/>
  <c r="M81" i="6" s="1"/>
  <c r="K80" i="6" a="1"/>
  <c r="K80" i="6" s="1"/>
  <c r="K83" i="6" a="1"/>
  <c r="K83" i="6" s="1"/>
  <c r="J83" i="6" a="1"/>
  <c r="J83" i="6" s="1"/>
  <c r="E81" i="6" a="1"/>
  <c r="E81" i="6" s="1"/>
  <c r="AI80" i="6" a="1"/>
  <c r="AI80" i="6" s="1"/>
  <c r="G83" i="6" a="1"/>
  <c r="G83" i="6" s="1"/>
  <c r="E83" i="6" a="1"/>
  <c r="E83" i="6" s="1"/>
  <c r="AK82" i="6" a="1"/>
  <c r="AK82" i="6" s="1"/>
  <c r="AC80" i="6" a="1"/>
  <c r="AC80" i="6" s="1"/>
  <c r="Y82" i="6" a="1"/>
  <c r="Y82" i="6" s="1"/>
  <c r="E82" i="6" a="1"/>
  <c r="E82" i="6" s="1"/>
  <c r="AJ81" i="6" a="1"/>
  <c r="AJ81" i="6" s="1"/>
  <c r="AB80" i="6" a="1"/>
  <c r="AB80" i="6" s="1"/>
  <c r="AC82" i="6" a="1"/>
  <c r="AC82" i="6" s="1"/>
  <c r="AI81" i="6" a="1"/>
  <c r="AI81" i="6" s="1"/>
  <c r="AJ80" i="6" a="1"/>
  <c r="AJ80" i="6" s="1"/>
  <c r="AB81" i="6" a="1"/>
  <c r="AB81" i="6" s="1"/>
  <c r="Y80" i="6" a="1"/>
  <c r="Y80" i="6" s="1"/>
  <c r="M80" i="6" a="1"/>
  <c r="M80" i="6" s="1"/>
  <c r="Y81" i="6" a="1"/>
  <c r="Y81" i="6" s="1"/>
  <c r="Z82" i="6" a="1"/>
  <c r="Z82" i="6" s="1"/>
  <c r="P82" i="6" a="1"/>
  <c r="P82" i="6" s="1"/>
  <c r="J82" i="6" a="1"/>
  <c r="J82" i="6" s="1"/>
  <c r="G79" i="6" a="1"/>
  <c r="G79" i="6" s="1"/>
  <c r="J79" i="6" a="1"/>
  <c r="J79" i="6" s="1"/>
  <c r="P78" i="6" a="1"/>
  <c r="P78" i="6" s="1"/>
  <c r="Y77" i="6" a="1"/>
  <c r="Y77" i="6" s="1"/>
  <c r="J77" i="6" a="1"/>
  <c r="J77" i="6" s="1"/>
  <c r="AB79" i="6" a="1"/>
  <c r="AB79" i="6" s="1"/>
  <c r="Z78" i="6" a="1"/>
  <c r="Z78" i="6" s="1"/>
  <c r="H80" i="6" a="1"/>
  <c r="H80" i="6" s="1"/>
  <c r="AB78" i="6" a="1"/>
  <c r="AB78" i="6" s="1"/>
  <c r="N77" i="6" a="1"/>
  <c r="N77" i="6" s="1"/>
  <c r="H79" i="6" a="1"/>
  <c r="H79" i="6" s="1"/>
  <c r="G80" i="6" a="1"/>
  <c r="G80" i="6" s="1"/>
  <c r="F80" i="6" a="1"/>
  <c r="F80" i="6" s="1"/>
  <c r="E80" i="6" a="1"/>
  <c r="E80" i="6" s="1"/>
  <c r="AK79" i="6" a="1"/>
  <c r="AK79" i="6" s="1"/>
  <c r="M78" i="6" a="1"/>
  <c r="M78" i="6" s="1"/>
  <c r="N78" i="6" a="1"/>
  <c r="N78" i="6" s="1"/>
  <c r="AJ79" i="6" a="1"/>
  <c r="AJ79" i="6" s="1"/>
  <c r="K79" i="6" a="1"/>
  <c r="K79" i="6" s="1"/>
  <c r="AI79" i="6" a="1"/>
  <c r="AI79" i="6" s="1"/>
  <c r="AH79" i="6" a="1"/>
  <c r="AH79" i="6" s="1"/>
  <c r="AC79" i="6" a="1"/>
  <c r="AC79" i="6" s="1"/>
  <c r="Z79" i="6" a="1"/>
  <c r="Z79" i="6" s="1"/>
  <c r="P79" i="6" a="1"/>
  <c r="P79" i="6" s="1"/>
  <c r="N79" i="6" a="1"/>
  <c r="N79" i="6" s="1"/>
  <c r="M79" i="6" a="1"/>
  <c r="M79" i="6" s="1"/>
  <c r="AC77" i="6" a="1"/>
  <c r="AC77" i="6" s="1"/>
  <c r="P77" i="6" a="1"/>
  <c r="P77" i="6" s="1"/>
  <c r="F79" i="6" a="1"/>
  <c r="F79" i="6" s="1"/>
  <c r="AK78" i="6" a="1"/>
  <c r="AK78" i="6" s="1"/>
  <c r="AJ78" i="6" a="1"/>
  <c r="AJ78" i="6" s="1"/>
  <c r="K78" i="6" a="1"/>
  <c r="K78" i="6" s="1"/>
  <c r="Y78" i="6" a="1"/>
  <c r="Y78" i="6" s="1"/>
  <c r="G78" i="6" a="1"/>
  <c r="G78" i="6" s="1"/>
  <c r="AJ77" i="6" a="1"/>
  <c r="AJ77" i="6" s="1"/>
  <c r="Z77" i="6" a="1"/>
  <c r="Z77" i="6" s="1"/>
  <c r="AI78" i="6" a="1"/>
  <c r="AI78" i="6" s="1"/>
  <c r="AH78" i="6" a="1"/>
  <c r="AH78" i="6" s="1"/>
  <c r="AK77" i="6" a="1"/>
  <c r="AK77" i="6" s="1"/>
  <c r="AI77" i="6" a="1"/>
  <c r="AI77" i="6" s="1"/>
  <c r="F77" i="6" a="1"/>
  <c r="F77" i="6" s="1"/>
  <c r="E79" i="6" a="1"/>
  <c r="E79" i="6" s="1"/>
  <c r="E78" i="6" a="1"/>
  <c r="E78" i="6" s="1"/>
  <c r="M77" i="6" a="1"/>
  <c r="M77" i="6" s="1"/>
  <c r="K77" i="6" a="1"/>
  <c r="K77" i="6" s="1"/>
  <c r="H77" i="6" a="1"/>
  <c r="H77" i="6" s="1"/>
  <c r="J78" i="6" a="1"/>
  <c r="J78" i="6" s="1"/>
  <c r="G77" i="6" a="1"/>
  <c r="G77" i="6" s="1"/>
  <c r="F78" i="6" a="1"/>
  <c r="F78" i="6" s="1"/>
  <c r="AH77" i="6" a="1"/>
  <c r="AH77" i="6" s="1"/>
  <c r="Y79" i="6" a="1"/>
  <c r="Y79" i="6" s="1"/>
  <c r="AB77" i="6" a="1"/>
  <c r="AB77" i="6" s="1"/>
  <c r="H78" i="6" a="1"/>
  <c r="H78" i="6" s="1"/>
  <c r="AC78" i="6" a="1"/>
  <c r="AC78" i="6" s="1"/>
  <c r="G75" i="6" a="1"/>
  <c r="G75" i="6" s="1"/>
  <c r="AC74" i="6" a="1"/>
  <c r="AC74" i="6" s="1"/>
  <c r="AK73" i="6" a="1"/>
  <c r="AK73" i="6" s="1"/>
  <c r="P75" i="6" a="1"/>
  <c r="P75" i="6" s="1"/>
  <c r="Y76" i="6" a="1"/>
  <c r="Y76" i="6" s="1"/>
  <c r="F75" i="6" a="1"/>
  <c r="F75" i="6" s="1"/>
  <c r="G74" i="6" a="1"/>
  <c r="G74" i="6" s="1"/>
  <c r="P76" i="6" a="1"/>
  <c r="P76" i="6" s="1"/>
  <c r="K74" i="6" a="1"/>
  <c r="K74" i="6" s="1"/>
  <c r="K75" i="6" a="1"/>
  <c r="K75" i="6" s="1"/>
  <c r="Z75" i="6" a="1"/>
  <c r="Z75" i="6" s="1"/>
  <c r="G76" i="6" a="1"/>
  <c r="G76" i="6" s="1"/>
  <c r="F74" i="6" a="1"/>
  <c r="F74" i="6" s="1"/>
  <c r="AI75" i="6" a="1"/>
  <c r="AI75" i="6" s="1"/>
  <c r="Y75" i="6" a="1"/>
  <c r="Y75" i="6" s="1"/>
  <c r="E75" i="6" a="1"/>
  <c r="E75" i="6" s="1"/>
  <c r="E74" i="6" a="1"/>
  <c r="E74" i="6" s="1"/>
  <c r="Z74" i="6" a="1"/>
  <c r="Z74" i="6" s="1"/>
  <c r="AI74" i="6" a="1"/>
  <c r="AI74" i="6" s="1"/>
  <c r="N74" i="6" a="1"/>
  <c r="N74" i="6" s="1"/>
  <c r="AH75" i="6" a="1"/>
  <c r="AH75" i="6" s="1"/>
  <c r="J75" i="6" a="1"/>
  <c r="J75" i="6" s="1"/>
  <c r="AK74" i="6" a="1"/>
  <c r="AK74" i="6" s="1"/>
  <c r="K76" i="6" a="1"/>
  <c r="K76" i="6" s="1"/>
  <c r="AI73" i="6" a="1"/>
  <c r="AI73" i="6" s="1"/>
  <c r="AJ75" i="6" a="1"/>
  <c r="AJ75" i="6" s="1"/>
  <c r="AK75" i="6" a="1"/>
  <c r="AK75" i="6" s="1"/>
  <c r="E77" i="6" a="1"/>
  <c r="E77" i="6" s="1"/>
  <c r="F76" i="6" a="1"/>
  <c r="F76" i="6" s="1"/>
  <c r="N75" i="6" a="1"/>
  <c r="N75" i="6" s="1"/>
  <c r="AK76" i="6" a="1"/>
  <c r="AK76" i="6" s="1"/>
  <c r="AB74" i="6" a="1"/>
  <c r="AB74" i="6" s="1"/>
  <c r="Y74" i="6" a="1"/>
  <c r="Y74" i="6" s="1"/>
  <c r="AJ73" i="6" a="1"/>
  <c r="AJ73" i="6" s="1"/>
  <c r="AJ76" i="6" a="1"/>
  <c r="AJ76" i="6" s="1"/>
  <c r="P74" i="6" a="1"/>
  <c r="P74" i="6" s="1"/>
  <c r="AI76" i="6" a="1"/>
  <c r="AI76" i="6" s="1"/>
  <c r="AH76" i="6" a="1"/>
  <c r="AH76" i="6" s="1"/>
  <c r="J76" i="6" a="1"/>
  <c r="J76" i="6" s="1"/>
  <c r="AB75" i="6" a="1"/>
  <c r="AB75" i="6" s="1"/>
  <c r="E76" i="6" a="1"/>
  <c r="E76" i="6" s="1"/>
  <c r="H76" i="6" a="1"/>
  <c r="H76" i="6" s="1"/>
  <c r="H74" i="6" a="1"/>
  <c r="H74" i="6" s="1"/>
  <c r="AC76" i="6" a="1"/>
  <c r="AC76" i="6" s="1"/>
  <c r="M75" i="6" a="1"/>
  <c r="M75" i="6" s="1"/>
  <c r="AH74" i="6" a="1"/>
  <c r="AH74" i="6" s="1"/>
  <c r="AC75" i="6" a="1"/>
  <c r="AC75" i="6" s="1"/>
  <c r="AB76" i="6" a="1"/>
  <c r="AB76" i="6" s="1"/>
  <c r="Z76" i="6" a="1"/>
  <c r="Z76" i="6" s="1"/>
  <c r="J74" i="6" a="1"/>
  <c r="J74" i="6" s="1"/>
  <c r="AJ74" i="6" a="1"/>
  <c r="AJ74" i="6" s="1"/>
  <c r="M76" i="6" a="1"/>
  <c r="M76" i="6" s="1"/>
  <c r="N76" i="6" a="1"/>
  <c r="N76" i="6" s="1"/>
  <c r="M74" i="6" a="1"/>
  <c r="M74" i="6" s="1"/>
  <c r="H75" i="6" a="1"/>
  <c r="H75" i="6" s="1"/>
  <c r="AJ72" i="6" a="1"/>
  <c r="AJ72" i="6" s="1"/>
  <c r="K71" i="6" a="1"/>
  <c r="K71" i="6" s="1"/>
  <c r="AH72" i="6" a="1"/>
  <c r="AH72" i="6" s="1"/>
  <c r="H72" i="6" a="1"/>
  <c r="H72" i="6" s="1"/>
  <c r="AK70" i="6" a="1"/>
  <c r="AK70" i="6" s="1"/>
  <c r="AC70" i="6" a="1"/>
  <c r="AC70" i="6" s="1"/>
  <c r="F71" i="6" a="1"/>
  <c r="F71" i="6" s="1"/>
  <c r="Y71" i="6" a="1"/>
  <c r="Y71" i="6" s="1"/>
  <c r="J71" i="6" a="1"/>
  <c r="J71" i="6" s="1"/>
  <c r="Z70" i="6" a="1"/>
  <c r="Z70" i="6" s="1"/>
  <c r="Z72" i="6" a="1"/>
  <c r="Z72" i="6" s="1"/>
  <c r="E73" i="6" a="1"/>
  <c r="E73" i="6" s="1"/>
  <c r="AB72" i="6" a="1"/>
  <c r="AB72" i="6" s="1"/>
  <c r="P72" i="6" a="1"/>
  <c r="P72" i="6" s="1"/>
  <c r="AI71" i="6" a="1"/>
  <c r="AI71" i="6" s="1"/>
  <c r="AI72" i="6" a="1"/>
  <c r="AI72" i="6" s="1"/>
  <c r="AK72" i="6" a="1"/>
  <c r="AK72" i="6" s="1"/>
  <c r="Y72" i="6" a="1"/>
  <c r="Y72" i="6" s="1"/>
  <c r="N71" i="6" a="1"/>
  <c r="N71" i="6" s="1"/>
  <c r="J72" i="6" a="1"/>
  <c r="J72" i="6" s="1"/>
  <c r="M72" i="6" a="1"/>
  <c r="M72" i="6" s="1"/>
  <c r="G71" i="6" a="1"/>
  <c r="G71" i="6" s="1"/>
  <c r="AJ71" i="6" a="1"/>
  <c r="AJ71" i="6" s="1"/>
  <c r="K73" i="6" a="1"/>
  <c r="K73" i="6" s="1"/>
  <c r="AH71" i="6" a="1"/>
  <c r="AH71" i="6" s="1"/>
  <c r="AH73" i="6" a="1"/>
  <c r="AH73" i="6" s="1"/>
  <c r="N72" i="6" a="1"/>
  <c r="N72" i="6" s="1"/>
  <c r="AC73" i="6" a="1"/>
  <c r="AC73" i="6" s="1"/>
  <c r="AB73" i="6" a="1"/>
  <c r="AB73" i="6" s="1"/>
  <c r="N73" i="6" a="1"/>
  <c r="N73" i="6" s="1"/>
  <c r="M71" i="6" a="1"/>
  <c r="M71" i="6" s="1"/>
  <c r="Z73" i="6" a="1"/>
  <c r="Z73" i="6" s="1"/>
  <c r="G73" i="6" a="1"/>
  <c r="G73" i="6" s="1"/>
  <c r="Y73" i="6" a="1"/>
  <c r="Y73" i="6" s="1"/>
  <c r="M73" i="6" a="1"/>
  <c r="M73" i="6" s="1"/>
  <c r="J73" i="6" a="1"/>
  <c r="J73" i="6" s="1"/>
  <c r="AJ70" i="6" a="1"/>
  <c r="AJ70" i="6" s="1"/>
  <c r="K72" i="6" a="1"/>
  <c r="K72" i="6" s="1"/>
  <c r="G72" i="6" a="1"/>
  <c r="G72" i="6" s="1"/>
  <c r="F72" i="6" a="1"/>
  <c r="F72" i="6" s="1"/>
  <c r="H71" i="6" a="1"/>
  <c r="H71" i="6" s="1"/>
  <c r="AH70" i="6" a="1"/>
  <c r="AH70" i="6" s="1"/>
  <c r="AC71" i="6" a="1"/>
  <c r="AC71" i="6" s="1"/>
  <c r="E71" i="6" a="1"/>
  <c r="E71" i="6" s="1"/>
  <c r="AI70" i="6" a="1"/>
  <c r="AI70" i="6" s="1"/>
  <c r="P73" i="6" a="1"/>
  <c r="P73" i="6" s="1"/>
  <c r="AK71" i="6" a="1"/>
  <c r="AK71" i="6" s="1"/>
  <c r="E72" i="6" a="1"/>
  <c r="E72" i="6" s="1"/>
  <c r="P71" i="6" a="1"/>
  <c r="P71" i="6" s="1"/>
  <c r="Z71" i="6" a="1"/>
  <c r="Z71" i="6" s="1"/>
  <c r="H73" i="6" a="1"/>
  <c r="H73" i="6" s="1"/>
  <c r="AB70" i="6" a="1"/>
  <c r="AB70" i="6" s="1"/>
  <c r="AC72" i="6" a="1"/>
  <c r="AC72" i="6" s="1"/>
  <c r="AB71" i="6" a="1"/>
  <c r="AB71" i="6" s="1"/>
  <c r="F73" i="6" a="1"/>
  <c r="F73" i="6" s="1"/>
  <c r="AI68" i="6" a="1"/>
  <c r="AI68" i="6" s="1"/>
  <c r="E69" i="6" a="1"/>
  <c r="E69" i="6" s="1"/>
  <c r="AJ69" i="6" a="1"/>
  <c r="AJ69" i="6" s="1"/>
  <c r="AH68" i="6" a="1"/>
  <c r="AH68" i="6" s="1"/>
  <c r="AI69" i="6" a="1"/>
  <c r="AI69" i="6" s="1"/>
  <c r="AK68" i="6" a="1"/>
  <c r="AK68" i="6" s="1"/>
  <c r="N69" i="6" a="1"/>
  <c r="N69" i="6" s="1"/>
  <c r="F68" i="6" a="1"/>
  <c r="F68" i="6" s="1"/>
  <c r="M68" i="6" a="1"/>
  <c r="M68" i="6" s="1"/>
  <c r="G68" i="6" a="1"/>
  <c r="G68" i="6" s="1"/>
  <c r="Y70" i="6" a="1"/>
  <c r="Y70" i="6" s="1"/>
  <c r="P70" i="6" a="1"/>
  <c r="P70" i="6" s="1"/>
  <c r="N70" i="6" a="1"/>
  <c r="N70" i="6" s="1"/>
  <c r="J70" i="6" a="1"/>
  <c r="J70" i="6" s="1"/>
  <c r="H70" i="6" a="1"/>
  <c r="H70" i="6" s="1"/>
  <c r="AB69" i="6" a="1"/>
  <c r="AB69" i="6" s="1"/>
  <c r="F70" i="6" a="1"/>
  <c r="F70" i="6" s="1"/>
  <c r="E70" i="6" a="1"/>
  <c r="E70" i="6" s="1"/>
  <c r="AH69" i="6" a="1"/>
  <c r="AH69" i="6" s="1"/>
  <c r="H69" i="6" a="1"/>
  <c r="H69" i="6" s="1"/>
  <c r="AC68" i="6" a="1"/>
  <c r="AC68" i="6" s="1"/>
  <c r="N68" i="6" a="1"/>
  <c r="N68" i="6" s="1"/>
  <c r="G69" i="6" a="1"/>
  <c r="G69" i="6" s="1"/>
  <c r="K68" i="6" a="1"/>
  <c r="K68" i="6" s="1"/>
  <c r="E68" i="6" a="1"/>
  <c r="E68" i="6" s="1"/>
  <c r="K69" i="6" a="1"/>
  <c r="K69" i="6" s="1"/>
  <c r="M70" i="6" a="1"/>
  <c r="M70" i="6" s="1"/>
  <c r="K70" i="6" a="1"/>
  <c r="K70" i="6" s="1"/>
  <c r="Y69" i="6" a="1"/>
  <c r="Y69" i="6" s="1"/>
  <c r="G70" i="6" a="1"/>
  <c r="G70" i="6" s="1"/>
  <c r="P69" i="6" a="1"/>
  <c r="P69" i="6" s="1"/>
  <c r="AK69" i="6" a="1"/>
  <c r="AK69" i="6" s="1"/>
  <c r="AC69" i="6" a="1"/>
  <c r="AC69" i="6" s="1"/>
  <c r="AB68" i="6" a="1"/>
  <c r="AB68" i="6" s="1"/>
  <c r="J68" i="6" a="1"/>
  <c r="J68" i="6" s="1"/>
  <c r="Z69" i="6" a="1"/>
  <c r="Z69" i="6" s="1"/>
  <c r="M69" i="6" a="1"/>
  <c r="M69" i="6" s="1"/>
  <c r="J69" i="6" a="1"/>
  <c r="J69" i="6" s="1"/>
  <c r="F69" i="6" a="1"/>
  <c r="F69" i="6" s="1"/>
  <c r="Y68" i="6" a="1"/>
  <c r="Y68" i="6" s="1"/>
  <c r="H68" i="6" a="1"/>
  <c r="H68" i="6" s="1"/>
  <c r="AJ68" i="6" a="1"/>
  <c r="AJ68" i="6" s="1"/>
  <c r="Z68" i="6" a="1"/>
  <c r="Z68" i="6" s="1"/>
  <c r="F11" i="6" a="1"/>
  <c r="F11" i="6" s="1"/>
  <c r="Z123" i="6" a="1"/>
  <c r="Z123" i="6" s="1"/>
  <c r="AK122" i="6" a="1"/>
  <c r="AK122" i="6" s="1"/>
  <c r="M122" i="6" a="1"/>
  <c r="M122" i="6" s="1"/>
  <c r="J124" i="6" a="1"/>
  <c r="J124" i="6" s="1"/>
  <c r="AH121" i="6" a="1"/>
  <c r="AH121" i="6" s="1"/>
  <c r="H124" i="6" a="1"/>
  <c r="H124" i="6" s="1"/>
  <c r="Z122" i="6" a="1"/>
  <c r="Z122" i="6" s="1"/>
  <c r="H122" i="6" a="1"/>
  <c r="H122" i="6" s="1"/>
  <c r="Y123" i="6" a="1"/>
  <c r="Y123" i="6" s="1"/>
  <c r="AJ122" i="6" a="1"/>
  <c r="AJ122" i="6" s="1"/>
  <c r="E123" i="6" a="1"/>
  <c r="E123" i="6" s="1"/>
  <c r="M123" i="6" a="1"/>
  <c r="M123" i="6" s="1"/>
  <c r="AB122" i="6" a="1"/>
  <c r="AB122" i="6" s="1"/>
  <c r="AK121" i="6" a="1"/>
  <c r="AK121" i="6" s="1"/>
  <c r="G124" i="6" a="1"/>
  <c r="G124" i="6" s="1"/>
  <c r="P122" i="6" a="1"/>
  <c r="P122" i="6" s="1"/>
  <c r="AH123" i="6" a="1"/>
  <c r="AH123" i="6" s="1"/>
  <c r="AJ123" i="6" a="1"/>
  <c r="AJ123" i="6" s="1"/>
  <c r="F123" i="6" a="1"/>
  <c r="F123" i="6" s="1"/>
  <c r="AI122" i="6" a="1"/>
  <c r="AI122" i="6" s="1"/>
  <c r="K122" i="6" a="1"/>
  <c r="K122" i="6" s="1"/>
  <c r="E122" i="6" a="1"/>
  <c r="E122" i="6" s="1"/>
  <c r="Y121" i="6" a="1"/>
  <c r="Y121" i="6" s="1"/>
  <c r="AJ121" i="6" a="1"/>
  <c r="AJ121" i="6" s="1"/>
  <c r="G123" i="6" a="1"/>
  <c r="G123" i="6" s="1"/>
  <c r="M124" i="6" a="1"/>
  <c r="M124" i="6" s="1"/>
  <c r="K124" i="6" a="1"/>
  <c r="K124" i="6" s="1"/>
  <c r="F124" i="6" a="1"/>
  <c r="F124" i="6" s="1"/>
  <c r="E124" i="6" a="1"/>
  <c r="E124" i="6" s="1"/>
  <c r="AB123" i="6" a="1"/>
  <c r="AB123" i="6" s="1"/>
  <c r="AC121" i="6" a="1"/>
  <c r="AC121" i="6" s="1"/>
  <c r="AK123" i="6" a="1"/>
  <c r="AK123" i="6" s="1"/>
  <c r="AC123" i="6" a="1"/>
  <c r="AC123" i="6" s="1"/>
  <c r="G122" i="6" a="1"/>
  <c r="G122" i="6" s="1"/>
  <c r="AI121" i="6" a="1"/>
  <c r="AI121" i="6" s="1"/>
  <c r="N123" i="6" a="1"/>
  <c r="N123" i="6" s="1"/>
  <c r="AC122" i="6" a="1"/>
  <c r="AC122" i="6" s="1"/>
  <c r="AB121" i="6" a="1"/>
  <c r="AB121" i="6" s="1"/>
  <c r="F122" i="6" a="1"/>
  <c r="F122" i="6" s="1"/>
  <c r="N122" i="6" a="1"/>
  <c r="N122" i="6" s="1"/>
  <c r="J122" i="6" a="1"/>
  <c r="J122" i="6" s="1"/>
  <c r="Z121" i="6" a="1"/>
  <c r="Z121" i="6" s="1"/>
  <c r="K123" i="6" a="1"/>
  <c r="K123" i="6" s="1"/>
  <c r="Y124" i="6" a="1"/>
  <c r="Y124" i="6" s="1"/>
  <c r="P121" i="6" a="1"/>
  <c r="P121" i="6" s="1"/>
  <c r="N121" i="6" a="1"/>
  <c r="N121" i="6" s="1"/>
  <c r="AI123" i="6" a="1"/>
  <c r="AI123" i="6" s="1"/>
  <c r="P123" i="6" a="1"/>
  <c r="P123" i="6" s="1"/>
  <c r="J123" i="6" a="1"/>
  <c r="J123" i="6" s="1"/>
  <c r="H123" i="6" a="1"/>
  <c r="H123" i="6" s="1"/>
  <c r="AH122" i="6" a="1"/>
  <c r="AH122" i="6" s="1"/>
  <c r="Y122" i="6" a="1"/>
  <c r="Y122" i="6" s="1"/>
  <c r="P124" i="6" a="1"/>
  <c r="P124" i="6" s="1"/>
  <c r="N124" i="6" a="1"/>
  <c r="N124" i="6" s="1"/>
  <c r="Y7" i="6"/>
  <c r="R14" i="11"/>
  <c r="Q14" i="11"/>
  <c r="M14" i="11"/>
  <c r="L14" i="11"/>
  <c r="O11" i="11"/>
  <c r="M11" i="11"/>
  <c r="L11" i="11"/>
  <c r="H11" i="11"/>
  <c r="G11" i="11"/>
  <c r="F11" i="11"/>
  <c r="E11" i="11"/>
  <c r="O10" i="11"/>
  <c r="Q10" i="11" s="1"/>
  <c r="M10" i="11"/>
  <c r="L10" i="11"/>
  <c r="H10" i="11"/>
  <c r="G10" i="11"/>
  <c r="F10" i="11"/>
  <c r="E10" i="11"/>
  <c r="O9" i="11"/>
  <c r="M9" i="11"/>
  <c r="L9" i="11"/>
  <c r="H9" i="11"/>
  <c r="G9" i="11"/>
  <c r="F9" i="11"/>
  <c r="E9" i="11"/>
  <c r="O8" i="11"/>
  <c r="M8" i="11"/>
  <c r="L8" i="11"/>
  <c r="H8" i="11"/>
  <c r="G8" i="11"/>
  <c r="F8" i="11"/>
  <c r="E8" i="11"/>
  <c r="O7" i="11"/>
  <c r="R7" i="11" s="1"/>
  <c r="M7" i="11"/>
  <c r="L7" i="11"/>
  <c r="H7" i="11"/>
  <c r="G7" i="11"/>
  <c r="F7" i="11"/>
  <c r="E7" i="11"/>
  <c r="E3" i="11"/>
  <c r="D219" i="10"/>
  <c r="D107" i="10"/>
  <c r="AE3" i="9"/>
  <c r="AE4" i="9" s="1"/>
  <c r="AE5" i="9" s="1"/>
  <c r="AE6" i="9" s="1"/>
  <c r="AE7" i="9" s="1"/>
  <c r="AE8" i="9" s="1"/>
  <c r="AE9" i="9" s="1"/>
  <c r="AE10" i="9" s="1"/>
  <c r="AE11" i="9" s="1"/>
  <c r="AE12" i="9" s="1"/>
  <c r="AE13" i="9" s="1"/>
  <c r="AE14" i="9" s="1"/>
  <c r="AE15" i="9" s="1"/>
  <c r="AE16" i="9" s="1"/>
  <c r="AE17" i="9" s="1"/>
  <c r="AE18" i="9" s="1"/>
  <c r="AE19" i="9" s="1"/>
  <c r="AE20" i="9" s="1"/>
  <c r="AE21" i="9" s="1"/>
  <c r="AE22" i="9" s="1"/>
  <c r="AE23" i="9" s="1"/>
  <c r="AE24" i="9" s="1"/>
  <c r="AE25" i="9" s="1"/>
  <c r="AE26" i="9" s="1"/>
  <c r="AE27" i="9" s="1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47" i="9" s="1"/>
  <c r="AE48" i="9" s="1"/>
  <c r="AE49" i="9" s="1"/>
  <c r="BV109" i="8"/>
  <c r="BV108" i="8"/>
  <c r="BV107" i="8"/>
  <c r="BV106" i="8"/>
  <c r="BV105" i="8"/>
  <c r="BV104" i="8"/>
  <c r="BV103" i="8"/>
  <c r="BV102" i="8"/>
  <c r="BB102" i="8"/>
  <c r="AX102" i="8"/>
  <c r="AT102" i="8"/>
  <c r="AP102" i="8" s="1"/>
  <c r="AL102" i="8"/>
  <c r="AH102" i="8" s="1"/>
  <c r="W102" i="8"/>
  <c r="V102" i="8"/>
  <c r="O102" i="8"/>
  <c r="BV101" i="8"/>
  <c r="BB101" i="8"/>
  <c r="AX101" i="8" s="1"/>
  <c r="AT101" i="8"/>
  <c r="AP101" i="8" s="1"/>
  <c r="AL101" i="8"/>
  <c r="AH101" i="8" s="1"/>
  <c r="W101" i="8"/>
  <c r="O101" i="8" s="1"/>
  <c r="V101" i="8"/>
  <c r="BV100" i="8"/>
  <c r="BB100" i="8"/>
  <c r="AX100" i="8" s="1"/>
  <c r="AT100" i="8"/>
  <c r="AP100" i="8" s="1"/>
  <c r="AL100" i="8"/>
  <c r="AH100" i="8" s="1"/>
  <c r="W100" i="8"/>
  <c r="O100" i="8" s="1"/>
  <c r="V100" i="8"/>
  <c r="BV99" i="8"/>
  <c r="BB99" i="8"/>
  <c r="AX99" i="8" s="1"/>
  <c r="AT99" i="8"/>
  <c r="AP99" i="8"/>
  <c r="AL99" i="8"/>
  <c r="AH99" i="8" s="1"/>
  <c r="W99" i="8"/>
  <c r="O99" i="8" s="1"/>
  <c r="V99" i="8"/>
  <c r="BV98" i="8"/>
  <c r="BB98" i="8"/>
  <c r="AX98" i="8" s="1"/>
  <c r="AT98" i="8"/>
  <c r="AP98" i="8" s="1"/>
  <c r="AL98" i="8"/>
  <c r="AH98" i="8" s="1"/>
  <c r="W98" i="8"/>
  <c r="O98" i="8" s="1"/>
  <c r="V98" i="8"/>
  <c r="BV97" i="8"/>
  <c r="BB97" i="8"/>
  <c r="AX97" i="8" s="1"/>
  <c r="AT97" i="8"/>
  <c r="AP97" i="8" s="1"/>
  <c r="AL97" i="8"/>
  <c r="AH97" i="8" s="1"/>
  <c r="W97" i="8"/>
  <c r="O97" i="8" s="1"/>
  <c r="V97" i="8"/>
  <c r="BV96" i="8"/>
  <c r="BB96" i="8"/>
  <c r="AX96" i="8" s="1"/>
  <c r="AT96" i="8"/>
  <c r="AP96" i="8" s="1"/>
  <c r="AL96" i="8"/>
  <c r="AH96" i="8" s="1"/>
  <c r="W96" i="8"/>
  <c r="O96" i="8" s="1"/>
  <c r="V96" i="8"/>
  <c r="BV95" i="8"/>
  <c r="BB95" i="8"/>
  <c r="AX95" i="8" s="1"/>
  <c r="AT95" i="8"/>
  <c r="AP95" i="8" s="1"/>
  <c r="AL95" i="8"/>
  <c r="AH95" i="8" s="1"/>
  <c r="W95" i="8"/>
  <c r="O95" i="8" s="1"/>
  <c r="V95" i="8"/>
  <c r="BV94" i="8"/>
  <c r="BB94" i="8"/>
  <c r="AX94" i="8"/>
  <c r="AT94" i="8"/>
  <c r="AP94" i="8" s="1"/>
  <c r="AL94" i="8"/>
  <c r="AH94" i="8" s="1"/>
  <c r="W94" i="8"/>
  <c r="O94" i="8" s="1"/>
  <c r="V94" i="8"/>
  <c r="BV93" i="8"/>
  <c r="BB93" i="8"/>
  <c r="AX93" i="8" s="1"/>
  <c r="AT93" i="8"/>
  <c r="AP93" i="8" s="1"/>
  <c r="AL93" i="8"/>
  <c r="AH93" i="8"/>
  <c r="W93" i="8"/>
  <c r="O93" i="8" s="1"/>
  <c r="V93" i="8"/>
  <c r="BV92" i="8"/>
  <c r="BB92" i="8"/>
  <c r="AX92" i="8"/>
  <c r="AT92" i="8"/>
  <c r="AP92" i="8" s="1"/>
  <c r="AL92" i="8"/>
  <c r="AH92" i="8" s="1"/>
  <c r="W92" i="8"/>
  <c r="O92" i="8" s="1"/>
  <c r="V92" i="8"/>
  <c r="BV91" i="8"/>
  <c r="BB91" i="8"/>
  <c r="AX91" i="8"/>
  <c r="AT91" i="8"/>
  <c r="AP91" i="8" s="1"/>
  <c r="AL91" i="8"/>
  <c r="AH91" i="8" s="1"/>
  <c r="W91" i="8"/>
  <c r="V91" i="8"/>
  <c r="O91" i="8"/>
  <c r="BV90" i="8"/>
  <c r="BB90" i="8"/>
  <c r="AX90" i="8" s="1"/>
  <c r="AT90" i="8"/>
  <c r="AP90" i="8" s="1"/>
  <c r="AL90" i="8"/>
  <c r="AH90" i="8" s="1"/>
  <c r="W90" i="8"/>
  <c r="O90" i="8" s="1"/>
  <c r="V90" i="8"/>
  <c r="BV89" i="8"/>
  <c r="BB89" i="8"/>
  <c r="AX89" i="8"/>
  <c r="AT89" i="8"/>
  <c r="AP89" i="8" s="1"/>
  <c r="AL89" i="8"/>
  <c r="AH89" i="8" s="1"/>
  <c r="W89" i="8"/>
  <c r="O89" i="8" s="1"/>
  <c r="V89" i="8"/>
  <c r="BV88" i="8"/>
  <c r="BB88" i="8"/>
  <c r="AX88" i="8"/>
  <c r="AT88" i="8"/>
  <c r="AP88" i="8" s="1"/>
  <c r="AL88" i="8"/>
  <c r="AH88" i="8"/>
  <c r="W88" i="8"/>
  <c r="O88" i="8" s="1"/>
  <c r="V88" i="8"/>
  <c r="BV87" i="8"/>
  <c r="BB87" i="8"/>
  <c r="AX87" i="8" s="1"/>
  <c r="AT87" i="8"/>
  <c r="AP87" i="8" s="1"/>
  <c r="AL87" i="8"/>
  <c r="AH87" i="8"/>
  <c r="W87" i="8"/>
  <c r="V87" i="8"/>
  <c r="O87" i="8"/>
  <c r="BV86" i="8"/>
  <c r="BB86" i="8"/>
  <c r="AX86" i="8" s="1"/>
  <c r="AT86" i="8"/>
  <c r="AP86" i="8" s="1"/>
  <c r="AL86" i="8"/>
  <c r="AH86" i="8" s="1"/>
  <c r="W86" i="8"/>
  <c r="V86" i="8"/>
  <c r="O86" i="8"/>
  <c r="BV85" i="8"/>
  <c r="BB85" i="8"/>
  <c r="AX85" i="8" s="1"/>
  <c r="AT85" i="8"/>
  <c r="AP85" i="8"/>
  <c r="AL85" i="8"/>
  <c r="AH85" i="8" s="1"/>
  <c r="W85" i="8"/>
  <c r="O85" i="8" s="1"/>
  <c r="V85" i="8"/>
  <c r="BV84" i="8"/>
  <c r="BB84" i="8"/>
  <c r="AX84" i="8" s="1"/>
  <c r="AT84" i="8"/>
  <c r="AP84" i="8" s="1"/>
  <c r="AL84" i="8"/>
  <c r="AH84" i="8" s="1"/>
  <c r="W84" i="8"/>
  <c r="O84" i="8" s="1"/>
  <c r="V84" i="8"/>
  <c r="BV83" i="8"/>
  <c r="BB83" i="8"/>
  <c r="AX83" i="8" s="1"/>
  <c r="AT83" i="8"/>
  <c r="AP83" i="8" s="1"/>
  <c r="AL83" i="8"/>
  <c r="AH83" i="8"/>
  <c r="W83" i="8"/>
  <c r="O83" i="8" s="1"/>
  <c r="V83" i="8"/>
  <c r="BV82" i="8"/>
  <c r="BB82" i="8"/>
  <c r="AX82" i="8" s="1"/>
  <c r="AT82" i="8"/>
  <c r="AP82" i="8" s="1"/>
  <c r="AL82" i="8"/>
  <c r="AH82" i="8" s="1"/>
  <c r="W82" i="8"/>
  <c r="O82" i="8" s="1"/>
  <c r="V82" i="8"/>
  <c r="BV81" i="8"/>
  <c r="BB81" i="8"/>
  <c r="AX81" i="8" s="1"/>
  <c r="AT81" i="8"/>
  <c r="AP81" i="8" s="1"/>
  <c r="AL81" i="8"/>
  <c r="AH81" i="8"/>
  <c r="W81" i="8"/>
  <c r="O81" i="8" s="1"/>
  <c r="V81" i="8"/>
  <c r="BV80" i="8"/>
  <c r="BB80" i="8"/>
  <c r="AX80" i="8" s="1"/>
  <c r="AT80" i="8"/>
  <c r="AP80" i="8" s="1"/>
  <c r="AL80" i="8"/>
  <c r="AH80" i="8" s="1"/>
  <c r="W80" i="8"/>
  <c r="O80" i="8" s="1"/>
  <c r="V80" i="8"/>
  <c r="BV79" i="8"/>
  <c r="BB79" i="8"/>
  <c r="AX79" i="8" s="1"/>
  <c r="AT79" i="8"/>
  <c r="AP79" i="8"/>
  <c r="AL79" i="8"/>
  <c r="AH79" i="8" s="1"/>
  <c r="W79" i="8"/>
  <c r="O79" i="8" s="1"/>
  <c r="V79" i="8"/>
  <c r="BV78" i="8"/>
  <c r="BB78" i="8"/>
  <c r="AX78" i="8"/>
  <c r="AT78" i="8"/>
  <c r="AP78" i="8" s="1"/>
  <c r="AL78" i="8"/>
  <c r="AH78" i="8" s="1"/>
  <c r="W78" i="8"/>
  <c r="V78" i="8"/>
  <c r="O78" i="8"/>
  <c r="BV77" i="8"/>
  <c r="BB77" i="8"/>
  <c r="AX77" i="8" s="1"/>
  <c r="AT77" i="8"/>
  <c r="AP77" i="8" s="1"/>
  <c r="AL77" i="8"/>
  <c r="AH77" i="8" s="1"/>
  <c r="W77" i="8"/>
  <c r="V77" i="8"/>
  <c r="O77" i="8"/>
  <c r="BV76" i="8"/>
  <c r="BB76" i="8"/>
  <c r="AX76" i="8" s="1"/>
  <c r="AT76" i="8"/>
  <c r="AP76" i="8" s="1"/>
  <c r="AL76" i="8"/>
  <c r="AH76" i="8" s="1"/>
  <c r="W76" i="8"/>
  <c r="O76" i="8" s="1"/>
  <c r="V76" i="8"/>
  <c r="BV75" i="8"/>
  <c r="BB75" i="8"/>
  <c r="AX75" i="8" s="1"/>
  <c r="AT75" i="8"/>
  <c r="AP75" i="8" s="1"/>
  <c r="AL75" i="8"/>
  <c r="AH75" i="8" s="1"/>
  <c r="W75" i="8"/>
  <c r="O75" i="8" s="1"/>
  <c r="V75" i="8"/>
  <c r="BV74" i="8"/>
  <c r="BB74" i="8"/>
  <c r="AX74" i="8" s="1"/>
  <c r="AT74" i="8"/>
  <c r="AP74" i="8" s="1"/>
  <c r="AL74" i="8"/>
  <c r="AH74" i="8" s="1"/>
  <c r="W74" i="8"/>
  <c r="O74" i="8" s="1"/>
  <c r="V74" i="8"/>
  <c r="BV73" i="8"/>
  <c r="BB73" i="8"/>
  <c r="AX73" i="8" s="1"/>
  <c r="AT73" i="8"/>
  <c r="AP73" i="8" s="1"/>
  <c r="AL73" i="8"/>
  <c r="AH73" i="8" s="1"/>
  <c r="W73" i="8"/>
  <c r="O73" i="8" s="1"/>
  <c r="V73" i="8"/>
  <c r="BV72" i="8"/>
  <c r="BB72" i="8"/>
  <c r="AX72" i="8"/>
  <c r="AT72" i="8"/>
  <c r="AP72" i="8" s="1"/>
  <c r="AL72" i="8"/>
  <c r="AH72" i="8" s="1"/>
  <c r="W72" i="8"/>
  <c r="O72" i="8" s="1"/>
  <c r="V72" i="8"/>
  <c r="BV71" i="8"/>
  <c r="BB71" i="8"/>
  <c r="AX71" i="8" s="1"/>
  <c r="AT71" i="8"/>
  <c r="AP71" i="8" s="1"/>
  <c r="AL71" i="8"/>
  <c r="AH71" i="8" s="1"/>
  <c r="W71" i="8"/>
  <c r="O71" i="8" s="1"/>
  <c r="V71" i="8"/>
  <c r="BV70" i="8"/>
  <c r="BB70" i="8"/>
  <c r="AX70" i="8"/>
  <c r="AT70" i="8"/>
  <c r="AP70" i="8" s="1"/>
  <c r="AL70" i="8"/>
  <c r="AH70" i="8"/>
  <c r="W70" i="8"/>
  <c r="O70" i="8" s="1"/>
  <c r="V70" i="8"/>
  <c r="BV69" i="8"/>
  <c r="BB69" i="8"/>
  <c r="AX69" i="8" s="1"/>
  <c r="AT69" i="8"/>
  <c r="AP69" i="8" s="1"/>
  <c r="AL69" i="8"/>
  <c r="AH69" i="8" s="1"/>
  <c r="W69" i="8"/>
  <c r="V69" i="8"/>
  <c r="O69" i="8"/>
  <c r="BV68" i="8"/>
  <c r="BB68" i="8"/>
  <c r="AX68" i="8" s="1"/>
  <c r="AT68" i="8"/>
  <c r="AP68" i="8" s="1"/>
  <c r="AL68" i="8"/>
  <c r="AH68" i="8" s="1"/>
  <c r="W68" i="8"/>
  <c r="O68" i="8" s="1"/>
  <c r="V68" i="8"/>
  <c r="C68" i="8"/>
  <c r="BV67" i="8"/>
  <c r="BB67" i="8"/>
  <c r="AX67" i="8" s="1"/>
  <c r="AT67" i="8"/>
  <c r="AP67" i="8" s="1"/>
  <c r="AL67" i="8"/>
  <c r="AH67" i="8" s="1"/>
  <c r="W67" i="8"/>
  <c r="O67" i="8" s="1"/>
  <c r="V67" i="8"/>
  <c r="C67" i="8"/>
  <c r="BV66" i="8"/>
  <c r="BB66" i="8"/>
  <c r="AX66" i="8" s="1"/>
  <c r="AT66" i="8"/>
  <c r="AP66" i="8"/>
  <c r="AL66" i="8"/>
  <c r="AH66" i="8" s="1"/>
  <c r="W66" i="8"/>
  <c r="O66" i="8" s="1"/>
  <c r="V66" i="8"/>
  <c r="C66" i="8"/>
  <c r="BV65" i="8"/>
  <c r="BB65" i="8"/>
  <c r="AX65" i="8" s="1"/>
  <c r="AT65" i="8"/>
  <c r="AP65" i="8" s="1"/>
  <c r="AL65" i="8"/>
  <c r="AH65" i="8" s="1"/>
  <c r="W65" i="8"/>
  <c r="O65" i="8" s="1"/>
  <c r="V65" i="8"/>
  <c r="C65" i="8"/>
  <c r="BV64" i="8"/>
  <c r="BB64" i="8"/>
  <c r="AX64" i="8" s="1"/>
  <c r="AT64" i="8"/>
  <c r="AP64" i="8" s="1"/>
  <c r="AL64" i="8"/>
  <c r="AH64" i="8"/>
  <c r="W64" i="8"/>
  <c r="O64" i="8" s="1"/>
  <c r="V64" i="8"/>
  <c r="C64" i="8"/>
  <c r="BV63" i="8"/>
  <c r="BB63" i="8"/>
  <c r="AX63" i="8" s="1"/>
  <c r="AT63" i="8"/>
  <c r="AP63" i="8" s="1"/>
  <c r="AL63" i="8"/>
  <c r="AH63" i="8" s="1"/>
  <c r="W63" i="8"/>
  <c r="O63" i="8" s="1"/>
  <c r="V63" i="8"/>
  <c r="C63" i="8"/>
  <c r="BV62" i="8"/>
  <c r="BB62" i="8"/>
  <c r="AX62" i="8" s="1"/>
  <c r="AT62" i="8"/>
  <c r="AP62" i="8" s="1"/>
  <c r="AL62" i="8"/>
  <c r="AH62" i="8" s="1"/>
  <c r="W62" i="8"/>
  <c r="O62" i="8" s="1"/>
  <c r="V62" i="8"/>
  <c r="C62" i="8"/>
  <c r="BV61" i="8"/>
  <c r="BB61" i="8"/>
  <c r="AX61" i="8" s="1"/>
  <c r="AT61" i="8"/>
  <c r="AP61" i="8" s="1"/>
  <c r="AL61" i="8"/>
  <c r="AH61" i="8" s="1"/>
  <c r="W61" i="8"/>
  <c r="O61" i="8" s="1"/>
  <c r="V61" i="8"/>
  <c r="C61" i="8"/>
  <c r="BV60" i="8"/>
  <c r="BB60" i="8"/>
  <c r="AX60" i="8" s="1"/>
  <c r="AT60" i="8"/>
  <c r="AP60" i="8" s="1"/>
  <c r="AL60" i="8"/>
  <c r="AH60" i="8" s="1"/>
  <c r="W60" i="8"/>
  <c r="V60" i="8"/>
  <c r="O60" i="8"/>
  <c r="C60" i="8"/>
  <c r="BV59" i="8"/>
  <c r="BB59" i="8"/>
  <c r="AX59" i="8" s="1"/>
  <c r="AT59" i="8"/>
  <c r="AP59" i="8" s="1"/>
  <c r="AL59" i="8"/>
  <c r="AH59" i="8" s="1"/>
  <c r="W59" i="8"/>
  <c r="O59" i="8" s="1"/>
  <c r="V59" i="8"/>
  <c r="C59" i="8"/>
  <c r="BV58" i="8"/>
  <c r="BB58" i="8"/>
  <c r="AX58" i="8"/>
  <c r="AT58" i="8"/>
  <c r="AP58" i="8" s="1"/>
  <c r="AL58" i="8"/>
  <c r="AH58" i="8" s="1"/>
  <c r="W58" i="8"/>
  <c r="O58" i="8" s="1"/>
  <c r="V58" i="8"/>
  <c r="C58" i="8"/>
  <c r="BV57" i="8"/>
  <c r="BB57" i="8"/>
  <c r="AX57" i="8" s="1"/>
  <c r="AT57" i="8"/>
  <c r="AP57" i="8" s="1"/>
  <c r="AL57" i="8"/>
  <c r="AH57" i="8" s="1"/>
  <c r="W57" i="8"/>
  <c r="O57" i="8" s="1"/>
  <c r="V57" i="8"/>
  <c r="C57" i="8"/>
  <c r="BV56" i="8"/>
  <c r="BB56" i="8"/>
  <c r="AX56" i="8"/>
  <c r="AT56" i="8"/>
  <c r="AP56" i="8" s="1"/>
  <c r="AL56" i="8"/>
  <c r="AH56" i="8" s="1"/>
  <c r="W56" i="8"/>
  <c r="O56" i="8" s="1"/>
  <c r="V56" i="8"/>
  <c r="C56" i="8"/>
  <c r="BV55" i="8"/>
  <c r="BB55" i="8"/>
  <c r="AX55" i="8" s="1"/>
  <c r="AT55" i="8"/>
  <c r="AP55" i="8" s="1"/>
  <c r="AL55" i="8"/>
  <c r="AH55" i="8" s="1"/>
  <c r="W55" i="8"/>
  <c r="O55" i="8" s="1"/>
  <c r="V55" i="8"/>
  <c r="C55" i="8"/>
  <c r="BV54" i="8"/>
  <c r="BB54" i="8"/>
  <c r="AX54" i="8" s="1"/>
  <c r="AT54" i="8"/>
  <c r="AP54" i="8"/>
  <c r="AL54" i="8"/>
  <c r="AH54" i="8" s="1"/>
  <c r="W54" i="8"/>
  <c r="O54" i="8" s="1"/>
  <c r="V54" i="8"/>
  <c r="C54" i="8"/>
  <c r="BV53" i="8"/>
  <c r="BB53" i="8"/>
  <c r="AX53" i="8" s="1"/>
  <c r="AT53" i="8"/>
  <c r="AP53" i="8"/>
  <c r="AL53" i="8"/>
  <c r="AH53" i="8" s="1"/>
  <c r="W53" i="8"/>
  <c r="V53" i="8"/>
  <c r="O53" i="8"/>
  <c r="C53" i="8"/>
  <c r="BV52" i="8"/>
  <c r="BB52" i="8"/>
  <c r="AX52" i="8" s="1"/>
  <c r="AT52" i="8"/>
  <c r="AP52" i="8"/>
  <c r="AL52" i="8"/>
  <c r="AH52" i="8" s="1"/>
  <c r="W52" i="8"/>
  <c r="O52" i="8" s="1"/>
  <c r="V52" i="8"/>
  <c r="C52" i="8"/>
  <c r="BV51" i="8"/>
  <c r="BB51" i="8"/>
  <c r="AX51" i="8" s="1"/>
  <c r="AT51" i="8"/>
  <c r="AP51" i="8" s="1"/>
  <c r="AL51" i="8"/>
  <c r="AH51" i="8" s="1"/>
  <c r="W51" i="8"/>
  <c r="O51" i="8" s="1"/>
  <c r="V51" i="8"/>
  <c r="C51" i="8"/>
  <c r="BV50" i="8"/>
  <c r="BB50" i="8"/>
  <c r="AX50" i="8" s="1"/>
  <c r="AT50" i="8"/>
  <c r="AP50" i="8" s="1"/>
  <c r="AL50" i="8"/>
  <c r="AH50" i="8" s="1"/>
  <c r="W50" i="8"/>
  <c r="O50" i="8" s="1"/>
  <c r="V50" i="8"/>
  <c r="C50" i="8"/>
  <c r="BV49" i="8"/>
  <c r="BB49" i="8"/>
  <c r="AX49" i="8" s="1"/>
  <c r="AT49" i="8"/>
  <c r="AP49" i="8" s="1"/>
  <c r="AL49" i="8"/>
  <c r="AH49" i="8" s="1"/>
  <c r="W49" i="8"/>
  <c r="O49" i="8" s="1"/>
  <c r="V49" i="8"/>
  <c r="C49" i="8"/>
  <c r="BV48" i="8"/>
  <c r="BB48" i="8"/>
  <c r="AX48" i="8" s="1"/>
  <c r="AT48" i="8"/>
  <c r="AP48" i="8" s="1"/>
  <c r="AL48" i="8"/>
  <c r="AH48" i="8" s="1"/>
  <c r="W48" i="8"/>
  <c r="O48" i="8" s="1"/>
  <c r="V48" i="8"/>
  <c r="C48" i="8"/>
  <c r="BV47" i="8"/>
  <c r="BB47" i="8"/>
  <c r="AX47" i="8" s="1"/>
  <c r="AT47" i="8"/>
  <c r="AP47" i="8" s="1"/>
  <c r="AL47" i="8"/>
  <c r="AH47" i="8" s="1"/>
  <c r="W47" i="8"/>
  <c r="V47" i="8"/>
  <c r="O47" i="8"/>
  <c r="C47" i="8"/>
  <c r="BV46" i="8"/>
  <c r="BB46" i="8"/>
  <c r="AX46" i="8" s="1"/>
  <c r="AT46" i="8"/>
  <c r="AP46" i="8"/>
  <c r="AL46" i="8"/>
  <c r="AH46" i="8" s="1"/>
  <c r="W46" i="8"/>
  <c r="O46" i="8" s="1"/>
  <c r="V46" i="8"/>
  <c r="C46" i="8"/>
  <c r="BV45" i="8"/>
  <c r="BB45" i="8"/>
  <c r="AX45" i="8" s="1"/>
  <c r="AT45" i="8"/>
  <c r="AP45" i="8"/>
  <c r="AL45" i="8"/>
  <c r="AH45" i="8" s="1"/>
  <c r="W45" i="8"/>
  <c r="O45" i="8" s="1"/>
  <c r="V45" i="8"/>
  <c r="C45" i="8"/>
  <c r="BV44" i="8"/>
  <c r="BB44" i="8"/>
  <c r="AX44" i="8" s="1"/>
  <c r="AT44" i="8"/>
  <c r="AP44" i="8"/>
  <c r="AL44" i="8"/>
  <c r="AH44" i="8" s="1"/>
  <c r="W44" i="8"/>
  <c r="O44" i="8" s="1"/>
  <c r="V44" i="8"/>
  <c r="C44" i="8"/>
  <c r="BV43" i="8"/>
  <c r="BB43" i="8"/>
  <c r="AX43" i="8" s="1"/>
  <c r="AT43" i="8"/>
  <c r="AP43" i="8" s="1"/>
  <c r="AL43" i="8"/>
  <c r="AH43" i="8"/>
  <c r="W43" i="8"/>
  <c r="O43" i="8" s="1"/>
  <c r="V43" i="8"/>
  <c r="C43" i="8"/>
  <c r="BV42" i="8"/>
  <c r="BB42" i="8"/>
  <c r="AX42" i="8" s="1"/>
  <c r="AT42" i="8"/>
  <c r="AP42" i="8" s="1"/>
  <c r="AL42" i="8"/>
  <c r="AH42" i="8" s="1"/>
  <c r="W42" i="8"/>
  <c r="O42" i="8" s="1"/>
  <c r="V42" i="8"/>
  <c r="C42" i="8"/>
  <c r="BV41" i="8"/>
  <c r="BB41" i="8"/>
  <c r="AX41" i="8" s="1"/>
  <c r="AT41" i="8"/>
  <c r="AP41" i="8"/>
  <c r="AL41" i="8"/>
  <c r="AH41" i="8"/>
  <c r="W41" i="8"/>
  <c r="O41" i="8" s="1"/>
  <c r="V41" i="8"/>
  <c r="C41" i="8"/>
  <c r="BV40" i="8"/>
  <c r="BB40" i="8"/>
  <c r="AX40" i="8"/>
  <c r="AT40" i="8"/>
  <c r="AP40" i="8" s="1"/>
  <c r="AL40" i="8"/>
  <c r="AH40" i="8" s="1"/>
  <c r="W40" i="8"/>
  <c r="O40" i="8" s="1"/>
  <c r="V40" i="8"/>
  <c r="C40" i="8"/>
  <c r="BV39" i="8"/>
  <c r="BB39" i="8"/>
  <c r="AX39" i="8"/>
  <c r="AT39" i="8"/>
  <c r="AP39" i="8" s="1"/>
  <c r="AL39" i="8"/>
  <c r="AH39" i="8" s="1"/>
  <c r="W39" i="8"/>
  <c r="O39" i="8" s="1"/>
  <c r="V39" i="8"/>
  <c r="C39" i="8"/>
  <c r="BV38" i="8"/>
  <c r="BB38" i="8"/>
  <c r="AX38" i="8" s="1"/>
  <c r="AT38" i="8"/>
  <c r="AP38" i="8" s="1"/>
  <c r="AL38" i="8"/>
  <c r="AH38" i="8"/>
  <c r="W38" i="8"/>
  <c r="O38" i="8" s="1"/>
  <c r="V38" i="8"/>
  <c r="C38" i="8"/>
  <c r="BV37" i="8"/>
  <c r="BB37" i="8"/>
  <c r="AX37" i="8" s="1"/>
  <c r="AT37" i="8"/>
  <c r="AP37" i="8"/>
  <c r="AL37" i="8"/>
  <c r="AH37" i="8" s="1"/>
  <c r="W37" i="8"/>
  <c r="O37" i="8" s="1"/>
  <c r="V37" i="8"/>
  <c r="C37" i="8"/>
  <c r="BV36" i="8"/>
  <c r="BB36" i="8"/>
  <c r="AX36" i="8" s="1"/>
  <c r="AT36" i="8"/>
  <c r="AP36" i="8" s="1"/>
  <c r="AL36" i="8"/>
  <c r="AH36" i="8" s="1"/>
  <c r="W36" i="8"/>
  <c r="O36" i="8" s="1"/>
  <c r="V36" i="8"/>
  <c r="C36" i="8"/>
  <c r="BV35" i="8"/>
  <c r="BB35" i="8"/>
  <c r="AX35" i="8" s="1"/>
  <c r="AT35" i="8"/>
  <c r="AP35" i="8" s="1"/>
  <c r="AL35" i="8"/>
  <c r="AH35" i="8" s="1"/>
  <c r="W35" i="8"/>
  <c r="O35" i="8" s="1"/>
  <c r="V35" i="8"/>
  <c r="C35" i="8"/>
  <c r="BV34" i="8"/>
  <c r="BB34" i="8"/>
  <c r="AX34" i="8" s="1"/>
  <c r="AT34" i="8"/>
  <c r="AP34" i="8" s="1"/>
  <c r="AL34" i="8"/>
  <c r="AH34" i="8"/>
  <c r="W34" i="8"/>
  <c r="O34" i="8" s="1"/>
  <c r="V34" i="8"/>
  <c r="C34" i="8"/>
  <c r="BV33" i="8"/>
  <c r="BB33" i="8"/>
  <c r="AX33" i="8"/>
  <c r="AT33" i="8"/>
  <c r="AP33" i="8" s="1"/>
  <c r="AL33" i="8"/>
  <c r="AH33" i="8" s="1"/>
  <c r="W33" i="8"/>
  <c r="O33" i="8" s="1"/>
  <c r="V33" i="8"/>
  <c r="C33" i="8"/>
  <c r="BV32" i="8"/>
  <c r="BB32" i="8"/>
  <c r="AX32" i="8" s="1"/>
  <c r="AT32" i="8"/>
  <c r="AP32" i="8" s="1"/>
  <c r="AL32" i="8"/>
  <c r="AH32" i="8" s="1"/>
  <c r="W32" i="8"/>
  <c r="O32" i="8" s="1"/>
  <c r="V32" i="8"/>
  <c r="C32" i="8"/>
  <c r="BV31" i="8"/>
  <c r="BB31" i="8"/>
  <c r="AX31" i="8" s="1"/>
  <c r="AT31" i="8"/>
  <c r="AP31" i="8" s="1"/>
  <c r="AL31" i="8"/>
  <c r="AH31" i="8" s="1"/>
  <c r="W31" i="8"/>
  <c r="O31" i="8" s="1"/>
  <c r="V31" i="8"/>
  <c r="C31" i="8"/>
  <c r="BV30" i="8"/>
  <c r="BB30" i="8"/>
  <c r="AX30" i="8" s="1"/>
  <c r="AT30" i="8"/>
  <c r="AP30" i="8" s="1"/>
  <c r="AL30" i="8"/>
  <c r="AH30" i="8" s="1"/>
  <c r="W30" i="8"/>
  <c r="O30" i="8" s="1"/>
  <c r="V30" i="8"/>
  <c r="C30" i="8"/>
  <c r="BV29" i="8"/>
  <c r="BB29" i="8"/>
  <c r="AX29" i="8" s="1"/>
  <c r="AT29" i="8"/>
  <c r="AP29" i="8" s="1"/>
  <c r="AL29" i="8"/>
  <c r="AH29" i="8" s="1"/>
  <c r="W29" i="8"/>
  <c r="O29" i="8" s="1"/>
  <c r="V29" i="8"/>
  <c r="C29" i="8"/>
  <c r="BV28" i="8"/>
  <c r="BB28" i="8"/>
  <c r="AX28" i="8" s="1"/>
  <c r="AT28" i="8"/>
  <c r="AP28" i="8" s="1"/>
  <c r="AL28" i="8"/>
  <c r="AH28" i="8" s="1"/>
  <c r="W28" i="8"/>
  <c r="O28" i="8" s="1"/>
  <c r="V28" i="8"/>
  <c r="C28" i="8"/>
  <c r="BV27" i="8"/>
  <c r="BB27" i="8"/>
  <c r="AX27" i="8" s="1"/>
  <c r="AT27" i="8"/>
  <c r="AP27" i="8" s="1"/>
  <c r="AL27" i="8"/>
  <c r="AH27" i="8"/>
  <c r="W27" i="8"/>
  <c r="V27" i="8"/>
  <c r="O27" i="8"/>
  <c r="C27" i="8"/>
  <c r="BV26" i="8"/>
  <c r="BB26" i="8"/>
  <c r="AX26" i="8" s="1"/>
  <c r="AT26" i="8"/>
  <c r="AP26" i="8"/>
  <c r="AL26" i="8"/>
  <c r="AH26" i="8" s="1"/>
  <c r="W26" i="8"/>
  <c r="O26" i="8" s="1"/>
  <c r="V26" i="8"/>
  <c r="C26" i="8"/>
  <c r="BV25" i="8"/>
  <c r="BB25" i="8"/>
  <c r="AX25" i="8" s="1"/>
  <c r="AT25" i="8"/>
  <c r="AP25" i="8" s="1"/>
  <c r="AL25" i="8"/>
  <c r="AH25" i="8" s="1"/>
  <c r="W25" i="8"/>
  <c r="O25" i="8" s="1"/>
  <c r="V25" i="8"/>
  <c r="C25" i="8"/>
  <c r="BV24" i="8"/>
  <c r="BB24" i="8"/>
  <c r="AX24" i="8"/>
  <c r="AT24" i="8"/>
  <c r="AP24" i="8" s="1"/>
  <c r="AL24" i="8"/>
  <c r="AH24" i="8" s="1"/>
  <c r="W24" i="8"/>
  <c r="O24" i="8" s="1"/>
  <c r="V24" i="8"/>
  <c r="C24" i="8"/>
  <c r="BV23" i="8"/>
  <c r="BB23" i="8"/>
  <c r="AX23" i="8" s="1"/>
  <c r="AT23" i="8"/>
  <c r="AP23" i="8" s="1"/>
  <c r="AL23" i="8"/>
  <c r="AH23" i="8" s="1"/>
  <c r="W23" i="8"/>
  <c r="O23" i="8" s="1"/>
  <c r="V23" i="8"/>
  <c r="C23" i="8"/>
  <c r="BV22" i="8"/>
  <c r="BJ22" i="8"/>
  <c r="BF22" i="8"/>
  <c r="BB22" i="8"/>
  <c r="AX22" i="8" s="1"/>
  <c r="AT22" i="8"/>
  <c r="AP22" i="8" s="1"/>
  <c r="AL22" i="8"/>
  <c r="AH22" i="8" s="1"/>
  <c r="W22" i="8"/>
  <c r="O22" i="8" s="1"/>
  <c r="V22" i="8"/>
  <c r="C22" i="8"/>
  <c r="BV21" i="8"/>
  <c r="BJ21" i="8"/>
  <c r="BF21" i="8" s="1"/>
  <c r="BB21" i="8"/>
  <c r="AX21" i="8"/>
  <c r="AT21" i="8"/>
  <c r="AP21" i="8" s="1"/>
  <c r="AL21" i="8"/>
  <c r="AH21" i="8" s="1"/>
  <c r="W21" i="8"/>
  <c r="O21" i="8" s="1"/>
  <c r="V21" i="8"/>
  <c r="C21" i="8"/>
  <c r="BV20" i="8"/>
  <c r="BQ20" i="8"/>
  <c r="BJ20" i="8"/>
  <c r="BF20" i="8" s="1"/>
  <c r="BB20" i="8"/>
  <c r="AX20" i="8" s="1"/>
  <c r="AT20" i="8"/>
  <c r="AP20" i="8" s="1"/>
  <c r="AL20" i="8"/>
  <c r="AH20" i="8" s="1"/>
  <c r="W20" i="8"/>
  <c r="O20" i="8" s="1"/>
  <c r="V20" i="8"/>
  <c r="C20" i="8"/>
  <c r="BV19" i="8"/>
  <c r="BQ19" i="8"/>
  <c r="BJ19" i="8"/>
  <c r="BF19" i="8" s="1"/>
  <c r="BB19" i="8"/>
  <c r="AX19" i="8"/>
  <c r="AT19" i="8"/>
  <c r="AP19" i="8"/>
  <c r="AL19" i="8"/>
  <c r="AH19" i="8" s="1"/>
  <c r="W19" i="8"/>
  <c r="O19" i="8" s="1"/>
  <c r="V19" i="8"/>
  <c r="C19" i="8"/>
  <c r="BV18" i="8"/>
  <c r="BQ18" i="8"/>
  <c r="BJ18" i="8"/>
  <c r="BF18" i="8" s="1"/>
  <c r="BB18" i="8"/>
  <c r="AX18" i="8" s="1"/>
  <c r="AT18" i="8"/>
  <c r="AP18" i="8" s="1"/>
  <c r="AL18" i="8"/>
  <c r="AH18" i="8" s="1"/>
  <c r="W18" i="8"/>
  <c r="O18" i="8" s="1"/>
  <c r="V18" i="8"/>
  <c r="C18" i="8"/>
  <c r="BV17" i="8"/>
  <c r="BQ17" i="8"/>
  <c r="BJ17" i="8"/>
  <c r="BF17" i="8" s="1"/>
  <c r="BB17" i="8"/>
  <c r="AX17" i="8" s="1"/>
  <c r="AT17" i="8"/>
  <c r="AP17" i="8" s="1"/>
  <c r="AL17" i="8"/>
  <c r="AH17" i="8" s="1"/>
  <c r="W17" i="8"/>
  <c r="O17" i="8" s="1"/>
  <c r="V17" i="8"/>
  <c r="C17" i="8"/>
  <c r="BV16" i="8"/>
  <c r="BQ16" i="8"/>
  <c r="BJ16" i="8"/>
  <c r="BF16" i="8"/>
  <c r="BB16" i="8"/>
  <c r="AX16" i="8" s="1"/>
  <c r="AT16" i="8"/>
  <c r="AP16" i="8" s="1"/>
  <c r="AL16" i="8"/>
  <c r="AH16" i="8" s="1"/>
  <c r="W16" i="8"/>
  <c r="O16" i="8" s="1"/>
  <c r="V16" i="8"/>
  <c r="C16" i="8"/>
  <c r="BV15" i="8"/>
  <c r="BQ15" i="8"/>
  <c r="BJ15" i="8"/>
  <c r="BF15" i="8" s="1"/>
  <c r="BB15" i="8"/>
  <c r="AX15" i="8" s="1"/>
  <c r="AT15" i="8"/>
  <c r="AP15" i="8"/>
  <c r="AL15" i="8"/>
  <c r="AH15" i="8" s="1"/>
  <c r="W15" i="8"/>
  <c r="O15" i="8" s="1"/>
  <c r="V15" i="8"/>
  <c r="C15" i="8"/>
  <c r="BV14" i="8"/>
  <c r="BQ14" i="8"/>
  <c r="BJ14" i="8"/>
  <c r="BF14" i="8" s="1"/>
  <c r="BB14" i="8"/>
  <c r="AX14" i="8" s="1"/>
  <c r="AT14" i="8"/>
  <c r="AP14" i="8" s="1"/>
  <c r="AL14" i="8"/>
  <c r="AH14" i="8" s="1"/>
  <c r="W14" i="8"/>
  <c r="V14" i="8"/>
  <c r="O14" i="8"/>
  <c r="C14" i="8"/>
  <c r="BV13" i="8"/>
  <c r="BQ13" i="8"/>
  <c r="BJ13" i="8"/>
  <c r="BF13" i="8" s="1"/>
  <c r="BB13" i="8"/>
  <c r="AX13" i="8" s="1"/>
  <c r="AT13" i="8"/>
  <c r="AP13" i="8" s="1"/>
  <c r="AL13" i="8"/>
  <c r="AH13" i="8" s="1"/>
  <c r="W13" i="8"/>
  <c r="O13" i="8" s="1"/>
  <c r="V13" i="8"/>
  <c r="C13" i="8"/>
  <c r="BV12" i="8"/>
  <c r="BO21" i="2" s="1"/>
  <c r="BQ12" i="8"/>
  <c r="BJ12" i="8"/>
  <c r="BF12" i="8" s="1"/>
  <c r="BB12" i="8"/>
  <c r="AX12" i="8" s="1"/>
  <c r="AT12" i="8"/>
  <c r="AP12" i="8" s="1"/>
  <c r="AL12" i="8"/>
  <c r="AH12" i="8" s="1"/>
  <c r="W12" i="8"/>
  <c r="O12" i="8" s="1"/>
  <c r="V12" i="8"/>
  <c r="C12" i="8"/>
  <c r="CT11" i="8"/>
  <c r="BV11" i="8"/>
  <c r="BQ11" i="8"/>
  <c r="BJ11" i="8"/>
  <c r="BF11" i="8" s="1"/>
  <c r="BB11" i="8"/>
  <c r="AX11" i="8"/>
  <c r="AT11" i="8"/>
  <c r="AP11" i="8"/>
  <c r="AL11" i="8"/>
  <c r="AH11" i="8" s="1"/>
  <c r="W11" i="8"/>
  <c r="O11" i="8" s="1"/>
  <c r="V11" i="8"/>
  <c r="C11" i="8"/>
  <c r="CT10" i="8"/>
  <c r="BV10" i="8"/>
  <c r="BQ10" i="8"/>
  <c r="BJ10" i="8"/>
  <c r="BF10" i="8" s="1"/>
  <c r="BB10" i="8"/>
  <c r="AX10" i="8" s="1"/>
  <c r="AT10" i="8"/>
  <c r="AP10" i="8" s="1"/>
  <c r="AL10" i="8"/>
  <c r="AH10" i="8" s="1"/>
  <c r="W10" i="8"/>
  <c r="O10" i="8" s="1"/>
  <c r="V10" i="8"/>
  <c r="C10" i="8"/>
  <c r="CT9" i="8"/>
  <c r="BV9" i="8"/>
  <c r="BU9" i="8"/>
  <c r="BU8" i="8" s="1"/>
  <c r="BU7" i="8" s="1"/>
  <c r="BU6" i="8" s="1"/>
  <c r="BU5" i="8" s="1"/>
  <c r="BU4" i="8" s="1"/>
  <c r="BU3" i="8" s="1"/>
  <c r="BQ9" i="8"/>
  <c r="BJ9" i="8"/>
  <c r="BF9" i="8" s="1"/>
  <c r="BB9" i="8"/>
  <c r="AX9" i="8" s="1"/>
  <c r="AT9" i="8"/>
  <c r="AP9" i="8" s="1"/>
  <c r="AL9" i="8"/>
  <c r="AH9" i="8" s="1"/>
  <c r="W9" i="8"/>
  <c r="O9" i="8" s="1"/>
  <c r="V9" i="8"/>
  <c r="C9" i="8"/>
  <c r="CT8" i="8"/>
  <c r="I46" i="3" s="1"/>
  <c r="BV8" i="8"/>
  <c r="BQ8" i="8"/>
  <c r="BJ8" i="8"/>
  <c r="BF8" i="8" s="1"/>
  <c r="BB8" i="8"/>
  <c r="AX8" i="8" s="1"/>
  <c r="AT8" i="8"/>
  <c r="AP8" i="8"/>
  <c r="AL8" i="8"/>
  <c r="AH8" i="8"/>
  <c r="W8" i="8"/>
  <c r="O8" i="8" s="1"/>
  <c r="V8" i="8"/>
  <c r="C8" i="8"/>
  <c r="BV7" i="8"/>
  <c r="BQ7" i="8"/>
  <c r="BJ7" i="8"/>
  <c r="BF7" i="8" s="1"/>
  <c r="BB7" i="8"/>
  <c r="AX7" i="8" s="1"/>
  <c r="AT7" i="8"/>
  <c r="AP7" i="8" s="1"/>
  <c r="AL7" i="8"/>
  <c r="AH7" i="8" s="1"/>
  <c r="W7" i="8"/>
  <c r="O7" i="8" s="1"/>
  <c r="V7" i="8"/>
  <c r="C7" i="8"/>
  <c r="CT6" i="8"/>
  <c r="CP7" i="8"/>
  <c r="CL7" i="8" s="1"/>
  <c r="BV6" i="8"/>
  <c r="BQ6" i="8"/>
  <c r="BJ6" i="8"/>
  <c r="BF6" i="8" s="1"/>
  <c r="BB6" i="8"/>
  <c r="AX6" i="8" s="1"/>
  <c r="AT6" i="8"/>
  <c r="AP6" i="8"/>
  <c r="AL6" i="8"/>
  <c r="AH6" i="8"/>
  <c r="W6" i="8"/>
  <c r="O6" i="8" s="1"/>
  <c r="V6" i="8"/>
  <c r="C6" i="8"/>
  <c r="CT5" i="8"/>
  <c r="CP6" i="8"/>
  <c r="CL6" i="8" s="1"/>
  <c r="BV5" i="8"/>
  <c r="BQ5" i="8"/>
  <c r="BJ5" i="8"/>
  <c r="BF5" i="8" s="1"/>
  <c r="BB5" i="8"/>
  <c r="AX5" i="8" s="1"/>
  <c r="AT5" i="8"/>
  <c r="AP5" i="8" s="1"/>
  <c r="AL5" i="8"/>
  <c r="AH5" i="8"/>
  <c r="W5" i="8"/>
  <c r="O5" i="8" s="1"/>
  <c r="V5" i="8"/>
  <c r="C5" i="8"/>
  <c r="CT4" i="8"/>
  <c r="CP5" i="8"/>
  <c r="CL5" i="8" s="1"/>
  <c r="BV4" i="8"/>
  <c r="BQ4" i="8"/>
  <c r="BJ4" i="8"/>
  <c r="BF4" i="8"/>
  <c r="BB4" i="8"/>
  <c r="AX4" i="8" s="1"/>
  <c r="AT4" i="8"/>
  <c r="AP4" i="8" s="1"/>
  <c r="AL22" i="2" s="1"/>
  <c r="AL4" i="8"/>
  <c r="AH4" i="8" s="1"/>
  <c r="AH22" i="2" s="1"/>
  <c r="W4" i="8"/>
  <c r="O4" i="8" s="1"/>
  <c r="V4" i="8"/>
  <c r="C4" i="8"/>
  <c r="CT3" i="8"/>
  <c r="CP4" i="8"/>
  <c r="CL4" i="8" s="1"/>
  <c r="BV3" i="8"/>
  <c r="BQ3" i="8"/>
  <c r="BJ3" i="8"/>
  <c r="BF3" i="8" s="1"/>
  <c r="BB3" i="8"/>
  <c r="AX3" i="8" s="1"/>
  <c r="T21" i="2" s="1"/>
  <c r="AT3" i="8"/>
  <c r="AP3" i="8" s="1"/>
  <c r="AL21" i="2" s="1"/>
  <c r="AL3" i="8"/>
  <c r="AH3" i="8" s="1"/>
  <c r="AH21" i="2" s="1"/>
  <c r="AC3" i="8"/>
  <c r="AB3" i="8"/>
  <c r="AA3" i="8"/>
  <c r="W3" i="8"/>
  <c r="O3" i="8" s="1"/>
  <c r="BI21" i="2" s="1"/>
  <c r="V3" i="8"/>
  <c r="C3" i="8"/>
  <c r="I93" i="7"/>
  <c r="H93" i="7"/>
  <c r="A11" i="7"/>
  <c r="X7" i="6"/>
  <c r="A12" i="6"/>
  <c r="G12" i="6" s="1" a="1"/>
  <c r="G12" i="6" s="1"/>
  <c r="X17" i="6"/>
  <c r="X18" i="6"/>
  <c r="X19" i="6"/>
  <c r="X20" i="6"/>
  <c r="X23" i="6"/>
  <c r="X26" i="6"/>
  <c r="X27" i="6"/>
  <c r="X28" i="6"/>
  <c r="X30" i="6"/>
  <c r="X34" i="6"/>
  <c r="X35" i="6"/>
  <c r="X36" i="6"/>
  <c r="X38" i="6"/>
  <c r="X39" i="6"/>
  <c r="X40" i="6"/>
  <c r="X41" i="6"/>
  <c r="X43" i="6"/>
  <c r="X44" i="6"/>
  <c r="X47" i="6"/>
  <c r="X49" i="6"/>
  <c r="X50" i="6"/>
  <c r="X51" i="6"/>
  <c r="X52" i="6"/>
  <c r="X53" i="6"/>
  <c r="X54" i="6"/>
  <c r="R21" i="3"/>
  <c r="S21" i="3" s="1"/>
  <c r="DX21" i="2" l="1"/>
  <c r="L14" i="5"/>
  <c r="BP21" i="2"/>
  <c r="EF21" i="2"/>
  <c r="P15" i="5"/>
  <c r="AV15" i="5"/>
  <c r="BF32" i="2"/>
  <c r="FB32" i="2" s="1"/>
  <c r="BG32" i="2"/>
  <c r="BF24" i="2"/>
  <c r="FB24" i="2" s="1"/>
  <c r="BG24" i="2"/>
  <c r="BF48" i="2"/>
  <c r="FB48" i="2" s="1"/>
  <c r="BG48" i="2"/>
  <c r="BF87" i="2"/>
  <c r="FB87" i="2" s="1"/>
  <c r="BG87" i="2"/>
  <c r="BF55" i="2"/>
  <c r="FB55" i="2" s="1"/>
  <c r="BG55" i="2"/>
  <c r="BF102" i="2"/>
  <c r="FB102" i="2" s="1"/>
  <c r="BG102" i="2"/>
  <c r="BG57" i="2"/>
  <c r="BF57" i="2"/>
  <c r="FB57" i="2" s="1"/>
  <c r="BF39" i="2"/>
  <c r="FB39" i="2" s="1"/>
  <c r="BG39" i="2"/>
  <c r="BG30" i="2"/>
  <c r="BF30" i="2"/>
  <c r="FB30" i="2" s="1"/>
  <c r="BF77" i="2"/>
  <c r="FB77" i="2" s="1"/>
  <c r="BG77" i="2"/>
  <c r="BF85" i="2"/>
  <c r="FB85" i="2" s="1"/>
  <c r="BG85" i="2"/>
  <c r="BF27" i="2"/>
  <c r="FB27" i="2" s="1"/>
  <c r="BG27" i="2"/>
  <c r="BF66" i="2"/>
  <c r="FB66" i="2" s="1"/>
  <c r="BG66" i="2"/>
  <c r="BF65" i="2"/>
  <c r="FB65" i="2" s="1"/>
  <c r="BG65" i="2"/>
  <c r="BG41" i="2"/>
  <c r="BF41" i="2"/>
  <c r="FB41" i="2" s="1"/>
  <c r="BF69" i="2"/>
  <c r="FB69" i="2" s="1"/>
  <c r="BG69" i="2"/>
  <c r="BF103" i="2"/>
  <c r="FB103" i="2" s="1"/>
  <c r="BG103" i="2"/>
  <c r="BF93" i="2"/>
  <c r="FB93" i="2" s="1"/>
  <c r="BG93" i="2"/>
  <c r="AZ14" i="5"/>
  <c r="K14" i="5"/>
  <c r="U14" i="5"/>
  <c r="Q14" i="5"/>
  <c r="BG75" i="2"/>
  <c r="BF75" i="2"/>
  <c r="FB75" i="2" s="1"/>
  <c r="BF51" i="2"/>
  <c r="FB51" i="2" s="1"/>
  <c r="BG51" i="2"/>
  <c r="BF60" i="2"/>
  <c r="FB60" i="2" s="1"/>
  <c r="BG60" i="2"/>
  <c r="BF110" i="2"/>
  <c r="FB110" i="2" s="1"/>
  <c r="BG110" i="2"/>
  <c r="BG94" i="2"/>
  <c r="BF94" i="2"/>
  <c r="FB94" i="2" s="1"/>
  <c r="BF52" i="2"/>
  <c r="FB52" i="2" s="1"/>
  <c r="BG52" i="2"/>
  <c r="BF80" i="2"/>
  <c r="FB80" i="2" s="1"/>
  <c r="BG80" i="2"/>
  <c r="BF37" i="2"/>
  <c r="FB37" i="2" s="1"/>
  <c r="BG37" i="2"/>
  <c r="BF74" i="2"/>
  <c r="FB74" i="2" s="1"/>
  <c r="BG74" i="2"/>
  <c r="BF53" i="2"/>
  <c r="FB53" i="2" s="1"/>
  <c r="BG53" i="2"/>
  <c r="BF83" i="2"/>
  <c r="FB83" i="2" s="1"/>
  <c r="BG83" i="2"/>
  <c r="BF109" i="2"/>
  <c r="FB109" i="2" s="1"/>
  <c r="BG109" i="2"/>
  <c r="BF111" i="2"/>
  <c r="FB111" i="2" s="1"/>
  <c r="BG111" i="2"/>
  <c r="BF58" i="2"/>
  <c r="FB58" i="2" s="1"/>
  <c r="BG58" i="2"/>
  <c r="BF67" i="2"/>
  <c r="FB67" i="2" s="1"/>
  <c r="BG67" i="2"/>
  <c r="BG118" i="2"/>
  <c r="BF118" i="2"/>
  <c r="FB118" i="2" s="1"/>
  <c r="BF25" i="2"/>
  <c r="FB25" i="2" s="1"/>
  <c r="BG25" i="2"/>
  <c r="BF63" i="2"/>
  <c r="FB63" i="2" s="1"/>
  <c r="BG63" i="2"/>
  <c r="BF100" i="2"/>
  <c r="FB100" i="2" s="1"/>
  <c r="BG100" i="2"/>
  <c r="BF35" i="2"/>
  <c r="FB35" i="2" s="1"/>
  <c r="BG35" i="2"/>
  <c r="BF49" i="2"/>
  <c r="FB49" i="2" s="1"/>
  <c r="BG49" i="2"/>
  <c r="BF88" i="2"/>
  <c r="FB88" i="2" s="1"/>
  <c r="BG88" i="2"/>
  <c r="BF76" i="2"/>
  <c r="FB76" i="2" s="1"/>
  <c r="BG76" i="2"/>
  <c r="BF101" i="2"/>
  <c r="FB101" i="2" s="1"/>
  <c r="BG101" i="2"/>
  <c r="BG112" i="2"/>
  <c r="BF112" i="2"/>
  <c r="FB112" i="2" s="1"/>
  <c r="BF116" i="2"/>
  <c r="FB116" i="2" s="1"/>
  <c r="BG116" i="2"/>
  <c r="N14" i="5"/>
  <c r="BF81" i="2"/>
  <c r="FB81" i="2" s="1"/>
  <c r="BG81" i="2"/>
  <c r="BF79" i="2"/>
  <c r="FB79" i="2" s="1"/>
  <c r="BG79" i="2"/>
  <c r="BF115" i="2"/>
  <c r="FB115" i="2" s="1"/>
  <c r="BG115" i="2"/>
  <c r="BG44" i="2"/>
  <c r="BF44" i="2"/>
  <c r="FB44" i="2" s="1"/>
  <c r="BF84" i="2"/>
  <c r="FB84" i="2" s="1"/>
  <c r="BG84" i="2"/>
  <c r="H16" i="5"/>
  <c r="I16" i="5"/>
  <c r="AU16" i="5"/>
  <c r="B17" i="5"/>
  <c r="C16" i="5"/>
  <c r="D16" i="5" s="1"/>
  <c r="M14" i="5"/>
  <c r="BG56" i="2"/>
  <c r="BF56" i="2"/>
  <c r="FB56" i="2" s="1"/>
  <c r="BF64" i="2"/>
  <c r="FB64" i="2" s="1"/>
  <c r="BG64" i="2"/>
  <c r="BF96" i="2"/>
  <c r="FB96" i="2" s="1"/>
  <c r="BG96" i="2"/>
  <c r="BF90" i="2"/>
  <c r="FB90" i="2" s="1"/>
  <c r="BG90" i="2"/>
  <c r="BF23" i="2"/>
  <c r="FB23" i="2" s="1"/>
  <c r="BG23" i="2"/>
  <c r="BF40" i="2"/>
  <c r="FB40" i="2" s="1"/>
  <c r="BG40" i="2"/>
  <c r="BF106" i="2"/>
  <c r="FB106" i="2" s="1"/>
  <c r="BG106" i="2"/>
  <c r="BF99" i="2"/>
  <c r="FB99" i="2" s="1"/>
  <c r="BG99" i="2"/>
  <c r="BF26" i="2"/>
  <c r="FB26" i="2" s="1"/>
  <c r="BG26" i="2"/>
  <c r="BF28" i="2"/>
  <c r="FB28" i="2" s="1"/>
  <c r="BG28" i="2"/>
  <c r="BG73" i="2"/>
  <c r="BF73" i="2"/>
  <c r="FB73" i="2" s="1"/>
  <c r="BF92" i="2"/>
  <c r="FB92" i="2" s="1"/>
  <c r="BG92" i="2"/>
  <c r="S15" i="5"/>
  <c r="E15" i="5"/>
  <c r="J15" i="5" a="1"/>
  <c r="J15" i="5" s="1"/>
  <c r="C10" i="2"/>
  <c r="C11" i="2"/>
  <c r="BF70" i="2"/>
  <c r="FB70" i="2" s="1"/>
  <c r="BG70" i="2"/>
  <c r="BF95" i="2"/>
  <c r="FB95" i="2" s="1"/>
  <c r="BG95" i="2"/>
  <c r="BF108" i="2"/>
  <c r="FB108" i="2" s="1"/>
  <c r="BG108" i="2"/>
  <c r="BF46" i="2"/>
  <c r="FB46" i="2" s="1"/>
  <c r="BG46" i="2"/>
  <c r="DW22" i="2"/>
  <c r="BI22" i="2"/>
  <c r="BF43" i="2"/>
  <c r="FB43" i="2" s="1"/>
  <c r="BG43" i="2"/>
  <c r="BF119" i="2"/>
  <c r="FB119" i="2" s="1"/>
  <c r="BG119" i="2"/>
  <c r="BF114" i="2"/>
  <c r="FB114" i="2" s="1"/>
  <c r="BG114" i="2"/>
  <c r="BF120" i="2"/>
  <c r="FB120" i="2" s="1"/>
  <c r="BG120" i="2"/>
  <c r="EA21" i="2"/>
  <c r="P21" i="2"/>
  <c r="BF36" i="2"/>
  <c r="FB36" i="2" s="1"/>
  <c r="BG36" i="2"/>
  <c r="BF50" i="2"/>
  <c r="FB50" i="2" s="1"/>
  <c r="BG50" i="2"/>
  <c r="BF62" i="2"/>
  <c r="FB62" i="2" s="1"/>
  <c r="BG62" i="2"/>
  <c r="F14" i="5"/>
  <c r="G14" i="5"/>
  <c r="BF86" i="2"/>
  <c r="FB86" i="2" s="1"/>
  <c r="BG86" i="2"/>
  <c r="BF97" i="2"/>
  <c r="FB97" i="2" s="1"/>
  <c r="BG97" i="2"/>
  <c r="DZ21" i="2"/>
  <c r="BF33" i="2"/>
  <c r="FB33" i="2" s="1"/>
  <c r="BG33" i="2"/>
  <c r="BG45" i="2"/>
  <c r="BF45" i="2"/>
  <c r="FB45" i="2" s="1"/>
  <c r="V14" i="5"/>
  <c r="AA14" i="5"/>
  <c r="AF14" i="5"/>
  <c r="AK14" i="5"/>
  <c r="T14" i="5"/>
  <c r="BF38" i="2"/>
  <c r="FB38" i="2" s="1"/>
  <c r="BG38" i="2"/>
  <c r="BF68" i="2"/>
  <c r="FB68" i="2" s="1"/>
  <c r="BG68" i="2"/>
  <c r="BF42" i="2"/>
  <c r="FB42" i="2" s="1"/>
  <c r="BG42" i="2"/>
  <c r="BF117" i="2"/>
  <c r="FB117" i="2" s="1"/>
  <c r="BG117" i="2"/>
  <c r="BF105" i="2"/>
  <c r="FB105" i="2" s="1"/>
  <c r="BG105" i="2"/>
  <c r="BF59" i="2"/>
  <c r="FB59" i="2" s="1"/>
  <c r="BG59" i="2"/>
  <c r="BF71" i="2"/>
  <c r="FB71" i="2" s="1"/>
  <c r="BG71" i="2"/>
  <c r="BF107" i="2"/>
  <c r="FB107" i="2" s="1"/>
  <c r="BG107" i="2"/>
  <c r="BF29" i="2"/>
  <c r="FB29" i="2" s="1"/>
  <c r="BG29" i="2"/>
  <c r="BF104" i="2"/>
  <c r="FB104" i="2" s="1"/>
  <c r="BG104" i="2"/>
  <c r="BF22" i="2"/>
  <c r="FB22" i="2" s="1"/>
  <c r="BG22" i="2"/>
  <c r="BF113" i="2"/>
  <c r="FB113" i="2" s="1"/>
  <c r="BG113" i="2"/>
  <c r="BF34" i="2"/>
  <c r="FB34" i="2" s="1"/>
  <c r="BG34" i="2"/>
  <c r="BF91" i="2"/>
  <c r="FB91" i="2" s="1"/>
  <c r="BG91" i="2"/>
  <c r="BF54" i="2"/>
  <c r="FB54" i="2" s="1"/>
  <c r="BG54" i="2"/>
  <c r="BF72" i="2"/>
  <c r="FB72" i="2" s="1"/>
  <c r="BG72" i="2"/>
  <c r="BF47" i="2"/>
  <c r="FB47" i="2" s="1"/>
  <c r="BG47" i="2"/>
  <c r="BG21" i="2"/>
  <c r="BF21" i="2"/>
  <c r="FB21" i="2" s="1"/>
  <c r="BF31" i="2"/>
  <c r="FB31" i="2" s="1"/>
  <c r="BG31" i="2"/>
  <c r="BF89" i="2"/>
  <c r="FB89" i="2" s="1"/>
  <c r="BG89" i="2"/>
  <c r="BF82" i="2"/>
  <c r="FB82" i="2" s="1"/>
  <c r="BG82" i="2"/>
  <c r="BF78" i="2"/>
  <c r="FB78" i="2" s="1"/>
  <c r="BG78" i="2"/>
  <c r="BF61" i="2"/>
  <c r="FB61" i="2" s="1"/>
  <c r="BG61" i="2"/>
  <c r="DV23" i="2"/>
  <c r="L23" i="2"/>
  <c r="C23" i="2"/>
  <c r="D23" i="2" s="1"/>
  <c r="B24" i="2"/>
  <c r="K23" i="2"/>
  <c r="AH23" i="2"/>
  <c r="AL23" i="2"/>
  <c r="AB98" i="7"/>
  <c r="AF147" i="6"/>
  <c r="V13" i="6"/>
  <c r="U13" i="6"/>
  <c r="Y13" i="6" s="1"/>
  <c r="V14" i="6"/>
  <c r="U14" i="6"/>
  <c r="Y14" i="6" s="1"/>
  <c r="U15" i="6"/>
  <c r="Y15" i="6" s="1"/>
  <c r="V15" i="6"/>
  <c r="U16" i="6"/>
  <c r="Y16" i="6" s="1"/>
  <c r="V16" i="6"/>
  <c r="V9" i="6"/>
  <c r="U9" i="6"/>
  <c r="Y9" i="6" s="1"/>
  <c r="AB8" i="6" a="1"/>
  <c r="AB8" i="6" s="1"/>
  <c r="V10" i="6"/>
  <c r="U10" i="6"/>
  <c r="Y10" i="6" s="1"/>
  <c r="AC8" i="6" a="1"/>
  <c r="AC8" i="6" s="1"/>
  <c r="V11" i="6"/>
  <c r="U11" i="6"/>
  <c r="Y11" i="6" s="1"/>
  <c r="V12" i="6"/>
  <c r="U12" i="6"/>
  <c r="Y12" i="6" s="1"/>
  <c r="G14" i="2" a="1"/>
  <c r="G14" i="2" s="1"/>
  <c r="L11" i="2"/>
  <c r="K11" i="2" s="1"/>
  <c r="L10" i="2"/>
  <c r="K10" i="2" s="1"/>
  <c r="L9" i="2"/>
  <c r="K9" i="2" s="1"/>
  <c r="L8" i="2"/>
  <c r="K8" i="2" s="1"/>
  <c r="Z94" i="7"/>
  <c r="AB99" i="7"/>
  <c r="W97" i="7"/>
  <c r="Z105" i="7"/>
  <c r="Z96" i="7"/>
  <c r="AB95" i="7"/>
  <c r="Z95" i="7"/>
  <c r="AB101" i="7"/>
  <c r="Z103" i="7"/>
  <c r="AB103" i="7"/>
  <c r="Z102" i="7"/>
  <c r="AA96" i="7"/>
  <c r="AB104" i="7"/>
  <c r="Z104" i="7"/>
  <c r="AA100" i="7"/>
  <c r="AB106" i="7"/>
  <c r="Z101" i="7"/>
  <c r="W112" i="7"/>
  <c r="AB111" i="7"/>
  <c r="AA98" i="7"/>
  <c r="W105" i="7"/>
  <c r="AA105" i="7"/>
  <c r="W95" i="7"/>
  <c r="Z100" i="7"/>
  <c r="AB113" i="7"/>
  <c r="AB100" i="7"/>
  <c r="AA102" i="7"/>
  <c r="W102" i="7"/>
  <c r="AA104" i="7"/>
  <c r="W104" i="7"/>
  <c r="Z106" i="7"/>
  <c r="AA113" i="7"/>
  <c r="W113" i="7"/>
  <c r="AB96" i="7"/>
  <c r="Z113" i="7"/>
  <c r="W101" i="7"/>
  <c r="AB112" i="7"/>
  <c r="AA99" i="7"/>
  <c r="W99" i="7"/>
  <c r="AA103" i="7"/>
  <c r="W103" i="7"/>
  <c r="AA94" i="7"/>
  <c r="W94" i="7"/>
  <c r="Z112" i="7"/>
  <c r="I49" i="3"/>
  <c r="G12" i="2"/>
  <c r="S26" i="3"/>
  <c r="K27" i="3" s="1"/>
  <c r="G11" i="2"/>
  <c r="N60" i="3" a="1"/>
  <c r="N60" i="3" s="1"/>
  <c r="I24" i="3"/>
  <c r="Q23" i="3"/>
  <c r="F103" i="3"/>
  <c r="K103" i="3" s="1" a="1"/>
  <c r="K103" i="3" s="1"/>
  <c r="F104" i="3"/>
  <c r="K104" i="3" s="1" a="1"/>
  <c r="K104" i="3" s="1"/>
  <c r="F105" i="3"/>
  <c r="K105" i="3" s="1" a="1"/>
  <c r="K105" i="3" s="1"/>
  <c r="F106" i="3"/>
  <c r="K106" i="3" s="1" a="1"/>
  <c r="K106" i="3" s="1"/>
  <c r="F107" i="3"/>
  <c r="K107" i="3" s="1" a="1"/>
  <c r="K107" i="3" s="1"/>
  <c r="F108" i="3"/>
  <c r="K108" i="3" s="1" a="1"/>
  <c r="K108" i="3" s="1"/>
  <c r="F109" i="3"/>
  <c r="K109" i="3" s="1" a="1"/>
  <c r="K109" i="3" s="1"/>
  <c r="K21" i="3"/>
  <c r="K81" i="3"/>
  <c r="K79" i="3"/>
  <c r="K80" i="3"/>
  <c r="K78" i="3"/>
  <c r="K46" i="3"/>
  <c r="N44" i="3"/>
  <c r="I45" i="3"/>
  <c r="I58" i="3"/>
  <c r="I56" i="3"/>
  <c r="AA112" i="7"/>
  <c r="AE125" i="6"/>
  <c r="AD157" i="6"/>
  <c r="N10" i="6"/>
  <c r="M10" i="6"/>
  <c r="AA87" i="6"/>
  <c r="AE127" i="6"/>
  <c r="AA95" i="7"/>
  <c r="W110" i="7"/>
  <c r="K9" i="7"/>
  <c r="AF163" i="6"/>
  <c r="L9" i="7"/>
  <c r="M9" i="7"/>
  <c r="L10" i="6"/>
  <c r="K10" i="6"/>
  <c r="N9" i="7"/>
  <c r="AA152" i="6"/>
  <c r="AF151" i="6"/>
  <c r="AF124" i="6"/>
  <c r="AF132" i="6"/>
  <c r="Z107" i="7"/>
  <c r="W107" i="7"/>
  <c r="AE139" i="6"/>
  <c r="AA165" i="6"/>
  <c r="AA106" i="7"/>
  <c r="AF139" i="6"/>
  <c r="AF156" i="6"/>
  <c r="AA111" i="7"/>
  <c r="AF166" i="6"/>
  <c r="W109" i="7"/>
  <c r="AD165" i="6"/>
  <c r="AD163" i="6"/>
  <c r="AA129" i="6"/>
  <c r="AA109" i="7"/>
  <c r="AA145" i="6"/>
  <c r="AD167" i="6"/>
  <c r="AF159" i="6"/>
  <c r="AA118" i="6"/>
  <c r="AE152" i="6"/>
  <c r="AD144" i="6"/>
  <c r="AA163" i="6"/>
  <c r="AD154" i="6"/>
  <c r="AF127" i="6"/>
  <c r="AF152" i="6"/>
  <c r="AA111" i="6"/>
  <c r="AD102" i="6"/>
  <c r="AA110" i="7"/>
  <c r="Z110" i="7"/>
  <c r="AE157" i="6"/>
  <c r="AE163" i="6"/>
  <c r="AD160" i="6"/>
  <c r="AF119" i="6"/>
  <c r="U154" i="6"/>
  <c r="X154" i="6" s="1"/>
  <c r="AE149" i="6"/>
  <c r="AD126" i="6"/>
  <c r="AE129" i="6"/>
  <c r="AD166" i="6"/>
  <c r="AD141" i="6"/>
  <c r="AA160" i="6"/>
  <c r="AE119" i="6"/>
  <c r="AA150" i="6"/>
  <c r="B159" i="6"/>
  <c r="D159" i="6" s="1"/>
  <c r="AA79" i="6"/>
  <c r="AD138" i="6"/>
  <c r="AA134" i="6"/>
  <c r="AA140" i="6"/>
  <c r="AE151" i="6"/>
  <c r="AD151" i="6"/>
  <c r="AD135" i="6"/>
  <c r="AF155" i="6"/>
  <c r="AD139" i="6"/>
  <c r="U104" i="6"/>
  <c r="X104" i="6" s="1"/>
  <c r="AF88" i="6"/>
  <c r="AF102" i="6"/>
  <c r="AD112" i="6"/>
  <c r="AF120" i="6"/>
  <c r="AA135" i="6"/>
  <c r="U142" i="6"/>
  <c r="X142" i="6" s="1"/>
  <c r="AF100" i="6"/>
  <c r="U93" i="6"/>
  <c r="X93" i="6" s="1"/>
  <c r="AF76" i="6"/>
  <c r="AA97" i="6"/>
  <c r="AE116" i="6"/>
  <c r="AA128" i="6"/>
  <c r="AD136" i="6"/>
  <c r="Z111" i="7"/>
  <c r="AD127" i="6"/>
  <c r="W106" i="7"/>
  <c r="AD104" i="6"/>
  <c r="AF130" i="6"/>
  <c r="AE144" i="6"/>
  <c r="AE109" i="6"/>
  <c r="AE147" i="6"/>
  <c r="AA78" i="6"/>
  <c r="AA77" i="6"/>
  <c r="AA99" i="6"/>
  <c r="AF128" i="6"/>
  <c r="AF158" i="6"/>
  <c r="AF103" i="6"/>
  <c r="AA110" i="6"/>
  <c r="AE117" i="6"/>
  <c r="AE115" i="6"/>
  <c r="AD128" i="6"/>
  <c r="AE94" i="6"/>
  <c r="AE141" i="6"/>
  <c r="AD148" i="6"/>
  <c r="AF78" i="6"/>
  <c r="AD132" i="6"/>
  <c r="U71" i="6"/>
  <c r="X71" i="6" s="1"/>
  <c r="AD153" i="6"/>
  <c r="AA137" i="6"/>
  <c r="AD86" i="6"/>
  <c r="AD105" i="6"/>
  <c r="AF125" i="6"/>
  <c r="AF131" i="6"/>
  <c r="AF161" i="6"/>
  <c r="AA97" i="7"/>
  <c r="AA126" i="6"/>
  <c r="AF144" i="6"/>
  <c r="Z97" i="7"/>
  <c r="AD114" i="6"/>
  <c r="AE158" i="6"/>
  <c r="AD119" i="6"/>
  <c r="AB110" i="7"/>
  <c r="AE102" i="6"/>
  <c r="AE135" i="6"/>
  <c r="AA113" i="6"/>
  <c r="AA127" i="6"/>
  <c r="AA146" i="6"/>
  <c r="AF135" i="6"/>
  <c r="AF77" i="6"/>
  <c r="AD134" i="6"/>
  <c r="AD124" i="6"/>
  <c r="AD120" i="6"/>
  <c r="AF72" i="6"/>
  <c r="AE91" i="6"/>
  <c r="AA72" i="6"/>
  <c r="U96" i="6"/>
  <c r="X96" i="6" s="1"/>
  <c r="U144" i="6"/>
  <c r="X144" i="6" s="1"/>
  <c r="B82" i="6"/>
  <c r="D82" i="6" s="1"/>
  <c r="AD74" i="6"/>
  <c r="U110" i="6"/>
  <c r="X110" i="6" s="1"/>
  <c r="B160" i="6"/>
  <c r="D160" i="6" s="1"/>
  <c r="AF141" i="6"/>
  <c r="AA141" i="6"/>
  <c r="AD146" i="6"/>
  <c r="AF162" i="6"/>
  <c r="AF80" i="6"/>
  <c r="AD81" i="6"/>
  <c r="AE104" i="6"/>
  <c r="AE106" i="6"/>
  <c r="AA108" i="7"/>
  <c r="AD76" i="6"/>
  <c r="AE74" i="6"/>
  <c r="AF84" i="6"/>
  <c r="AD96" i="6"/>
  <c r="AD100" i="6"/>
  <c r="AD108" i="6"/>
  <c r="AE138" i="6"/>
  <c r="AA148" i="6"/>
  <c r="AA151" i="6"/>
  <c r="AF112" i="6"/>
  <c r="AE134" i="6"/>
  <c r="AA107" i="7"/>
  <c r="AA119" i="6"/>
  <c r="AE130" i="6"/>
  <c r="AA167" i="6"/>
  <c r="AD133" i="6"/>
  <c r="AE153" i="6"/>
  <c r="AE166" i="6"/>
  <c r="AE103" i="6"/>
  <c r="AA143" i="6"/>
  <c r="AD145" i="6"/>
  <c r="AF153" i="6"/>
  <c r="AD143" i="6"/>
  <c r="AD147" i="6"/>
  <c r="AE156" i="6"/>
  <c r="AA107" i="6"/>
  <c r="AF145" i="6"/>
  <c r="AF70" i="6"/>
  <c r="AA86" i="6"/>
  <c r="AF97" i="6"/>
  <c r="AD109" i="6"/>
  <c r="AA112" i="6"/>
  <c r="AF116" i="6"/>
  <c r="W111" i="7"/>
  <c r="AF167" i="6"/>
  <c r="AA70" i="6"/>
  <c r="AA104" i="6"/>
  <c r="AF115" i="6"/>
  <c r="AF136" i="6"/>
  <c r="AA125" i="6"/>
  <c r="AD116" i="6"/>
  <c r="AE68" i="6"/>
  <c r="AA144" i="6"/>
  <c r="AE88" i="6"/>
  <c r="AA114" i="6"/>
  <c r="AA132" i="6"/>
  <c r="AE140" i="6"/>
  <c r="AD78" i="6"/>
  <c r="AE100" i="6"/>
  <c r="AF68" i="6"/>
  <c r="AA85" i="6"/>
  <c r="AD97" i="6"/>
  <c r="AF113" i="6"/>
  <c r="AA159" i="6"/>
  <c r="AA105" i="6"/>
  <c r="AA94" i="6"/>
  <c r="AF74" i="6"/>
  <c r="AE84" i="6"/>
  <c r="AD111" i="6"/>
  <c r="AF121" i="6"/>
  <c r="AA101" i="6"/>
  <c r="AE145" i="6"/>
  <c r="AD130" i="6"/>
  <c r="AD137" i="6"/>
  <c r="AF101" i="6"/>
  <c r="AA154" i="6"/>
  <c r="AF109" i="6"/>
  <c r="AA131" i="6"/>
  <c r="AE160" i="6"/>
  <c r="AF92" i="6"/>
  <c r="AA138" i="6"/>
  <c r="AF148" i="6"/>
  <c r="AF122" i="6"/>
  <c r="AD88" i="6"/>
  <c r="AE86" i="6"/>
  <c r="AE128" i="6"/>
  <c r="AF117" i="6"/>
  <c r="AD115" i="6"/>
  <c r="AA158" i="6"/>
  <c r="AA116" i="6"/>
  <c r="AE142" i="6"/>
  <c r="AA157" i="6"/>
  <c r="AF157" i="6"/>
  <c r="AD155" i="6"/>
  <c r="AE155" i="6"/>
  <c r="AA106" i="6"/>
  <c r="AF106" i="6"/>
  <c r="AD106" i="6"/>
  <c r="B111" i="7"/>
  <c r="D111" i="7" s="1"/>
  <c r="U138" i="6"/>
  <c r="X138" i="6" s="1"/>
  <c r="AE132" i="6"/>
  <c r="AA100" i="6"/>
  <c r="AA91" i="6"/>
  <c r="AE148" i="6"/>
  <c r="AF138" i="6"/>
  <c r="AE97" i="6"/>
  <c r="AD69" i="6"/>
  <c r="AF71" i="6"/>
  <c r="R9" i="11"/>
  <c r="Q9" i="11"/>
  <c r="AE112" i="6"/>
  <c r="AF149" i="6"/>
  <c r="AE105" i="6"/>
  <c r="AA74" i="6"/>
  <c r="AD77" i="6"/>
  <c r="AE126" i="6"/>
  <c r="Q11" i="11"/>
  <c r="R11" i="11"/>
  <c r="AE111" i="6"/>
  <c r="AA108" i="6"/>
  <c r="AE108" i="6"/>
  <c r="B162" i="6"/>
  <c r="D162" i="6" s="1"/>
  <c r="AF79" i="6"/>
  <c r="AD68" i="6"/>
  <c r="AD129" i="6"/>
  <c r="AD161" i="6"/>
  <c r="AE161" i="6"/>
  <c r="B154" i="6"/>
  <c r="D154" i="6" s="1"/>
  <c r="AD71" i="6"/>
  <c r="AA120" i="6"/>
  <c r="AE120" i="6"/>
  <c r="AA139" i="6"/>
  <c r="AA156" i="6"/>
  <c r="AB107" i="7"/>
  <c r="AB94" i="7"/>
  <c r="AF165" i="6"/>
  <c r="AD73" i="6"/>
  <c r="AF118" i="6"/>
  <c r="AF81" i="6"/>
  <c r="AF90" i="6"/>
  <c r="AF108" i="6"/>
  <c r="AD162" i="6"/>
  <c r="AD79" i="6"/>
  <c r="AD83" i="6"/>
  <c r="AF95" i="6"/>
  <c r="AD103" i="6"/>
  <c r="AE114" i="6"/>
  <c r="AD125" i="6"/>
  <c r="Z99" i="7"/>
  <c r="AF98" i="6"/>
  <c r="AF99" i="6"/>
  <c r="AF104" i="6"/>
  <c r="AF126" i="6"/>
  <c r="AD131" i="6"/>
  <c r="AA130" i="6"/>
  <c r="AA161" i="6"/>
  <c r="AD158" i="6"/>
  <c r="W98" i="7"/>
  <c r="AA136" i="6"/>
  <c r="AE136" i="6"/>
  <c r="AD70" i="6"/>
  <c r="AE70" i="6"/>
  <c r="AA90" i="6"/>
  <c r="AE90" i="6"/>
  <c r="AD94" i="6"/>
  <c r="AF94" i="6"/>
  <c r="AD82" i="6"/>
  <c r="AF82" i="6"/>
  <c r="AD98" i="6"/>
  <c r="AF123" i="6"/>
  <c r="U157" i="6"/>
  <c r="X157" i="6" s="1"/>
  <c r="B124" i="6"/>
  <c r="D124" i="6" s="1"/>
  <c r="AF91" i="6"/>
  <c r="AE79" i="6"/>
  <c r="AF107" i="6"/>
  <c r="R94" i="7"/>
  <c r="T94" i="7" s="1"/>
  <c r="B11" i="6"/>
  <c r="D11" i="6" s="1"/>
  <c r="B122" i="6"/>
  <c r="D122" i="6" s="1"/>
  <c r="AJ106" i="7"/>
  <c r="AL106" i="7" s="1"/>
  <c r="AJ96" i="7"/>
  <c r="AL96" i="7" s="1"/>
  <c r="U119" i="6"/>
  <c r="X119" i="6" s="1"/>
  <c r="U141" i="6"/>
  <c r="X141" i="6" s="1"/>
  <c r="B146" i="6"/>
  <c r="D146" i="6" s="1"/>
  <c r="U122" i="6"/>
  <c r="X122" i="6" s="1"/>
  <c r="B95" i="6"/>
  <c r="D95" i="6" s="1"/>
  <c r="B86" i="6"/>
  <c r="D86" i="6" s="1"/>
  <c r="W108" i="7"/>
  <c r="AB108" i="7"/>
  <c r="AF93" i="6"/>
  <c r="AA93" i="6"/>
  <c r="U167" i="6"/>
  <c r="X167" i="6" s="1"/>
  <c r="U151" i="6"/>
  <c r="X151" i="6" s="1"/>
  <c r="B71" i="6"/>
  <c r="D71" i="6" s="1"/>
  <c r="AA76" i="6"/>
  <c r="AD80" i="6"/>
  <c r="AD84" i="6"/>
  <c r="AE73" i="6"/>
  <c r="AF85" i="6"/>
  <c r="B143" i="6"/>
  <c r="D143" i="6" s="1"/>
  <c r="B138" i="6"/>
  <c r="D138" i="6" s="1"/>
  <c r="B102" i="7"/>
  <c r="D102" i="7" s="1"/>
  <c r="AA80" i="6"/>
  <c r="AD85" i="6"/>
  <c r="U126" i="6"/>
  <c r="X126" i="6" s="1"/>
  <c r="AE78" i="6"/>
  <c r="AE87" i="6"/>
  <c r="AD87" i="6"/>
  <c r="AD123" i="6"/>
  <c r="B153" i="6"/>
  <c r="D153" i="6" s="1"/>
  <c r="B137" i="6"/>
  <c r="D137" i="6" s="1"/>
  <c r="AE143" i="6"/>
  <c r="AA166" i="6"/>
  <c r="AF69" i="6"/>
  <c r="AE89" i="6"/>
  <c r="AA103" i="6"/>
  <c r="AA155" i="6"/>
  <c r="AF154" i="6"/>
  <c r="AE167" i="6"/>
  <c r="AF129" i="6"/>
  <c r="AF134" i="6"/>
  <c r="AF160" i="6"/>
  <c r="AA147" i="6"/>
  <c r="AF87" i="6"/>
  <c r="AF140" i="6"/>
  <c r="AA101" i="7"/>
  <c r="AB102" i="7"/>
  <c r="AA117" i="6"/>
  <c r="AA82" i="6"/>
  <c r="AA109" i="6"/>
  <c r="AD118" i="6"/>
  <c r="AF133" i="6"/>
  <c r="AF105" i="6"/>
  <c r="AF146" i="6"/>
  <c r="AA115" i="6"/>
  <c r="AF137" i="6"/>
  <c r="AD152" i="6"/>
  <c r="AD140" i="6"/>
  <c r="AF150" i="6"/>
  <c r="AD156" i="6"/>
  <c r="AF110" i="6"/>
  <c r="AE137" i="6"/>
  <c r="AD142" i="6"/>
  <c r="AD150" i="6"/>
  <c r="AE154" i="6"/>
  <c r="Z108" i="7"/>
  <c r="AE77" i="6"/>
  <c r="AD93" i="6"/>
  <c r="AE93" i="6"/>
  <c r="AD110" i="6"/>
  <c r="AE146" i="6"/>
  <c r="AE150" i="6"/>
  <c r="Z98" i="7"/>
  <c r="AD95" i="6"/>
  <c r="AE165" i="6"/>
  <c r="AF96" i="6"/>
  <c r="AE118" i="6"/>
  <c r="AD149" i="6"/>
  <c r="W96" i="7"/>
  <c r="AB97" i="7"/>
  <c r="W100" i="7"/>
  <c r="AA122" i="6"/>
  <c r="AE122" i="6"/>
  <c r="AA81" i="6"/>
  <c r="AE81" i="6"/>
  <c r="AF83" i="6"/>
  <c r="AA83" i="6"/>
  <c r="L13" i="11"/>
  <c r="L15" i="11" s="1"/>
  <c r="AE80" i="6"/>
  <c r="AA121" i="6"/>
  <c r="AE121" i="6"/>
  <c r="AJ110" i="7"/>
  <c r="AL110" i="7" s="1"/>
  <c r="AJ109" i="7"/>
  <c r="AL109" i="7" s="1"/>
  <c r="B75" i="6"/>
  <c r="D75" i="6" s="1"/>
  <c r="B92" i="6"/>
  <c r="D92" i="6" s="1"/>
  <c r="B98" i="6"/>
  <c r="D98" i="6" s="1"/>
  <c r="R103" i="7"/>
  <c r="T103" i="7" s="1"/>
  <c r="U120" i="6"/>
  <c r="X120" i="6" s="1"/>
  <c r="U152" i="6"/>
  <c r="X152" i="6" s="1"/>
  <c r="U158" i="6"/>
  <c r="X158" i="6" s="1"/>
  <c r="U72" i="6"/>
  <c r="X72" i="6" s="1"/>
  <c r="B84" i="6"/>
  <c r="D84" i="6" s="1"/>
  <c r="B105" i="6"/>
  <c r="D105" i="6" s="1"/>
  <c r="B108" i="6"/>
  <c r="D108" i="6" s="1"/>
  <c r="B111" i="6"/>
  <c r="D111" i="6" s="1"/>
  <c r="R113" i="7"/>
  <c r="T113" i="7" s="1"/>
  <c r="R106" i="7"/>
  <c r="T106" i="7" s="1"/>
  <c r="B80" i="6"/>
  <c r="D80" i="6" s="1"/>
  <c r="B127" i="6"/>
  <c r="D127" i="6" s="1"/>
  <c r="B130" i="6"/>
  <c r="D130" i="6" s="1"/>
  <c r="B105" i="7"/>
  <c r="D105" i="7" s="1"/>
  <c r="AJ101" i="7"/>
  <c r="AL101" i="7" s="1"/>
  <c r="R95" i="7"/>
  <c r="T95" i="7" s="1"/>
  <c r="U73" i="6"/>
  <c r="X73" i="6" s="1"/>
  <c r="U103" i="6"/>
  <c r="X103" i="6" s="1"/>
  <c r="B121" i="6"/>
  <c r="D121" i="6" s="1"/>
  <c r="U125" i="6"/>
  <c r="X125" i="6" s="1"/>
  <c r="B128" i="6"/>
  <c r="D128" i="6" s="1"/>
  <c r="B156" i="6"/>
  <c r="D156" i="6" s="1"/>
  <c r="U109" i="6"/>
  <c r="X109" i="6" s="1"/>
  <c r="B78" i="6"/>
  <c r="D78" i="6" s="1"/>
  <c r="B90" i="6"/>
  <c r="D90" i="6" s="1"/>
  <c r="U106" i="6"/>
  <c r="X106" i="6" s="1"/>
  <c r="B106" i="6"/>
  <c r="D106" i="6" s="1"/>
  <c r="B112" i="6"/>
  <c r="D112" i="6" s="1"/>
  <c r="U128" i="6"/>
  <c r="X128" i="6" s="1"/>
  <c r="U135" i="6"/>
  <c r="X135" i="6" s="1"/>
  <c r="B144" i="6"/>
  <c r="D144" i="6" s="1"/>
  <c r="U94" i="6"/>
  <c r="X94" i="6" s="1"/>
  <c r="U74" i="6"/>
  <c r="X74" i="6" s="1"/>
  <c r="U112" i="6"/>
  <c r="X112" i="6" s="1"/>
  <c r="B96" i="6"/>
  <c r="D96" i="6" s="1"/>
  <c r="AA95" i="6"/>
  <c r="AE95" i="6"/>
  <c r="AA164" i="6"/>
  <c r="AE164" i="6"/>
  <c r="E12" i="6" a="1"/>
  <c r="E12" i="6" s="1"/>
  <c r="A13" i="6"/>
  <c r="AD89" i="6"/>
  <c r="AA96" i="6"/>
  <c r="AE96" i="6"/>
  <c r="AA133" i="6"/>
  <c r="AE133" i="6"/>
  <c r="AB105" i="7"/>
  <c r="AA102" i="6"/>
  <c r="AE123" i="6"/>
  <c r="AA123" i="6"/>
  <c r="AA71" i="6"/>
  <c r="AE71" i="6"/>
  <c r="AA88" i="6"/>
  <c r="AE98" i="6"/>
  <c r="AA98" i="6"/>
  <c r="AD117" i="6"/>
  <c r="AA69" i="6"/>
  <c r="AE92" i="6"/>
  <c r="AD92" i="6"/>
  <c r="AD107" i="6"/>
  <c r="AE107" i="6"/>
  <c r="AA149" i="6"/>
  <c r="AE83" i="6"/>
  <c r="AD164" i="6"/>
  <c r="AF164" i="6"/>
  <c r="R8" i="11"/>
  <c r="Q8" i="11"/>
  <c r="AA142" i="6"/>
  <c r="AF142" i="6"/>
  <c r="AE159" i="6"/>
  <c r="AD159" i="6"/>
  <c r="AA162" i="6"/>
  <c r="AE162" i="6"/>
  <c r="AD99" i="6"/>
  <c r="AE99" i="6"/>
  <c r="AD113" i="6"/>
  <c r="AE113" i="6"/>
  <c r="AA153" i="6"/>
  <c r="AD101" i="6"/>
  <c r="AE101" i="6"/>
  <c r="U160" i="6"/>
  <c r="X160" i="6" s="1"/>
  <c r="B140" i="6"/>
  <c r="D140" i="6" s="1"/>
  <c r="U136" i="6"/>
  <c r="X136" i="6" s="1"/>
  <c r="B114" i="6"/>
  <c r="D114" i="6" s="1"/>
  <c r="AF143" i="6"/>
  <c r="AA92" i="6"/>
  <c r="AF114" i="6"/>
  <c r="AB109" i="7"/>
  <c r="Z109" i="7"/>
  <c r="F3" i="11"/>
  <c r="H3" i="11" s="1"/>
  <c r="G3" i="11"/>
  <c r="AA75" i="6"/>
  <c r="AE75" i="6"/>
  <c r="AF111" i="6"/>
  <c r="H5" i="11"/>
  <c r="AF86" i="6"/>
  <c r="AD75" i="6"/>
  <c r="AE85" i="6"/>
  <c r="F5" i="11"/>
  <c r="E5" i="11"/>
  <c r="AF75" i="6"/>
  <c r="AD90" i="6"/>
  <c r="AE131" i="6"/>
  <c r="AD72" i="6"/>
  <c r="AE76" i="6"/>
  <c r="AF89" i="6"/>
  <c r="Q7" i="11"/>
  <c r="AE110" i="6"/>
  <c r="AA84" i="6"/>
  <c r="AD121" i="6"/>
  <c r="AD122" i="6"/>
  <c r="X42" i="6"/>
  <c r="AA124" i="6"/>
  <c r="AE124" i="6"/>
  <c r="G11" i="7" a="1"/>
  <c r="G11" i="7" s="1"/>
  <c r="F11" i="7" a="1"/>
  <c r="F11" i="7" s="1"/>
  <c r="E11" i="7" a="1"/>
  <c r="E11" i="7" s="1"/>
  <c r="X21" i="6"/>
  <c r="A12" i="7"/>
  <c r="B12" i="7" s="1"/>
  <c r="X31" i="6"/>
  <c r="X25" i="6"/>
  <c r="X37" i="6"/>
  <c r="X48" i="6"/>
  <c r="X29" i="6"/>
  <c r="B163" i="6"/>
  <c r="D163" i="6" s="1"/>
  <c r="U161" i="6"/>
  <c r="X161" i="6" s="1"/>
  <c r="B147" i="6"/>
  <c r="D147" i="6" s="1"/>
  <c r="U145" i="6"/>
  <c r="X145" i="6" s="1"/>
  <c r="B131" i="6"/>
  <c r="D131" i="6" s="1"/>
  <c r="U129" i="6"/>
  <c r="X129" i="6" s="1"/>
  <c r="B115" i="6"/>
  <c r="D115" i="6" s="1"/>
  <c r="U113" i="6"/>
  <c r="X113" i="6" s="1"/>
  <c r="B99" i="6"/>
  <c r="D99" i="6" s="1"/>
  <c r="U97" i="6"/>
  <c r="X97" i="6" s="1"/>
  <c r="B69" i="6"/>
  <c r="D69" i="6" s="1"/>
  <c r="X46" i="6"/>
  <c r="B11" i="7"/>
  <c r="D11" i="7" s="1"/>
  <c r="AJ103" i="7"/>
  <c r="AL103" i="7" s="1"/>
  <c r="B161" i="6"/>
  <c r="D161" i="6" s="1"/>
  <c r="U159" i="6"/>
  <c r="X159" i="6" s="1"/>
  <c r="B145" i="6"/>
  <c r="D145" i="6" s="1"/>
  <c r="U143" i="6"/>
  <c r="X143" i="6" s="1"/>
  <c r="B129" i="6"/>
  <c r="D129" i="6" s="1"/>
  <c r="U127" i="6"/>
  <c r="X127" i="6" s="1"/>
  <c r="B113" i="6"/>
  <c r="D113" i="6" s="1"/>
  <c r="U111" i="6"/>
  <c r="X111" i="6" s="1"/>
  <c r="B97" i="6"/>
  <c r="D97" i="6" s="1"/>
  <c r="U95" i="6"/>
  <c r="X95" i="6" s="1"/>
  <c r="U75" i="6"/>
  <c r="X75" i="6" s="1"/>
  <c r="X45" i="6"/>
  <c r="X22" i="6"/>
  <c r="AJ105" i="7"/>
  <c r="AL105" i="7" s="1"/>
  <c r="U166" i="6"/>
  <c r="X166" i="6" s="1"/>
  <c r="B152" i="6"/>
  <c r="D152" i="6" s="1"/>
  <c r="U150" i="6"/>
  <c r="X150" i="6" s="1"/>
  <c r="B136" i="6"/>
  <c r="D136" i="6" s="1"/>
  <c r="U134" i="6"/>
  <c r="X134" i="6" s="1"/>
  <c r="B120" i="6"/>
  <c r="D120" i="6" s="1"/>
  <c r="U118" i="6"/>
  <c r="X118" i="6" s="1"/>
  <c r="B104" i="6"/>
  <c r="D104" i="6" s="1"/>
  <c r="U102" i="6"/>
  <c r="X102" i="6" s="1"/>
  <c r="AA89" i="6"/>
  <c r="B73" i="6"/>
  <c r="D73" i="6" s="1"/>
  <c r="B95" i="7"/>
  <c r="D95" i="7" s="1"/>
  <c r="R104" i="7"/>
  <c r="T104" i="7" s="1"/>
  <c r="AJ107" i="7"/>
  <c r="AL107" i="7" s="1"/>
  <c r="B166" i="6"/>
  <c r="D166" i="6" s="1"/>
  <c r="U164" i="6"/>
  <c r="X164" i="6" s="1"/>
  <c r="B150" i="6"/>
  <c r="D150" i="6" s="1"/>
  <c r="U148" i="6"/>
  <c r="X148" i="6" s="1"/>
  <c r="B134" i="6"/>
  <c r="D134" i="6" s="1"/>
  <c r="U132" i="6"/>
  <c r="X132" i="6" s="1"/>
  <c r="B118" i="6"/>
  <c r="D118" i="6" s="1"/>
  <c r="U116" i="6"/>
  <c r="X116" i="6" s="1"/>
  <c r="B102" i="6"/>
  <c r="D102" i="6" s="1"/>
  <c r="U100" i="6"/>
  <c r="X100" i="6" s="1"/>
  <c r="U91" i="6"/>
  <c r="X91" i="6" s="1"/>
  <c r="U89" i="6"/>
  <c r="X89" i="6" s="1"/>
  <c r="B77" i="6"/>
  <c r="D77" i="6" s="1"/>
  <c r="U68" i="6"/>
  <c r="X68" i="6" s="1"/>
  <c r="X33" i="6"/>
  <c r="B97" i="7"/>
  <c r="D97" i="7" s="1"/>
  <c r="AJ98" i="7"/>
  <c r="AL98" i="7" s="1"/>
  <c r="B108" i="7"/>
  <c r="D108" i="7" s="1"/>
  <c r="B157" i="6"/>
  <c r="D157" i="6" s="1"/>
  <c r="U155" i="6"/>
  <c r="X155" i="6" s="1"/>
  <c r="B141" i="6"/>
  <c r="D141" i="6" s="1"/>
  <c r="U139" i="6"/>
  <c r="X139" i="6" s="1"/>
  <c r="B125" i="6"/>
  <c r="D125" i="6" s="1"/>
  <c r="U123" i="6"/>
  <c r="X123" i="6" s="1"/>
  <c r="B109" i="6"/>
  <c r="D109" i="6" s="1"/>
  <c r="U107" i="6"/>
  <c r="X107" i="6" s="1"/>
  <c r="B93" i="6"/>
  <c r="D93" i="6" s="1"/>
  <c r="U87" i="6"/>
  <c r="X87" i="6" s="1"/>
  <c r="U85" i="6"/>
  <c r="X85" i="6" s="1"/>
  <c r="U83" i="6"/>
  <c r="X83" i="6" s="1"/>
  <c r="U81" i="6"/>
  <c r="X81" i="6" s="1"/>
  <c r="B79" i="6"/>
  <c r="D79" i="6" s="1"/>
  <c r="B68" i="6"/>
  <c r="D68" i="6" s="1"/>
  <c r="AJ100" i="7"/>
  <c r="AL100" i="7" s="1"/>
  <c r="B164" i="6"/>
  <c r="D164" i="6" s="1"/>
  <c r="U162" i="6"/>
  <c r="X162" i="6" s="1"/>
  <c r="B148" i="6"/>
  <c r="D148" i="6" s="1"/>
  <c r="U146" i="6"/>
  <c r="X146" i="6" s="1"/>
  <c r="B132" i="6"/>
  <c r="D132" i="6" s="1"/>
  <c r="U130" i="6"/>
  <c r="X130" i="6" s="1"/>
  <c r="B116" i="6"/>
  <c r="D116" i="6" s="1"/>
  <c r="U114" i="6"/>
  <c r="X114" i="6" s="1"/>
  <c r="B100" i="6"/>
  <c r="D100" i="6" s="1"/>
  <c r="U98" i="6"/>
  <c r="X98" i="6" s="1"/>
  <c r="B91" i="6"/>
  <c r="D91" i="6" s="1"/>
  <c r="B89" i="6"/>
  <c r="D89" i="6" s="1"/>
  <c r="B81" i="6"/>
  <c r="D81" i="6" s="1"/>
  <c r="X32" i="6"/>
  <c r="R97" i="7"/>
  <c r="T97" i="7" s="1"/>
  <c r="B99" i="7"/>
  <c r="D99" i="7" s="1"/>
  <c r="R110" i="7"/>
  <c r="T110" i="7" s="1"/>
  <c r="B112" i="7"/>
  <c r="D112" i="7" s="1"/>
  <c r="AJ113" i="7"/>
  <c r="AL113" i="7" s="1"/>
  <c r="AE69" i="6"/>
  <c r="AE72" i="6"/>
  <c r="B155" i="6"/>
  <c r="D155" i="6" s="1"/>
  <c r="U153" i="6"/>
  <c r="X153" i="6" s="1"/>
  <c r="B139" i="6"/>
  <c r="D139" i="6" s="1"/>
  <c r="U137" i="6"/>
  <c r="X137" i="6" s="1"/>
  <c r="B123" i="6"/>
  <c r="D123" i="6" s="1"/>
  <c r="U121" i="6"/>
  <c r="X121" i="6" s="1"/>
  <c r="B107" i="6"/>
  <c r="D107" i="6" s="1"/>
  <c r="U105" i="6"/>
  <c r="X105" i="6" s="1"/>
  <c r="B87" i="6"/>
  <c r="D87" i="6" s="1"/>
  <c r="B85" i="6"/>
  <c r="D85" i="6" s="1"/>
  <c r="AJ102" i="7"/>
  <c r="AL102" i="7" s="1"/>
  <c r="R112" i="7"/>
  <c r="T112" i="7" s="1"/>
  <c r="B94" i="7"/>
  <c r="D94" i="7" s="1"/>
  <c r="R101" i="7"/>
  <c r="T101" i="7" s="1"/>
  <c r="AJ104" i="7"/>
  <c r="AL104" i="7" s="1"/>
  <c r="B167" i="6"/>
  <c r="D167" i="6" s="1"/>
  <c r="U165" i="6"/>
  <c r="X165" i="6" s="1"/>
  <c r="B151" i="6"/>
  <c r="D151" i="6" s="1"/>
  <c r="U149" i="6"/>
  <c r="X149" i="6" s="1"/>
  <c r="B135" i="6"/>
  <c r="D135" i="6" s="1"/>
  <c r="U133" i="6"/>
  <c r="X133" i="6" s="1"/>
  <c r="B119" i="6"/>
  <c r="D119" i="6" s="1"/>
  <c r="U117" i="6"/>
  <c r="X117" i="6" s="1"/>
  <c r="B103" i="6"/>
  <c r="D103" i="6" s="1"/>
  <c r="U101" i="6"/>
  <c r="X101" i="6" s="1"/>
  <c r="U76" i="6"/>
  <c r="X76" i="6" s="1"/>
  <c r="B96" i="7"/>
  <c r="D96" i="7" s="1"/>
  <c r="AJ108" i="7"/>
  <c r="AL108" i="7" s="1"/>
  <c r="B158" i="6"/>
  <c r="D158" i="6" s="1"/>
  <c r="U156" i="6"/>
  <c r="X156" i="6" s="1"/>
  <c r="B142" i="6"/>
  <c r="D142" i="6" s="1"/>
  <c r="U140" i="6"/>
  <c r="X140" i="6" s="1"/>
  <c r="B126" i="6"/>
  <c r="D126" i="6" s="1"/>
  <c r="U124" i="6"/>
  <c r="X124" i="6" s="1"/>
  <c r="B110" i="6"/>
  <c r="D110" i="6" s="1"/>
  <c r="U108" i="6"/>
  <c r="X108" i="6" s="1"/>
  <c r="B94" i="6"/>
  <c r="D94" i="6" s="1"/>
  <c r="U92" i="6"/>
  <c r="X92" i="6" s="1"/>
  <c r="U90" i="6"/>
  <c r="X90" i="6" s="1"/>
  <c r="U84" i="6"/>
  <c r="X84" i="6" s="1"/>
  <c r="U82" i="6"/>
  <c r="X82" i="6" s="1"/>
  <c r="U80" i="6"/>
  <c r="X80" i="6" s="1"/>
  <c r="U78" i="6"/>
  <c r="X78" i="6" s="1"/>
  <c r="B74" i="6"/>
  <c r="D74" i="6" s="1"/>
  <c r="X24" i="6"/>
  <c r="B10" i="7"/>
  <c r="D10" i="7" s="1"/>
  <c r="R96" i="7"/>
  <c r="T96" i="7" s="1"/>
  <c r="AJ97" i="7"/>
  <c r="AL97" i="7" s="1"/>
  <c r="R107" i="7"/>
  <c r="T107" i="7" s="1"/>
  <c r="B109" i="7"/>
  <c r="D109" i="7" s="1"/>
  <c r="AJ111" i="7"/>
  <c r="AL111" i="7" s="1"/>
  <c r="B106" i="7"/>
  <c r="D106" i="7" s="1"/>
  <c r="R100" i="7"/>
  <c r="T100" i="7" s="1"/>
  <c r="AJ95" i="7"/>
  <c r="AL95" i="7" s="1"/>
  <c r="B12" i="6"/>
  <c r="D12" i="6" s="1"/>
  <c r="U70" i="6"/>
  <c r="X70" i="6" s="1"/>
  <c r="B72" i="6"/>
  <c r="D72" i="6" s="1"/>
  <c r="U86" i="6"/>
  <c r="X86" i="6" s="1"/>
  <c r="B88" i="6"/>
  <c r="D88" i="6" s="1"/>
  <c r="B103" i="7"/>
  <c r="D103" i="7" s="1"/>
  <c r="B100" i="7"/>
  <c r="D100" i="7" s="1"/>
  <c r="U77" i="6"/>
  <c r="X77" i="6" s="1"/>
  <c r="U79" i="6"/>
  <c r="X79" i="6" s="1"/>
  <c r="B83" i="6"/>
  <c r="D83" i="6" s="1"/>
  <c r="R98" i="7"/>
  <c r="T98" i="7" s="1"/>
  <c r="B70" i="6"/>
  <c r="D70" i="6" s="1"/>
  <c r="B113" i="7"/>
  <c r="D113" i="7" s="1"/>
  <c r="B110" i="7"/>
  <c r="D110" i="7" s="1"/>
  <c r="B107" i="7"/>
  <c r="D107" i="7" s="1"/>
  <c r="B104" i="7"/>
  <c r="D104" i="7" s="1"/>
  <c r="B101" i="7"/>
  <c r="D101" i="7" s="1"/>
  <c r="AJ94" i="7"/>
  <c r="AL94" i="7" s="1"/>
  <c r="R111" i="7"/>
  <c r="T111" i="7" s="1"/>
  <c r="R108" i="7"/>
  <c r="T108" i="7" s="1"/>
  <c r="R105" i="7"/>
  <c r="T105" i="7" s="1"/>
  <c r="R102" i="7"/>
  <c r="T102" i="7" s="1"/>
  <c r="R99" i="7"/>
  <c r="T99" i="7" s="1"/>
  <c r="B165" i="6"/>
  <c r="D165" i="6" s="1"/>
  <c r="U163" i="6"/>
  <c r="X163" i="6" s="1"/>
  <c r="B149" i="6"/>
  <c r="D149" i="6" s="1"/>
  <c r="U147" i="6"/>
  <c r="X147" i="6" s="1"/>
  <c r="B133" i="6"/>
  <c r="D133" i="6" s="1"/>
  <c r="U131" i="6"/>
  <c r="X131" i="6" s="1"/>
  <c r="B117" i="6"/>
  <c r="D117" i="6" s="1"/>
  <c r="U115" i="6"/>
  <c r="X115" i="6" s="1"/>
  <c r="B101" i="6"/>
  <c r="D101" i="6" s="1"/>
  <c r="U99" i="6"/>
  <c r="X99" i="6" s="1"/>
  <c r="U88" i="6"/>
  <c r="X88" i="6" s="1"/>
  <c r="B76" i="6"/>
  <c r="D76" i="6" s="1"/>
  <c r="U69" i="6"/>
  <c r="X69" i="6" s="1"/>
  <c r="B98" i="7"/>
  <c r="D98" i="7" s="1"/>
  <c r="AJ99" i="7"/>
  <c r="AL99" i="7" s="1"/>
  <c r="R109" i="7"/>
  <c r="T109" i="7" s="1"/>
  <c r="AJ112" i="7"/>
  <c r="AL112" i="7" s="1"/>
  <c r="R10" i="11"/>
  <c r="AF73" i="6"/>
  <c r="AA73" i="6"/>
  <c r="AA68" i="6"/>
  <c r="F12" i="6" a="1"/>
  <c r="F12" i="6" s="1"/>
  <c r="AE82" i="6"/>
  <c r="G5" i="11"/>
  <c r="M13" i="11"/>
  <c r="M15" i="11" s="1"/>
  <c r="AD91" i="6"/>
  <c r="AZ15" i="5" l="1"/>
  <c r="K15" i="5"/>
  <c r="U15" i="5"/>
  <c r="Q15" i="5"/>
  <c r="E16" i="5"/>
  <c r="S16" i="5"/>
  <c r="J16" i="5" a="1"/>
  <c r="J16" i="5" s="1"/>
  <c r="N16" i="5" s="1"/>
  <c r="F15" i="5"/>
  <c r="G15" i="5"/>
  <c r="H17" i="5"/>
  <c r="AU17" i="5"/>
  <c r="B18" i="5"/>
  <c r="C17" i="5"/>
  <c r="D17" i="5" s="1"/>
  <c r="I17" i="5"/>
  <c r="M15" i="5"/>
  <c r="E23" i="2"/>
  <c r="AF15" i="5"/>
  <c r="AK15" i="5"/>
  <c r="T15" i="5"/>
  <c r="V15" i="5"/>
  <c r="AA15" i="5"/>
  <c r="N15" i="5"/>
  <c r="P16" i="5"/>
  <c r="AV16" i="5"/>
  <c r="DV24" i="2"/>
  <c r="C24" i="2"/>
  <c r="D24" i="2" s="1"/>
  <c r="K24" i="2"/>
  <c r="AL24" i="2"/>
  <c r="B25" i="2"/>
  <c r="L24" i="2"/>
  <c r="AH24" i="2"/>
  <c r="L15" i="5"/>
  <c r="EB21" i="2"/>
  <c r="R21" i="2"/>
  <c r="Y21" i="2"/>
  <c r="R15" i="5"/>
  <c r="AH14" i="5"/>
  <c r="AM14" i="5"/>
  <c r="X14" i="5"/>
  <c r="AC14" i="5"/>
  <c r="J21" i="2"/>
  <c r="AM21" i="2" s="1"/>
  <c r="I21" i="2"/>
  <c r="AL14" i="5"/>
  <c r="AG14" i="5"/>
  <c r="W14" i="5"/>
  <c r="Y14" i="5" s="1"/>
  <c r="Z14" i="5" s="1"/>
  <c r="BA14" i="5" s="1"/>
  <c r="AB14" i="5"/>
  <c r="AC98" i="7"/>
  <c r="X11" i="6"/>
  <c r="X15" i="6"/>
  <c r="X13" i="6"/>
  <c r="X16" i="6"/>
  <c r="AB11" i="6" a="1"/>
  <c r="AB11" i="6" s="1"/>
  <c r="AC11" i="6" a="1"/>
  <c r="AC11" i="6" s="1"/>
  <c r="AB15" i="6" a="1"/>
  <c r="AB15" i="6" s="1"/>
  <c r="AC15" i="6" a="1"/>
  <c r="AC15" i="6" s="1"/>
  <c r="AC9" i="6" a="1"/>
  <c r="AC9" i="6" s="1"/>
  <c r="AB9" i="6" a="1"/>
  <c r="AB9" i="6" s="1"/>
  <c r="AB12" i="6" a="1"/>
  <c r="AB12" i="6" s="1"/>
  <c r="AC12" i="6" a="1"/>
  <c r="AC12" i="6" s="1"/>
  <c r="AC10" i="6" a="1"/>
  <c r="AC10" i="6" s="1"/>
  <c r="AB10" i="6" a="1"/>
  <c r="AB10" i="6" s="1"/>
  <c r="AC16" i="6" a="1"/>
  <c r="AC16" i="6" s="1"/>
  <c r="AB16" i="6" a="1"/>
  <c r="AB16" i="6" s="1"/>
  <c r="AC14" i="6" a="1"/>
  <c r="AC14" i="6" s="1"/>
  <c r="AB14" i="6" a="1"/>
  <c r="AB14" i="6" s="1"/>
  <c r="AC13" i="6" a="1"/>
  <c r="AC13" i="6" s="1"/>
  <c r="AB13" i="6" a="1"/>
  <c r="AB13" i="6" s="1"/>
  <c r="X12" i="6"/>
  <c r="X9" i="6"/>
  <c r="K33" i="3"/>
  <c r="K35" i="3"/>
  <c r="K34" i="3"/>
  <c r="K32" i="3"/>
  <c r="K30" i="3"/>
  <c r="K29" i="3"/>
  <c r="K28" i="3"/>
  <c r="K31" i="3"/>
  <c r="K26" i="3"/>
  <c r="G10" i="2"/>
  <c r="AC113" i="7"/>
  <c r="AC99" i="7"/>
  <c r="AC101" i="7"/>
  <c r="AC111" i="7"/>
  <c r="AC96" i="7"/>
  <c r="AC104" i="7"/>
  <c r="AC103" i="7"/>
  <c r="AC100" i="7"/>
  <c r="AC102" i="7"/>
  <c r="AC95" i="7"/>
  <c r="AC94" i="7"/>
  <c r="AC106" i="7"/>
  <c r="AC105" i="7"/>
  <c r="AC112" i="7"/>
  <c r="K36" i="3"/>
  <c r="J9" i="2"/>
  <c r="J10" i="2"/>
  <c r="J11" i="2"/>
  <c r="J8" i="2"/>
  <c r="N100" i="3"/>
  <c r="AG157" i="6"/>
  <c r="V109" i="3"/>
  <c r="V108" i="3"/>
  <c r="V107" i="3"/>
  <c r="V106" i="3"/>
  <c r="V105" i="3"/>
  <c r="V104" i="3"/>
  <c r="V103" i="3"/>
  <c r="J103" i="3" a="1"/>
  <c r="J103" i="3" s="1"/>
  <c r="I78" i="3"/>
  <c r="X14" i="6"/>
  <c r="B13" i="6"/>
  <c r="D13" i="6" s="1"/>
  <c r="G13" i="6" a="1"/>
  <c r="G13" i="6" s="1"/>
  <c r="AG87" i="6"/>
  <c r="AG152" i="6"/>
  <c r="AG114" i="6"/>
  <c r="AG145" i="6"/>
  <c r="AG73" i="6"/>
  <c r="X10" i="6"/>
  <c r="AG144" i="6"/>
  <c r="AG132" i="6"/>
  <c r="AG129" i="6"/>
  <c r="AG78" i="6"/>
  <c r="AG118" i="6"/>
  <c r="AG96" i="6"/>
  <c r="AG163" i="6"/>
  <c r="AG165" i="6"/>
  <c r="AG160" i="6"/>
  <c r="AG86" i="6"/>
  <c r="AG167" i="6"/>
  <c r="AG138" i="6"/>
  <c r="AG137" i="6"/>
  <c r="AC109" i="7"/>
  <c r="AG79" i="6"/>
  <c r="AG151" i="6"/>
  <c r="AG91" i="6"/>
  <c r="AG158" i="6"/>
  <c r="AG88" i="6"/>
  <c r="AG130" i="6"/>
  <c r="AG111" i="6"/>
  <c r="AG83" i="6"/>
  <c r="AG154" i="6"/>
  <c r="AG102" i="6"/>
  <c r="AG124" i="6"/>
  <c r="AG98" i="6"/>
  <c r="AG131" i="6"/>
  <c r="AG133" i="6"/>
  <c r="AG156" i="6"/>
  <c r="AG69" i="6"/>
  <c r="AC110" i="7"/>
  <c r="AG135" i="6"/>
  <c r="AG81" i="6"/>
  <c r="AG74" i="6"/>
  <c r="AG141" i="6"/>
  <c r="AG126" i="6"/>
  <c r="AG140" i="6"/>
  <c r="AG127" i="6"/>
  <c r="AG116" i="6"/>
  <c r="AG119" i="6"/>
  <c r="AG77" i="6"/>
  <c r="AG128" i="6"/>
  <c r="AG104" i="6"/>
  <c r="AG150" i="6"/>
  <c r="AG94" i="6"/>
  <c r="AG112" i="6"/>
  <c r="AG71" i="6"/>
  <c r="AC107" i="7"/>
  <c r="AG99" i="6"/>
  <c r="AG166" i="6"/>
  <c r="AG148" i="6"/>
  <c r="AG76" i="6"/>
  <c r="AG136" i="6"/>
  <c r="AG107" i="6"/>
  <c r="AG108" i="6"/>
  <c r="AG143" i="6"/>
  <c r="AG134" i="6"/>
  <c r="AG139" i="6"/>
  <c r="AG101" i="6"/>
  <c r="AG117" i="6"/>
  <c r="AG89" i="6"/>
  <c r="AG153" i="6"/>
  <c r="AG85" i="6"/>
  <c r="AG113" i="6"/>
  <c r="AG110" i="6"/>
  <c r="AG155" i="6"/>
  <c r="AG97" i="6"/>
  <c r="AG120" i="6"/>
  <c r="AG84" i="6"/>
  <c r="AG72" i="6"/>
  <c r="AC97" i="7"/>
  <c r="AC108" i="7"/>
  <c r="AG146" i="6"/>
  <c r="AG100" i="6"/>
  <c r="AG147" i="6"/>
  <c r="AG70" i="6"/>
  <c r="AG161" i="6"/>
  <c r="AG105" i="6"/>
  <c r="AG90" i="6"/>
  <c r="AG93" i="6"/>
  <c r="AG115" i="6"/>
  <c r="AG80" i="6"/>
  <c r="AG125" i="6"/>
  <c r="AG109" i="6"/>
  <c r="AG159" i="6"/>
  <c r="Q13" i="11"/>
  <c r="Q15" i="11" s="1"/>
  <c r="A14" i="6"/>
  <c r="E13" i="6" a="1"/>
  <c r="E13" i="6" s="1"/>
  <c r="F13" i="6" a="1"/>
  <c r="F13" i="6" s="1"/>
  <c r="AG103" i="6"/>
  <c r="AG82" i="6"/>
  <c r="AG68" i="6"/>
  <c r="AG123" i="6"/>
  <c r="AG149" i="6"/>
  <c r="AG106" i="6"/>
  <c r="R13" i="11"/>
  <c r="R15" i="11" s="1"/>
  <c r="AG162" i="6"/>
  <c r="AG75" i="6"/>
  <c r="AG142" i="6"/>
  <c r="AG95" i="6"/>
  <c r="AG92" i="6"/>
  <c r="AG164" i="6"/>
  <c r="AG121" i="6"/>
  <c r="AG122" i="6"/>
  <c r="F12" i="7" a="1"/>
  <c r="F12" i="7" s="1"/>
  <c r="E12" i="7" a="1"/>
  <c r="E12" i="7" s="1"/>
  <c r="G12" i="7" a="1"/>
  <c r="G12" i="7" s="1"/>
  <c r="A13" i="7"/>
  <c r="D12" i="7"/>
  <c r="E24" i="2" l="1"/>
  <c r="DW24" i="2" s="1"/>
  <c r="DJ21" i="2"/>
  <c r="DD21" i="2"/>
  <c r="CX21" i="2"/>
  <c r="DV25" i="2"/>
  <c r="AH25" i="2"/>
  <c r="C25" i="2"/>
  <c r="D25" i="2" s="1"/>
  <c r="E25" i="2"/>
  <c r="AL25" i="2"/>
  <c r="K25" i="2"/>
  <c r="B26" i="2"/>
  <c r="L25" i="2"/>
  <c r="AG15" i="5"/>
  <c r="AL15" i="5"/>
  <c r="W15" i="5"/>
  <c r="AB15" i="5"/>
  <c r="U16" i="5"/>
  <c r="AZ16" i="5"/>
  <c r="K16" i="5"/>
  <c r="Q16" i="5"/>
  <c r="AD14" i="5"/>
  <c r="AE14" i="5" s="1"/>
  <c r="BB14" i="5" s="1"/>
  <c r="AF16" i="5"/>
  <c r="T16" i="5"/>
  <c r="AA16" i="5"/>
  <c r="AK16" i="5"/>
  <c r="V16" i="5"/>
  <c r="EE21" i="2"/>
  <c r="AS21" i="2"/>
  <c r="ES21" i="2" s="1"/>
  <c r="AQ21" i="2"/>
  <c r="AP21" i="2"/>
  <c r="BH21" i="2"/>
  <c r="F16" i="5"/>
  <c r="G16" i="5"/>
  <c r="AI14" i="5"/>
  <c r="AJ14" i="5" s="1"/>
  <c r="BC14" i="5" s="1"/>
  <c r="DW23" i="2"/>
  <c r="BI23" i="2"/>
  <c r="AN14" i="5"/>
  <c r="AO14" i="5" s="1"/>
  <c r="BD14" i="5" s="1"/>
  <c r="AC15" i="5"/>
  <c r="AH15" i="5"/>
  <c r="AM15" i="5"/>
  <c r="X15" i="5"/>
  <c r="AV17" i="5"/>
  <c r="P17" i="5"/>
  <c r="M16" i="5"/>
  <c r="DE21" i="2"/>
  <c r="GB21" i="2" s="1"/>
  <c r="DK21" i="2"/>
  <c r="GH21" i="2" s="1"/>
  <c r="CY21" i="2"/>
  <c r="FV21" i="2" s="1"/>
  <c r="EO21" i="2"/>
  <c r="AN21" i="2"/>
  <c r="EP21" i="2" s="1"/>
  <c r="L16" i="5"/>
  <c r="R16" i="5"/>
  <c r="S17" i="5"/>
  <c r="E17" i="5"/>
  <c r="J17" i="5" a="1"/>
  <c r="J17" i="5" s="1"/>
  <c r="L17" i="5" s="1"/>
  <c r="P8" i="5"/>
  <c r="U21" i="2"/>
  <c r="AU18" i="5"/>
  <c r="C18" i="5"/>
  <c r="H18" i="5"/>
  <c r="I18" i="5"/>
  <c r="B19" i="5"/>
  <c r="D18" i="5"/>
  <c r="AC7" i="6"/>
  <c r="G13" i="2" a="1"/>
  <c r="G13" i="2" s="1"/>
  <c r="J121" i="3" a="1"/>
  <c r="J121" i="3" s="1"/>
  <c r="N23" i="3"/>
  <c r="K3" i="3" s="1"/>
  <c r="J115" i="3" a="1"/>
  <c r="J115" i="3" s="1"/>
  <c r="J112" i="3" a="1"/>
  <c r="J112" i="3" s="1"/>
  <c r="J114" i="3" a="1"/>
  <c r="J114" i="3" s="1"/>
  <c r="J105" i="3" a="1"/>
  <c r="J105" i="3" s="1"/>
  <c r="J116" i="3" a="1"/>
  <c r="J116" i="3" s="1"/>
  <c r="J123" i="3" a="1"/>
  <c r="J123" i="3" s="1"/>
  <c r="J124" i="3" a="1"/>
  <c r="J124" i="3" s="1"/>
  <c r="J125" i="3" a="1"/>
  <c r="J125" i="3" s="1"/>
  <c r="J110" i="3" a="1"/>
  <c r="J110" i="3" s="1"/>
  <c r="J113" i="3" a="1"/>
  <c r="J113" i="3" s="1"/>
  <c r="J122" i="3" a="1"/>
  <c r="J122" i="3" s="1"/>
  <c r="J106" i="3" a="1"/>
  <c r="J106" i="3" s="1"/>
  <c r="J107" i="3" a="1"/>
  <c r="J107" i="3" s="1"/>
  <c r="J108" i="3" a="1"/>
  <c r="J108" i="3" s="1"/>
  <c r="J126" i="3" a="1"/>
  <c r="J126" i="3" s="1"/>
  <c r="J117" i="3" a="1"/>
  <c r="J117" i="3" s="1"/>
  <c r="J119" i="3" a="1"/>
  <c r="J119" i="3" s="1"/>
  <c r="J120" i="3" a="1"/>
  <c r="J120" i="3" s="1"/>
  <c r="J118" i="3" a="1"/>
  <c r="J118" i="3" s="1"/>
  <c r="J104" i="3" a="1"/>
  <c r="J104" i="3" s="1"/>
  <c r="J109" i="3" a="1"/>
  <c r="J109" i="3" s="1"/>
  <c r="J111" i="3" a="1"/>
  <c r="J111" i="3" s="1"/>
  <c r="B14" i="6"/>
  <c r="D14" i="6" s="1"/>
  <c r="G14" i="6" a="1"/>
  <c r="G14" i="6" s="1"/>
  <c r="A15" i="6"/>
  <c r="F14" i="6" a="1"/>
  <c r="F14" i="6" s="1"/>
  <c r="E14" i="6" a="1"/>
  <c r="E14" i="6" s="1"/>
  <c r="F13" i="7" a="1"/>
  <c r="F13" i="7" s="1"/>
  <c r="E13" i="7" a="1"/>
  <c r="E13" i="7" s="1"/>
  <c r="G13" i="7" a="1"/>
  <c r="G13" i="7" s="1"/>
  <c r="A14" i="7"/>
  <c r="B13" i="7"/>
  <c r="D13" i="7" s="1"/>
  <c r="X8" i="6"/>
  <c r="BI24" i="2" l="1"/>
  <c r="Y15" i="5"/>
  <c r="Z15" i="5" s="1"/>
  <c r="BA15" i="5" s="1"/>
  <c r="R17" i="5"/>
  <c r="AD15" i="5"/>
  <c r="AE15" i="5" s="1"/>
  <c r="BB15" i="5" s="1"/>
  <c r="W16" i="5"/>
  <c r="AL16" i="5"/>
  <c r="AB16" i="5"/>
  <c r="AG16" i="5"/>
  <c r="AV18" i="5"/>
  <c r="P18" i="5"/>
  <c r="FU21" i="2"/>
  <c r="AI21" i="2"/>
  <c r="N17" i="5"/>
  <c r="GA21" i="2"/>
  <c r="EC21" i="2"/>
  <c r="V21" i="2"/>
  <c r="ED21" i="2" s="1"/>
  <c r="M17" i="5"/>
  <c r="BJ21" i="2"/>
  <c r="BL21" i="2"/>
  <c r="AM16" i="5"/>
  <c r="AC16" i="5"/>
  <c r="AH16" i="5"/>
  <c r="X16" i="5"/>
  <c r="DF21" i="2"/>
  <c r="DL21" i="2"/>
  <c r="CZ21" i="2"/>
  <c r="AR21" i="2"/>
  <c r="DW25" i="2"/>
  <c r="BI25" i="2"/>
  <c r="AU19" i="5"/>
  <c r="I19" i="5"/>
  <c r="B20" i="5"/>
  <c r="C19" i="5"/>
  <c r="D19" i="5" s="1"/>
  <c r="H19" i="5"/>
  <c r="K17" i="5"/>
  <c r="AZ17" i="5"/>
  <c r="U17" i="5"/>
  <c r="Q17" i="5"/>
  <c r="DM21" i="2"/>
  <c r="GJ21" i="2" s="1"/>
  <c r="DA21" i="2"/>
  <c r="FX21" i="2" s="1"/>
  <c r="DG21" i="2"/>
  <c r="GD21" i="2" s="1"/>
  <c r="F17" i="5"/>
  <c r="G17" i="5"/>
  <c r="AN15" i="5"/>
  <c r="AO15" i="5" s="1"/>
  <c r="BD15" i="5" s="1"/>
  <c r="AA17" i="5"/>
  <c r="AF17" i="5"/>
  <c r="T17" i="5"/>
  <c r="V17" i="5"/>
  <c r="AK17" i="5"/>
  <c r="AI15" i="5"/>
  <c r="AJ15" i="5" s="1"/>
  <c r="BC15" i="5" s="1"/>
  <c r="GG21" i="2"/>
  <c r="S18" i="5"/>
  <c r="E18" i="5"/>
  <c r="J18" i="5" a="1"/>
  <c r="J18" i="5" s="1"/>
  <c r="R18" i="5" s="1"/>
  <c r="AO21" i="2"/>
  <c r="EQ21" i="2" s="1"/>
  <c r="DV26" i="2"/>
  <c r="AL26" i="2"/>
  <c r="K26" i="2"/>
  <c r="B27" i="2"/>
  <c r="L26" i="2"/>
  <c r="AH26" i="2"/>
  <c r="C26" i="2"/>
  <c r="E26" i="2" s="1"/>
  <c r="D26" i="2"/>
  <c r="B15" i="6"/>
  <c r="D15" i="6" s="1"/>
  <c r="G15" i="6" a="1"/>
  <c r="G15" i="6" s="1"/>
  <c r="F15" i="6" a="1"/>
  <c r="F15" i="6" s="1"/>
  <c r="E15" i="6" a="1"/>
  <c r="E15" i="6" s="1"/>
  <c r="E14" i="7" a="1"/>
  <c r="E14" i="7" s="1"/>
  <c r="G14" i="7" a="1"/>
  <c r="G14" i="7" s="1"/>
  <c r="F14" i="7" a="1"/>
  <c r="F14" i="7" s="1"/>
  <c r="B14" i="7"/>
  <c r="D14" i="7" s="1"/>
  <c r="P19" i="5" l="1"/>
  <c r="AV19" i="5"/>
  <c r="AM17" i="5"/>
  <c r="AC17" i="5"/>
  <c r="AH17" i="5"/>
  <c r="X17" i="5"/>
  <c r="FW21" i="2"/>
  <c r="DB21" i="2"/>
  <c r="GI21" i="2"/>
  <c r="DN21" i="2"/>
  <c r="GC21" i="2"/>
  <c r="DH21" i="2"/>
  <c r="N18" i="5"/>
  <c r="M18" i="5"/>
  <c r="W17" i="5"/>
  <c r="AB17" i="5"/>
  <c r="AG17" i="5"/>
  <c r="AL17" i="5"/>
  <c r="L18" i="5"/>
  <c r="AU20" i="5"/>
  <c r="H20" i="5"/>
  <c r="I20" i="5"/>
  <c r="C20" i="5"/>
  <c r="D20" i="5" s="1"/>
  <c r="B21" i="5"/>
  <c r="DW26" i="2"/>
  <c r="BI26" i="2"/>
  <c r="E19" i="5"/>
  <c r="S19" i="5"/>
  <c r="J19" i="5" a="1"/>
  <c r="J19" i="5" s="1"/>
  <c r="AI16" i="5"/>
  <c r="AJ16" i="5" s="1"/>
  <c r="BC16" i="5" s="1"/>
  <c r="AD16" i="5"/>
  <c r="AE16" i="5" s="1"/>
  <c r="BB16" i="5" s="1"/>
  <c r="T18" i="5"/>
  <c r="V18" i="5"/>
  <c r="AA18" i="5"/>
  <c r="AF18" i="5"/>
  <c r="AK18" i="5"/>
  <c r="EL21" i="2"/>
  <c r="AJ21" i="2"/>
  <c r="AK21" i="2" s="1"/>
  <c r="AN16" i="5"/>
  <c r="AO16" i="5" s="1"/>
  <c r="BD16" i="5" s="1"/>
  <c r="Y16" i="5"/>
  <c r="Z16" i="5" s="1"/>
  <c r="BA16" i="5" s="1"/>
  <c r="DV27" i="2"/>
  <c r="L27" i="2"/>
  <c r="AH27" i="2"/>
  <c r="C27" i="2"/>
  <c r="D27" i="2" s="1"/>
  <c r="AL27" i="2"/>
  <c r="B28" i="2"/>
  <c r="K27" i="2"/>
  <c r="BK21" i="2"/>
  <c r="AZ18" i="5"/>
  <c r="U18" i="5"/>
  <c r="K18" i="5"/>
  <c r="Q18" i="5"/>
  <c r="F18" i="5"/>
  <c r="G18" i="5"/>
  <c r="ER21" i="2"/>
  <c r="AT21" i="2"/>
  <c r="AW21" i="2" s="1"/>
  <c r="CU7" i="8"/>
  <c r="AN17" i="5" l="1"/>
  <c r="AO17" i="5" s="1"/>
  <c r="BD17" i="5" s="1"/>
  <c r="E27" i="2"/>
  <c r="GK21" i="2"/>
  <c r="DO21" i="2"/>
  <c r="GL21" i="2" s="1"/>
  <c r="AF19" i="5"/>
  <c r="T19" i="5"/>
  <c r="V19" i="5"/>
  <c r="AA19" i="5"/>
  <c r="AK19" i="5"/>
  <c r="AH18" i="5"/>
  <c r="AM18" i="5"/>
  <c r="AC18" i="5"/>
  <c r="X18" i="5"/>
  <c r="FY21" i="2"/>
  <c r="DC21" i="2"/>
  <c r="FZ21" i="2" s="1"/>
  <c r="F19" i="5"/>
  <c r="G19" i="5"/>
  <c r="AZ19" i="5"/>
  <c r="K19" i="5"/>
  <c r="U19" i="5"/>
  <c r="Q19" i="5"/>
  <c r="AI17" i="5"/>
  <c r="AJ17" i="5" s="1"/>
  <c r="BC17" i="5" s="1"/>
  <c r="DW27" i="2"/>
  <c r="BI27" i="2"/>
  <c r="EN21" i="2"/>
  <c r="AD17" i="5"/>
  <c r="AE17" i="5" s="1"/>
  <c r="BB17" i="5" s="1"/>
  <c r="N19" i="5"/>
  <c r="ET21" i="2"/>
  <c r="AU21" i="2"/>
  <c r="EU21" i="2" s="1"/>
  <c r="EM21" i="2"/>
  <c r="AV20" i="5"/>
  <c r="P20" i="5"/>
  <c r="Y17" i="5"/>
  <c r="Z17" i="5" s="1"/>
  <c r="BA17" i="5" s="1"/>
  <c r="M19" i="5"/>
  <c r="DV28" i="2"/>
  <c r="C28" i="2"/>
  <c r="E28" i="2" s="1"/>
  <c r="AL28" i="2"/>
  <c r="K28" i="2"/>
  <c r="B29" i="2"/>
  <c r="L28" i="2"/>
  <c r="AH28" i="2"/>
  <c r="R19" i="5"/>
  <c r="AU21" i="5"/>
  <c r="C21" i="5"/>
  <c r="D21" i="5" s="1"/>
  <c r="H21" i="5"/>
  <c r="I21" i="5"/>
  <c r="B22" i="5"/>
  <c r="L19" i="5"/>
  <c r="AL18" i="5"/>
  <c r="W18" i="5"/>
  <c r="AB18" i="5"/>
  <c r="AG18" i="5"/>
  <c r="EW21" i="2"/>
  <c r="AZ21" i="2"/>
  <c r="E20" i="5"/>
  <c r="S20" i="5"/>
  <c r="J20" i="5" a="1"/>
  <c r="J20" i="5" s="1"/>
  <c r="L20" i="5" s="1"/>
  <c r="GE21" i="2"/>
  <c r="DI21" i="2"/>
  <c r="GF21" i="2" s="1"/>
  <c r="CU12" i="8"/>
  <c r="CT12" i="8" s="1"/>
  <c r="Z21" i="2" s="1"/>
  <c r="AA21" i="2" s="1"/>
  <c r="AB21" i="2" s="1"/>
  <c r="CX7" i="8"/>
  <c r="CT7" i="8" s="1"/>
  <c r="K48" i="3" s="1"/>
  <c r="CW7" i="8"/>
  <c r="CV7" i="8"/>
  <c r="AX21" i="2" l="1"/>
  <c r="EX21" i="2" s="1"/>
  <c r="D28" i="2"/>
  <c r="AV21" i="2"/>
  <c r="EV21" i="2" s="1"/>
  <c r="Y18" i="5"/>
  <c r="Z18" i="5" s="1"/>
  <c r="BA18" i="5" s="1"/>
  <c r="AN18" i="5"/>
  <c r="AO18" i="5" s="1"/>
  <c r="BD18" i="5" s="1"/>
  <c r="AD18" i="5"/>
  <c r="AE18" i="5" s="1"/>
  <c r="BB18" i="5" s="1"/>
  <c r="M20" i="5"/>
  <c r="AY21" i="2"/>
  <c r="EY21" i="2" s="1"/>
  <c r="N20" i="5"/>
  <c r="R20" i="5"/>
  <c r="DV29" i="2"/>
  <c r="K29" i="2"/>
  <c r="L29" i="2"/>
  <c r="AH29" i="2"/>
  <c r="C29" i="2"/>
  <c r="E29" i="2" s="1"/>
  <c r="D29" i="2"/>
  <c r="AL29" i="2"/>
  <c r="B30" i="2"/>
  <c r="AV21" i="5"/>
  <c r="P21" i="5"/>
  <c r="AU22" i="5"/>
  <c r="B23" i="5"/>
  <c r="H22" i="5"/>
  <c r="C22" i="5"/>
  <c r="D22" i="5" s="1"/>
  <c r="I22" i="5"/>
  <c r="AG19" i="5"/>
  <c r="AI19" i="5" s="1"/>
  <c r="AJ19" i="5" s="1"/>
  <c r="BC19" i="5" s="1"/>
  <c r="AL19" i="5"/>
  <c r="W19" i="5"/>
  <c r="AB19" i="5"/>
  <c r="AD19" i="5" s="1"/>
  <c r="AE19" i="5" s="1"/>
  <c r="BB19" i="5" s="1"/>
  <c r="U20" i="5"/>
  <c r="K20" i="5"/>
  <c r="AZ20" i="5"/>
  <c r="Q20" i="5"/>
  <c r="AM19" i="5"/>
  <c r="X19" i="5"/>
  <c r="AC19" i="5"/>
  <c r="AH19" i="5"/>
  <c r="AK20" i="5"/>
  <c r="V20" i="5"/>
  <c r="AA20" i="5"/>
  <c r="AF20" i="5"/>
  <c r="T20" i="5"/>
  <c r="DW28" i="2"/>
  <c r="BI28" i="2"/>
  <c r="F20" i="5"/>
  <c r="G20" i="5"/>
  <c r="E21" i="5"/>
  <c r="S21" i="5"/>
  <c r="J21" i="5" a="1"/>
  <c r="J21" i="5" s="1"/>
  <c r="AF21" i="2"/>
  <c r="AC21" i="2"/>
  <c r="EZ21" i="2"/>
  <c r="AI18" i="5"/>
  <c r="AJ18" i="5" s="1"/>
  <c r="BC18" i="5" s="1"/>
  <c r="I48" i="3"/>
  <c r="AM20" i="5" l="1"/>
  <c r="X20" i="5"/>
  <c r="AC20" i="5"/>
  <c r="AH20" i="5"/>
  <c r="DW29" i="2"/>
  <c r="BI29" i="2"/>
  <c r="AZ21" i="5"/>
  <c r="U21" i="5"/>
  <c r="K21" i="5"/>
  <c r="Q21" i="5"/>
  <c r="F21" i="5"/>
  <c r="G21" i="5"/>
  <c r="M21" i="5"/>
  <c r="N21" i="5"/>
  <c r="AU23" i="5"/>
  <c r="B24" i="5"/>
  <c r="C23" i="5"/>
  <c r="D23" i="5" s="1"/>
  <c r="H23" i="5"/>
  <c r="I23" i="5"/>
  <c r="AN19" i="5"/>
  <c r="AO19" i="5" s="1"/>
  <c r="BD19" i="5" s="1"/>
  <c r="Y19" i="5"/>
  <c r="Z19" i="5" s="1"/>
  <c r="BA19" i="5" s="1"/>
  <c r="R21" i="5"/>
  <c r="AV22" i="5"/>
  <c r="P22" i="5"/>
  <c r="L21" i="5"/>
  <c r="AL20" i="5"/>
  <c r="AN20" i="5" s="1"/>
  <c r="AO20" i="5" s="1"/>
  <c r="BD20" i="5" s="1"/>
  <c r="W20" i="5"/>
  <c r="Y20" i="5" s="1"/>
  <c r="Z20" i="5" s="1"/>
  <c r="BA20" i="5" s="1"/>
  <c r="AG20" i="5"/>
  <c r="AB20" i="5"/>
  <c r="EK21" i="2"/>
  <c r="AD21" i="2"/>
  <c r="AE21" i="2" s="1"/>
  <c r="S22" i="5"/>
  <c r="E22" i="5"/>
  <c r="J22" i="5" a="1"/>
  <c r="J22" i="5" s="1"/>
  <c r="L22" i="5" s="1"/>
  <c r="T21" i="5"/>
  <c r="AK21" i="5"/>
  <c r="V21" i="5"/>
  <c r="AA21" i="5"/>
  <c r="AF21" i="5"/>
  <c r="DV30" i="2"/>
  <c r="C30" i="2"/>
  <c r="D30" i="2"/>
  <c r="K30" i="2"/>
  <c r="B31" i="2"/>
  <c r="L30" i="2"/>
  <c r="AL30" i="2"/>
  <c r="AH30" i="2"/>
  <c r="N22" i="5" l="1"/>
  <c r="M22" i="5"/>
  <c r="R22" i="5"/>
  <c r="AD20" i="5"/>
  <c r="AE20" i="5" s="1"/>
  <c r="BB20" i="5" s="1"/>
  <c r="AI20" i="5"/>
  <c r="AJ20" i="5" s="1"/>
  <c r="BC20" i="5" s="1"/>
  <c r="EI21" i="2"/>
  <c r="BA21" i="2"/>
  <c r="DV31" i="2"/>
  <c r="K31" i="2"/>
  <c r="B32" i="2"/>
  <c r="AH31" i="2"/>
  <c r="C31" i="2"/>
  <c r="D31" i="2"/>
  <c r="E31" i="2"/>
  <c r="AL31" i="2"/>
  <c r="L31" i="2"/>
  <c r="AC21" i="5"/>
  <c r="AH21" i="5"/>
  <c r="AM21" i="5"/>
  <c r="X21" i="5"/>
  <c r="T22" i="5"/>
  <c r="AK22" i="5"/>
  <c r="V22" i="5"/>
  <c r="AA22" i="5"/>
  <c r="AF22" i="5"/>
  <c r="AV23" i="5"/>
  <c r="P23" i="5"/>
  <c r="N23" i="5"/>
  <c r="M23" i="5"/>
  <c r="EJ21" i="2"/>
  <c r="BB21" i="2"/>
  <c r="G22" i="5"/>
  <c r="F22" i="5"/>
  <c r="E30" i="2"/>
  <c r="S23" i="5"/>
  <c r="E23" i="5"/>
  <c r="J23" i="5" a="1"/>
  <c r="J23" i="5" s="1"/>
  <c r="L23" i="5" s="1"/>
  <c r="AB21" i="5"/>
  <c r="W21" i="5"/>
  <c r="AG21" i="5"/>
  <c r="AL21" i="5"/>
  <c r="AU24" i="5"/>
  <c r="C24" i="5"/>
  <c r="H24" i="5"/>
  <c r="B25" i="5"/>
  <c r="I24" i="5"/>
  <c r="AZ22" i="5"/>
  <c r="U22" i="5"/>
  <c r="K22" i="5"/>
  <c r="Q22" i="5"/>
  <c r="R23" i="5" l="1"/>
  <c r="Y21" i="5"/>
  <c r="Z21" i="5" s="1"/>
  <c r="BA21" i="5" s="1"/>
  <c r="AN21" i="5"/>
  <c r="AO21" i="5" s="1"/>
  <c r="BD21" i="5" s="1"/>
  <c r="DV32" i="2"/>
  <c r="AH32" i="2"/>
  <c r="K32" i="2"/>
  <c r="C32" i="2"/>
  <c r="E32" i="2" s="1"/>
  <c r="B33" i="2"/>
  <c r="D32" i="2"/>
  <c r="AL32" i="2"/>
  <c r="L32" i="2"/>
  <c r="S24" i="5"/>
  <c r="E24" i="5"/>
  <c r="J24" i="5" a="1"/>
  <c r="J24" i="5" s="1"/>
  <c r="AD21" i="5"/>
  <c r="AE21" i="5" s="1"/>
  <c r="BB21" i="5" s="1"/>
  <c r="X22" i="5"/>
  <c r="AC22" i="5"/>
  <c r="AM22" i="5"/>
  <c r="AH22" i="5"/>
  <c r="BC21" i="2"/>
  <c r="DW31" i="2"/>
  <c r="BI31" i="2"/>
  <c r="AI21" i="5"/>
  <c r="AJ21" i="5" s="1"/>
  <c r="BC21" i="5" s="1"/>
  <c r="AZ23" i="5"/>
  <c r="K23" i="5"/>
  <c r="U23" i="5"/>
  <c r="Q23" i="5"/>
  <c r="F23" i="5"/>
  <c r="G23" i="5"/>
  <c r="AA23" i="5"/>
  <c r="AF23" i="5"/>
  <c r="AK23" i="5"/>
  <c r="T23" i="5"/>
  <c r="V23" i="5"/>
  <c r="DW30" i="2"/>
  <c r="BI30" i="2"/>
  <c r="D24" i="5"/>
  <c r="AL22" i="5"/>
  <c r="AB22" i="5"/>
  <c r="AD22" i="5" s="1"/>
  <c r="AE22" i="5" s="1"/>
  <c r="BB22" i="5" s="1"/>
  <c r="W22" i="5"/>
  <c r="AG22" i="5"/>
  <c r="AI22" i="5" s="1"/>
  <c r="AJ22" i="5" s="1"/>
  <c r="BC22" i="5" s="1"/>
  <c r="AU25" i="5"/>
  <c r="I25" i="5"/>
  <c r="B26" i="5"/>
  <c r="C25" i="5"/>
  <c r="D25" i="5" s="1"/>
  <c r="H25" i="5"/>
  <c r="Y22" i="5" l="1"/>
  <c r="Z22" i="5" s="1"/>
  <c r="BA22" i="5" s="1"/>
  <c r="AU26" i="5"/>
  <c r="C26" i="5"/>
  <c r="D26" i="5" s="1"/>
  <c r="H26" i="5"/>
  <c r="I26" i="5"/>
  <c r="B27" i="5"/>
  <c r="DV33" i="2"/>
  <c r="AH33" i="2"/>
  <c r="AL33" i="2"/>
  <c r="B34" i="2"/>
  <c r="C33" i="2"/>
  <c r="D33" i="2"/>
  <c r="E33" i="2"/>
  <c r="K33" i="2"/>
  <c r="L33" i="2"/>
  <c r="AC23" i="5"/>
  <c r="AH23" i="5"/>
  <c r="AM23" i="5"/>
  <c r="X23" i="5"/>
  <c r="DW32" i="2"/>
  <c r="BI32" i="2"/>
  <c r="AZ24" i="5"/>
  <c r="K24" i="5"/>
  <c r="U24" i="5"/>
  <c r="Q24" i="5"/>
  <c r="AV24" i="5"/>
  <c r="R24" i="5"/>
  <c r="L24" i="5"/>
  <c r="P24" i="5"/>
  <c r="M24" i="5"/>
  <c r="N24" i="5"/>
  <c r="F24" i="5"/>
  <c r="G24" i="5"/>
  <c r="AV25" i="5"/>
  <c r="P25" i="5"/>
  <c r="T24" i="5"/>
  <c r="AA24" i="5"/>
  <c r="AF24" i="5"/>
  <c r="AK24" i="5"/>
  <c r="V24" i="5"/>
  <c r="AN22" i="5"/>
  <c r="AO22" i="5" s="1"/>
  <c r="BD22" i="5" s="1"/>
  <c r="AB23" i="5"/>
  <c r="AG23" i="5"/>
  <c r="AL23" i="5"/>
  <c r="W23" i="5"/>
  <c r="Y23" i="5" s="1"/>
  <c r="Z23" i="5" s="1"/>
  <c r="BA23" i="5" s="1"/>
  <c r="S25" i="5"/>
  <c r="E25" i="5"/>
  <c r="J25" i="5" a="1"/>
  <c r="J25" i="5" s="1"/>
  <c r="AV26" i="5" l="1"/>
  <c r="P26" i="5"/>
  <c r="DW33" i="2"/>
  <c r="BI33" i="2"/>
  <c r="AU27" i="5"/>
  <c r="H27" i="5"/>
  <c r="I27" i="5"/>
  <c r="B28" i="5"/>
  <c r="C27" i="5"/>
  <c r="D27" i="5"/>
  <c r="AH24" i="5"/>
  <c r="AM24" i="5"/>
  <c r="X24" i="5"/>
  <c r="AC24" i="5"/>
  <c r="AZ25" i="5"/>
  <c r="K25" i="5"/>
  <c r="U25" i="5"/>
  <c r="Q25" i="5"/>
  <c r="G25" i="5"/>
  <c r="F25" i="5"/>
  <c r="AN23" i="5"/>
  <c r="AO23" i="5" s="1"/>
  <c r="BD23" i="5" s="1"/>
  <c r="DV34" i="2"/>
  <c r="L34" i="2"/>
  <c r="AH34" i="2"/>
  <c r="C34" i="2"/>
  <c r="D34" i="2" s="1"/>
  <c r="E34" i="2"/>
  <c r="AL34" i="2"/>
  <c r="B35" i="2"/>
  <c r="K34" i="2"/>
  <c r="AG24" i="5"/>
  <c r="W24" i="5"/>
  <c r="Y24" i="5" s="1"/>
  <c r="Z24" i="5" s="1"/>
  <c r="BA24" i="5" s="1"/>
  <c r="AB24" i="5"/>
  <c r="AL24" i="5"/>
  <c r="AA25" i="5"/>
  <c r="AF25" i="5"/>
  <c r="T25" i="5"/>
  <c r="V25" i="5"/>
  <c r="AK25" i="5"/>
  <c r="E26" i="5"/>
  <c r="S26" i="5"/>
  <c r="J26" i="5" a="1"/>
  <c r="J26" i="5" s="1"/>
  <c r="R26" i="5" s="1"/>
  <c r="M25" i="5"/>
  <c r="N25" i="5"/>
  <c r="R25" i="5"/>
  <c r="L25" i="5"/>
  <c r="AI23" i="5"/>
  <c r="AJ23" i="5" s="1"/>
  <c r="BC23" i="5" s="1"/>
  <c r="AD23" i="5"/>
  <c r="AE23" i="5" s="1"/>
  <c r="BB23" i="5" s="1"/>
  <c r="AD24" i="5" l="1"/>
  <c r="AE24" i="5" s="1"/>
  <c r="BB24" i="5" s="1"/>
  <c r="AN24" i="5"/>
  <c r="AO24" i="5" s="1"/>
  <c r="BD24" i="5" s="1"/>
  <c r="N26" i="5"/>
  <c r="M26" i="5"/>
  <c r="AI24" i="5"/>
  <c r="AJ24" i="5" s="1"/>
  <c r="BC24" i="5" s="1"/>
  <c r="L26" i="5"/>
  <c r="AU28" i="5"/>
  <c r="C28" i="5"/>
  <c r="H28" i="5"/>
  <c r="I28" i="5"/>
  <c r="B29" i="5"/>
  <c r="D28" i="5"/>
  <c r="DW34" i="2"/>
  <c r="BI34" i="2"/>
  <c r="F26" i="5"/>
  <c r="G26" i="5"/>
  <c r="AG25" i="5"/>
  <c r="AL25" i="5"/>
  <c r="W25" i="5"/>
  <c r="AB25" i="5"/>
  <c r="AF26" i="5"/>
  <c r="AK26" i="5"/>
  <c r="AA26" i="5"/>
  <c r="V26" i="5"/>
  <c r="T26" i="5"/>
  <c r="X25" i="5"/>
  <c r="AM25" i="5"/>
  <c r="AC25" i="5"/>
  <c r="AH25" i="5"/>
  <c r="AV27" i="5"/>
  <c r="P27" i="5"/>
  <c r="AZ26" i="5"/>
  <c r="U26" i="5"/>
  <c r="K26" i="5"/>
  <c r="Q26" i="5"/>
  <c r="DV35" i="2"/>
  <c r="C35" i="2"/>
  <c r="D35" i="2"/>
  <c r="E35" i="2"/>
  <c r="AL35" i="2"/>
  <c r="K35" i="2"/>
  <c r="B36" i="2"/>
  <c r="L35" i="2"/>
  <c r="AH35" i="2"/>
  <c r="S27" i="5"/>
  <c r="E27" i="5"/>
  <c r="J27" i="5" a="1"/>
  <c r="J27" i="5" s="1"/>
  <c r="AI25" i="5" l="1"/>
  <c r="AJ25" i="5" s="1"/>
  <c r="BC25" i="5" s="1"/>
  <c r="DW35" i="2"/>
  <c r="BI35" i="2"/>
  <c r="AZ27" i="5"/>
  <c r="U27" i="5"/>
  <c r="K27" i="5"/>
  <c r="Q27" i="5"/>
  <c r="AV28" i="5"/>
  <c r="P28" i="5"/>
  <c r="G27" i="5"/>
  <c r="F27" i="5"/>
  <c r="DV36" i="2"/>
  <c r="K36" i="2"/>
  <c r="B37" i="2"/>
  <c r="L36" i="2"/>
  <c r="AH36" i="2"/>
  <c r="C36" i="2"/>
  <c r="D36" i="2"/>
  <c r="E36" i="2"/>
  <c r="AL36" i="2"/>
  <c r="M27" i="5"/>
  <c r="S28" i="5"/>
  <c r="E28" i="5"/>
  <c r="J28" i="5" a="1"/>
  <c r="J28" i="5" s="1"/>
  <c r="L28" i="5" s="1"/>
  <c r="AH26" i="5"/>
  <c r="AM26" i="5"/>
  <c r="X26" i="5"/>
  <c r="AC26" i="5"/>
  <c r="AU29" i="5"/>
  <c r="H29" i="5"/>
  <c r="B30" i="5"/>
  <c r="C29" i="5"/>
  <c r="D29" i="5" s="1"/>
  <c r="I29" i="5"/>
  <c r="AD25" i="5"/>
  <c r="AE25" i="5" s="1"/>
  <c r="BB25" i="5" s="1"/>
  <c r="L27" i="5"/>
  <c r="AG26" i="5"/>
  <c r="W26" i="5"/>
  <c r="AB26" i="5"/>
  <c r="AL26" i="5"/>
  <c r="Y25" i="5"/>
  <c r="Z25" i="5" s="1"/>
  <c r="BA25" i="5" s="1"/>
  <c r="V27" i="5"/>
  <c r="AK27" i="5"/>
  <c r="T27" i="5"/>
  <c r="AA27" i="5"/>
  <c r="AF27" i="5"/>
  <c r="N27" i="5"/>
  <c r="R27" i="5"/>
  <c r="AN25" i="5"/>
  <c r="AO25" i="5" s="1"/>
  <c r="BD25" i="5" s="1"/>
  <c r="N28" i="5" l="1"/>
  <c r="M28" i="5"/>
  <c r="AD26" i="5"/>
  <c r="AE26" i="5" s="1"/>
  <c r="BB26" i="5" s="1"/>
  <c r="R28" i="5"/>
  <c r="AI26" i="5"/>
  <c r="AJ26" i="5" s="1"/>
  <c r="BC26" i="5" s="1"/>
  <c r="AN26" i="5"/>
  <c r="AO26" i="5" s="1"/>
  <c r="BD26" i="5" s="1"/>
  <c r="Y26" i="5"/>
  <c r="Z26" i="5" s="1"/>
  <c r="BA26" i="5" s="1"/>
  <c r="AF28" i="5"/>
  <c r="AK28" i="5"/>
  <c r="V28" i="5"/>
  <c r="AA28" i="5"/>
  <c r="T28" i="5"/>
  <c r="AM27" i="5"/>
  <c r="X27" i="5"/>
  <c r="AC27" i="5"/>
  <c r="AH27" i="5"/>
  <c r="DW36" i="2"/>
  <c r="BI36" i="2"/>
  <c r="DV37" i="2"/>
  <c r="AH37" i="2"/>
  <c r="C37" i="2"/>
  <c r="D37" i="2" s="1"/>
  <c r="AL37" i="2"/>
  <c r="K37" i="2"/>
  <c r="B38" i="2"/>
  <c r="L37" i="2"/>
  <c r="F28" i="5"/>
  <c r="G28" i="5"/>
  <c r="AZ28" i="5"/>
  <c r="U28" i="5"/>
  <c r="K28" i="5"/>
  <c r="Q28" i="5"/>
  <c r="AV29" i="5"/>
  <c r="P29" i="5"/>
  <c r="E29" i="5"/>
  <c r="S29" i="5"/>
  <c r="J29" i="5" a="1"/>
  <c r="J29" i="5" s="1"/>
  <c r="L29" i="5" s="1"/>
  <c r="AL27" i="5"/>
  <c r="W27" i="5"/>
  <c r="AB27" i="5"/>
  <c r="AG27" i="5"/>
  <c r="AU30" i="5"/>
  <c r="C30" i="5"/>
  <c r="D30" i="5" s="1"/>
  <c r="H30" i="5"/>
  <c r="I30" i="5"/>
  <c r="B31" i="5"/>
  <c r="E37" i="2" l="1"/>
  <c r="N29" i="5"/>
  <c r="R29" i="5"/>
  <c r="M29" i="5"/>
  <c r="AU31" i="5"/>
  <c r="C31" i="5"/>
  <c r="I31" i="5"/>
  <c r="B32" i="5"/>
  <c r="H31" i="5"/>
  <c r="D31" i="5"/>
  <c r="AV30" i="5"/>
  <c r="P30" i="5"/>
  <c r="DV38" i="2"/>
  <c r="K38" i="2"/>
  <c r="B39" i="2"/>
  <c r="L38" i="2"/>
  <c r="AH38" i="2"/>
  <c r="C38" i="2"/>
  <c r="D38" i="2"/>
  <c r="E38" i="2"/>
  <c r="AL38" i="2"/>
  <c r="F29" i="5"/>
  <c r="G29" i="5"/>
  <c r="AL28" i="5"/>
  <c r="AB28" i="5"/>
  <c r="AG28" i="5"/>
  <c r="W28" i="5"/>
  <c r="S30" i="5"/>
  <c r="E30" i="5"/>
  <c r="J30" i="5" a="1"/>
  <c r="J30" i="5" s="1"/>
  <c r="L30" i="5" s="1"/>
  <c r="AC28" i="5"/>
  <c r="AH28" i="5"/>
  <c r="AM28" i="5"/>
  <c r="X28" i="5"/>
  <c r="DW37" i="2"/>
  <c r="BI37" i="2"/>
  <c r="AN27" i="5"/>
  <c r="AO27" i="5" s="1"/>
  <c r="BD27" i="5" s="1"/>
  <c r="AD27" i="5"/>
  <c r="AE27" i="5" s="1"/>
  <c r="BB27" i="5" s="1"/>
  <c r="AI27" i="5"/>
  <c r="AJ27" i="5" s="1"/>
  <c r="BC27" i="5" s="1"/>
  <c r="Y27" i="5"/>
  <c r="Z27" i="5" s="1"/>
  <c r="BA27" i="5" s="1"/>
  <c r="AZ29" i="5"/>
  <c r="U29" i="5"/>
  <c r="K29" i="5"/>
  <c r="Q29" i="5"/>
  <c r="T29" i="5"/>
  <c r="AK29" i="5"/>
  <c r="V29" i="5"/>
  <c r="AA29" i="5"/>
  <c r="AF29" i="5"/>
  <c r="R30" i="5" l="1"/>
  <c r="M30" i="5"/>
  <c r="AM29" i="5"/>
  <c r="AC29" i="5"/>
  <c r="X29" i="5"/>
  <c r="AH29" i="5"/>
  <c r="AA30" i="5"/>
  <c r="T30" i="5"/>
  <c r="AF30" i="5"/>
  <c r="AK30" i="5"/>
  <c r="V30" i="5"/>
  <c r="R31" i="5"/>
  <c r="AV31" i="5"/>
  <c r="P31" i="5"/>
  <c r="L31" i="5"/>
  <c r="N31" i="5"/>
  <c r="AZ30" i="5"/>
  <c r="K30" i="5"/>
  <c r="U30" i="5"/>
  <c r="Q30" i="5"/>
  <c r="AD28" i="5"/>
  <c r="AE28" i="5" s="1"/>
  <c r="BB28" i="5" s="1"/>
  <c r="F30" i="5"/>
  <c r="G30" i="5"/>
  <c r="AN28" i="5"/>
  <c r="AO28" i="5" s="1"/>
  <c r="BD28" i="5" s="1"/>
  <c r="DV39" i="2"/>
  <c r="AH39" i="2"/>
  <c r="C39" i="2"/>
  <c r="E39" i="2" s="1"/>
  <c r="D39" i="2"/>
  <c r="AL39" i="2"/>
  <c r="K39" i="2"/>
  <c r="B40" i="2"/>
  <c r="L39" i="2"/>
  <c r="AU32" i="5"/>
  <c r="B33" i="5"/>
  <c r="H32" i="5"/>
  <c r="I32" i="5"/>
  <c r="C32" i="5"/>
  <c r="D32" i="5"/>
  <c r="N30" i="5"/>
  <c r="AL29" i="5"/>
  <c r="AN29" i="5" s="1"/>
  <c r="AO29" i="5" s="1"/>
  <c r="BD29" i="5" s="1"/>
  <c r="W29" i="5"/>
  <c r="AB29" i="5"/>
  <c r="AD29" i="5" s="1"/>
  <c r="AE29" i="5" s="1"/>
  <c r="BB29" i="5" s="1"/>
  <c r="AG29" i="5"/>
  <c r="AI29" i="5" s="1"/>
  <c r="AJ29" i="5" s="1"/>
  <c r="BC29" i="5" s="1"/>
  <c r="DW38" i="2"/>
  <c r="BI38" i="2"/>
  <c r="AI28" i="5"/>
  <c r="AJ28" i="5" s="1"/>
  <c r="BC28" i="5" s="1"/>
  <c r="Y28" i="5"/>
  <c r="Z28" i="5" s="1"/>
  <c r="BA28" i="5" s="1"/>
  <c r="S31" i="5"/>
  <c r="E31" i="5"/>
  <c r="J31" i="5" a="1"/>
  <c r="J31" i="5" s="1"/>
  <c r="M31" i="5" s="1"/>
  <c r="Y29" i="5" l="1"/>
  <c r="Z29" i="5" s="1"/>
  <c r="BA29" i="5" s="1"/>
  <c r="AB30" i="5"/>
  <c r="AG30" i="5"/>
  <c r="AL30" i="5"/>
  <c r="W30" i="5"/>
  <c r="DV40" i="2"/>
  <c r="AL40" i="2"/>
  <c r="K40" i="2"/>
  <c r="B41" i="2"/>
  <c r="L40" i="2"/>
  <c r="AH40" i="2"/>
  <c r="C40" i="2"/>
  <c r="E40" i="2" s="1"/>
  <c r="D40" i="2"/>
  <c r="DW39" i="2"/>
  <c r="BI39" i="2"/>
  <c r="AV32" i="5"/>
  <c r="P32" i="5"/>
  <c r="AU33" i="5"/>
  <c r="C33" i="5"/>
  <c r="I33" i="5"/>
  <c r="B34" i="5"/>
  <c r="H33" i="5"/>
  <c r="D33" i="5"/>
  <c r="AC30" i="5"/>
  <c r="AH30" i="5"/>
  <c r="AM30" i="5"/>
  <c r="X30" i="5"/>
  <c r="AZ31" i="5"/>
  <c r="U31" i="5"/>
  <c r="K31" i="5"/>
  <c r="Q31" i="5"/>
  <c r="F31" i="5"/>
  <c r="G31" i="5"/>
  <c r="T31" i="5"/>
  <c r="AK31" i="5"/>
  <c r="AA31" i="5"/>
  <c r="V31" i="5"/>
  <c r="AF31" i="5"/>
  <c r="E32" i="5"/>
  <c r="S32" i="5"/>
  <c r="J32" i="5" a="1"/>
  <c r="J32" i="5" s="1"/>
  <c r="L32" i="5" s="1"/>
  <c r="Y30" i="5" l="1"/>
  <c r="Z30" i="5" s="1"/>
  <c r="BA30" i="5" s="1"/>
  <c r="AN30" i="5"/>
  <c r="AO30" i="5" s="1"/>
  <c r="BD30" i="5" s="1"/>
  <c r="AI30" i="5"/>
  <c r="AJ30" i="5" s="1"/>
  <c r="BC30" i="5" s="1"/>
  <c r="N32" i="5"/>
  <c r="M32" i="5"/>
  <c r="R32" i="5"/>
  <c r="AV33" i="5"/>
  <c r="P33" i="5"/>
  <c r="R33" i="5"/>
  <c r="L33" i="5"/>
  <c r="M33" i="5"/>
  <c r="N33" i="5"/>
  <c r="AA32" i="5"/>
  <c r="AF32" i="5"/>
  <c r="AK32" i="5"/>
  <c r="T32" i="5"/>
  <c r="V32" i="5"/>
  <c r="S33" i="5"/>
  <c r="E33" i="5"/>
  <c r="J33" i="5" a="1"/>
  <c r="J33" i="5" s="1"/>
  <c r="AD30" i="5"/>
  <c r="AE30" i="5" s="1"/>
  <c r="BB30" i="5" s="1"/>
  <c r="DW40" i="2"/>
  <c r="BI40" i="2"/>
  <c r="G32" i="5"/>
  <c r="F32" i="5"/>
  <c r="AU34" i="5"/>
  <c r="H34" i="5"/>
  <c r="I34" i="5"/>
  <c r="B35" i="5"/>
  <c r="C34" i="5"/>
  <c r="D34" i="5" s="1"/>
  <c r="W31" i="5"/>
  <c r="AB31" i="5"/>
  <c r="AG31" i="5"/>
  <c r="AL31" i="5"/>
  <c r="AH31" i="5"/>
  <c r="X31" i="5"/>
  <c r="AC31" i="5"/>
  <c r="AM31" i="5"/>
  <c r="DV41" i="2"/>
  <c r="AH41" i="2"/>
  <c r="C41" i="2"/>
  <c r="E41" i="2" s="1"/>
  <c r="D41" i="2"/>
  <c r="AL41" i="2"/>
  <c r="K41" i="2"/>
  <c r="B42" i="2"/>
  <c r="L41" i="2"/>
  <c r="K32" i="5"/>
  <c r="AZ32" i="5"/>
  <c r="U32" i="5"/>
  <c r="Q32" i="5"/>
  <c r="DW41" i="2" l="1"/>
  <c r="BI41" i="2"/>
  <c r="G33" i="5"/>
  <c r="F33" i="5"/>
  <c r="AU35" i="5"/>
  <c r="H35" i="5"/>
  <c r="I35" i="5"/>
  <c r="B36" i="5"/>
  <c r="C35" i="5"/>
  <c r="D35" i="5" s="1"/>
  <c r="AV34" i="5"/>
  <c r="P34" i="5"/>
  <c r="S34" i="5"/>
  <c r="E34" i="5"/>
  <c r="J34" i="5" a="1"/>
  <c r="J34" i="5" s="1"/>
  <c r="X32" i="5"/>
  <c r="AC32" i="5"/>
  <c r="AH32" i="5"/>
  <c r="AM32" i="5"/>
  <c r="AB32" i="5"/>
  <c r="AG32" i="5"/>
  <c r="AL32" i="5"/>
  <c r="AN32" i="5" s="1"/>
  <c r="AO32" i="5" s="1"/>
  <c r="BD32" i="5" s="1"/>
  <c r="W32" i="5"/>
  <c r="DV42" i="2"/>
  <c r="AL42" i="2"/>
  <c r="AH42" i="2"/>
  <c r="C42" i="2"/>
  <c r="E42" i="2" s="1"/>
  <c r="D42" i="2"/>
  <c r="K42" i="2"/>
  <c r="L42" i="2"/>
  <c r="B43" i="2"/>
  <c r="AI31" i="5"/>
  <c r="AJ31" i="5" s="1"/>
  <c r="BC31" i="5" s="1"/>
  <c r="AD31" i="5"/>
  <c r="AE31" i="5" s="1"/>
  <c r="BB31" i="5" s="1"/>
  <c r="Y31" i="5"/>
  <c r="Z31" i="5" s="1"/>
  <c r="BA31" i="5" s="1"/>
  <c r="AF33" i="5"/>
  <c r="V33" i="5"/>
  <c r="AK33" i="5"/>
  <c r="T33" i="5"/>
  <c r="AA33" i="5"/>
  <c r="AN31" i="5"/>
  <c r="AO31" i="5" s="1"/>
  <c r="BD31" i="5" s="1"/>
  <c r="AZ33" i="5"/>
  <c r="K33" i="5"/>
  <c r="U33" i="5"/>
  <c r="Q33" i="5"/>
  <c r="AI32" i="5" l="1"/>
  <c r="AJ32" i="5" s="1"/>
  <c r="BC32" i="5" s="1"/>
  <c r="AD32" i="5"/>
  <c r="AE32" i="5" s="1"/>
  <c r="BB32" i="5" s="1"/>
  <c r="DW42" i="2"/>
  <c r="BI42" i="2"/>
  <c r="AU36" i="5"/>
  <c r="H36" i="5"/>
  <c r="I36" i="5"/>
  <c r="B37" i="5"/>
  <c r="C36" i="5"/>
  <c r="D36" i="5"/>
  <c r="AZ34" i="5"/>
  <c r="U34" i="5"/>
  <c r="K34" i="5"/>
  <c r="Q34" i="5"/>
  <c r="G34" i="5"/>
  <c r="F34" i="5"/>
  <c r="AG33" i="5"/>
  <c r="AL33" i="5"/>
  <c r="W33" i="5"/>
  <c r="AB33" i="5"/>
  <c r="T34" i="5"/>
  <c r="V34" i="5"/>
  <c r="AA34" i="5"/>
  <c r="AF34" i="5"/>
  <c r="AK34" i="5"/>
  <c r="M34" i="5"/>
  <c r="AH33" i="5"/>
  <c r="X33" i="5"/>
  <c r="AM33" i="5"/>
  <c r="AC33" i="5"/>
  <c r="N34" i="5"/>
  <c r="E35" i="5"/>
  <c r="S35" i="5"/>
  <c r="J35" i="5" a="1"/>
  <c r="J35" i="5" s="1"/>
  <c r="R35" i="5" s="1"/>
  <c r="R34" i="5"/>
  <c r="AV35" i="5"/>
  <c r="P35" i="5"/>
  <c r="DV43" i="2"/>
  <c r="AL43" i="2"/>
  <c r="L43" i="2"/>
  <c r="B44" i="2"/>
  <c r="AH43" i="2"/>
  <c r="C43" i="2"/>
  <c r="K43" i="2"/>
  <c r="Y32" i="5"/>
  <c r="Z32" i="5" s="1"/>
  <c r="BA32" i="5" s="1"/>
  <c r="L34" i="5"/>
  <c r="AN33" i="5" l="1"/>
  <c r="AO33" i="5" s="1"/>
  <c r="BD33" i="5" s="1"/>
  <c r="M35" i="5"/>
  <c r="L35" i="5"/>
  <c r="N35" i="5"/>
  <c r="AD33" i="5"/>
  <c r="AE33" i="5" s="1"/>
  <c r="BB33" i="5" s="1"/>
  <c r="DV44" i="2"/>
  <c r="AL44" i="2"/>
  <c r="K44" i="2"/>
  <c r="B45" i="2"/>
  <c r="L44" i="2"/>
  <c r="AH44" i="2"/>
  <c r="C44" i="2"/>
  <c r="D44" i="2" s="1"/>
  <c r="AZ35" i="5"/>
  <c r="K35" i="5"/>
  <c r="U35" i="5"/>
  <c r="Q35" i="5"/>
  <c r="Y33" i="5"/>
  <c r="Z33" i="5" s="1"/>
  <c r="BA33" i="5" s="1"/>
  <c r="S36" i="5"/>
  <c r="E36" i="5"/>
  <c r="J36" i="5" a="1"/>
  <c r="J36" i="5" s="1"/>
  <c r="AF35" i="5"/>
  <c r="T35" i="5"/>
  <c r="V35" i="5"/>
  <c r="AA35" i="5"/>
  <c r="AK35" i="5"/>
  <c r="AM34" i="5"/>
  <c r="X34" i="5"/>
  <c r="AC34" i="5"/>
  <c r="AH34" i="5"/>
  <c r="W34" i="5"/>
  <c r="Y34" i="5" s="1"/>
  <c r="Z34" i="5" s="1"/>
  <c r="BA34" i="5" s="1"/>
  <c r="AB34" i="5"/>
  <c r="AD34" i="5" s="1"/>
  <c r="AE34" i="5" s="1"/>
  <c r="BB34" i="5" s="1"/>
  <c r="AG34" i="5"/>
  <c r="AI34" i="5" s="1"/>
  <c r="AJ34" i="5" s="1"/>
  <c r="BC34" i="5" s="1"/>
  <c r="AL34" i="5"/>
  <c r="G35" i="5"/>
  <c r="F35" i="5"/>
  <c r="AI33" i="5"/>
  <c r="AJ33" i="5" s="1"/>
  <c r="BC33" i="5" s="1"/>
  <c r="E43" i="2"/>
  <c r="D43" i="2"/>
  <c r="AV36" i="5"/>
  <c r="P36" i="5"/>
  <c r="AU37" i="5"/>
  <c r="C37" i="5"/>
  <c r="B38" i="5"/>
  <c r="H37" i="5"/>
  <c r="I37" i="5"/>
  <c r="D37" i="5"/>
  <c r="AN34" i="5" l="1"/>
  <c r="AO34" i="5" s="1"/>
  <c r="BD34" i="5" s="1"/>
  <c r="F36" i="5"/>
  <c r="G36" i="5"/>
  <c r="E44" i="2"/>
  <c r="U36" i="5"/>
  <c r="AZ36" i="5"/>
  <c r="K36" i="5"/>
  <c r="Q36" i="5"/>
  <c r="L36" i="5"/>
  <c r="AC35" i="5"/>
  <c r="AH35" i="5"/>
  <c r="AM35" i="5"/>
  <c r="X35" i="5"/>
  <c r="N36" i="5"/>
  <c r="R36" i="5"/>
  <c r="AV37" i="5"/>
  <c r="P37" i="5"/>
  <c r="DV45" i="2"/>
  <c r="K45" i="2"/>
  <c r="B46" i="2"/>
  <c r="AH45" i="2"/>
  <c r="C45" i="2"/>
  <c r="D45" i="2"/>
  <c r="E45" i="2"/>
  <c r="AL45" i="2"/>
  <c r="L45" i="2"/>
  <c r="S37" i="5"/>
  <c r="E37" i="5"/>
  <c r="J37" i="5" a="1"/>
  <c r="J37" i="5" s="1"/>
  <c r="AK36" i="5"/>
  <c r="V36" i="5"/>
  <c r="AA36" i="5"/>
  <c r="T36" i="5"/>
  <c r="AF36" i="5"/>
  <c r="AU38" i="5"/>
  <c r="C38" i="5"/>
  <c r="H38" i="5"/>
  <c r="I38" i="5"/>
  <c r="B39" i="5"/>
  <c r="D38" i="5"/>
  <c r="M36" i="5"/>
  <c r="DW43" i="2"/>
  <c r="BI43" i="2"/>
  <c r="AG35" i="5"/>
  <c r="AL35" i="5"/>
  <c r="AB35" i="5"/>
  <c r="W35" i="5"/>
  <c r="AZ37" i="5" l="1"/>
  <c r="U37" i="5"/>
  <c r="K37" i="5"/>
  <c r="Q37" i="5"/>
  <c r="DV46" i="2"/>
  <c r="L46" i="2"/>
  <c r="AL46" i="2"/>
  <c r="C46" i="2"/>
  <c r="D46" i="2" s="1"/>
  <c r="K46" i="2"/>
  <c r="AH46" i="2"/>
  <c r="B47" i="2"/>
  <c r="T37" i="5"/>
  <c r="V37" i="5"/>
  <c r="AA37" i="5"/>
  <c r="AF37" i="5"/>
  <c r="AK37" i="5"/>
  <c r="S38" i="5"/>
  <c r="E38" i="5"/>
  <c r="J38" i="5" a="1"/>
  <c r="J38" i="5" s="1"/>
  <c r="L38" i="5" s="1"/>
  <c r="Y35" i="5"/>
  <c r="Z35" i="5" s="1"/>
  <c r="BA35" i="5" s="1"/>
  <c r="M37" i="5"/>
  <c r="AM36" i="5"/>
  <c r="X36" i="5"/>
  <c r="AC36" i="5"/>
  <c r="AH36" i="5"/>
  <c r="AN35" i="5"/>
  <c r="AO35" i="5" s="1"/>
  <c r="BD35" i="5" s="1"/>
  <c r="N37" i="5"/>
  <c r="G37" i="5"/>
  <c r="F37" i="5"/>
  <c r="AD35" i="5"/>
  <c r="AE35" i="5" s="1"/>
  <c r="BB35" i="5" s="1"/>
  <c r="DW44" i="2"/>
  <c r="BI44" i="2"/>
  <c r="AV38" i="5"/>
  <c r="P38" i="5"/>
  <c r="AU39" i="5"/>
  <c r="H39" i="5"/>
  <c r="I39" i="5"/>
  <c r="B40" i="5"/>
  <c r="C39" i="5"/>
  <c r="D39" i="5"/>
  <c r="R37" i="5"/>
  <c r="DW45" i="2"/>
  <c r="BI45" i="2"/>
  <c r="AL36" i="5"/>
  <c r="AN36" i="5" s="1"/>
  <c r="AO36" i="5" s="1"/>
  <c r="BD36" i="5" s="1"/>
  <c r="W36" i="5"/>
  <c r="Y36" i="5" s="1"/>
  <c r="Z36" i="5" s="1"/>
  <c r="BA36" i="5" s="1"/>
  <c r="AB36" i="5"/>
  <c r="AD36" i="5" s="1"/>
  <c r="AE36" i="5" s="1"/>
  <c r="BB36" i="5" s="1"/>
  <c r="AG36" i="5"/>
  <c r="L37" i="5"/>
  <c r="AI35" i="5"/>
  <c r="AJ35" i="5" s="1"/>
  <c r="BC35" i="5" s="1"/>
  <c r="AI36" i="5" l="1"/>
  <c r="AJ36" i="5" s="1"/>
  <c r="BC36" i="5" s="1"/>
  <c r="E46" i="2"/>
  <c r="T38" i="5"/>
  <c r="AK38" i="5"/>
  <c r="V38" i="5"/>
  <c r="AA38" i="5"/>
  <c r="AF38" i="5"/>
  <c r="S39" i="5"/>
  <c r="E39" i="5"/>
  <c r="J39" i="5" a="1"/>
  <c r="J39" i="5" s="1"/>
  <c r="R39" i="5" s="1"/>
  <c r="AZ38" i="5"/>
  <c r="U38" i="5"/>
  <c r="K38" i="5"/>
  <c r="Q38" i="5"/>
  <c r="P39" i="5"/>
  <c r="AV39" i="5"/>
  <c r="G38" i="5"/>
  <c r="F38" i="5"/>
  <c r="DV47" i="2"/>
  <c r="C47" i="2"/>
  <c r="D47" i="2"/>
  <c r="E47" i="2"/>
  <c r="AL47" i="2"/>
  <c r="K47" i="2"/>
  <c r="B48" i="2"/>
  <c r="L47" i="2"/>
  <c r="AH47" i="2"/>
  <c r="N38" i="5"/>
  <c r="M38" i="5"/>
  <c r="AB37" i="5"/>
  <c r="AD37" i="5" s="1"/>
  <c r="AE37" i="5" s="1"/>
  <c r="BB37" i="5" s="1"/>
  <c r="W37" i="5"/>
  <c r="AG37" i="5"/>
  <c r="AL37" i="5"/>
  <c r="R38" i="5"/>
  <c r="AC37" i="5"/>
  <c r="AH37" i="5"/>
  <c r="X37" i="5"/>
  <c r="AM37" i="5"/>
  <c r="AU40" i="5"/>
  <c r="C40" i="5"/>
  <c r="H40" i="5"/>
  <c r="B41" i="5"/>
  <c r="I40" i="5"/>
  <c r="D40" i="5"/>
  <c r="AV40" i="5" l="1"/>
  <c r="P40" i="5"/>
  <c r="S40" i="5"/>
  <c r="E40" i="5"/>
  <c r="J40" i="5" a="1"/>
  <c r="J40" i="5" s="1"/>
  <c r="X38" i="5"/>
  <c r="AC38" i="5"/>
  <c r="AH38" i="5"/>
  <c r="AM38" i="5"/>
  <c r="AU41" i="5"/>
  <c r="C41" i="5"/>
  <c r="B42" i="5"/>
  <c r="H41" i="5"/>
  <c r="I41" i="5"/>
  <c r="D41" i="5"/>
  <c r="G39" i="5"/>
  <c r="F39" i="5"/>
  <c r="M39" i="5"/>
  <c r="N39" i="5"/>
  <c r="AL38" i="5"/>
  <c r="AB38" i="5"/>
  <c r="AG38" i="5"/>
  <c r="W38" i="5"/>
  <c r="DW47" i="2"/>
  <c r="BI47" i="2"/>
  <c r="AA39" i="5"/>
  <c r="AF39" i="5"/>
  <c r="AK39" i="5"/>
  <c r="T39" i="5"/>
  <c r="V39" i="5"/>
  <c r="AZ39" i="5"/>
  <c r="K39" i="5"/>
  <c r="U39" i="5"/>
  <c r="Q39" i="5"/>
  <c r="DV48" i="2"/>
  <c r="K48" i="2"/>
  <c r="B49" i="2"/>
  <c r="L48" i="2"/>
  <c r="AH48" i="2"/>
  <c r="C48" i="2"/>
  <c r="D48" i="2" s="1"/>
  <c r="AL48" i="2"/>
  <c r="AN37" i="5"/>
  <c r="AO37" i="5" s="1"/>
  <c r="BD37" i="5" s="1"/>
  <c r="AI37" i="5"/>
  <c r="AJ37" i="5" s="1"/>
  <c r="BC37" i="5" s="1"/>
  <c r="L39" i="5"/>
  <c r="DW46" i="2"/>
  <c r="BI46" i="2"/>
  <c r="Y37" i="5"/>
  <c r="Z37" i="5" s="1"/>
  <c r="BA37" i="5" s="1"/>
  <c r="E48" i="2" l="1"/>
  <c r="AN38" i="5"/>
  <c r="AO38" i="5" s="1"/>
  <c r="BD38" i="5" s="1"/>
  <c r="AZ40" i="5"/>
  <c r="K40" i="5"/>
  <c r="U40" i="5"/>
  <c r="Q40" i="5"/>
  <c r="AV41" i="5"/>
  <c r="P41" i="5"/>
  <c r="AC39" i="5"/>
  <c r="AH39" i="5"/>
  <c r="X39" i="5"/>
  <c r="AM39" i="5"/>
  <c r="N40" i="5"/>
  <c r="AB39" i="5"/>
  <c r="AG39" i="5"/>
  <c r="W39" i="5"/>
  <c r="AL39" i="5"/>
  <c r="M40" i="5"/>
  <c r="AU42" i="5"/>
  <c r="C42" i="5"/>
  <c r="H42" i="5"/>
  <c r="I42" i="5"/>
  <c r="B43" i="5"/>
  <c r="D42" i="5"/>
  <c r="L40" i="5"/>
  <c r="Y38" i="5"/>
  <c r="Z38" i="5" s="1"/>
  <c r="BA38" i="5" s="1"/>
  <c r="R40" i="5"/>
  <c r="AI38" i="5"/>
  <c r="AJ38" i="5" s="1"/>
  <c r="BC38" i="5" s="1"/>
  <c r="S41" i="5"/>
  <c r="E41" i="5"/>
  <c r="J41" i="5" a="1"/>
  <c r="J41" i="5" s="1"/>
  <c r="R41" i="5" s="1"/>
  <c r="DW48" i="2"/>
  <c r="BI48" i="2"/>
  <c r="AA40" i="5"/>
  <c r="AF40" i="5"/>
  <c r="V40" i="5"/>
  <c r="AK40" i="5"/>
  <c r="T40" i="5"/>
  <c r="F40" i="5"/>
  <c r="G40" i="5"/>
  <c r="DV49" i="2"/>
  <c r="AH49" i="2"/>
  <c r="C49" i="2"/>
  <c r="D49" i="2" s="1"/>
  <c r="AL49" i="2"/>
  <c r="K49" i="2"/>
  <c r="B50" i="2"/>
  <c r="L49" i="2"/>
  <c r="AD38" i="5"/>
  <c r="AE38" i="5" s="1"/>
  <c r="BB38" i="5" s="1"/>
  <c r="M41" i="5" l="1"/>
  <c r="E49" i="2"/>
  <c r="S42" i="5"/>
  <c r="E42" i="5"/>
  <c r="J42" i="5" a="1"/>
  <c r="J42" i="5" s="1"/>
  <c r="M42" i="5" s="1"/>
  <c r="N41" i="5"/>
  <c r="AU43" i="5"/>
  <c r="H43" i="5"/>
  <c r="I43" i="5"/>
  <c r="B44" i="5"/>
  <c r="C43" i="5"/>
  <c r="D43" i="5" s="1"/>
  <c r="F41" i="5"/>
  <c r="G41" i="5"/>
  <c r="L41" i="5"/>
  <c r="AN39" i="5"/>
  <c r="AO39" i="5" s="1"/>
  <c r="BD39" i="5" s="1"/>
  <c r="AV42" i="5"/>
  <c r="P42" i="5"/>
  <c r="Y39" i="5"/>
  <c r="Z39" i="5" s="1"/>
  <c r="BA39" i="5" s="1"/>
  <c r="AH40" i="5"/>
  <c r="AM40" i="5"/>
  <c r="X40" i="5"/>
  <c r="AC40" i="5"/>
  <c r="AI39" i="5"/>
  <c r="AJ39" i="5" s="1"/>
  <c r="BC39" i="5" s="1"/>
  <c r="AZ41" i="5"/>
  <c r="U41" i="5"/>
  <c r="K41" i="5"/>
  <c r="Q41" i="5"/>
  <c r="AK41" i="5"/>
  <c r="T41" i="5"/>
  <c r="V41" i="5"/>
  <c r="AF41" i="5"/>
  <c r="AA41" i="5"/>
  <c r="AD39" i="5"/>
  <c r="AE39" i="5" s="1"/>
  <c r="BB39" i="5" s="1"/>
  <c r="DW49" i="2"/>
  <c r="BI49" i="2"/>
  <c r="DV50" i="2"/>
  <c r="K50" i="2"/>
  <c r="B51" i="2"/>
  <c r="L50" i="2"/>
  <c r="AH50" i="2"/>
  <c r="C50" i="2"/>
  <c r="D50" i="2" s="1"/>
  <c r="E50" i="2"/>
  <c r="AL50" i="2"/>
  <c r="W40" i="5"/>
  <c r="AB40" i="5"/>
  <c r="AG40" i="5"/>
  <c r="AL40" i="5"/>
  <c r="N42" i="5" l="1"/>
  <c r="L42" i="5"/>
  <c r="R42" i="5"/>
  <c r="DW50" i="2"/>
  <c r="BI50" i="2"/>
  <c r="AV43" i="5"/>
  <c r="P43" i="5"/>
  <c r="AU44" i="5"/>
  <c r="C44" i="5"/>
  <c r="H44" i="5"/>
  <c r="I44" i="5"/>
  <c r="B45" i="5"/>
  <c r="AZ42" i="5"/>
  <c r="K42" i="5"/>
  <c r="U42" i="5"/>
  <c r="Q42" i="5"/>
  <c r="DV51" i="2"/>
  <c r="AH51" i="2"/>
  <c r="C51" i="2"/>
  <c r="D51" i="2" s="1"/>
  <c r="AL51" i="2"/>
  <c r="K51" i="2"/>
  <c r="B52" i="2"/>
  <c r="L51" i="2"/>
  <c r="F42" i="5"/>
  <c r="G42" i="5"/>
  <c r="S43" i="5"/>
  <c r="E43" i="5"/>
  <c r="J43" i="5" a="1"/>
  <c r="J43" i="5" s="1"/>
  <c r="R43" i="5" s="1"/>
  <c r="AN40" i="5"/>
  <c r="AO40" i="5" s="1"/>
  <c r="BD40" i="5" s="1"/>
  <c r="Y40" i="5"/>
  <c r="Z40" i="5" s="1"/>
  <c r="BA40" i="5" s="1"/>
  <c r="AM41" i="5"/>
  <c r="X41" i="5"/>
  <c r="AC41" i="5"/>
  <c r="AH41" i="5"/>
  <c r="AF42" i="5"/>
  <c r="V42" i="5"/>
  <c r="AA42" i="5"/>
  <c r="AK42" i="5"/>
  <c r="T42" i="5"/>
  <c r="AL41" i="5"/>
  <c r="AN41" i="5" s="1"/>
  <c r="AO41" i="5" s="1"/>
  <c r="BD41" i="5" s="1"/>
  <c r="W41" i="5"/>
  <c r="Y41" i="5" s="1"/>
  <c r="Z41" i="5" s="1"/>
  <c r="BA41" i="5" s="1"/>
  <c r="AB41" i="5"/>
  <c r="AD41" i="5" s="1"/>
  <c r="AE41" i="5" s="1"/>
  <c r="BB41" i="5" s="1"/>
  <c r="AG41" i="5"/>
  <c r="AI41" i="5" s="1"/>
  <c r="AJ41" i="5" s="1"/>
  <c r="BC41" i="5" s="1"/>
  <c r="AI40" i="5"/>
  <c r="AJ40" i="5" s="1"/>
  <c r="BC40" i="5" s="1"/>
  <c r="AD40" i="5"/>
  <c r="AE40" i="5" s="1"/>
  <c r="BB40" i="5" s="1"/>
  <c r="E51" i="2" l="1"/>
  <c r="N43" i="5"/>
  <c r="M43" i="5"/>
  <c r="E44" i="5"/>
  <c r="S44" i="5"/>
  <c r="J44" i="5" a="1"/>
  <c r="J44" i="5" s="1"/>
  <c r="DW51" i="2"/>
  <c r="BI51" i="2"/>
  <c r="G43" i="5"/>
  <c r="F43" i="5"/>
  <c r="L43" i="5"/>
  <c r="AK43" i="5"/>
  <c r="V43" i="5"/>
  <c r="T43" i="5"/>
  <c r="AA43" i="5"/>
  <c r="AF43" i="5"/>
  <c r="AG42" i="5"/>
  <c r="AL42" i="5"/>
  <c r="W42" i="5"/>
  <c r="AB42" i="5"/>
  <c r="AH42" i="5"/>
  <c r="AM42" i="5"/>
  <c r="X42" i="5"/>
  <c r="AC42" i="5"/>
  <c r="DV52" i="2"/>
  <c r="AL52" i="2"/>
  <c r="K52" i="2"/>
  <c r="B53" i="2"/>
  <c r="L52" i="2"/>
  <c r="AH52" i="2"/>
  <c r="C52" i="2"/>
  <c r="E52" i="2" s="1"/>
  <c r="D52" i="2"/>
  <c r="D44" i="5"/>
  <c r="AU45" i="5"/>
  <c r="H45" i="5"/>
  <c r="I45" i="5"/>
  <c r="B46" i="5"/>
  <c r="C45" i="5"/>
  <c r="D45" i="5"/>
  <c r="AZ43" i="5"/>
  <c r="U43" i="5"/>
  <c r="K43" i="5"/>
  <c r="Q43" i="5"/>
  <c r="DW52" i="2" l="1"/>
  <c r="BI52" i="2"/>
  <c r="AL43" i="5"/>
  <c r="W43" i="5"/>
  <c r="AB43" i="5"/>
  <c r="AG43" i="5"/>
  <c r="X43" i="5"/>
  <c r="AC43" i="5"/>
  <c r="AH43" i="5"/>
  <c r="AM43" i="5"/>
  <c r="S45" i="5"/>
  <c r="E45" i="5"/>
  <c r="J45" i="5" a="1"/>
  <c r="J45" i="5" s="1"/>
  <c r="M45" i="5" s="1"/>
  <c r="DV53" i="2"/>
  <c r="AH53" i="2"/>
  <c r="C53" i="2"/>
  <c r="D53" i="2" s="1"/>
  <c r="AL53" i="2"/>
  <c r="K53" i="2"/>
  <c r="B54" i="2"/>
  <c r="L53" i="2"/>
  <c r="AD42" i="5"/>
  <c r="AE42" i="5" s="1"/>
  <c r="BB42" i="5" s="1"/>
  <c r="AV44" i="5"/>
  <c r="L44" i="5"/>
  <c r="P44" i="5"/>
  <c r="R44" i="5"/>
  <c r="N44" i="5"/>
  <c r="M44" i="5"/>
  <c r="AZ44" i="5"/>
  <c r="U44" i="5"/>
  <c r="K44" i="5"/>
  <c r="Q44" i="5"/>
  <c r="AN42" i="5"/>
  <c r="AO42" i="5" s="1"/>
  <c r="BD42" i="5" s="1"/>
  <c r="AF44" i="5"/>
  <c r="T44" i="5"/>
  <c r="AK44" i="5"/>
  <c r="AA44" i="5"/>
  <c r="V44" i="5"/>
  <c r="AV45" i="5"/>
  <c r="P45" i="5"/>
  <c r="AU46" i="5"/>
  <c r="B47" i="5"/>
  <c r="C46" i="5"/>
  <c r="H46" i="5"/>
  <c r="I46" i="5"/>
  <c r="Y42" i="5"/>
  <c r="Z42" i="5" s="1"/>
  <c r="BA42" i="5" s="1"/>
  <c r="AI42" i="5"/>
  <c r="AJ42" i="5" s="1"/>
  <c r="BC42" i="5" s="1"/>
  <c r="F44" i="5"/>
  <c r="G44" i="5"/>
  <c r="R45" i="5" l="1"/>
  <c r="N45" i="5"/>
  <c r="L45" i="5"/>
  <c r="E53" i="2"/>
  <c r="T45" i="5"/>
  <c r="AA45" i="5"/>
  <c r="AK45" i="5"/>
  <c r="V45" i="5"/>
  <c r="AF45" i="5"/>
  <c r="AC44" i="5"/>
  <c r="AH44" i="5"/>
  <c r="AM44" i="5"/>
  <c r="X44" i="5"/>
  <c r="AI43" i="5"/>
  <c r="AJ43" i="5" s="1"/>
  <c r="BC43" i="5" s="1"/>
  <c r="AD43" i="5"/>
  <c r="AE43" i="5" s="1"/>
  <c r="BB43" i="5" s="1"/>
  <c r="AU47" i="5"/>
  <c r="C47" i="5"/>
  <c r="B48" i="5"/>
  <c r="H47" i="5"/>
  <c r="I47" i="5"/>
  <c r="Y43" i="5"/>
  <c r="Z43" i="5" s="1"/>
  <c r="BA43" i="5" s="1"/>
  <c r="AN43" i="5"/>
  <c r="AO43" i="5" s="1"/>
  <c r="BD43" i="5" s="1"/>
  <c r="DW53" i="2"/>
  <c r="BI53" i="2"/>
  <c r="S46" i="5"/>
  <c r="E46" i="5"/>
  <c r="J46" i="5" a="1"/>
  <c r="J46" i="5" s="1"/>
  <c r="D46" i="5"/>
  <c r="AZ45" i="5"/>
  <c r="K45" i="5"/>
  <c r="U45" i="5"/>
  <c r="Q45" i="5"/>
  <c r="AB44" i="5"/>
  <c r="AG44" i="5"/>
  <c r="AL44" i="5"/>
  <c r="W44" i="5"/>
  <c r="DV54" i="2"/>
  <c r="AL54" i="2"/>
  <c r="K54" i="2"/>
  <c r="B55" i="2"/>
  <c r="AH54" i="2"/>
  <c r="C54" i="2"/>
  <c r="E54" i="2" s="1"/>
  <c r="L54" i="2"/>
  <c r="F45" i="5"/>
  <c r="G45" i="5"/>
  <c r="D54" i="2" l="1"/>
  <c r="AN44" i="5"/>
  <c r="AO44" i="5" s="1"/>
  <c r="BD44" i="5" s="1"/>
  <c r="Y44" i="5"/>
  <c r="Z44" i="5" s="1"/>
  <c r="BA44" i="5" s="1"/>
  <c r="AI44" i="5"/>
  <c r="AJ44" i="5" s="1"/>
  <c r="BC44" i="5" s="1"/>
  <c r="AD44" i="5"/>
  <c r="AE44" i="5" s="1"/>
  <c r="BB44" i="5" s="1"/>
  <c r="AU48" i="5"/>
  <c r="B49" i="5"/>
  <c r="C48" i="5"/>
  <c r="H48" i="5"/>
  <c r="I48" i="5"/>
  <c r="D48" i="5"/>
  <c r="E47" i="5"/>
  <c r="S47" i="5"/>
  <c r="J47" i="5" a="1"/>
  <c r="J47" i="5" s="1"/>
  <c r="AZ46" i="5"/>
  <c r="K46" i="5"/>
  <c r="U46" i="5"/>
  <c r="Q46" i="5"/>
  <c r="AA46" i="5"/>
  <c r="V46" i="5"/>
  <c r="AF46" i="5"/>
  <c r="AK46" i="5"/>
  <c r="T46" i="5"/>
  <c r="DW54" i="2"/>
  <c r="BI54" i="2"/>
  <c r="F46" i="5"/>
  <c r="G46" i="5"/>
  <c r="DV55" i="2"/>
  <c r="L55" i="2"/>
  <c r="AH55" i="2"/>
  <c r="AL55" i="2"/>
  <c r="B56" i="2"/>
  <c r="C55" i="2"/>
  <c r="D55" i="2" s="1"/>
  <c r="K55" i="2"/>
  <c r="AM45" i="5"/>
  <c r="X45" i="5"/>
  <c r="AC45" i="5"/>
  <c r="AH45" i="5"/>
  <c r="D47" i="5"/>
  <c r="AV46" i="5"/>
  <c r="R46" i="5"/>
  <c r="L46" i="5"/>
  <c r="P46" i="5"/>
  <c r="M46" i="5"/>
  <c r="N46" i="5"/>
  <c r="W45" i="5"/>
  <c r="Y45" i="5" s="1"/>
  <c r="Z45" i="5" s="1"/>
  <c r="BA45" i="5" s="1"/>
  <c r="AB45" i="5"/>
  <c r="AD45" i="5" s="1"/>
  <c r="AE45" i="5" s="1"/>
  <c r="BB45" i="5" s="1"/>
  <c r="AL45" i="5"/>
  <c r="AN45" i="5" s="1"/>
  <c r="AO45" i="5" s="1"/>
  <c r="BD45" i="5" s="1"/>
  <c r="AG45" i="5"/>
  <c r="AI45" i="5" l="1"/>
  <c r="AJ45" i="5" s="1"/>
  <c r="BC45" i="5" s="1"/>
  <c r="AZ47" i="5"/>
  <c r="U47" i="5"/>
  <c r="K47" i="5"/>
  <c r="Q47" i="5"/>
  <c r="AK47" i="5"/>
  <c r="V47" i="5"/>
  <c r="AF47" i="5"/>
  <c r="T47" i="5"/>
  <c r="AA47" i="5"/>
  <c r="F47" i="5"/>
  <c r="G47" i="5"/>
  <c r="AV48" i="5"/>
  <c r="L48" i="5"/>
  <c r="P48" i="5"/>
  <c r="R48" i="5"/>
  <c r="W46" i="5"/>
  <c r="AB46" i="5"/>
  <c r="AG46" i="5"/>
  <c r="AL46" i="5"/>
  <c r="AH46" i="5"/>
  <c r="X46" i="5"/>
  <c r="AC46" i="5"/>
  <c r="AM46" i="5"/>
  <c r="E55" i="2"/>
  <c r="R47" i="5"/>
  <c r="AV47" i="5"/>
  <c r="L47" i="5"/>
  <c r="P47" i="5"/>
  <c r="M47" i="5"/>
  <c r="N47" i="5"/>
  <c r="S48" i="5"/>
  <c r="E48" i="5"/>
  <c r="J48" i="5" a="1"/>
  <c r="J48" i="5" s="1"/>
  <c r="DV56" i="2"/>
  <c r="K56" i="2"/>
  <c r="L56" i="2"/>
  <c r="AH56" i="2"/>
  <c r="AL56" i="2"/>
  <c r="C56" i="2"/>
  <c r="E56" i="2" s="1"/>
  <c r="B57" i="2"/>
  <c r="AU49" i="5"/>
  <c r="H49" i="5"/>
  <c r="B50" i="5"/>
  <c r="C49" i="5"/>
  <c r="I49" i="5"/>
  <c r="D56" i="2" l="1"/>
  <c r="AL47" i="5"/>
  <c r="AG47" i="5"/>
  <c r="W47" i="5"/>
  <c r="AB47" i="5"/>
  <c r="DW56" i="2"/>
  <c r="BI56" i="2"/>
  <c r="DW55" i="2"/>
  <c r="BI55" i="2"/>
  <c r="AZ48" i="5"/>
  <c r="K48" i="5"/>
  <c r="U48" i="5"/>
  <c r="Q48" i="5"/>
  <c r="AU50" i="5"/>
  <c r="H50" i="5"/>
  <c r="B51" i="5"/>
  <c r="C50" i="5"/>
  <c r="I50" i="5"/>
  <c r="D50" i="5"/>
  <c r="F48" i="5"/>
  <c r="G48" i="5"/>
  <c r="AI46" i="5"/>
  <c r="AJ46" i="5" s="1"/>
  <c r="BC46" i="5" s="1"/>
  <c r="AD46" i="5"/>
  <c r="AE46" i="5" s="1"/>
  <c r="BB46" i="5" s="1"/>
  <c r="S49" i="5"/>
  <c r="E49" i="5"/>
  <c r="J49" i="5" a="1"/>
  <c r="J49" i="5" s="1"/>
  <c r="DV57" i="2"/>
  <c r="K57" i="2"/>
  <c r="B58" i="2"/>
  <c r="L57" i="2"/>
  <c r="C57" i="2"/>
  <c r="E57" i="2" s="1"/>
  <c r="D57" i="2"/>
  <c r="AH57" i="2"/>
  <c r="AL57" i="2"/>
  <c r="Y46" i="5"/>
  <c r="Z46" i="5" s="1"/>
  <c r="BA46" i="5" s="1"/>
  <c r="AF48" i="5"/>
  <c r="AK48" i="5"/>
  <c r="T48" i="5"/>
  <c r="V48" i="5"/>
  <c r="AA48" i="5"/>
  <c r="AH47" i="5"/>
  <c r="AC47" i="5"/>
  <c r="AM47" i="5"/>
  <c r="X47" i="5"/>
  <c r="AN46" i="5"/>
  <c r="AO46" i="5" s="1"/>
  <c r="BD46" i="5" s="1"/>
  <c r="D49" i="5"/>
  <c r="N48" i="5"/>
  <c r="M48" i="5"/>
  <c r="AC48" i="5" l="1"/>
  <c r="AM48" i="5"/>
  <c r="X48" i="5"/>
  <c r="AH48" i="5"/>
  <c r="DW57" i="2"/>
  <c r="BI57" i="2"/>
  <c r="AF49" i="5"/>
  <c r="T49" i="5"/>
  <c r="AK49" i="5"/>
  <c r="V49" i="5"/>
  <c r="AA49" i="5"/>
  <c r="AB48" i="5"/>
  <c r="AD48" i="5" s="1"/>
  <c r="AE48" i="5" s="1"/>
  <c r="BB48" i="5" s="1"/>
  <c r="AG48" i="5"/>
  <c r="AI48" i="5" s="1"/>
  <c r="AJ48" i="5" s="1"/>
  <c r="BC48" i="5" s="1"/>
  <c r="AL48" i="5"/>
  <c r="AN48" i="5" s="1"/>
  <c r="AO48" i="5" s="1"/>
  <c r="BD48" i="5" s="1"/>
  <c r="W48" i="5"/>
  <c r="S50" i="5"/>
  <c r="E50" i="5"/>
  <c r="J50" i="5" a="1"/>
  <c r="J50" i="5" s="1"/>
  <c r="R50" i="5" s="1"/>
  <c r="AD47" i="5"/>
  <c r="AE47" i="5" s="1"/>
  <c r="BB47" i="5" s="1"/>
  <c r="AV50" i="5"/>
  <c r="P50" i="5"/>
  <c r="M50" i="5"/>
  <c r="N50" i="5"/>
  <c r="DV58" i="2"/>
  <c r="AH58" i="2"/>
  <c r="C58" i="2"/>
  <c r="D58" i="2" s="1"/>
  <c r="K58" i="2"/>
  <c r="B59" i="2"/>
  <c r="L58" i="2"/>
  <c r="AL58" i="2"/>
  <c r="AU51" i="5"/>
  <c r="C51" i="5"/>
  <c r="B52" i="5"/>
  <c r="H51" i="5"/>
  <c r="I51" i="5"/>
  <c r="D51" i="5"/>
  <c r="Y47" i="5"/>
  <c r="Z47" i="5" s="1"/>
  <c r="BA47" i="5" s="1"/>
  <c r="AI47" i="5"/>
  <c r="AJ47" i="5" s="1"/>
  <c r="BC47" i="5" s="1"/>
  <c r="AZ49" i="5"/>
  <c r="U49" i="5"/>
  <c r="K49" i="5"/>
  <c r="Q49" i="5"/>
  <c r="AN47" i="5"/>
  <c r="AO47" i="5" s="1"/>
  <c r="BD47" i="5" s="1"/>
  <c r="AV49" i="5"/>
  <c r="P49" i="5"/>
  <c r="R49" i="5"/>
  <c r="L49" i="5"/>
  <c r="M49" i="5"/>
  <c r="N49" i="5"/>
  <c r="G49" i="5"/>
  <c r="F49" i="5"/>
  <c r="L50" i="5" l="1"/>
  <c r="E58" i="2"/>
  <c r="DW58" i="2" s="1"/>
  <c r="AM49" i="5"/>
  <c r="X49" i="5"/>
  <c r="AC49" i="5"/>
  <c r="AH49" i="5"/>
  <c r="AV51" i="5"/>
  <c r="P51" i="5"/>
  <c r="W49" i="5"/>
  <c r="Y49" i="5" s="1"/>
  <c r="Z49" i="5" s="1"/>
  <c r="BA49" i="5" s="1"/>
  <c r="AL49" i="5"/>
  <c r="AN49" i="5" s="1"/>
  <c r="AO49" i="5" s="1"/>
  <c r="BD49" i="5" s="1"/>
  <c r="AB49" i="5"/>
  <c r="AG49" i="5"/>
  <c r="AZ50" i="5"/>
  <c r="K50" i="5"/>
  <c r="U50" i="5"/>
  <c r="Q50" i="5"/>
  <c r="AU52" i="5"/>
  <c r="I52" i="5"/>
  <c r="B53" i="5"/>
  <c r="C52" i="5"/>
  <c r="H52" i="5"/>
  <c r="G50" i="5"/>
  <c r="F50" i="5"/>
  <c r="DV59" i="2"/>
  <c r="AH59" i="2"/>
  <c r="C59" i="2"/>
  <c r="E59" i="2" s="1"/>
  <c r="D59" i="2"/>
  <c r="AL59" i="2"/>
  <c r="B60" i="2"/>
  <c r="K59" i="2"/>
  <c r="L59" i="2"/>
  <c r="AA50" i="5"/>
  <c r="AK50" i="5"/>
  <c r="T50" i="5"/>
  <c r="V50" i="5"/>
  <c r="AF50" i="5"/>
  <c r="S51" i="5"/>
  <c r="E51" i="5"/>
  <c r="J51" i="5" a="1"/>
  <c r="J51" i="5" s="1"/>
  <c r="Y48" i="5"/>
  <c r="Z48" i="5" s="1"/>
  <c r="BA48" i="5" s="1"/>
  <c r="BI58" i="2" l="1"/>
  <c r="AZ51" i="5"/>
  <c r="U51" i="5"/>
  <c r="K51" i="5"/>
  <c r="Q51" i="5"/>
  <c r="AK51" i="5"/>
  <c r="T51" i="5"/>
  <c r="V51" i="5"/>
  <c r="AA51" i="5"/>
  <c r="AF51" i="5"/>
  <c r="DW59" i="2"/>
  <c r="BI59" i="2"/>
  <c r="S52" i="5"/>
  <c r="E52" i="5"/>
  <c r="J52" i="5" a="1"/>
  <c r="J52" i="5" s="1"/>
  <c r="M51" i="5"/>
  <c r="W50" i="5"/>
  <c r="AL50" i="5"/>
  <c r="AB50" i="5"/>
  <c r="AG50" i="5"/>
  <c r="L51" i="5"/>
  <c r="N51" i="5"/>
  <c r="R51" i="5"/>
  <c r="AM50" i="5"/>
  <c r="X50" i="5"/>
  <c r="AC50" i="5"/>
  <c r="AH50" i="5"/>
  <c r="D52" i="5"/>
  <c r="AI49" i="5"/>
  <c r="AJ49" i="5" s="1"/>
  <c r="BC49" i="5" s="1"/>
  <c r="G51" i="5"/>
  <c r="F51" i="5"/>
  <c r="AU53" i="5"/>
  <c r="C53" i="5"/>
  <c r="D53" i="5" s="1"/>
  <c r="H53" i="5"/>
  <c r="I53" i="5"/>
  <c r="B54" i="5"/>
  <c r="DV60" i="2"/>
  <c r="L60" i="2"/>
  <c r="C60" i="2"/>
  <c r="E60" i="2" s="1"/>
  <c r="D60" i="2"/>
  <c r="AH60" i="2"/>
  <c r="B61" i="2"/>
  <c r="K60" i="2"/>
  <c r="AL60" i="2"/>
  <c r="AD49" i="5"/>
  <c r="AE49" i="5" s="1"/>
  <c r="BB49" i="5" s="1"/>
  <c r="F52" i="5" l="1"/>
  <c r="G52" i="5"/>
  <c r="AZ52" i="5"/>
  <c r="U52" i="5"/>
  <c r="K52" i="5"/>
  <c r="Q52" i="5"/>
  <c r="AU54" i="5"/>
  <c r="H54" i="5"/>
  <c r="C54" i="5"/>
  <c r="I54" i="5"/>
  <c r="B55" i="5"/>
  <c r="D54" i="5"/>
  <c r="DW60" i="2"/>
  <c r="BI60" i="2"/>
  <c r="AV52" i="5"/>
  <c r="L52" i="5"/>
  <c r="P52" i="5"/>
  <c r="R52" i="5"/>
  <c r="N52" i="5"/>
  <c r="M52" i="5"/>
  <c r="DV61" i="2"/>
  <c r="L61" i="2"/>
  <c r="C61" i="2"/>
  <c r="D61" i="2" s="1"/>
  <c r="AH61" i="2"/>
  <c r="AL61" i="2"/>
  <c r="B62" i="2"/>
  <c r="K61" i="2"/>
  <c r="AV53" i="5"/>
  <c r="P53" i="5"/>
  <c r="AG51" i="5"/>
  <c r="W51" i="5"/>
  <c r="AB51" i="5"/>
  <c r="AL51" i="5"/>
  <c r="AK52" i="5"/>
  <c r="T52" i="5"/>
  <c r="V52" i="5"/>
  <c r="AA52" i="5"/>
  <c r="AF52" i="5"/>
  <c r="AD50" i="5"/>
  <c r="AE50" i="5" s="1"/>
  <c r="BB50" i="5" s="1"/>
  <c r="S53" i="5"/>
  <c r="E53" i="5"/>
  <c r="J53" i="5" a="1"/>
  <c r="J53" i="5" s="1"/>
  <c r="L53" i="5" s="1"/>
  <c r="AH51" i="5"/>
  <c r="X51" i="5"/>
  <c r="AC51" i="5"/>
  <c r="AM51" i="5"/>
  <c r="AI50" i="5"/>
  <c r="AJ50" i="5" s="1"/>
  <c r="BC50" i="5" s="1"/>
  <c r="AN50" i="5"/>
  <c r="AO50" i="5" s="1"/>
  <c r="BD50" i="5" s="1"/>
  <c r="Y50" i="5"/>
  <c r="Z50" i="5" s="1"/>
  <c r="BA50" i="5" s="1"/>
  <c r="N53" i="5" l="1"/>
  <c r="R53" i="5"/>
  <c r="AD51" i="5"/>
  <c r="AE51" i="5" s="1"/>
  <c r="BB51" i="5" s="1"/>
  <c r="AU55" i="5"/>
  <c r="C55" i="5"/>
  <c r="H55" i="5"/>
  <c r="I55" i="5"/>
  <c r="B56" i="5"/>
  <c r="D55" i="5"/>
  <c r="E54" i="5"/>
  <c r="S54" i="5"/>
  <c r="J54" i="5" a="1"/>
  <c r="J54" i="5" s="1"/>
  <c r="M54" i="5" s="1"/>
  <c r="F53" i="5"/>
  <c r="G53" i="5"/>
  <c r="AN51" i="5"/>
  <c r="AO51" i="5" s="1"/>
  <c r="BD51" i="5" s="1"/>
  <c r="AF53" i="5"/>
  <c r="V53" i="5"/>
  <c r="AA53" i="5"/>
  <c r="AK53" i="5"/>
  <c r="T53" i="5"/>
  <c r="AV54" i="5"/>
  <c r="P54" i="5"/>
  <c r="AB52" i="5"/>
  <c r="W52" i="5"/>
  <c r="AG52" i="5"/>
  <c r="AL52" i="5"/>
  <c r="X52" i="5"/>
  <c r="AC52" i="5"/>
  <c r="AH52" i="5"/>
  <c r="AM52" i="5"/>
  <c r="E61" i="2"/>
  <c r="DV62" i="2"/>
  <c r="C62" i="2"/>
  <c r="E62" i="2" s="1"/>
  <c r="AL62" i="2"/>
  <c r="AH62" i="2"/>
  <c r="K62" i="2"/>
  <c r="L62" i="2"/>
  <c r="B63" i="2"/>
  <c r="D62" i="2"/>
  <c r="Y51" i="5"/>
  <c r="Z51" i="5" s="1"/>
  <c r="BA51" i="5" s="1"/>
  <c r="AI51" i="5"/>
  <c r="AJ51" i="5" s="1"/>
  <c r="BC51" i="5" s="1"/>
  <c r="AZ53" i="5"/>
  <c r="U53" i="5"/>
  <c r="K53" i="5"/>
  <c r="Q53" i="5"/>
  <c r="M53" i="5"/>
  <c r="AD52" i="5" l="1"/>
  <c r="AE52" i="5" s="1"/>
  <c r="BB52" i="5" s="1"/>
  <c r="DW62" i="2"/>
  <c r="BI62" i="2"/>
  <c r="X53" i="5"/>
  <c r="AC53" i="5"/>
  <c r="AH53" i="5"/>
  <c r="AM53" i="5"/>
  <c r="V54" i="5"/>
  <c r="T54" i="5"/>
  <c r="AA54" i="5"/>
  <c r="AF54" i="5"/>
  <c r="AK54" i="5"/>
  <c r="AZ54" i="5"/>
  <c r="U54" i="5"/>
  <c r="K54" i="5"/>
  <c r="Q54" i="5"/>
  <c r="DV63" i="2"/>
  <c r="AL63" i="2"/>
  <c r="K63" i="2"/>
  <c r="AH63" i="2"/>
  <c r="L63" i="2"/>
  <c r="B64" i="2"/>
  <c r="C63" i="2"/>
  <c r="E63" i="2" s="1"/>
  <c r="DW61" i="2"/>
  <c r="BI61" i="2"/>
  <c r="N54" i="5"/>
  <c r="L54" i="5"/>
  <c r="E55" i="5"/>
  <c r="S55" i="5"/>
  <c r="J55" i="5" a="1"/>
  <c r="J55" i="5" s="1"/>
  <c r="M55" i="5" s="1"/>
  <c r="R54" i="5"/>
  <c r="AB53" i="5"/>
  <c r="AG53" i="5"/>
  <c r="AL53" i="5"/>
  <c r="W53" i="5"/>
  <c r="AI52" i="5"/>
  <c r="AJ52" i="5" s="1"/>
  <c r="BC52" i="5" s="1"/>
  <c r="G54" i="5"/>
  <c r="F54" i="5"/>
  <c r="AV55" i="5"/>
  <c r="P55" i="5"/>
  <c r="AU56" i="5"/>
  <c r="C56" i="5"/>
  <c r="H56" i="5"/>
  <c r="I56" i="5"/>
  <c r="B57" i="5"/>
  <c r="AN52" i="5"/>
  <c r="AO52" i="5" s="1"/>
  <c r="BD52" i="5" s="1"/>
  <c r="Y52" i="5"/>
  <c r="Z52" i="5" s="1"/>
  <c r="BA52" i="5" s="1"/>
  <c r="Y53" i="5" l="1"/>
  <c r="Z53" i="5" s="1"/>
  <c r="BA53" i="5" s="1"/>
  <c r="D63" i="2"/>
  <c r="AD53" i="5"/>
  <c r="AE53" i="5" s="1"/>
  <c r="BB53" i="5" s="1"/>
  <c r="DW63" i="2"/>
  <c r="BI63" i="2"/>
  <c r="AF55" i="5"/>
  <c r="T55" i="5"/>
  <c r="V55" i="5"/>
  <c r="AA55" i="5"/>
  <c r="AK55" i="5"/>
  <c r="E56" i="5"/>
  <c r="S56" i="5"/>
  <c r="J56" i="5" a="1"/>
  <c r="J56" i="5" s="1"/>
  <c r="DV64" i="2"/>
  <c r="K64" i="2"/>
  <c r="L64" i="2"/>
  <c r="AH64" i="2"/>
  <c r="C64" i="2"/>
  <c r="D64" i="2"/>
  <c r="AL64" i="2"/>
  <c r="B65" i="2"/>
  <c r="E64" i="2"/>
  <c r="AL54" i="5"/>
  <c r="W54" i="5"/>
  <c r="AB54" i="5"/>
  <c r="AG54" i="5"/>
  <c r="AZ55" i="5"/>
  <c r="K55" i="5"/>
  <c r="U55" i="5"/>
  <c r="Q55" i="5"/>
  <c r="R55" i="5"/>
  <c r="AM54" i="5"/>
  <c r="X54" i="5"/>
  <c r="AC54" i="5"/>
  <c r="AH54" i="5"/>
  <c r="G55" i="5"/>
  <c r="F55" i="5"/>
  <c r="D56" i="5"/>
  <c r="N55" i="5"/>
  <c r="L55" i="5"/>
  <c r="AN53" i="5"/>
  <c r="AO53" i="5" s="1"/>
  <c r="BD53" i="5" s="1"/>
  <c r="AU57" i="5"/>
  <c r="H57" i="5"/>
  <c r="I57" i="5"/>
  <c r="C57" i="5"/>
  <c r="B58" i="5"/>
  <c r="D57" i="5"/>
  <c r="AI53" i="5"/>
  <c r="AJ53" i="5" s="1"/>
  <c r="BC53" i="5" s="1"/>
  <c r="Y54" i="5" l="1"/>
  <c r="Z54" i="5" s="1"/>
  <c r="BA54" i="5" s="1"/>
  <c r="AN54" i="5"/>
  <c r="AO54" i="5" s="1"/>
  <c r="BD54" i="5" s="1"/>
  <c r="S57" i="5"/>
  <c r="E57" i="5"/>
  <c r="J57" i="5" a="1"/>
  <c r="J57" i="5" s="1"/>
  <c r="AC55" i="5"/>
  <c r="X55" i="5"/>
  <c r="AH55" i="5"/>
  <c r="AM55" i="5"/>
  <c r="AG55" i="5"/>
  <c r="AI55" i="5" s="1"/>
  <c r="AJ55" i="5" s="1"/>
  <c r="BC55" i="5" s="1"/>
  <c r="AL55" i="5"/>
  <c r="AN55" i="5" s="1"/>
  <c r="AO55" i="5" s="1"/>
  <c r="BD55" i="5" s="1"/>
  <c r="W55" i="5"/>
  <c r="Y55" i="5" s="1"/>
  <c r="Z55" i="5" s="1"/>
  <c r="BA55" i="5" s="1"/>
  <c r="AB55" i="5"/>
  <c r="AD55" i="5" s="1"/>
  <c r="AE55" i="5" s="1"/>
  <c r="BB55" i="5" s="1"/>
  <c r="AZ56" i="5"/>
  <c r="U56" i="5"/>
  <c r="K56" i="5"/>
  <c r="Q56" i="5"/>
  <c r="T56" i="5"/>
  <c r="AK56" i="5"/>
  <c r="AA56" i="5"/>
  <c r="V56" i="5"/>
  <c r="AF56" i="5"/>
  <c r="DW64" i="2"/>
  <c r="BI64" i="2"/>
  <c r="AV57" i="5"/>
  <c r="L57" i="5"/>
  <c r="R57" i="5"/>
  <c r="P57" i="5"/>
  <c r="AU58" i="5"/>
  <c r="C58" i="5"/>
  <c r="D58" i="5" s="1"/>
  <c r="H58" i="5"/>
  <c r="I58" i="5"/>
  <c r="B59" i="5"/>
  <c r="F56" i="5"/>
  <c r="G56" i="5"/>
  <c r="DV65" i="2"/>
  <c r="K65" i="2"/>
  <c r="L65" i="2"/>
  <c r="AH65" i="2"/>
  <c r="C65" i="2"/>
  <c r="D65" i="2"/>
  <c r="AL65" i="2"/>
  <c r="E65" i="2"/>
  <c r="B66" i="2"/>
  <c r="AI54" i="5"/>
  <c r="AJ54" i="5" s="1"/>
  <c r="BC54" i="5" s="1"/>
  <c r="AV56" i="5"/>
  <c r="L56" i="5"/>
  <c r="R56" i="5"/>
  <c r="P56" i="5"/>
  <c r="N56" i="5"/>
  <c r="M56" i="5"/>
  <c r="AD54" i="5"/>
  <c r="AE54" i="5" s="1"/>
  <c r="BB54" i="5" s="1"/>
  <c r="X56" i="5" l="1"/>
  <c r="AC56" i="5"/>
  <c r="AH56" i="5"/>
  <c r="AM56" i="5"/>
  <c r="DV66" i="2"/>
  <c r="AL66" i="2"/>
  <c r="K66" i="2"/>
  <c r="B67" i="2"/>
  <c r="L66" i="2"/>
  <c r="AH66" i="2"/>
  <c r="C66" i="2"/>
  <c r="E66" i="2" s="1"/>
  <c r="AV58" i="5"/>
  <c r="P58" i="5"/>
  <c r="DW65" i="2"/>
  <c r="BI65" i="2"/>
  <c r="AU59" i="5"/>
  <c r="B60" i="5"/>
  <c r="C59" i="5"/>
  <c r="H59" i="5"/>
  <c r="I59" i="5"/>
  <c r="D59" i="5"/>
  <c r="S58" i="5"/>
  <c r="E58" i="5"/>
  <c r="J58" i="5" a="1"/>
  <c r="J58" i="5" s="1"/>
  <c r="L58" i="5" s="1"/>
  <c r="AB56" i="5"/>
  <c r="AG56" i="5"/>
  <c r="AI56" i="5" s="1"/>
  <c r="AJ56" i="5" s="1"/>
  <c r="BC56" i="5" s="1"/>
  <c r="AL56" i="5"/>
  <c r="AN56" i="5" s="1"/>
  <c r="AO56" i="5" s="1"/>
  <c r="BD56" i="5" s="1"/>
  <c r="W56" i="5"/>
  <c r="Y56" i="5" s="1"/>
  <c r="Z56" i="5" s="1"/>
  <c r="BA56" i="5" s="1"/>
  <c r="AZ57" i="5"/>
  <c r="K57" i="5"/>
  <c r="U57" i="5"/>
  <c r="Q57" i="5"/>
  <c r="N57" i="5"/>
  <c r="G57" i="5"/>
  <c r="F57" i="5"/>
  <c r="M57" i="5"/>
  <c r="AA57" i="5"/>
  <c r="AF57" i="5"/>
  <c r="T57" i="5"/>
  <c r="V57" i="5"/>
  <c r="AK57" i="5"/>
  <c r="D66" i="2" l="1"/>
  <c r="N58" i="5"/>
  <c r="M58" i="5"/>
  <c r="R58" i="5"/>
  <c r="AB57" i="5"/>
  <c r="W57" i="5"/>
  <c r="AG57" i="5"/>
  <c r="AL57" i="5"/>
  <c r="T58" i="5"/>
  <c r="AA58" i="5"/>
  <c r="V58" i="5"/>
  <c r="AF58" i="5"/>
  <c r="AK58" i="5"/>
  <c r="AV59" i="5"/>
  <c r="P59" i="5"/>
  <c r="AU60" i="5"/>
  <c r="C60" i="5"/>
  <c r="H60" i="5"/>
  <c r="I60" i="5"/>
  <c r="B61" i="5"/>
  <c r="D60" i="5"/>
  <c r="AZ58" i="5"/>
  <c r="K58" i="5"/>
  <c r="U58" i="5"/>
  <c r="Q58" i="5"/>
  <c r="E59" i="5"/>
  <c r="S59" i="5"/>
  <c r="J59" i="5" a="1"/>
  <c r="J59" i="5" s="1"/>
  <c r="L59" i="5" s="1"/>
  <c r="F58" i="5"/>
  <c r="G58" i="5"/>
  <c r="X57" i="5"/>
  <c r="AC57" i="5"/>
  <c r="AH57" i="5"/>
  <c r="AM57" i="5"/>
  <c r="DW66" i="2"/>
  <c r="BI66" i="2"/>
  <c r="DV67" i="2"/>
  <c r="L67" i="2"/>
  <c r="AH67" i="2"/>
  <c r="C67" i="2"/>
  <c r="D67" i="2"/>
  <c r="E67" i="2"/>
  <c r="AL67" i="2"/>
  <c r="K67" i="2"/>
  <c r="B68" i="2"/>
  <c r="AD56" i="5"/>
  <c r="AE56" i="5" s="1"/>
  <c r="BB56" i="5" s="1"/>
  <c r="R59" i="5" l="1"/>
  <c r="DV68" i="2"/>
  <c r="C68" i="2"/>
  <c r="D68" i="2" s="1"/>
  <c r="AL68" i="2"/>
  <c r="K68" i="2"/>
  <c r="B69" i="2"/>
  <c r="L68" i="2"/>
  <c r="AH68" i="2"/>
  <c r="AL58" i="5"/>
  <c r="W58" i="5"/>
  <c r="AB58" i="5"/>
  <c r="AG58" i="5"/>
  <c r="AN57" i="5"/>
  <c r="AO57" i="5" s="1"/>
  <c r="BD57" i="5" s="1"/>
  <c r="AI57" i="5"/>
  <c r="AJ57" i="5" s="1"/>
  <c r="BC57" i="5" s="1"/>
  <c r="DW67" i="2"/>
  <c r="BI67" i="2"/>
  <c r="Y57" i="5"/>
  <c r="Z57" i="5" s="1"/>
  <c r="BA57" i="5" s="1"/>
  <c r="AZ59" i="5"/>
  <c r="K59" i="5"/>
  <c r="U59" i="5"/>
  <c r="Q59" i="5"/>
  <c r="AD57" i="5"/>
  <c r="AE57" i="5" s="1"/>
  <c r="BB57" i="5" s="1"/>
  <c r="AU61" i="5"/>
  <c r="I61" i="5"/>
  <c r="B62" i="5"/>
  <c r="H61" i="5"/>
  <c r="C61" i="5"/>
  <c r="D61" i="5"/>
  <c r="S60" i="5"/>
  <c r="E60" i="5"/>
  <c r="J60" i="5" a="1"/>
  <c r="J60" i="5" s="1"/>
  <c r="L60" i="5" s="1"/>
  <c r="AV60" i="5"/>
  <c r="P60" i="5"/>
  <c r="T59" i="5"/>
  <c r="V59" i="5"/>
  <c r="AF59" i="5"/>
  <c r="AK59" i="5"/>
  <c r="AA59" i="5"/>
  <c r="F59" i="5"/>
  <c r="G59" i="5"/>
  <c r="N59" i="5"/>
  <c r="M59" i="5"/>
  <c r="AH58" i="5"/>
  <c r="AM58" i="5"/>
  <c r="X58" i="5"/>
  <c r="AC58" i="5"/>
  <c r="AD58" i="5" l="1"/>
  <c r="AE58" i="5" s="1"/>
  <c r="BB58" i="5" s="1"/>
  <c r="AI58" i="5"/>
  <c r="AJ58" i="5" s="1"/>
  <c r="BC58" i="5" s="1"/>
  <c r="M60" i="5"/>
  <c r="N60" i="5"/>
  <c r="R60" i="5"/>
  <c r="E68" i="2"/>
  <c r="DW68" i="2" s="1"/>
  <c r="AV61" i="5"/>
  <c r="P61" i="5"/>
  <c r="S61" i="5"/>
  <c r="E61" i="5"/>
  <c r="J61" i="5" a="1"/>
  <c r="J61" i="5" s="1"/>
  <c r="N61" i="5" s="1"/>
  <c r="AU62" i="5"/>
  <c r="B63" i="5"/>
  <c r="C62" i="5"/>
  <c r="D62" i="5" s="1"/>
  <c r="H62" i="5"/>
  <c r="I62" i="5"/>
  <c r="AG59" i="5"/>
  <c r="AL59" i="5"/>
  <c r="W59" i="5"/>
  <c r="AB59" i="5"/>
  <c r="Y58" i="5"/>
  <c r="Z58" i="5" s="1"/>
  <c r="BA58" i="5" s="1"/>
  <c r="T60" i="5"/>
  <c r="V60" i="5"/>
  <c r="AA60" i="5"/>
  <c r="AF60" i="5"/>
  <c r="AK60" i="5"/>
  <c r="AN58" i="5"/>
  <c r="AO58" i="5" s="1"/>
  <c r="BD58" i="5" s="1"/>
  <c r="AH59" i="5"/>
  <c r="AM59" i="5"/>
  <c r="X59" i="5"/>
  <c r="AC59" i="5"/>
  <c r="DV69" i="2"/>
  <c r="K69" i="2"/>
  <c r="B70" i="2"/>
  <c r="L69" i="2"/>
  <c r="AH69" i="2"/>
  <c r="C69" i="2"/>
  <c r="E69" i="2" s="1"/>
  <c r="D69" i="2"/>
  <c r="AL69" i="2"/>
  <c r="AZ60" i="5"/>
  <c r="U60" i="5"/>
  <c r="K60" i="5"/>
  <c r="Q60" i="5"/>
  <c r="F60" i="5"/>
  <c r="G60" i="5"/>
  <c r="BI68" i="2" l="1"/>
  <c r="AN59" i="5"/>
  <c r="AO59" i="5" s="1"/>
  <c r="BD59" i="5" s="1"/>
  <c r="AD59" i="5"/>
  <c r="AE59" i="5" s="1"/>
  <c r="BB59" i="5" s="1"/>
  <c r="AV62" i="5"/>
  <c r="P62" i="5"/>
  <c r="DW69" i="2"/>
  <c r="BI69" i="2"/>
  <c r="AM60" i="5"/>
  <c r="X60" i="5"/>
  <c r="AC60" i="5"/>
  <c r="AH60" i="5"/>
  <c r="DV70" i="2"/>
  <c r="AH70" i="2"/>
  <c r="C70" i="2"/>
  <c r="D70" i="2"/>
  <c r="E70" i="2"/>
  <c r="AL70" i="2"/>
  <c r="K70" i="2"/>
  <c r="B71" i="2"/>
  <c r="L70" i="2"/>
  <c r="G61" i="5"/>
  <c r="F61" i="5"/>
  <c r="V61" i="5"/>
  <c r="AA61" i="5"/>
  <c r="AF61" i="5"/>
  <c r="AK61" i="5"/>
  <c r="T61" i="5"/>
  <c r="Y59" i="5"/>
  <c r="Z59" i="5" s="1"/>
  <c r="BA59" i="5" s="1"/>
  <c r="M61" i="5"/>
  <c r="AU63" i="5"/>
  <c r="H63" i="5"/>
  <c r="I63" i="5"/>
  <c r="B64" i="5"/>
  <c r="C63" i="5"/>
  <c r="D63" i="5" s="1"/>
  <c r="AZ61" i="5"/>
  <c r="K61" i="5"/>
  <c r="U61" i="5"/>
  <c r="Q61" i="5"/>
  <c r="AI59" i="5"/>
  <c r="AJ59" i="5" s="1"/>
  <c r="BC59" i="5" s="1"/>
  <c r="R61" i="5"/>
  <c r="L61" i="5"/>
  <c r="E62" i="5"/>
  <c r="S62" i="5"/>
  <c r="J62" i="5" a="1"/>
  <c r="J62" i="5" s="1"/>
  <c r="L62" i="5" s="1"/>
  <c r="AB60" i="5"/>
  <c r="AG60" i="5"/>
  <c r="W60" i="5"/>
  <c r="AL60" i="5"/>
  <c r="DV71" i="2" l="1"/>
  <c r="K71" i="2"/>
  <c r="B72" i="2"/>
  <c r="L71" i="2"/>
  <c r="AH71" i="2"/>
  <c r="C71" i="2"/>
  <c r="D71" i="2"/>
  <c r="E71" i="2"/>
  <c r="AL71" i="2"/>
  <c r="AL61" i="5"/>
  <c r="W61" i="5"/>
  <c r="Y61" i="5" s="1"/>
  <c r="AB61" i="5"/>
  <c r="AD61" i="5" s="1"/>
  <c r="AE61" i="5" s="1"/>
  <c r="BB61" i="5" s="1"/>
  <c r="AG61" i="5"/>
  <c r="AI61" i="5" s="1"/>
  <c r="AJ61" i="5" s="1"/>
  <c r="BC61" i="5" s="1"/>
  <c r="AV63" i="5"/>
  <c r="P63" i="5"/>
  <c r="Z61" i="5"/>
  <c r="BA61" i="5" s="1"/>
  <c r="DW70" i="2"/>
  <c r="BI70" i="2"/>
  <c r="M62" i="5"/>
  <c r="X61" i="5"/>
  <c r="AM61" i="5"/>
  <c r="AC61" i="5"/>
  <c r="AH61" i="5"/>
  <c r="Y60" i="5"/>
  <c r="Z60" i="5" s="1"/>
  <c r="BA60" i="5" s="1"/>
  <c r="E63" i="5"/>
  <c r="S63" i="5"/>
  <c r="J63" i="5" a="1"/>
  <c r="J63" i="5" s="1"/>
  <c r="N62" i="5"/>
  <c r="AI60" i="5"/>
  <c r="AJ60" i="5" s="1"/>
  <c r="BC60" i="5" s="1"/>
  <c r="AU64" i="5"/>
  <c r="I64" i="5"/>
  <c r="B65" i="5"/>
  <c r="C64" i="5"/>
  <c r="D64" i="5" s="1"/>
  <c r="H64" i="5"/>
  <c r="AN60" i="5"/>
  <c r="AO60" i="5" s="1"/>
  <c r="BD60" i="5" s="1"/>
  <c r="AD60" i="5"/>
  <c r="AE60" i="5" s="1"/>
  <c r="BB60" i="5" s="1"/>
  <c r="AZ62" i="5"/>
  <c r="U62" i="5"/>
  <c r="K62" i="5"/>
  <c r="Q62" i="5"/>
  <c r="R62" i="5"/>
  <c r="G62" i="5"/>
  <c r="F62" i="5"/>
  <c r="AK62" i="5"/>
  <c r="T62" i="5"/>
  <c r="V62" i="5"/>
  <c r="AA62" i="5"/>
  <c r="AF62" i="5"/>
  <c r="T63" i="5" l="1"/>
  <c r="V63" i="5"/>
  <c r="AF63" i="5"/>
  <c r="AK63" i="5"/>
  <c r="AA63" i="5"/>
  <c r="AC62" i="5"/>
  <c r="AH62" i="5"/>
  <c r="AM62" i="5"/>
  <c r="X62" i="5"/>
  <c r="AZ63" i="5"/>
  <c r="K63" i="5"/>
  <c r="U63" i="5"/>
  <c r="Q63" i="5"/>
  <c r="DV72" i="2"/>
  <c r="AH72" i="2"/>
  <c r="AL72" i="2"/>
  <c r="L72" i="2"/>
  <c r="C72" i="2"/>
  <c r="D72" i="2" s="1"/>
  <c r="K72" i="2"/>
  <c r="B73" i="2"/>
  <c r="M63" i="5"/>
  <c r="R63" i="5"/>
  <c r="L63" i="5"/>
  <c r="N63" i="5"/>
  <c r="AV64" i="5"/>
  <c r="P64" i="5"/>
  <c r="AN61" i="5"/>
  <c r="AO61" i="5" s="1"/>
  <c r="BD61" i="5" s="1"/>
  <c r="DW71" i="2"/>
  <c r="BI71" i="2"/>
  <c r="F63" i="5"/>
  <c r="G63" i="5"/>
  <c r="W62" i="5"/>
  <c r="AB62" i="5"/>
  <c r="AG62" i="5"/>
  <c r="AL62" i="5"/>
  <c r="S64" i="5"/>
  <c r="E64" i="5"/>
  <c r="J64" i="5" a="1"/>
  <c r="J64" i="5" s="1"/>
  <c r="AU65" i="5"/>
  <c r="C65" i="5"/>
  <c r="H65" i="5"/>
  <c r="B66" i="5"/>
  <c r="I65" i="5"/>
  <c r="AI62" i="5" l="1"/>
  <c r="AJ62" i="5" s="1"/>
  <c r="BC62" i="5" s="1"/>
  <c r="AD62" i="5"/>
  <c r="AE62" i="5" s="1"/>
  <c r="BB62" i="5" s="1"/>
  <c r="AN62" i="5"/>
  <c r="AO62" i="5" s="1"/>
  <c r="BD62" i="5" s="1"/>
  <c r="AZ64" i="5"/>
  <c r="K64" i="5"/>
  <c r="U64" i="5"/>
  <c r="Q64" i="5"/>
  <c r="N64" i="5"/>
  <c r="E65" i="5"/>
  <c r="S65" i="5"/>
  <c r="J65" i="5" a="1"/>
  <c r="J65" i="5" s="1"/>
  <c r="AA64" i="5"/>
  <c r="AF64" i="5"/>
  <c r="AK64" i="5"/>
  <c r="T64" i="5"/>
  <c r="V64" i="5"/>
  <c r="Y62" i="5"/>
  <c r="Z62" i="5" s="1"/>
  <c r="BA62" i="5" s="1"/>
  <c r="F64" i="5"/>
  <c r="G64" i="5"/>
  <c r="M64" i="5"/>
  <c r="R64" i="5"/>
  <c r="D65" i="5"/>
  <c r="DV73" i="2"/>
  <c r="K73" i="2"/>
  <c r="B74" i="2"/>
  <c r="C73" i="2"/>
  <c r="D73" i="2"/>
  <c r="L73" i="2"/>
  <c r="AH73" i="2"/>
  <c r="AL73" i="2"/>
  <c r="AH63" i="5"/>
  <c r="AM63" i="5"/>
  <c r="X63" i="5"/>
  <c r="AC63" i="5"/>
  <c r="L64" i="5"/>
  <c r="E72" i="2"/>
  <c r="AG63" i="5"/>
  <c r="AL63" i="5"/>
  <c r="AB63" i="5"/>
  <c r="W63" i="5"/>
  <c r="AU66" i="5"/>
  <c r="I66" i="5"/>
  <c r="B67" i="5"/>
  <c r="C66" i="5"/>
  <c r="H66" i="5"/>
  <c r="D66" i="5"/>
  <c r="AV66" i="5" l="1"/>
  <c r="P66" i="5"/>
  <c r="T65" i="5"/>
  <c r="AA65" i="5"/>
  <c r="AF65" i="5"/>
  <c r="AK65" i="5"/>
  <c r="V65" i="5"/>
  <c r="F65" i="5"/>
  <c r="G65" i="5"/>
  <c r="AZ65" i="5"/>
  <c r="K65" i="5"/>
  <c r="U65" i="5"/>
  <c r="Q65" i="5"/>
  <c r="E73" i="2"/>
  <c r="AD63" i="5"/>
  <c r="AE63" i="5" s="1"/>
  <c r="BB63" i="5" s="1"/>
  <c r="X64" i="5"/>
  <c r="AC64" i="5"/>
  <c r="AH64" i="5"/>
  <c r="AM64" i="5"/>
  <c r="W64" i="5"/>
  <c r="AB64" i="5"/>
  <c r="AD64" i="5" s="1"/>
  <c r="AE64" i="5" s="1"/>
  <c r="BB64" i="5" s="1"/>
  <c r="AG64" i="5"/>
  <c r="AI64" i="5" s="1"/>
  <c r="AJ64" i="5" s="1"/>
  <c r="BC64" i="5" s="1"/>
  <c r="AL64" i="5"/>
  <c r="AN64" i="5" s="1"/>
  <c r="AO64" i="5" s="1"/>
  <c r="BD64" i="5" s="1"/>
  <c r="Y63" i="5"/>
  <c r="Z63" i="5" s="1"/>
  <c r="BA63" i="5" s="1"/>
  <c r="DV74" i="2"/>
  <c r="AH74" i="2"/>
  <c r="K74" i="2"/>
  <c r="AL74" i="2"/>
  <c r="C74" i="2"/>
  <c r="E74" i="2" s="1"/>
  <c r="L74" i="2"/>
  <c r="B75" i="2"/>
  <c r="S66" i="5"/>
  <c r="E66" i="5"/>
  <c r="J66" i="5" a="1"/>
  <c r="J66" i="5" s="1"/>
  <c r="L66" i="5" s="1"/>
  <c r="AU67" i="5"/>
  <c r="C67" i="5"/>
  <c r="I67" i="5"/>
  <c r="B68" i="5"/>
  <c r="H67" i="5"/>
  <c r="AV65" i="5"/>
  <c r="R65" i="5"/>
  <c r="L65" i="5"/>
  <c r="P65" i="5"/>
  <c r="N65" i="5"/>
  <c r="M65" i="5"/>
  <c r="AN63" i="5"/>
  <c r="AO63" i="5" s="1"/>
  <c r="BD63" i="5" s="1"/>
  <c r="AI63" i="5"/>
  <c r="AJ63" i="5" s="1"/>
  <c r="BC63" i="5" s="1"/>
  <c r="DW72" i="2"/>
  <c r="BI72" i="2"/>
  <c r="Y64" i="5" l="1"/>
  <c r="Z64" i="5" s="1"/>
  <c r="BA64" i="5" s="1"/>
  <c r="DW74" i="2"/>
  <c r="BI74" i="2"/>
  <c r="AU68" i="5"/>
  <c r="H68" i="5"/>
  <c r="I68" i="5"/>
  <c r="B69" i="5"/>
  <c r="C68" i="5"/>
  <c r="D68" i="5"/>
  <c r="S67" i="5"/>
  <c r="E67" i="5"/>
  <c r="J67" i="5" a="1"/>
  <c r="J67" i="5" s="1"/>
  <c r="W65" i="5"/>
  <c r="AB65" i="5"/>
  <c r="AG65" i="5"/>
  <c r="AI65" i="5" s="1"/>
  <c r="AJ65" i="5" s="1"/>
  <c r="BC65" i="5" s="1"/>
  <c r="AL65" i="5"/>
  <c r="M66" i="5"/>
  <c r="N66" i="5"/>
  <c r="R66" i="5"/>
  <c r="G66" i="5"/>
  <c r="F66" i="5"/>
  <c r="DW73" i="2"/>
  <c r="BI73" i="2"/>
  <c r="D74" i="2"/>
  <c r="AZ66" i="5"/>
  <c r="K66" i="5"/>
  <c r="U66" i="5"/>
  <c r="Q66" i="5"/>
  <c r="AH65" i="5"/>
  <c r="AM65" i="5"/>
  <c r="X65" i="5"/>
  <c r="AC65" i="5"/>
  <c r="V66" i="5"/>
  <c r="AA66" i="5"/>
  <c r="AK66" i="5"/>
  <c r="T66" i="5"/>
  <c r="AF66" i="5"/>
  <c r="DV75" i="2"/>
  <c r="AL75" i="2"/>
  <c r="K75" i="2"/>
  <c r="B76" i="2"/>
  <c r="L75" i="2"/>
  <c r="AH75" i="2"/>
  <c r="C75" i="2"/>
  <c r="E75" i="2" s="1"/>
  <c r="D75" i="2"/>
  <c r="D67" i="5"/>
  <c r="AN65" i="5" l="1"/>
  <c r="AO65" i="5" s="1"/>
  <c r="BD65" i="5" s="1"/>
  <c r="AV68" i="5"/>
  <c r="P68" i="5"/>
  <c r="DW75" i="2"/>
  <c r="BI75" i="2"/>
  <c r="E68" i="5"/>
  <c r="S68" i="5"/>
  <c r="J68" i="5" a="1"/>
  <c r="J68" i="5" s="1"/>
  <c r="N68" i="5" s="1"/>
  <c r="AL66" i="5"/>
  <c r="AG66" i="5"/>
  <c r="W66" i="5"/>
  <c r="AB66" i="5"/>
  <c r="AU69" i="5"/>
  <c r="I69" i="5"/>
  <c r="B70" i="5"/>
  <c r="C69" i="5"/>
  <c r="D69" i="5" s="1"/>
  <c r="H69" i="5"/>
  <c r="DV76" i="2"/>
  <c r="AH76" i="2"/>
  <c r="C76" i="2"/>
  <c r="E76" i="2"/>
  <c r="AL76" i="2"/>
  <c r="D76" i="2"/>
  <c r="B77" i="2"/>
  <c r="K76" i="2"/>
  <c r="L76" i="2"/>
  <c r="AD65" i="5"/>
  <c r="AE65" i="5" s="1"/>
  <c r="BB65" i="5" s="1"/>
  <c r="AH66" i="5"/>
  <c r="AM66" i="5"/>
  <c r="X66" i="5"/>
  <c r="AC66" i="5"/>
  <c r="Y65" i="5"/>
  <c r="Z65" i="5" s="1"/>
  <c r="BA65" i="5" s="1"/>
  <c r="AZ67" i="5"/>
  <c r="U67" i="5"/>
  <c r="K67" i="5"/>
  <c r="Q67" i="5"/>
  <c r="AV67" i="5"/>
  <c r="P67" i="5"/>
  <c r="R67" i="5"/>
  <c r="L67" i="5"/>
  <c r="M67" i="5"/>
  <c r="N67" i="5"/>
  <c r="F67" i="5"/>
  <c r="G67" i="5"/>
  <c r="AF67" i="5"/>
  <c r="AK67" i="5"/>
  <c r="T67" i="5"/>
  <c r="V67" i="5"/>
  <c r="AA67" i="5"/>
  <c r="T68" i="5" l="1"/>
  <c r="AA68" i="5"/>
  <c r="AF68" i="5"/>
  <c r="AK68" i="5"/>
  <c r="V68" i="5"/>
  <c r="AC67" i="5"/>
  <c r="AH67" i="5"/>
  <c r="X67" i="5"/>
  <c r="AM67" i="5"/>
  <c r="M68" i="5"/>
  <c r="AZ68" i="5"/>
  <c r="U68" i="5"/>
  <c r="K68" i="5"/>
  <c r="Q68" i="5"/>
  <c r="R68" i="5"/>
  <c r="DV77" i="2"/>
  <c r="L77" i="2"/>
  <c r="C77" i="2"/>
  <c r="D77" i="2" s="1"/>
  <c r="B78" i="2"/>
  <c r="AH77" i="2"/>
  <c r="K77" i="2"/>
  <c r="AL77" i="2"/>
  <c r="S69" i="5"/>
  <c r="E69" i="5"/>
  <c r="J69" i="5" a="1"/>
  <c r="J69" i="5" s="1"/>
  <c r="L69" i="5" s="1"/>
  <c r="W67" i="5"/>
  <c r="Y67" i="5" s="1"/>
  <c r="Z67" i="5" s="1"/>
  <c r="BA67" i="5" s="1"/>
  <c r="AB67" i="5"/>
  <c r="AD67" i="5" s="1"/>
  <c r="AE67" i="5" s="1"/>
  <c r="BB67" i="5" s="1"/>
  <c r="AG67" i="5"/>
  <c r="AI67" i="5" s="1"/>
  <c r="AJ67" i="5" s="1"/>
  <c r="BC67" i="5" s="1"/>
  <c r="AL67" i="5"/>
  <c r="AN67" i="5" s="1"/>
  <c r="AO67" i="5" s="1"/>
  <c r="BD67" i="5" s="1"/>
  <c r="AV69" i="5"/>
  <c r="P69" i="5"/>
  <c r="AD66" i="5"/>
  <c r="AE66" i="5" s="1"/>
  <c r="BB66" i="5" s="1"/>
  <c r="L68" i="5"/>
  <c r="F68" i="5"/>
  <c r="G68" i="5"/>
  <c r="Y66" i="5"/>
  <c r="Z66" i="5" s="1"/>
  <c r="BA66" i="5" s="1"/>
  <c r="DW76" i="2"/>
  <c r="BI76" i="2"/>
  <c r="AI66" i="5"/>
  <c r="AJ66" i="5" s="1"/>
  <c r="BC66" i="5" s="1"/>
  <c r="AU70" i="5"/>
  <c r="C70" i="5"/>
  <c r="H70" i="5"/>
  <c r="B71" i="5"/>
  <c r="I70" i="5"/>
  <c r="AN66" i="5"/>
  <c r="AO66" i="5" s="1"/>
  <c r="BD66" i="5" s="1"/>
  <c r="M69" i="5" l="1"/>
  <c r="R69" i="5"/>
  <c r="E70" i="5"/>
  <c r="S70" i="5"/>
  <c r="J70" i="5" a="1"/>
  <c r="J70" i="5" s="1"/>
  <c r="D70" i="5"/>
  <c r="G69" i="5"/>
  <c r="F69" i="5"/>
  <c r="AM68" i="5"/>
  <c r="AC68" i="5"/>
  <c r="AH68" i="5"/>
  <c r="X68" i="5"/>
  <c r="AZ69" i="5"/>
  <c r="K69" i="5"/>
  <c r="U69" i="5"/>
  <c r="Q69" i="5"/>
  <c r="AA69" i="5"/>
  <c r="AF69" i="5"/>
  <c r="V69" i="5"/>
  <c r="AK69" i="5"/>
  <c r="T69" i="5"/>
  <c r="E77" i="2"/>
  <c r="DV78" i="2"/>
  <c r="L78" i="2"/>
  <c r="C78" i="2"/>
  <c r="E78" i="2" s="1"/>
  <c r="D78" i="2"/>
  <c r="K78" i="2"/>
  <c r="AL78" i="2"/>
  <c r="B79" i="2"/>
  <c r="AH78" i="2"/>
  <c r="AU71" i="5"/>
  <c r="B72" i="5"/>
  <c r="C71" i="5"/>
  <c r="H71" i="5"/>
  <c r="I71" i="5"/>
  <c r="D71" i="5"/>
  <c r="N69" i="5"/>
  <c r="W68" i="5"/>
  <c r="AB68" i="5"/>
  <c r="AG68" i="5"/>
  <c r="AL68" i="5"/>
  <c r="AN68" i="5" l="1"/>
  <c r="AO68" i="5" s="1"/>
  <c r="BD68" i="5" s="1"/>
  <c r="AD68" i="5"/>
  <c r="AE68" i="5" s="1"/>
  <c r="BB68" i="5" s="1"/>
  <c r="AI68" i="5"/>
  <c r="AJ68" i="5" s="1"/>
  <c r="BC68" i="5" s="1"/>
  <c r="DW78" i="2"/>
  <c r="BI78" i="2"/>
  <c r="AU72" i="5"/>
  <c r="H72" i="5"/>
  <c r="C72" i="5"/>
  <c r="I72" i="5"/>
  <c r="B73" i="5"/>
  <c r="D72" i="5"/>
  <c r="DW77" i="2"/>
  <c r="BI77" i="2"/>
  <c r="DV79" i="2"/>
  <c r="E79" i="2"/>
  <c r="K79" i="2"/>
  <c r="L79" i="2"/>
  <c r="B80" i="2"/>
  <c r="AH79" i="2"/>
  <c r="AL79" i="2"/>
  <c r="C79" i="2"/>
  <c r="D79" i="2"/>
  <c r="AV71" i="5"/>
  <c r="P71" i="5"/>
  <c r="AL69" i="5"/>
  <c r="AN69" i="5" s="1"/>
  <c r="AO69" i="5" s="1"/>
  <c r="BD69" i="5" s="1"/>
  <c r="AB69" i="5"/>
  <c r="AD69" i="5" s="1"/>
  <c r="AE69" i="5" s="1"/>
  <c r="BB69" i="5" s="1"/>
  <c r="AG69" i="5"/>
  <c r="AI69" i="5" s="1"/>
  <c r="AJ69" i="5" s="1"/>
  <c r="BC69" i="5" s="1"/>
  <c r="W69" i="5"/>
  <c r="Y69" i="5" s="1"/>
  <c r="Z69" i="5" s="1"/>
  <c r="BA69" i="5" s="1"/>
  <c r="AV70" i="5"/>
  <c r="R70" i="5"/>
  <c r="L70" i="5"/>
  <c r="P70" i="5"/>
  <c r="M70" i="5"/>
  <c r="N70" i="5"/>
  <c r="X69" i="5"/>
  <c r="AM69" i="5"/>
  <c r="AH69" i="5"/>
  <c r="AC69" i="5"/>
  <c r="Y68" i="5"/>
  <c r="Z68" i="5" s="1"/>
  <c r="BA68" i="5" s="1"/>
  <c r="AZ70" i="5"/>
  <c r="U70" i="5"/>
  <c r="K70" i="5"/>
  <c r="Q70" i="5"/>
  <c r="AK70" i="5"/>
  <c r="T70" i="5"/>
  <c r="V70" i="5"/>
  <c r="AA70" i="5"/>
  <c r="AF70" i="5"/>
  <c r="G70" i="5"/>
  <c r="F70" i="5"/>
  <c r="E71" i="5"/>
  <c r="S71" i="5"/>
  <c r="J71" i="5" a="1"/>
  <c r="J71" i="5" s="1"/>
  <c r="W70" i="5" l="1"/>
  <c r="AG70" i="5"/>
  <c r="AL70" i="5"/>
  <c r="AB70" i="5"/>
  <c r="S72" i="5"/>
  <c r="E72" i="5"/>
  <c r="J72" i="5" a="1"/>
  <c r="J72" i="5" s="1"/>
  <c r="AZ71" i="5"/>
  <c r="K71" i="5"/>
  <c r="U71" i="5"/>
  <c r="Q71" i="5"/>
  <c r="DV80" i="2"/>
  <c r="L80" i="2"/>
  <c r="AH80" i="2"/>
  <c r="B81" i="2"/>
  <c r="AL80" i="2"/>
  <c r="C80" i="2"/>
  <c r="D80" i="2"/>
  <c r="E80" i="2"/>
  <c r="K80" i="2"/>
  <c r="AV72" i="5"/>
  <c r="P72" i="5"/>
  <c r="N71" i="5"/>
  <c r="L71" i="5"/>
  <c r="T71" i="5"/>
  <c r="V71" i="5"/>
  <c r="AK71" i="5"/>
  <c r="AA71" i="5"/>
  <c r="AF71" i="5"/>
  <c r="AM70" i="5"/>
  <c r="AC70" i="5"/>
  <c r="AH70" i="5"/>
  <c r="X70" i="5"/>
  <c r="AU73" i="5"/>
  <c r="C73" i="5"/>
  <c r="I73" i="5"/>
  <c r="H73" i="5"/>
  <c r="B74" i="5"/>
  <c r="D73" i="5"/>
  <c r="M71" i="5"/>
  <c r="F71" i="5"/>
  <c r="G71" i="5"/>
  <c r="R71" i="5"/>
  <c r="DW79" i="2"/>
  <c r="BI79" i="2"/>
  <c r="DV81" i="2" l="1"/>
  <c r="AH81" i="2"/>
  <c r="C81" i="2"/>
  <c r="D81" i="2"/>
  <c r="E81" i="2"/>
  <c r="AL81" i="2"/>
  <c r="K81" i="2"/>
  <c r="B82" i="2"/>
  <c r="L81" i="2"/>
  <c r="AM71" i="5"/>
  <c r="X71" i="5"/>
  <c r="AC71" i="5"/>
  <c r="AH71" i="5"/>
  <c r="AV73" i="5"/>
  <c r="P73" i="5"/>
  <c r="AB71" i="5"/>
  <c r="AL71" i="5"/>
  <c r="AG71" i="5"/>
  <c r="W71" i="5"/>
  <c r="AZ72" i="5"/>
  <c r="K72" i="5"/>
  <c r="U72" i="5"/>
  <c r="Q72" i="5"/>
  <c r="F72" i="5"/>
  <c r="G72" i="5"/>
  <c r="DW80" i="2"/>
  <c r="BI80" i="2"/>
  <c r="AA72" i="5"/>
  <c r="AK72" i="5"/>
  <c r="V72" i="5"/>
  <c r="T72" i="5"/>
  <c r="AF72" i="5"/>
  <c r="AD70" i="5"/>
  <c r="AE70" i="5" s="1"/>
  <c r="BB70" i="5" s="1"/>
  <c r="L72" i="5"/>
  <c r="AN70" i="5"/>
  <c r="AO70" i="5" s="1"/>
  <c r="BD70" i="5" s="1"/>
  <c r="AI70" i="5"/>
  <c r="AJ70" i="5" s="1"/>
  <c r="BC70" i="5" s="1"/>
  <c r="AU74" i="5"/>
  <c r="B75" i="5"/>
  <c r="H74" i="5"/>
  <c r="I74" i="5"/>
  <c r="C74" i="5"/>
  <c r="D74" i="5" s="1"/>
  <c r="N72" i="5"/>
  <c r="M72" i="5"/>
  <c r="E73" i="5"/>
  <c r="S73" i="5"/>
  <c r="J73" i="5" a="1"/>
  <c r="J73" i="5" s="1"/>
  <c r="M73" i="5" s="1"/>
  <c r="R72" i="5"/>
  <c r="Y70" i="5"/>
  <c r="Z70" i="5" s="1"/>
  <c r="BA70" i="5" s="1"/>
  <c r="L73" i="5" l="1"/>
  <c r="R73" i="5"/>
  <c r="AN71" i="5"/>
  <c r="AO71" i="5" s="1"/>
  <c r="BD71" i="5" s="1"/>
  <c r="AD71" i="5"/>
  <c r="AE71" i="5" s="1"/>
  <c r="BB71" i="5" s="1"/>
  <c r="N73" i="5"/>
  <c r="DV82" i="2"/>
  <c r="K82" i="2"/>
  <c r="B83" i="2"/>
  <c r="L82" i="2"/>
  <c r="AH82" i="2"/>
  <c r="C82" i="2"/>
  <c r="E82" i="2" s="1"/>
  <c r="D82" i="2"/>
  <c r="AL82" i="2"/>
  <c r="AV74" i="5"/>
  <c r="P74" i="5"/>
  <c r="N74" i="5"/>
  <c r="AG72" i="5"/>
  <c r="W72" i="5"/>
  <c r="AB72" i="5"/>
  <c r="AL72" i="5"/>
  <c r="E74" i="5"/>
  <c r="S74" i="5"/>
  <c r="J74" i="5" a="1"/>
  <c r="J74" i="5" s="1"/>
  <c r="R74" i="5" s="1"/>
  <c r="AC72" i="5"/>
  <c r="X72" i="5"/>
  <c r="AH72" i="5"/>
  <c r="AM72" i="5"/>
  <c r="DW81" i="2"/>
  <c r="BI81" i="2"/>
  <c r="T73" i="5"/>
  <c r="V73" i="5"/>
  <c r="AF73" i="5"/>
  <c r="AK73" i="5"/>
  <c r="AA73" i="5"/>
  <c r="AU75" i="5"/>
  <c r="C75" i="5"/>
  <c r="B76" i="5"/>
  <c r="H75" i="5"/>
  <c r="I75" i="5"/>
  <c r="D75" i="5"/>
  <c r="Y71" i="5"/>
  <c r="Z71" i="5" s="1"/>
  <c r="BA71" i="5" s="1"/>
  <c r="AZ73" i="5"/>
  <c r="K73" i="5"/>
  <c r="U73" i="5"/>
  <c r="Q73" i="5"/>
  <c r="F73" i="5"/>
  <c r="G73" i="5"/>
  <c r="AI71" i="5"/>
  <c r="AJ71" i="5" s="1"/>
  <c r="BC71" i="5" s="1"/>
  <c r="AI72" i="5" l="1"/>
  <c r="AJ72" i="5" s="1"/>
  <c r="BC72" i="5" s="1"/>
  <c r="M74" i="5"/>
  <c r="AN72" i="5"/>
  <c r="AO72" i="5" s="1"/>
  <c r="BD72" i="5" s="1"/>
  <c r="AD72" i="5"/>
  <c r="AE72" i="5" s="1"/>
  <c r="BB72" i="5" s="1"/>
  <c r="Y72" i="5"/>
  <c r="Z72" i="5" s="1"/>
  <c r="BA72" i="5" s="1"/>
  <c r="DW82" i="2"/>
  <c r="BI82" i="2"/>
  <c r="AH73" i="5"/>
  <c r="X73" i="5"/>
  <c r="AC73" i="5"/>
  <c r="AM73" i="5"/>
  <c r="W73" i="5"/>
  <c r="Y73" i="5" s="1"/>
  <c r="Z73" i="5" s="1"/>
  <c r="BA73" i="5" s="1"/>
  <c r="AB73" i="5"/>
  <c r="AD73" i="5" s="1"/>
  <c r="AE73" i="5" s="1"/>
  <c r="BB73" i="5" s="1"/>
  <c r="AL73" i="5"/>
  <c r="AN73" i="5" s="1"/>
  <c r="AO73" i="5" s="1"/>
  <c r="BD73" i="5" s="1"/>
  <c r="AG73" i="5"/>
  <c r="AI73" i="5" s="1"/>
  <c r="AJ73" i="5" s="1"/>
  <c r="BC73" i="5" s="1"/>
  <c r="DV83" i="2"/>
  <c r="AH83" i="2"/>
  <c r="C83" i="2"/>
  <c r="E83" i="2" s="1"/>
  <c r="AL83" i="2"/>
  <c r="K83" i="2"/>
  <c r="B84" i="2"/>
  <c r="L83" i="2"/>
  <c r="L74" i="5"/>
  <c r="AU76" i="5"/>
  <c r="H76" i="5"/>
  <c r="B77" i="5"/>
  <c r="C76" i="5"/>
  <c r="I76" i="5"/>
  <c r="D76" i="5"/>
  <c r="AZ74" i="5"/>
  <c r="K74" i="5"/>
  <c r="U74" i="5"/>
  <c r="Q74" i="5"/>
  <c r="AV75" i="5"/>
  <c r="P75" i="5"/>
  <c r="AA74" i="5"/>
  <c r="AF74" i="5"/>
  <c r="T74" i="5"/>
  <c r="V74" i="5"/>
  <c r="AK74" i="5"/>
  <c r="E75" i="5"/>
  <c r="S75" i="5"/>
  <c r="J75" i="5" a="1"/>
  <c r="J75" i="5" s="1"/>
  <c r="L75" i="5" s="1"/>
  <c r="G74" i="5"/>
  <c r="F74" i="5"/>
  <c r="D83" i="2" l="1"/>
  <c r="DW83" i="2"/>
  <c r="BI83" i="2"/>
  <c r="AM74" i="5"/>
  <c r="AC74" i="5"/>
  <c r="X74" i="5"/>
  <c r="AH74" i="5"/>
  <c r="G75" i="5"/>
  <c r="F75" i="5"/>
  <c r="W74" i="5"/>
  <c r="Y74" i="5" s="1"/>
  <c r="Z74" i="5" s="1"/>
  <c r="BA74" i="5" s="1"/>
  <c r="AB74" i="5"/>
  <c r="AD74" i="5" s="1"/>
  <c r="AE74" i="5" s="1"/>
  <c r="BB74" i="5" s="1"/>
  <c r="AG74" i="5"/>
  <c r="AL74" i="5"/>
  <c r="AN74" i="5" s="1"/>
  <c r="AO74" i="5" s="1"/>
  <c r="BD74" i="5" s="1"/>
  <c r="M75" i="5"/>
  <c r="AZ75" i="5"/>
  <c r="K75" i="5"/>
  <c r="U75" i="5"/>
  <c r="Q75" i="5"/>
  <c r="E76" i="5"/>
  <c r="S76" i="5"/>
  <c r="J76" i="5" a="1"/>
  <c r="J76" i="5" s="1"/>
  <c r="R76" i="5" s="1"/>
  <c r="DV84" i="2"/>
  <c r="AL84" i="2"/>
  <c r="K84" i="2"/>
  <c r="B85" i="2"/>
  <c r="L84" i="2"/>
  <c r="AH84" i="2"/>
  <c r="C84" i="2"/>
  <c r="E84" i="2" s="1"/>
  <c r="AV76" i="5"/>
  <c r="P76" i="5"/>
  <c r="AU77" i="5"/>
  <c r="I77" i="5"/>
  <c r="C77" i="5"/>
  <c r="B78" i="5"/>
  <c r="H77" i="5"/>
  <c r="D77" i="5"/>
  <c r="AF75" i="5"/>
  <c r="T75" i="5"/>
  <c r="V75" i="5"/>
  <c r="AA75" i="5"/>
  <c r="AK75" i="5"/>
  <c r="N75" i="5"/>
  <c r="R75" i="5"/>
  <c r="AI74" i="5" l="1"/>
  <c r="AJ74" i="5" s="1"/>
  <c r="BC74" i="5" s="1"/>
  <c r="D84" i="2"/>
  <c r="AL75" i="5"/>
  <c r="W75" i="5"/>
  <c r="AB75" i="5"/>
  <c r="AD75" i="5" s="1"/>
  <c r="AE75" i="5" s="1"/>
  <c r="BB75" i="5" s="1"/>
  <c r="AG75" i="5"/>
  <c r="AZ76" i="5"/>
  <c r="K76" i="5"/>
  <c r="U76" i="5"/>
  <c r="Q76" i="5"/>
  <c r="V76" i="5"/>
  <c r="AA76" i="5"/>
  <c r="AF76" i="5"/>
  <c r="AK76" i="5"/>
  <c r="T76" i="5"/>
  <c r="AH75" i="5"/>
  <c r="X75" i="5"/>
  <c r="AM75" i="5"/>
  <c r="AC75" i="5"/>
  <c r="DW84" i="2"/>
  <c r="BI84" i="2"/>
  <c r="AV77" i="5"/>
  <c r="P77" i="5"/>
  <c r="N76" i="5"/>
  <c r="M76" i="5"/>
  <c r="DV85" i="2"/>
  <c r="L85" i="2"/>
  <c r="AH85" i="2"/>
  <c r="C85" i="2"/>
  <c r="D85" i="2"/>
  <c r="E85" i="2"/>
  <c r="AL85" i="2"/>
  <c r="B86" i="2"/>
  <c r="K85" i="2"/>
  <c r="AU78" i="5"/>
  <c r="H78" i="5"/>
  <c r="C78" i="5"/>
  <c r="I78" i="5"/>
  <c r="B79" i="5"/>
  <c r="D78" i="5"/>
  <c r="S77" i="5"/>
  <c r="E77" i="5"/>
  <c r="J77" i="5" a="1"/>
  <c r="J77" i="5" s="1"/>
  <c r="G76" i="5"/>
  <c r="F76" i="5"/>
  <c r="L76" i="5"/>
  <c r="AI75" i="5" l="1"/>
  <c r="AJ75" i="5" s="1"/>
  <c r="BC75" i="5" s="1"/>
  <c r="Y75" i="5"/>
  <c r="Z75" i="5" s="1"/>
  <c r="BA75" i="5" s="1"/>
  <c r="AZ77" i="5"/>
  <c r="U77" i="5"/>
  <c r="K77" i="5"/>
  <c r="Q77" i="5"/>
  <c r="R77" i="5"/>
  <c r="F77" i="5"/>
  <c r="G77" i="5"/>
  <c r="N77" i="5"/>
  <c r="L77" i="5"/>
  <c r="AM76" i="5"/>
  <c r="X76" i="5"/>
  <c r="AC76" i="5"/>
  <c r="AH76" i="5"/>
  <c r="AF77" i="5"/>
  <c r="T77" i="5"/>
  <c r="AK77" i="5"/>
  <c r="V77" i="5"/>
  <c r="AA77" i="5"/>
  <c r="W76" i="5"/>
  <c r="AB76" i="5"/>
  <c r="AG76" i="5"/>
  <c r="AL76" i="5"/>
  <c r="DV86" i="2"/>
  <c r="C86" i="2"/>
  <c r="D86" i="2"/>
  <c r="E86" i="2"/>
  <c r="AL86" i="2"/>
  <c r="K86" i="2"/>
  <c r="B87" i="2"/>
  <c r="L86" i="2"/>
  <c r="AH86" i="2"/>
  <c r="AV78" i="5"/>
  <c r="P78" i="5"/>
  <c r="DW85" i="2"/>
  <c r="BI85" i="2"/>
  <c r="M77" i="5"/>
  <c r="AU79" i="5"/>
  <c r="H79" i="5"/>
  <c r="B80" i="5"/>
  <c r="C79" i="5"/>
  <c r="I79" i="5"/>
  <c r="S78" i="5"/>
  <c r="E78" i="5"/>
  <c r="J78" i="5" a="1"/>
  <c r="J78" i="5" s="1"/>
  <c r="N78" i="5" s="1"/>
  <c r="AN75" i="5"/>
  <c r="AO75" i="5" s="1"/>
  <c r="BD75" i="5" s="1"/>
  <c r="AI76" i="5" l="1"/>
  <c r="AJ76" i="5" s="1"/>
  <c r="BC76" i="5" s="1"/>
  <c r="AN76" i="5"/>
  <c r="AO76" i="5" s="1"/>
  <c r="BD76" i="5" s="1"/>
  <c r="AU80" i="5"/>
  <c r="B81" i="5"/>
  <c r="C80" i="5"/>
  <c r="H80" i="5"/>
  <c r="I80" i="5"/>
  <c r="D80" i="5"/>
  <c r="Y76" i="5"/>
  <c r="Z76" i="5" s="1"/>
  <c r="BA76" i="5" s="1"/>
  <c r="X77" i="5"/>
  <c r="AC77" i="5"/>
  <c r="AH77" i="5"/>
  <c r="AM77" i="5"/>
  <c r="AD76" i="5"/>
  <c r="AE76" i="5" s="1"/>
  <c r="BB76" i="5" s="1"/>
  <c r="F78" i="5"/>
  <c r="G78" i="5"/>
  <c r="W77" i="5"/>
  <c r="AB77" i="5"/>
  <c r="AG77" i="5"/>
  <c r="AL77" i="5"/>
  <c r="S79" i="5"/>
  <c r="E79" i="5"/>
  <c r="J79" i="5" a="1"/>
  <c r="J79" i="5" s="1"/>
  <c r="DV87" i="2"/>
  <c r="K87" i="2"/>
  <c r="B88" i="2"/>
  <c r="L87" i="2"/>
  <c r="AH87" i="2"/>
  <c r="C87" i="2"/>
  <c r="D87" i="2" s="1"/>
  <c r="AL87" i="2"/>
  <c r="DW86" i="2"/>
  <c r="BI86" i="2"/>
  <c r="AZ78" i="5"/>
  <c r="U78" i="5"/>
  <c r="K78" i="5"/>
  <c r="Q78" i="5"/>
  <c r="M78" i="5"/>
  <c r="AF78" i="5"/>
  <c r="AK78" i="5"/>
  <c r="AA78" i="5"/>
  <c r="T78" i="5"/>
  <c r="V78" i="5"/>
  <c r="R78" i="5"/>
  <c r="D79" i="5"/>
  <c r="L78" i="5"/>
  <c r="AN77" i="5" l="1"/>
  <c r="AO77" i="5" s="1"/>
  <c r="BD77" i="5" s="1"/>
  <c r="AD77" i="5"/>
  <c r="AE77" i="5" s="1"/>
  <c r="BB77" i="5" s="1"/>
  <c r="E87" i="2"/>
  <c r="AI77" i="5"/>
  <c r="AJ77" i="5" s="1"/>
  <c r="BC77" i="5" s="1"/>
  <c r="Y77" i="5"/>
  <c r="Z77" i="5" s="1"/>
  <c r="BA77" i="5" s="1"/>
  <c r="AZ79" i="5"/>
  <c r="K79" i="5"/>
  <c r="U79" i="5"/>
  <c r="Q79" i="5"/>
  <c r="DW87" i="2"/>
  <c r="BI87" i="2"/>
  <c r="AB78" i="5"/>
  <c r="AD78" i="5" s="1"/>
  <c r="AE78" i="5" s="1"/>
  <c r="BB78" i="5" s="1"/>
  <c r="AG78" i="5"/>
  <c r="AI78" i="5" s="1"/>
  <c r="AJ78" i="5" s="1"/>
  <c r="BC78" i="5" s="1"/>
  <c r="AL78" i="5"/>
  <c r="AN78" i="5" s="1"/>
  <c r="AO78" i="5" s="1"/>
  <c r="BD78" i="5" s="1"/>
  <c r="W78" i="5"/>
  <c r="Y78" i="5" s="1"/>
  <c r="Z78" i="5" s="1"/>
  <c r="BA78" i="5" s="1"/>
  <c r="F79" i="5"/>
  <c r="G79" i="5"/>
  <c r="AV80" i="5"/>
  <c r="P80" i="5"/>
  <c r="S80" i="5"/>
  <c r="E80" i="5"/>
  <c r="J80" i="5" a="1"/>
  <c r="J80" i="5" s="1"/>
  <c r="AU81" i="5"/>
  <c r="I81" i="5"/>
  <c r="B82" i="5"/>
  <c r="C81" i="5"/>
  <c r="H81" i="5"/>
  <c r="T79" i="5"/>
  <c r="AK79" i="5"/>
  <c r="V79" i="5"/>
  <c r="AA79" i="5"/>
  <c r="AF79" i="5"/>
  <c r="X78" i="5"/>
  <c r="AC78" i="5"/>
  <c r="AH78" i="5"/>
  <c r="AM78" i="5"/>
  <c r="DV88" i="2"/>
  <c r="AH88" i="2"/>
  <c r="C88" i="2"/>
  <c r="D88" i="2" s="1"/>
  <c r="AL88" i="2"/>
  <c r="K88" i="2"/>
  <c r="B89" i="2"/>
  <c r="L88" i="2"/>
  <c r="AV79" i="5"/>
  <c r="L79" i="5"/>
  <c r="P79" i="5"/>
  <c r="R79" i="5"/>
  <c r="M79" i="5"/>
  <c r="N79" i="5"/>
  <c r="E81" i="5" l="1"/>
  <c r="S81" i="5"/>
  <c r="J81" i="5" a="1"/>
  <c r="J81" i="5" s="1"/>
  <c r="AZ80" i="5"/>
  <c r="K80" i="5"/>
  <c r="U80" i="5"/>
  <c r="Q80" i="5"/>
  <c r="G80" i="5"/>
  <c r="F80" i="5"/>
  <c r="DV89" i="2"/>
  <c r="K89" i="2"/>
  <c r="B90" i="2"/>
  <c r="L89" i="2"/>
  <c r="AH89" i="2"/>
  <c r="C89" i="2"/>
  <c r="E89" i="2" s="1"/>
  <c r="AL89" i="2"/>
  <c r="N80" i="5"/>
  <c r="M80" i="5"/>
  <c r="W79" i="5"/>
  <c r="AB79" i="5"/>
  <c r="AL79" i="5"/>
  <c r="AG79" i="5"/>
  <c r="R80" i="5"/>
  <c r="AM79" i="5"/>
  <c r="AH79" i="5"/>
  <c r="X79" i="5"/>
  <c r="AC79" i="5"/>
  <c r="AU82" i="5"/>
  <c r="I82" i="5"/>
  <c r="B83" i="5"/>
  <c r="C82" i="5"/>
  <c r="H82" i="5"/>
  <c r="V80" i="5"/>
  <c r="AA80" i="5"/>
  <c r="T80" i="5"/>
  <c r="AF80" i="5"/>
  <c r="AK80" i="5"/>
  <c r="E88" i="2"/>
  <c r="L80" i="5"/>
  <c r="D81" i="5"/>
  <c r="D89" i="2" l="1"/>
  <c r="AV81" i="5"/>
  <c r="R81" i="5"/>
  <c r="L81" i="5"/>
  <c r="P81" i="5"/>
  <c r="M81" i="5"/>
  <c r="N81" i="5"/>
  <c r="E82" i="5"/>
  <c r="S82" i="5"/>
  <c r="J82" i="5" a="1"/>
  <c r="J82" i="5" s="1"/>
  <c r="AG80" i="5"/>
  <c r="AL80" i="5"/>
  <c r="AN80" i="5" s="1"/>
  <c r="AO80" i="5" s="1"/>
  <c r="BD80" i="5" s="1"/>
  <c r="W80" i="5"/>
  <c r="AB80" i="5"/>
  <c r="X80" i="5"/>
  <c r="AC80" i="5"/>
  <c r="AH80" i="5"/>
  <c r="AM80" i="5"/>
  <c r="DV90" i="2"/>
  <c r="AH90" i="2"/>
  <c r="C90" i="2"/>
  <c r="D90" i="2"/>
  <c r="E90" i="2"/>
  <c r="AL90" i="2"/>
  <c r="L90" i="2"/>
  <c r="B91" i="2"/>
  <c r="K90" i="2"/>
  <c r="DW88" i="2"/>
  <c r="BI88" i="2"/>
  <c r="AI79" i="5"/>
  <c r="AJ79" i="5" s="1"/>
  <c r="BC79" i="5" s="1"/>
  <c r="AZ81" i="5"/>
  <c r="U81" i="5"/>
  <c r="K81" i="5"/>
  <c r="Q81" i="5"/>
  <c r="AU83" i="5"/>
  <c r="I83" i="5"/>
  <c r="C83" i="5"/>
  <c r="H83" i="5"/>
  <c r="B84" i="5"/>
  <c r="D83" i="5"/>
  <c r="DW89" i="2"/>
  <c r="BI89" i="2"/>
  <c r="D82" i="5"/>
  <c r="AK81" i="5"/>
  <c r="AF81" i="5"/>
  <c r="T81" i="5"/>
  <c r="V81" i="5"/>
  <c r="AA81" i="5"/>
  <c r="AN79" i="5"/>
  <c r="AO79" i="5" s="1"/>
  <c r="BD79" i="5" s="1"/>
  <c r="AD79" i="5"/>
  <c r="AE79" i="5" s="1"/>
  <c r="BB79" i="5" s="1"/>
  <c r="G81" i="5"/>
  <c r="F81" i="5"/>
  <c r="Y79" i="5"/>
  <c r="Z79" i="5" s="1"/>
  <c r="BA79" i="5" s="1"/>
  <c r="AI80" i="5" l="1"/>
  <c r="AJ80" i="5" s="1"/>
  <c r="BC80" i="5" s="1"/>
  <c r="AD80" i="5"/>
  <c r="AE80" i="5" s="1"/>
  <c r="BB80" i="5" s="1"/>
  <c r="Y80" i="5"/>
  <c r="Z80" i="5" s="1"/>
  <c r="BA80" i="5" s="1"/>
  <c r="AG81" i="5"/>
  <c r="AL81" i="5"/>
  <c r="W81" i="5"/>
  <c r="AB81" i="5"/>
  <c r="AZ82" i="5"/>
  <c r="U82" i="5"/>
  <c r="K82" i="5"/>
  <c r="Q82" i="5"/>
  <c r="DW90" i="2"/>
  <c r="BI90" i="2"/>
  <c r="T82" i="5"/>
  <c r="V82" i="5"/>
  <c r="AA82" i="5"/>
  <c r="AF82" i="5"/>
  <c r="AK82" i="5"/>
  <c r="F82" i="5"/>
  <c r="G82" i="5"/>
  <c r="X81" i="5"/>
  <c r="AC81" i="5"/>
  <c r="AH81" i="5"/>
  <c r="AM81" i="5"/>
  <c r="AU84" i="5"/>
  <c r="B85" i="5"/>
  <c r="C84" i="5"/>
  <c r="H84" i="5"/>
  <c r="I84" i="5"/>
  <c r="AV82" i="5"/>
  <c r="L82" i="5"/>
  <c r="P82" i="5"/>
  <c r="R82" i="5"/>
  <c r="M82" i="5"/>
  <c r="N82" i="5"/>
  <c r="AV83" i="5"/>
  <c r="P83" i="5"/>
  <c r="S83" i="5"/>
  <c r="E83" i="5"/>
  <c r="J83" i="5" a="1"/>
  <c r="J83" i="5" s="1"/>
  <c r="L83" i="5" s="1"/>
  <c r="DV91" i="2"/>
  <c r="AL91" i="2"/>
  <c r="K91" i="2"/>
  <c r="B92" i="2"/>
  <c r="L91" i="2"/>
  <c r="C91" i="2"/>
  <c r="D91" i="2"/>
  <c r="E91" i="2"/>
  <c r="AH91" i="2"/>
  <c r="N83" i="5" l="1"/>
  <c r="M83" i="5"/>
  <c r="R83" i="5"/>
  <c r="AB82" i="5"/>
  <c r="AG82" i="5"/>
  <c r="AL82" i="5"/>
  <c r="W82" i="5"/>
  <c r="DV92" i="2"/>
  <c r="AH92" i="2"/>
  <c r="C92" i="2"/>
  <c r="D92" i="2"/>
  <c r="E92" i="2"/>
  <c r="L92" i="2"/>
  <c r="B93" i="2"/>
  <c r="AL92" i="2"/>
  <c r="K92" i="2"/>
  <c r="X82" i="5"/>
  <c r="AM82" i="5"/>
  <c r="AC82" i="5"/>
  <c r="AH82" i="5"/>
  <c r="AD81" i="5"/>
  <c r="AE81" i="5" s="1"/>
  <c r="BB81" i="5" s="1"/>
  <c r="Y81" i="5"/>
  <c r="Z81" i="5" s="1"/>
  <c r="BA81" i="5" s="1"/>
  <c r="S84" i="5"/>
  <c r="E84" i="5"/>
  <c r="J84" i="5" a="1"/>
  <c r="J84" i="5" s="1"/>
  <c r="AN81" i="5"/>
  <c r="AO81" i="5" s="1"/>
  <c r="BD81" i="5" s="1"/>
  <c r="D84" i="5"/>
  <c r="AI81" i="5"/>
  <c r="AJ81" i="5" s="1"/>
  <c r="BC81" i="5" s="1"/>
  <c r="DW91" i="2"/>
  <c r="BI91" i="2"/>
  <c r="AZ83" i="5"/>
  <c r="K83" i="5"/>
  <c r="U83" i="5"/>
  <c r="Q83" i="5"/>
  <c r="AU85" i="5"/>
  <c r="B86" i="5"/>
  <c r="C85" i="5"/>
  <c r="D85" i="5" s="1"/>
  <c r="H85" i="5"/>
  <c r="I85" i="5"/>
  <c r="F83" i="5"/>
  <c r="G83" i="5"/>
  <c r="V83" i="5"/>
  <c r="AA83" i="5"/>
  <c r="AF83" i="5"/>
  <c r="AK83" i="5"/>
  <c r="T83" i="5"/>
  <c r="AV85" i="5" l="1"/>
  <c r="P85" i="5"/>
  <c r="AL83" i="5"/>
  <c r="W83" i="5"/>
  <c r="AB83" i="5"/>
  <c r="AG83" i="5"/>
  <c r="DW92" i="2"/>
  <c r="BI92" i="2"/>
  <c r="AZ84" i="5"/>
  <c r="K84" i="5"/>
  <c r="U84" i="5"/>
  <c r="Q84" i="5"/>
  <c r="F84" i="5"/>
  <c r="G84" i="5"/>
  <c r="DV93" i="2"/>
  <c r="D93" i="2"/>
  <c r="AL93" i="2"/>
  <c r="K93" i="2"/>
  <c r="B94" i="2"/>
  <c r="L93" i="2"/>
  <c r="C93" i="2"/>
  <c r="E93" i="2" s="1"/>
  <c r="AH93" i="2"/>
  <c r="V84" i="5"/>
  <c r="AF84" i="5"/>
  <c r="AK84" i="5"/>
  <c r="T84" i="5"/>
  <c r="AA84" i="5"/>
  <c r="Y82" i="5"/>
  <c r="Z82" i="5" s="1"/>
  <c r="BA82" i="5" s="1"/>
  <c r="E85" i="5"/>
  <c r="S85" i="5"/>
  <c r="J85" i="5" a="1"/>
  <c r="J85" i="5" s="1"/>
  <c r="R85" i="5" s="1"/>
  <c r="X83" i="5"/>
  <c r="AC83" i="5"/>
  <c r="AH83" i="5"/>
  <c r="AM83" i="5"/>
  <c r="AN82" i="5"/>
  <c r="AO82" i="5" s="1"/>
  <c r="BD82" i="5" s="1"/>
  <c r="AV84" i="5"/>
  <c r="R84" i="5"/>
  <c r="L84" i="5"/>
  <c r="P84" i="5"/>
  <c r="M84" i="5"/>
  <c r="N84" i="5"/>
  <c r="AI82" i="5"/>
  <c r="AJ82" i="5" s="1"/>
  <c r="BC82" i="5" s="1"/>
  <c r="AU86" i="5"/>
  <c r="B87" i="5"/>
  <c r="C86" i="5"/>
  <c r="D86" i="5" s="1"/>
  <c r="I86" i="5"/>
  <c r="H86" i="5"/>
  <c r="AD82" i="5"/>
  <c r="AE82" i="5" s="1"/>
  <c r="BB82" i="5" s="1"/>
  <c r="AD83" i="5" l="1"/>
  <c r="AE83" i="5" s="1"/>
  <c r="BB83" i="5" s="1"/>
  <c r="Y83" i="5"/>
  <c r="Z83" i="5" s="1"/>
  <c r="BA83" i="5" s="1"/>
  <c r="DW93" i="2"/>
  <c r="BI93" i="2"/>
  <c r="AC84" i="5"/>
  <c r="AH84" i="5"/>
  <c r="AM84" i="5"/>
  <c r="X84" i="5"/>
  <c r="AI83" i="5"/>
  <c r="AJ83" i="5" s="1"/>
  <c r="BC83" i="5" s="1"/>
  <c r="AN83" i="5"/>
  <c r="AO83" i="5" s="1"/>
  <c r="BD83" i="5" s="1"/>
  <c r="M85" i="5"/>
  <c r="N85" i="5"/>
  <c r="L85" i="5"/>
  <c r="Z84" i="5"/>
  <c r="BA84" i="5" s="1"/>
  <c r="E86" i="5"/>
  <c r="S86" i="5"/>
  <c r="J86" i="5" a="1"/>
  <c r="J86" i="5" s="1"/>
  <c r="M86" i="5" s="1"/>
  <c r="T85" i="5"/>
  <c r="V85" i="5"/>
  <c r="AK85" i="5"/>
  <c r="AA85" i="5"/>
  <c r="AF85" i="5"/>
  <c r="AL84" i="5"/>
  <c r="W84" i="5"/>
  <c r="Y84" i="5" s="1"/>
  <c r="AG84" i="5"/>
  <c r="AI84" i="5" s="1"/>
  <c r="AJ84" i="5" s="1"/>
  <c r="BC84" i="5" s="1"/>
  <c r="AB84" i="5"/>
  <c r="AD84" i="5" s="1"/>
  <c r="AE84" i="5" s="1"/>
  <c r="BB84" i="5" s="1"/>
  <c r="AV86" i="5"/>
  <c r="R86" i="5"/>
  <c r="L86" i="5"/>
  <c r="P86" i="5"/>
  <c r="AZ85" i="5"/>
  <c r="U85" i="5"/>
  <c r="K85" i="5"/>
  <c r="Q85" i="5"/>
  <c r="AU87" i="5"/>
  <c r="C87" i="5"/>
  <c r="H87" i="5"/>
  <c r="B88" i="5"/>
  <c r="I87" i="5"/>
  <c r="D87" i="5"/>
  <c r="F85" i="5"/>
  <c r="G85" i="5"/>
  <c r="DV94" i="2"/>
  <c r="K94" i="2"/>
  <c r="B95" i="2"/>
  <c r="AH94" i="2"/>
  <c r="C94" i="2"/>
  <c r="E94" i="2" s="1"/>
  <c r="AL94" i="2"/>
  <c r="L94" i="2"/>
  <c r="D94" i="2" l="1"/>
  <c r="AN84" i="5"/>
  <c r="AO84" i="5" s="1"/>
  <c r="BD84" i="5" s="1"/>
  <c r="N86" i="5"/>
  <c r="F86" i="5"/>
  <c r="G86" i="5"/>
  <c r="E87" i="5"/>
  <c r="S87" i="5"/>
  <c r="J87" i="5" a="1"/>
  <c r="J87" i="5" s="1"/>
  <c r="L87" i="5" s="1"/>
  <c r="DW94" i="2"/>
  <c r="BI94" i="2"/>
  <c r="AV87" i="5"/>
  <c r="P87" i="5"/>
  <c r="N87" i="5"/>
  <c r="DV95" i="2"/>
  <c r="AH95" i="2"/>
  <c r="AL95" i="2"/>
  <c r="L95" i="2"/>
  <c r="B96" i="2"/>
  <c r="C95" i="2"/>
  <c r="K95" i="2"/>
  <c r="AC85" i="5"/>
  <c r="AM85" i="5"/>
  <c r="AH85" i="5"/>
  <c r="X85" i="5"/>
  <c r="AU88" i="5"/>
  <c r="C88" i="5"/>
  <c r="B89" i="5"/>
  <c r="I88" i="5"/>
  <c r="H88" i="5"/>
  <c r="AL85" i="5"/>
  <c r="AN85" i="5" s="1"/>
  <c r="AO85" i="5" s="1"/>
  <c r="BD85" i="5" s="1"/>
  <c r="W85" i="5"/>
  <c r="AB85" i="5"/>
  <c r="AG85" i="5"/>
  <c r="AZ86" i="5"/>
  <c r="K86" i="5"/>
  <c r="U86" i="5"/>
  <c r="Q86" i="5"/>
  <c r="AA86" i="5"/>
  <c r="T86" i="5"/>
  <c r="AK86" i="5"/>
  <c r="V86" i="5"/>
  <c r="AF86" i="5"/>
  <c r="M87" i="5" l="1"/>
  <c r="R87" i="5"/>
  <c r="AI85" i="5"/>
  <c r="AJ85" i="5" s="1"/>
  <c r="BC85" i="5" s="1"/>
  <c r="AU89" i="5"/>
  <c r="C89" i="5"/>
  <c r="H89" i="5"/>
  <c r="I89" i="5"/>
  <c r="B90" i="5"/>
  <c r="D89" i="5"/>
  <c r="AD85" i="5"/>
  <c r="AE85" i="5" s="1"/>
  <c r="BB85" i="5" s="1"/>
  <c r="Y85" i="5"/>
  <c r="Z85" i="5" s="1"/>
  <c r="BA85" i="5" s="1"/>
  <c r="AZ87" i="5"/>
  <c r="U87" i="5"/>
  <c r="K87" i="5"/>
  <c r="Q87" i="5"/>
  <c r="DV96" i="2"/>
  <c r="K96" i="2"/>
  <c r="B97" i="2"/>
  <c r="L96" i="2"/>
  <c r="AH96" i="2"/>
  <c r="AL96" i="2"/>
  <c r="C96" i="2"/>
  <c r="E96" i="2" s="1"/>
  <c r="T87" i="5"/>
  <c r="V87" i="5"/>
  <c r="AF87" i="5"/>
  <c r="AK87" i="5"/>
  <c r="AA87" i="5"/>
  <c r="AC86" i="5"/>
  <c r="X86" i="5"/>
  <c r="AH86" i="5"/>
  <c r="AM86" i="5"/>
  <c r="S88" i="5"/>
  <c r="E88" i="5"/>
  <c r="J88" i="5" a="1"/>
  <c r="J88" i="5" s="1"/>
  <c r="E95" i="2"/>
  <c r="D95" i="2"/>
  <c r="F87" i="5"/>
  <c r="G87" i="5"/>
  <c r="AG86" i="5"/>
  <c r="AL86" i="5"/>
  <c r="W86" i="5"/>
  <c r="AB86" i="5"/>
  <c r="D88" i="5"/>
  <c r="DW96" i="2" l="1"/>
  <c r="BI96" i="2"/>
  <c r="Y86" i="5"/>
  <c r="Z86" i="5" s="1"/>
  <c r="BA86" i="5" s="1"/>
  <c r="AH87" i="5"/>
  <c r="AM87" i="5"/>
  <c r="X87" i="5"/>
  <c r="AC87" i="5"/>
  <c r="AU90" i="5"/>
  <c r="H90" i="5"/>
  <c r="B91" i="5"/>
  <c r="I90" i="5"/>
  <c r="C90" i="5"/>
  <c r="F88" i="5"/>
  <c r="G88" i="5"/>
  <c r="AN86" i="5"/>
  <c r="AO86" i="5" s="1"/>
  <c r="BD86" i="5" s="1"/>
  <c r="AB87" i="5"/>
  <c r="AG87" i="5"/>
  <c r="AL87" i="5"/>
  <c r="W87" i="5"/>
  <c r="S89" i="5"/>
  <c r="E89" i="5"/>
  <c r="J89" i="5" a="1"/>
  <c r="J89" i="5" s="1"/>
  <c r="AA88" i="5"/>
  <c r="AK88" i="5"/>
  <c r="T88" i="5"/>
  <c r="V88" i="5"/>
  <c r="AF88" i="5"/>
  <c r="DV97" i="2"/>
  <c r="AH97" i="2"/>
  <c r="C97" i="2"/>
  <c r="D97" i="2"/>
  <c r="E97" i="2"/>
  <c r="AL97" i="2"/>
  <c r="K97" i="2"/>
  <c r="B98" i="2"/>
  <c r="L97" i="2"/>
  <c r="AI86" i="5"/>
  <c r="AJ86" i="5" s="1"/>
  <c r="BC86" i="5" s="1"/>
  <c r="AD86" i="5"/>
  <c r="AE86" i="5" s="1"/>
  <c r="BB86" i="5" s="1"/>
  <c r="DW95" i="2"/>
  <c r="BI95" i="2"/>
  <c r="D96" i="2"/>
  <c r="AV88" i="5"/>
  <c r="R88" i="5"/>
  <c r="L88" i="5"/>
  <c r="P88" i="5"/>
  <c r="M88" i="5"/>
  <c r="N88" i="5"/>
  <c r="AV89" i="5"/>
  <c r="P89" i="5"/>
  <c r="AZ88" i="5"/>
  <c r="K88" i="5"/>
  <c r="U88" i="5"/>
  <c r="Q88" i="5"/>
  <c r="Y87" i="5" l="1"/>
  <c r="Z87" i="5" s="1"/>
  <c r="BA87" i="5" s="1"/>
  <c r="AN87" i="5"/>
  <c r="AO87" i="5" s="1"/>
  <c r="BD87" i="5" s="1"/>
  <c r="AI87" i="5"/>
  <c r="AJ87" i="5" s="1"/>
  <c r="BC87" i="5" s="1"/>
  <c r="E90" i="5"/>
  <c r="S90" i="5"/>
  <c r="J90" i="5" a="1"/>
  <c r="J90" i="5" s="1"/>
  <c r="AL88" i="5"/>
  <c r="W88" i="5"/>
  <c r="AG88" i="5"/>
  <c r="AB88" i="5"/>
  <c r="AU91" i="5"/>
  <c r="I91" i="5"/>
  <c r="C91" i="5"/>
  <c r="B92" i="5"/>
  <c r="H91" i="5"/>
  <c r="DW97" i="2"/>
  <c r="BI97" i="2"/>
  <c r="AZ89" i="5"/>
  <c r="U89" i="5"/>
  <c r="K89" i="5"/>
  <c r="Q89" i="5"/>
  <c r="AD87" i="5"/>
  <c r="AE87" i="5" s="1"/>
  <c r="BB87" i="5" s="1"/>
  <c r="AM88" i="5"/>
  <c r="AC88" i="5"/>
  <c r="AH88" i="5"/>
  <c r="X88" i="5"/>
  <c r="M89" i="5"/>
  <c r="R89" i="5"/>
  <c r="AF89" i="5"/>
  <c r="AK89" i="5"/>
  <c r="V89" i="5"/>
  <c r="AA89" i="5"/>
  <c r="T89" i="5"/>
  <c r="G89" i="5"/>
  <c r="F89" i="5"/>
  <c r="N89" i="5"/>
  <c r="L89" i="5"/>
  <c r="DV98" i="2"/>
  <c r="K98" i="2"/>
  <c r="B99" i="2"/>
  <c r="L98" i="2"/>
  <c r="AH98" i="2"/>
  <c r="C98" i="2"/>
  <c r="D98" i="2"/>
  <c r="E98" i="2"/>
  <c r="AL98" i="2"/>
  <c r="D90" i="5"/>
  <c r="AU92" i="5" l="1"/>
  <c r="H92" i="5"/>
  <c r="B93" i="5"/>
  <c r="C92" i="5"/>
  <c r="I92" i="5"/>
  <c r="D92" i="5"/>
  <c r="AD88" i="5"/>
  <c r="AE88" i="5" s="1"/>
  <c r="BB88" i="5" s="1"/>
  <c r="AI88" i="5"/>
  <c r="AJ88" i="5" s="1"/>
  <c r="BC88" i="5" s="1"/>
  <c r="Y88" i="5"/>
  <c r="Z88" i="5" s="1"/>
  <c r="BA88" i="5" s="1"/>
  <c r="DW98" i="2"/>
  <c r="BI98" i="2"/>
  <c r="AB89" i="5"/>
  <c r="AG89" i="5"/>
  <c r="W89" i="5"/>
  <c r="AL89" i="5"/>
  <c r="AN88" i="5"/>
  <c r="AO88" i="5" s="1"/>
  <c r="BD88" i="5" s="1"/>
  <c r="AZ90" i="5"/>
  <c r="K90" i="5"/>
  <c r="U90" i="5"/>
  <c r="Q90" i="5"/>
  <c r="S91" i="5"/>
  <c r="E91" i="5"/>
  <c r="J91" i="5" a="1"/>
  <c r="J91" i="5" s="1"/>
  <c r="AH89" i="5"/>
  <c r="AC89" i="5"/>
  <c r="X89" i="5"/>
  <c r="AM89" i="5"/>
  <c r="AF90" i="5"/>
  <c r="V90" i="5"/>
  <c r="AK90" i="5"/>
  <c r="T90" i="5"/>
  <c r="AA90" i="5"/>
  <c r="AV90" i="5"/>
  <c r="L90" i="5"/>
  <c r="P90" i="5"/>
  <c r="R90" i="5"/>
  <c r="M90" i="5"/>
  <c r="N90" i="5"/>
  <c r="DV99" i="2"/>
  <c r="AH99" i="2"/>
  <c r="C99" i="2"/>
  <c r="D99" i="2"/>
  <c r="E99" i="2"/>
  <c r="AL99" i="2"/>
  <c r="K99" i="2"/>
  <c r="B100" i="2"/>
  <c r="L99" i="2"/>
  <c r="D91" i="5"/>
  <c r="F90" i="5"/>
  <c r="G90" i="5"/>
  <c r="AD89" i="5" l="1"/>
  <c r="AE89" i="5" s="1"/>
  <c r="BB89" i="5" s="1"/>
  <c r="AV92" i="5"/>
  <c r="P92" i="5"/>
  <c r="AM90" i="5"/>
  <c r="X90" i="5"/>
  <c r="AC90" i="5"/>
  <c r="AH90" i="5"/>
  <c r="AZ91" i="5"/>
  <c r="K91" i="5"/>
  <c r="U91" i="5"/>
  <c r="Q91" i="5"/>
  <c r="W90" i="5"/>
  <c r="Y90" i="5" s="1"/>
  <c r="Z90" i="5" s="1"/>
  <c r="BA90" i="5" s="1"/>
  <c r="AB90" i="5"/>
  <c r="AG90" i="5"/>
  <c r="AL90" i="5"/>
  <c r="F91" i="5"/>
  <c r="G91" i="5"/>
  <c r="E92" i="5"/>
  <c r="S92" i="5"/>
  <c r="J92" i="5" a="1"/>
  <c r="J92" i="5" s="1"/>
  <c r="R92" i="5" s="1"/>
  <c r="AU93" i="5"/>
  <c r="H93" i="5"/>
  <c r="I93" i="5"/>
  <c r="B94" i="5"/>
  <c r="C93" i="5"/>
  <c r="DV100" i="2"/>
  <c r="K100" i="2"/>
  <c r="B101" i="2"/>
  <c r="L100" i="2"/>
  <c r="AH100" i="2"/>
  <c r="C100" i="2"/>
  <c r="E100" i="2" s="1"/>
  <c r="D100" i="2"/>
  <c r="AL100" i="2"/>
  <c r="AF91" i="5"/>
  <c r="AA91" i="5"/>
  <c r="AK91" i="5"/>
  <c r="T91" i="5"/>
  <c r="V91" i="5"/>
  <c r="DW99" i="2"/>
  <c r="BI99" i="2"/>
  <c r="AV91" i="5"/>
  <c r="P91" i="5"/>
  <c r="L91" i="5"/>
  <c r="R91" i="5"/>
  <c r="M91" i="5"/>
  <c r="N91" i="5"/>
  <c r="AN89" i="5"/>
  <c r="AO89" i="5" s="1"/>
  <c r="BD89" i="5" s="1"/>
  <c r="Y89" i="5"/>
  <c r="Z89" i="5" s="1"/>
  <c r="BA89" i="5" s="1"/>
  <c r="AI89" i="5"/>
  <c r="AJ89" i="5" s="1"/>
  <c r="BC89" i="5" s="1"/>
  <c r="DW100" i="2" l="1"/>
  <c r="BI100" i="2"/>
  <c r="X91" i="5"/>
  <c r="AC91" i="5"/>
  <c r="AH91" i="5"/>
  <c r="AM91" i="5"/>
  <c r="S93" i="5"/>
  <c r="E93" i="5"/>
  <c r="J93" i="5" a="1"/>
  <c r="J93" i="5" s="1"/>
  <c r="M92" i="5"/>
  <c r="F92" i="5"/>
  <c r="G92" i="5"/>
  <c r="N92" i="5"/>
  <c r="AU94" i="5"/>
  <c r="I94" i="5"/>
  <c r="B95" i="5"/>
  <c r="C94" i="5"/>
  <c r="D94" i="5" s="1"/>
  <c r="H94" i="5"/>
  <c r="L92" i="5"/>
  <c r="DV101" i="2"/>
  <c r="AH101" i="2"/>
  <c r="C101" i="2"/>
  <c r="D101" i="2" s="1"/>
  <c r="AL101" i="2"/>
  <c r="K101" i="2"/>
  <c r="B102" i="2"/>
  <c r="L101" i="2"/>
  <c r="W91" i="5"/>
  <c r="AG91" i="5"/>
  <c r="AL91" i="5"/>
  <c r="AB91" i="5"/>
  <c r="AD91" i="5" s="1"/>
  <c r="AE91" i="5" s="1"/>
  <c r="BB91" i="5" s="1"/>
  <c r="AK92" i="5"/>
  <c r="AA92" i="5"/>
  <c r="AF92" i="5"/>
  <c r="T92" i="5"/>
  <c r="V92" i="5"/>
  <c r="AN90" i="5"/>
  <c r="AO90" i="5" s="1"/>
  <c r="BD90" i="5" s="1"/>
  <c r="AI90" i="5"/>
  <c r="AJ90" i="5" s="1"/>
  <c r="BC90" i="5" s="1"/>
  <c r="AZ92" i="5"/>
  <c r="U92" i="5"/>
  <c r="K92" i="5"/>
  <c r="Q92" i="5"/>
  <c r="D93" i="5"/>
  <c r="AD90" i="5"/>
  <c r="AE90" i="5" s="1"/>
  <c r="BB90" i="5" s="1"/>
  <c r="AZ93" i="5" l="1"/>
  <c r="K93" i="5"/>
  <c r="U93" i="5"/>
  <c r="Q93" i="5"/>
  <c r="AV94" i="5"/>
  <c r="P94" i="5"/>
  <c r="F93" i="5"/>
  <c r="G93" i="5"/>
  <c r="V93" i="5"/>
  <c r="AA93" i="5"/>
  <c r="AF93" i="5"/>
  <c r="AK93" i="5"/>
  <c r="T93" i="5"/>
  <c r="AM92" i="5"/>
  <c r="X92" i="5"/>
  <c r="AC92" i="5"/>
  <c r="AH92" i="5"/>
  <c r="S94" i="5"/>
  <c r="E94" i="5"/>
  <c r="J94" i="5" a="1"/>
  <c r="J94" i="5" s="1"/>
  <c r="L94" i="5" s="1"/>
  <c r="AU95" i="5"/>
  <c r="I95" i="5"/>
  <c r="B96" i="5"/>
  <c r="C95" i="5"/>
  <c r="H95" i="5"/>
  <c r="D95" i="5"/>
  <c r="DV102" i="2"/>
  <c r="E102" i="2"/>
  <c r="AL102" i="2"/>
  <c r="K102" i="2"/>
  <c r="B103" i="2"/>
  <c r="L102" i="2"/>
  <c r="AH102" i="2"/>
  <c r="C102" i="2"/>
  <c r="D102" i="2"/>
  <c r="W92" i="5"/>
  <c r="AL92" i="5"/>
  <c r="AB92" i="5"/>
  <c r="AG92" i="5"/>
  <c r="AI92" i="5" s="1"/>
  <c r="AJ92" i="5" s="1"/>
  <c r="BC92" i="5" s="1"/>
  <c r="AN91" i="5"/>
  <c r="AO91" i="5" s="1"/>
  <c r="BD91" i="5" s="1"/>
  <c r="E101" i="2"/>
  <c r="AI91" i="5"/>
  <c r="AJ91" i="5" s="1"/>
  <c r="BC91" i="5" s="1"/>
  <c r="AV93" i="5"/>
  <c r="L93" i="5"/>
  <c r="P93" i="5"/>
  <c r="R93" i="5"/>
  <c r="M93" i="5"/>
  <c r="N93" i="5"/>
  <c r="Y91" i="5"/>
  <c r="Z91" i="5" s="1"/>
  <c r="BA91" i="5" s="1"/>
  <c r="AN92" i="5" l="1"/>
  <c r="AO92" i="5" s="1"/>
  <c r="BD92" i="5" s="1"/>
  <c r="Y92" i="5"/>
  <c r="Z92" i="5" s="1"/>
  <c r="BA92" i="5" s="1"/>
  <c r="AD92" i="5"/>
  <c r="AE92" i="5" s="1"/>
  <c r="BB92" i="5" s="1"/>
  <c r="DW101" i="2"/>
  <c r="BI101" i="2"/>
  <c r="AU96" i="5"/>
  <c r="H96" i="5"/>
  <c r="B97" i="5"/>
  <c r="C96" i="5"/>
  <c r="I96" i="5"/>
  <c r="D96" i="5"/>
  <c r="N94" i="5"/>
  <c r="M94" i="5"/>
  <c r="R94" i="5"/>
  <c r="AZ94" i="5"/>
  <c r="U94" i="5"/>
  <c r="K94" i="5"/>
  <c r="Q94" i="5"/>
  <c r="F94" i="5"/>
  <c r="G94" i="5"/>
  <c r="AM93" i="5"/>
  <c r="AH93" i="5"/>
  <c r="X93" i="5"/>
  <c r="AC93" i="5"/>
  <c r="AV95" i="5"/>
  <c r="L95" i="5"/>
  <c r="R95" i="5"/>
  <c r="P95" i="5"/>
  <c r="AG93" i="5"/>
  <c r="AL93" i="5"/>
  <c r="W93" i="5"/>
  <c r="AB93" i="5"/>
  <c r="AK94" i="5"/>
  <c r="AF94" i="5"/>
  <c r="T94" i="5"/>
  <c r="AA94" i="5"/>
  <c r="V94" i="5"/>
  <c r="DW102" i="2"/>
  <c r="BI102" i="2"/>
  <c r="DV103" i="2"/>
  <c r="L103" i="2"/>
  <c r="AH103" i="2"/>
  <c r="C103" i="2"/>
  <c r="D103" i="2"/>
  <c r="E103" i="2"/>
  <c r="AL103" i="2"/>
  <c r="K103" i="2"/>
  <c r="B104" i="2"/>
  <c r="S95" i="5"/>
  <c r="E95" i="5"/>
  <c r="J95" i="5" a="1"/>
  <c r="J95" i="5" s="1"/>
  <c r="AV96" i="5" l="1"/>
  <c r="P96" i="5"/>
  <c r="DW103" i="2"/>
  <c r="BI103" i="2"/>
  <c r="S96" i="5"/>
  <c r="E96" i="5"/>
  <c r="J96" i="5" a="1"/>
  <c r="J96" i="5" s="1"/>
  <c r="L96" i="5" s="1"/>
  <c r="AU97" i="5"/>
  <c r="H97" i="5"/>
  <c r="B98" i="5"/>
  <c r="C97" i="5"/>
  <c r="I97" i="5"/>
  <c r="D97" i="5"/>
  <c r="F95" i="5"/>
  <c r="G95" i="5"/>
  <c r="AI93" i="5"/>
  <c r="AJ93" i="5" s="1"/>
  <c r="BC93" i="5" s="1"/>
  <c r="AL94" i="5"/>
  <c r="W94" i="5"/>
  <c r="AB94" i="5"/>
  <c r="AD94" i="5" s="1"/>
  <c r="AE94" i="5" s="1"/>
  <c r="BB94" i="5" s="1"/>
  <c r="AG94" i="5"/>
  <c r="Y93" i="5"/>
  <c r="Z93" i="5" s="1"/>
  <c r="BA93" i="5" s="1"/>
  <c r="V95" i="5"/>
  <c r="T95" i="5"/>
  <c r="AK95" i="5"/>
  <c r="AF95" i="5"/>
  <c r="AA95" i="5"/>
  <c r="AD93" i="5"/>
  <c r="AE93" i="5" s="1"/>
  <c r="BB93" i="5" s="1"/>
  <c r="AN93" i="5"/>
  <c r="AO93" i="5" s="1"/>
  <c r="BD93" i="5" s="1"/>
  <c r="AZ95" i="5"/>
  <c r="K95" i="5"/>
  <c r="U95" i="5"/>
  <c r="Q95" i="5"/>
  <c r="AC94" i="5"/>
  <c r="X94" i="5"/>
  <c r="AH94" i="5"/>
  <c r="AM94" i="5"/>
  <c r="N95" i="5"/>
  <c r="M95" i="5"/>
  <c r="DV104" i="2"/>
  <c r="C104" i="2"/>
  <c r="D104" i="2"/>
  <c r="E104" i="2"/>
  <c r="AL104" i="2"/>
  <c r="K104" i="2"/>
  <c r="B105" i="2"/>
  <c r="L104" i="2"/>
  <c r="AH104" i="2"/>
  <c r="AN94" i="5" l="1"/>
  <c r="AO94" i="5" s="1"/>
  <c r="BD94" i="5" s="1"/>
  <c r="Y94" i="5"/>
  <c r="Z94" i="5" s="1"/>
  <c r="BA94" i="5" s="1"/>
  <c r="F96" i="5"/>
  <c r="G96" i="5"/>
  <c r="AF96" i="5"/>
  <c r="T96" i="5"/>
  <c r="V96" i="5"/>
  <c r="AA96" i="5"/>
  <c r="AK96" i="5"/>
  <c r="AV97" i="5"/>
  <c r="P97" i="5"/>
  <c r="DW104" i="2"/>
  <c r="BI104" i="2"/>
  <c r="N96" i="5"/>
  <c r="M96" i="5"/>
  <c r="AM95" i="5"/>
  <c r="AH95" i="5"/>
  <c r="X95" i="5"/>
  <c r="AC95" i="5"/>
  <c r="AB95" i="5"/>
  <c r="AD95" i="5" s="1"/>
  <c r="AE95" i="5" s="1"/>
  <c r="BB95" i="5" s="1"/>
  <c r="AG95" i="5"/>
  <c r="AI95" i="5" s="1"/>
  <c r="AJ95" i="5" s="1"/>
  <c r="BC95" i="5" s="1"/>
  <c r="AL95" i="5"/>
  <c r="W95" i="5"/>
  <c r="Y95" i="5" s="1"/>
  <c r="Z95" i="5" s="1"/>
  <c r="BA95" i="5" s="1"/>
  <c r="S97" i="5"/>
  <c r="E97" i="5"/>
  <c r="J97" i="5" a="1"/>
  <c r="J97" i="5" s="1"/>
  <c r="AZ96" i="5"/>
  <c r="K96" i="5"/>
  <c r="U96" i="5"/>
  <c r="Q96" i="5"/>
  <c r="DV105" i="2"/>
  <c r="K105" i="2"/>
  <c r="B106" i="2"/>
  <c r="L105" i="2"/>
  <c r="AH105" i="2"/>
  <c r="C105" i="2"/>
  <c r="E105" i="2" s="1"/>
  <c r="D105" i="2"/>
  <c r="AL105" i="2"/>
  <c r="AU98" i="5"/>
  <c r="B99" i="5"/>
  <c r="C98" i="5"/>
  <c r="H98" i="5"/>
  <c r="I98" i="5"/>
  <c r="R96" i="5"/>
  <c r="AI94" i="5"/>
  <c r="AJ94" i="5" s="1"/>
  <c r="BC94" i="5" s="1"/>
  <c r="AN95" i="5" l="1"/>
  <c r="AO95" i="5" s="1"/>
  <c r="BD95" i="5" s="1"/>
  <c r="DW105" i="2"/>
  <c r="BI105" i="2"/>
  <c r="T97" i="5"/>
  <c r="AK97" i="5"/>
  <c r="AA97" i="5"/>
  <c r="AF97" i="5"/>
  <c r="V97" i="5"/>
  <c r="DV106" i="2"/>
  <c r="AH106" i="2"/>
  <c r="C106" i="2"/>
  <c r="D106" i="2"/>
  <c r="E106" i="2"/>
  <c r="K106" i="2"/>
  <c r="B107" i="2"/>
  <c r="L106" i="2"/>
  <c r="AL106" i="2"/>
  <c r="AZ97" i="5"/>
  <c r="U97" i="5"/>
  <c r="K97" i="5"/>
  <c r="Q97" i="5"/>
  <c r="R97" i="5"/>
  <c r="X96" i="5"/>
  <c r="AC96" i="5"/>
  <c r="AH96" i="5"/>
  <c r="AM96" i="5"/>
  <c r="AB96" i="5"/>
  <c r="AD96" i="5" s="1"/>
  <c r="AE96" i="5" s="1"/>
  <c r="BB96" i="5" s="1"/>
  <c r="W96" i="5"/>
  <c r="Y96" i="5" s="1"/>
  <c r="Z96" i="5" s="1"/>
  <c r="BA96" i="5" s="1"/>
  <c r="AG96" i="5"/>
  <c r="AI96" i="5" s="1"/>
  <c r="AJ96" i="5" s="1"/>
  <c r="BC96" i="5" s="1"/>
  <c r="AL96" i="5"/>
  <c r="AN96" i="5" s="1"/>
  <c r="AO96" i="5" s="1"/>
  <c r="BD96" i="5" s="1"/>
  <c r="N97" i="5"/>
  <c r="AU99" i="5"/>
  <c r="I99" i="5"/>
  <c r="C99" i="5"/>
  <c r="H99" i="5"/>
  <c r="B100" i="5"/>
  <c r="D99" i="5"/>
  <c r="F97" i="5"/>
  <c r="G97" i="5"/>
  <c r="S98" i="5"/>
  <c r="E98" i="5"/>
  <c r="J98" i="5" a="1"/>
  <c r="J98" i="5" s="1"/>
  <c r="M97" i="5"/>
  <c r="L97" i="5"/>
  <c r="D98" i="5"/>
  <c r="G98" i="5" l="1"/>
  <c r="F98" i="5"/>
  <c r="AM97" i="5"/>
  <c r="AC97" i="5"/>
  <c r="AH97" i="5"/>
  <c r="X97" i="5"/>
  <c r="AZ98" i="5"/>
  <c r="K98" i="5"/>
  <c r="U98" i="5"/>
  <c r="Q98" i="5"/>
  <c r="AV98" i="5"/>
  <c r="L98" i="5"/>
  <c r="P98" i="5"/>
  <c r="R98" i="5"/>
  <c r="N98" i="5"/>
  <c r="M98" i="5"/>
  <c r="DW106" i="2"/>
  <c r="BI106" i="2"/>
  <c r="DV107" i="2"/>
  <c r="K107" i="2"/>
  <c r="B108" i="2"/>
  <c r="L107" i="2"/>
  <c r="AH107" i="2"/>
  <c r="C107" i="2"/>
  <c r="E107" i="2" s="1"/>
  <c r="AL107" i="2"/>
  <c r="W97" i="5"/>
  <c r="Y97" i="5" s="1"/>
  <c r="Z97" i="5" s="1"/>
  <c r="BA97" i="5" s="1"/>
  <c r="AB97" i="5"/>
  <c r="AD97" i="5" s="1"/>
  <c r="AE97" i="5" s="1"/>
  <c r="BB97" i="5" s="1"/>
  <c r="AG97" i="5"/>
  <c r="AI97" i="5" s="1"/>
  <c r="AJ97" i="5" s="1"/>
  <c r="BC97" i="5" s="1"/>
  <c r="AL97" i="5"/>
  <c r="AN97" i="5" s="1"/>
  <c r="AO97" i="5" s="1"/>
  <c r="BD97" i="5" s="1"/>
  <c r="V98" i="5"/>
  <c r="AA98" i="5"/>
  <c r="AK98" i="5"/>
  <c r="T98" i="5"/>
  <c r="AF98" i="5"/>
  <c r="AV99" i="5"/>
  <c r="P99" i="5"/>
  <c r="AU100" i="5"/>
  <c r="I100" i="5"/>
  <c r="B101" i="5"/>
  <c r="H100" i="5"/>
  <c r="C100" i="5"/>
  <c r="D100" i="5" s="1"/>
  <c r="S99" i="5"/>
  <c r="E99" i="5"/>
  <c r="J99" i="5" a="1"/>
  <c r="J99" i="5" s="1"/>
  <c r="R99" i="5" s="1"/>
  <c r="M99" i="5" l="1"/>
  <c r="AV100" i="5"/>
  <c r="P100" i="5"/>
  <c r="DW107" i="2"/>
  <c r="BI107" i="2"/>
  <c r="D107" i="2"/>
  <c r="AM98" i="5"/>
  <c r="X98" i="5"/>
  <c r="AC98" i="5"/>
  <c r="AH98" i="5"/>
  <c r="AU101" i="5"/>
  <c r="B102" i="5"/>
  <c r="C101" i="5"/>
  <c r="H101" i="5"/>
  <c r="I101" i="5"/>
  <c r="D101" i="5"/>
  <c r="L99" i="5"/>
  <c r="G99" i="5"/>
  <c r="F99" i="5"/>
  <c r="AK99" i="5"/>
  <c r="V99" i="5"/>
  <c r="AA99" i="5"/>
  <c r="AF99" i="5"/>
  <c r="T99" i="5"/>
  <c r="AZ99" i="5"/>
  <c r="U99" i="5"/>
  <c r="K99" i="5"/>
  <c r="Q99" i="5"/>
  <c r="AG98" i="5"/>
  <c r="AL98" i="5"/>
  <c r="AB98" i="5"/>
  <c r="W98" i="5"/>
  <c r="DV108" i="2"/>
  <c r="AH108" i="2"/>
  <c r="C108" i="2"/>
  <c r="E108" i="2"/>
  <c r="AL108" i="2"/>
  <c r="K108" i="2"/>
  <c r="B109" i="2"/>
  <c r="L108" i="2"/>
  <c r="N99" i="5"/>
  <c r="E100" i="5"/>
  <c r="S100" i="5"/>
  <c r="J100" i="5" a="1"/>
  <c r="J100" i="5" s="1"/>
  <c r="L100" i="5" s="1"/>
  <c r="AG99" i="5" l="1"/>
  <c r="W99" i="5"/>
  <c r="AB99" i="5"/>
  <c r="AL99" i="5"/>
  <c r="DW108" i="2"/>
  <c r="BI108" i="2"/>
  <c r="D108" i="2"/>
  <c r="AV101" i="5"/>
  <c r="P101" i="5"/>
  <c r="R101" i="5"/>
  <c r="L101" i="5"/>
  <c r="M101" i="5"/>
  <c r="AN98" i="5"/>
  <c r="AO98" i="5" s="1"/>
  <c r="BD98" i="5" s="1"/>
  <c r="N100" i="5"/>
  <c r="M100" i="5"/>
  <c r="R100" i="5"/>
  <c r="Y98" i="5"/>
  <c r="Z98" i="5" s="1"/>
  <c r="BA98" i="5" s="1"/>
  <c r="DV109" i="2"/>
  <c r="AL109" i="2"/>
  <c r="L109" i="2"/>
  <c r="AH109" i="2"/>
  <c r="K109" i="2"/>
  <c r="C109" i="2"/>
  <c r="B110" i="2"/>
  <c r="D109" i="2"/>
  <c r="E109" i="2"/>
  <c r="X99" i="5"/>
  <c r="AC99" i="5"/>
  <c r="AH99" i="5"/>
  <c r="AM99" i="5"/>
  <c r="F100" i="5"/>
  <c r="G100" i="5"/>
  <c r="AI98" i="5"/>
  <c r="AJ98" i="5" s="1"/>
  <c r="BC98" i="5" s="1"/>
  <c r="S101" i="5"/>
  <c r="E101" i="5"/>
  <c r="J101" i="5" a="1"/>
  <c r="J101" i="5" s="1"/>
  <c r="AD98" i="5"/>
  <c r="AE98" i="5" s="1"/>
  <c r="BB98" i="5" s="1"/>
  <c r="AZ100" i="5"/>
  <c r="K100" i="5"/>
  <c r="U100" i="5"/>
  <c r="Q100" i="5"/>
  <c r="T100" i="5"/>
  <c r="AF100" i="5"/>
  <c r="AK100" i="5"/>
  <c r="V100" i="5"/>
  <c r="AA100" i="5"/>
  <c r="AU102" i="5"/>
  <c r="B103" i="5"/>
  <c r="C102" i="5"/>
  <c r="H102" i="5"/>
  <c r="I102" i="5"/>
  <c r="D102" i="5"/>
  <c r="AB100" i="5" l="1"/>
  <c r="AG100" i="5"/>
  <c r="AL100" i="5"/>
  <c r="W100" i="5"/>
  <c r="X100" i="5"/>
  <c r="AH100" i="5"/>
  <c r="AM100" i="5"/>
  <c r="AC100" i="5"/>
  <c r="AV102" i="5"/>
  <c r="P102" i="5"/>
  <c r="DW109" i="2"/>
  <c r="BI109" i="2"/>
  <c r="AN99" i="5"/>
  <c r="AO99" i="5" s="1"/>
  <c r="BD99" i="5" s="1"/>
  <c r="F101" i="5"/>
  <c r="G101" i="5"/>
  <c r="AD99" i="5"/>
  <c r="AE99" i="5" s="1"/>
  <c r="BB99" i="5" s="1"/>
  <c r="Y99" i="5"/>
  <c r="Z99" i="5" s="1"/>
  <c r="BA99" i="5" s="1"/>
  <c r="E102" i="5"/>
  <c r="S102" i="5"/>
  <c r="J102" i="5" a="1"/>
  <c r="J102" i="5" s="1"/>
  <c r="N102" i="5" s="1"/>
  <c r="AI99" i="5"/>
  <c r="AJ99" i="5" s="1"/>
  <c r="BC99" i="5" s="1"/>
  <c r="DV110" i="2"/>
  <c r="AL110" i="2"/>
  <c r="K110" i="2"/>
  <c r="L110" i="2"/>
  <c r="AH110" i="2"/>
  <c r="B111" i="2"/>
  <c r="C110" i="2"/>
  <c r="E110" i="2" s="1"/>
  <c r="AZ101" i="5"/>
  <c r="K101" i="5"/>
  <c r="U101" i="5"/>
  <c r="Q101" i="5"/>
  <c r="V101" i="5"/>
  <c r="AA101" i="5"/>
  <c r="AF101" i="5"/>
  <c r="T101" i="5"/>
  <c r="AK101" i="5"/>
  <c r="AU103" i="5"/>
  <c r="H103" i="5"/>
  <c r="B104" i="5"/>
  <c r="I103" i="5"/>
  <c r="C103" i="5"/>
  <c r="D103" i="5"/>
  <c r="N101" i="5"/>
  <c r="D110" i="2" l="1"/>
  <c r="M102" i="5"/>
  <c r="L102" i="5"/>
  <c r="R102" i="5"/>
  <c r="G102" i="5"/>
  <c r="F102" i="5"/>
  <c r="DV111" i="2"/>
  <c r="AL111" i="2"/>
  <c r="L111" i="2"/>
  <c r="B112" i="2"/>
  <c r="C111" i="2"/>
  <c r="D111" i="2" s="1"/>
  <c r="AH111" i="2"/>
  <c r="K111" i="2"/>
  <c r="V102" i="5"/>
  <c r="AA102" i="5"/>
  <c r="AF102" i="5"/>
  <c r="AK102" i="5"/>
  <c r="T102" i="5"/>
  <c r="AZ102" i="5"/>
  <c r="U102" i="5"/>
  <c r="K102" i="5"/>
  <c r="Q102" i="5"/>
  <c r="AL101" i="5"/>
  <c r="AG101" i="5"/>
  <c r="W101" i="5"/>
  <c r="AB101" i="5"/>
  <c r="DW110" i="2"/>
  <c r="BI110" i="2"/>
  <c r="Y100" i="5"/>
  <c r="Z100" i="5" s="1"/>
  <c r="BA100" i="5" s="1"/>
  <c r="AM101" i="5"/>
  <c r="X101" i="5"/>
  <c r="AC101" i="5"/>
  <c r="AH101" i="5"/>
  <c r="AV103" i="5"/>
  <c r="P103" i="5"/>
  <c r="E103" i="5"/>
  <c r="S103" i="5"/>
  <c r="J103" i="5" a="1"/>
  <c r="J103" i="5" s="1"/>
  <c r="M103" i="5" s="1"/>
  <c r="AN100" i="5"/>
  <c r="AO100" i="5" s="1"/>
  <c r="BD100" i="5" s="1"/>
  <c r="AI100" i="5"/>
  <c r="AJ100" i="5" s="1"/>
  <c r="BC100" i="5" s="1"/>
  <c r="AU104" i="5"/>
  <c r="C104" i="5"/>
  <c r="B105" i="5"/>
  <c r="H104" i="5"/>
  <c r="I104" i="5"/>
  <c r="AD100" i="5"/>
  <c r="AE100" i="5" s="1"/>
  <c r="BB100" i="5" s="1"/>
  <c r="E111" i="2" l="1"/>
  <c r="DV112" i="2"/>
  <c r="L112" i="2"/>
  <c r="C112" i="2"/>
  <c r="D112" i="2"/>
  <c r="E112" i="2"/>
  <c r="B113" i="2"/>
  <c r="K112" i="2"/>
  <c r="AH112" i="2"/>
  <c r="AL112" i="2"/>
  <c r="DW111" i="2"/>
  <c r="BI111" i="2"/>
  <c r="E104" i="5"/>
  <c r="S104" i="5"/>
  <c r="J104" i="5" a="1"/>
  <c r="J104" i="5" s="1"/>
  <c r="AM102" i="5"/>
  <c r="X102" i="5"/>
  <c r="AC102" i="5"/>
  <c r="AH102" i="5"/>
  <c r="F103" i="5"/>
  <c r="G103" i="5"/>
  <c r="AD101" i="5"/>
  <c r="AE101" i="5" s="1"/>
  <c r="BB101" i="5" s="1"/>
  <c r="AL102" i="5"/>
  <c r="W102" i="5"/>
  <c r="AB102" i="5"/>
  <c r="AG102" i="5"/>
  <c r="V103" i="5"/>
  <c r="AA103" i="5"/>
  <c r="AF103" i="5"/>
  <c r="AK103" i="5"/>
  <c r="T103" i="5"/>
  <c r="Y101" i="5"/>
  <c r="Z101" i="5" s="1"/>
  <c r="BA101" i="5" s="1"/>
  <c r="AZ103" i="5"/>
  <c r="U103" i="5"/>
  <c r="K103" i="5"/>
  <c r="Q103" i="5"/>
  <c r="R103" i="5"/>
  <c r="N103" i="5"/>
  <c r="AI101" i="5"/>
  <c r="AJ101" i="5" s="1"/>
  <c r="BC101" i="5" s="1"/>
  <c r="AU105" i="5"/>
  <c r="C105" i="5"/>
  <c r="D105" i="5" s="1"/>
  <c r="B106" i="5"/>
  <c r="H105" i="5"/>
  <c r="I105" i="5"/>
  <c r="AN101" i="5"/>
  <c r="AO101" i="5" s="1"/>
  <c r="BD101" i="5" s="1"/>
  <c r="L103" i="5"/>
  <c r="D104" i="5"/>
  <c r="AU106" i="5" l="1"/>
  <c r="C106" i="5"/>
  <c r="I106" i="5"/>
  <c r="B107" i="5"/>
  <c r="H106" i="5"/>
  <c r="D106" i="5"/>
  <c r="W103" i="5"/>
  <c r="AB103" i="5"/>
  <c r="AG103" i="5"/>
  <c r="AI103" i="5" s="1"/>
  <c r="AJ103" i="5" s="1"/>
  <c r="BC103" i="5" s="1"/>
  <c r="AL103" i="5"/>
  <c r="AN103" i="5" s="1"/>
  <c r="AO103" i="5" s="1"/>
  <c r="BD103" i="5" s="1"/>
  <c r="DV113" i="2"/>
  <c r="C113" i="2"/>
  <c r="D113" i="2"/>
  <c r="AL113" i="2"/>
  <c r="B114" i="2"/>
  <c r="K113" i="2"/>
  <c r="L113" i="2"/>
  <c r="AH113" i="2"/>
  <c r="DW112" i="2"/>
  <c r="BI112" i="2"/>
  <c r="AV105" i="5"/>
  <c r="P105" i="5"/>
  <c r="AI102" i="5"/>
  <c r="AJ102" i="5" s="1"/>
  <c r="BC102" i="5" s="1"/>
  <c r="AD102" i="5"/>
  <c r="AE102" i="5" s="1"/>
  <c r="BB102" i="5" s="1"/>
  <c r="AZ104" i="5"/>
  <c r="U104" i="5"/>
  <c r="K104" i="5"/>
  <c r="Q104" i="5"/>
  <c r="F104" i="5"/>
  <c r="G104" i="5"/>
  <c r="Y102" i="5"/>
  <c r="Z102" i="5" s="1"/>
  <c r="BA102" i="5" s="1"/>
  <c r="AN102" i="5"/>
  <c r="AO102" i="5" s="1"/>
  <c r="BD102" i="5" s="1"/>
  <c r="AV104" i="5"/>
  <c r="P104" i="5"/>
  <c r="R104" i="5"/>
  <c r="L104" i="5"/>
  <c r="M104" i="5"/>
  <c r="N104" i="5"/>
  <c r="T104" i="5"/>
  <c r="V104" i="5"/>
  <c r="AK104" i="5"/>
  <c r="AA104" i="5"/>
  <c r="AF104" i="5"/>
  <c r="S105" i="5"/>
  <c r="E105" i="5"/>
  <c r="J105" i="5" a="1"/>
  <c r="J105" i="5" s="1"/>
  <c r="N105" i="5" s="1"/>
  <c r="AC103" i="5"/>
  <c r="AM103" i="5"/>
  <c r="X103" i="5"/>
  <c r="AH103" i="5"/>
  <c r="AD103" i="5" l="1"/>
  <c r="AE103" i="5" s="1"/>
  <c r="BB103" i="5" s="1"/>
  <c r="M105" i="5"/>
  <c r="Y103" i="5"/>
  <c r="Z103" i="5" s="1"/>
  <c r="BA103" i="5" s="1"/>
  <c r="AL104" i="5"/>
  <c r="W104" i="5"/>
  <c r="AB104" i="5"/>
  <c r="AG104" i="5"/>
  <c r="DV114" i="2"/>
  <c r="K114" i="2"/>
  <c r="AH114" i="2"/>
  <c r="AL114" i="2"/>
  <c r="C114" i="2"/>
  <c r="D114" i="2" s="1"/>
  <c r="B115" i="2"/>
  <c r="L114" i="2"/>
  <c r="AV106" i="5"/>
  <c r="P106" i="5"/>
  <c r="AU107" i="5"/>
  <c r="H107" i="5"/>
  <c r="C107" i="5"/>
  <c r="I107" i="5"/>
  <c r="B108" i="5"/>
  <c r="D107" i="5"/>
  <c r="R105" i="5"/>
  <c r="F105" i="5"/>
  <c r="G105" i="5"/>
  <c r="L105" i="5"/>
  <c r="E113" i="2"/>
  <c r="AA105" i="5"/>
  <c r="AF105" i="5"/>
  <c r="AK105" i="5"/>
  <c r="T105" i="5"/>
  <c r="V105" i="5"/>
  <c r="AH104" i="5"/>
  <c r="AM104" i="5"/>
  <c r="X104" i="5"/>
  <c r="AC104" i="5"/>
  <c r="E106" i="5"/>
  <c r="S106" i="5"/>
  <c r="J106" i="5" a="1"/>
  <c r="J106" i="5" s="1"/>
  <c r="M106" i="5" s="1"/>
  <c r="AZ105" i="5"/>
  <c r="K105" i="5"/>
  <c r="U105" i="5"/>
  <c r="Q105" i="5"/>
  <c r="N106" i="5" l="1"/>
  <c r="L106" i="5"/>
  <c r="T106" i="5"/>
  <c r="AA106" i="5"/>
  <c r="AF106" i="5"/>
  <c r="AK106" i="5"/>
  <c r="V106" i="5"/>
  <c r="DW113" i="2"/>
  <c r="BI113" i="2"/>
  <c r="AZ106" i="5"/>
  <c r="K106" i="5"/>
  <c r="U106" i="5"/>
  <c r="Q106" i="5"/>
  <c r="AC105" i="5"/>
  <c r="AH105" i="5"/>
  <c r="AM105" i="5"/>
  <c r="X105" i="5"/>
  <c r="AI104" i="5"/>
  <c r="AJ104" i="5" s="1"/>
  <c r="BC104" i="5" s="1"/>
  <c r="AV107" i="5"/>
  <c r="P107" i="5"/>
  <c r="DV115" i="2"/>
  <c r="AL115" i="2"/>
  <c r="K115" i="2"/>
  <c r="B116" i="2"/>
  <c r="L115" i="2"/>
  <c r="AH115" i="2"/>
  <c r="C115" i="2"/>
  <c r="D115" i="2"/>
  <c r="E115" i="2"/>
  <c r="AD104" i="5"/>
  <c r="AE104" i="5" s="1"/>
  <c r="BB104" i="5" s="1"/>
  <c r="R106" i="5"/>
  <c r="F106" i="5"/>
  <c r="G106" i="5"/>
  <c r="Y104" i="5"/>
  <c r="Z104" i="5" s="1"/>
  <c r="BA104" i="5" s="1"/>
  <c r="AU108" i="5"/>
  <c r="C108" i="5"/>
  <c r="B109" i="5"/>
  <c r="I108" i="5"/>
  <c r="H108" i="5"/>
  <c r="D108" i="5"/>
  <c r="E107" i="5"/>
  <c r="S107" i="5"/>
  <c r="J107" i="5" a="1"/>
  <c r="J107" i="5" s="1"/>
  <c r="R107" i="5" s="1"/>
  <c r="AN104" i="5"/>
  <c r="AO104" i="5" s="1"/>
  <c r="BD104" i="5" s="1"/>
  <c r="AG105" i="5"/>
  <c r="AL105" i="5"/>
  <c r="W105" i="5"/>
  <c r="AB105" i="5"/>
  <c r="E114" i="2"/>
  <c r="AN105" i="5" l="1"/>
  <c r="AO105" i="5" s="1"/>
  <c r="BD105" i="5" s="1"/>
  <c r="Y105" i="5"/>
  <c r="Z105" i="5" s="1"/>
  <c r="BA105" i="5" s="1"/>
  <c r="AI105" i="5"/>
  <c r="AJ105" i="5" s="1"/>
  <c r="BC105" i="5" s="1"/>
  <c r="DW115" i="2"/>
  <c r="BI115" i="2"/>
  <c r="L107" i="5"/>
  <c r="AA107" i="5"/>
  <c r="V107" i="5"/>
  <c r="AF107" i="5"/>
  <c r="T107" i="5"/>
  <c r="AK107" i="5"/>
  <c r="G107" i="5"/>
  <c r="F107" i="5"/>
  <c r="Z106" i="5"/>
  <c r="BA106" i="5" s="1"/>
  <c r="DW114" i="2"/>
  <c r="BI114" i="2"/>
  <c r="AH106" i="5"/>
  <c r="AC106" i="5"/>
  <c r="AM106" i="5"/>
  <c r="X106" i="5"/>
  <c r="DV116" i="2"/>
  <c r="AH116" i="2"/>
  <c r="C116" i="2"/>
  <c r="D116" i="2"/>
  <c r="E116" i="2"/>
  <c r="AL116" i="2"/>
  <c r="K116" i="2"/>
  <c r="B117" i="2"/>
  <c r="L116" i="2"/>
  <c r="AV108" i="5"/>
  <c r="P108" i="5"/>
  <c r="AU109" i="5"/>
  <c r="H109" i="5"/>
  <c r="B110" i="5"/>
  <c r="I109" i="5"/>
  <c r="C109" i="5"/>
  <c r="AD105" i="5"/>
  <c r="AE105" i="5" s="1"/>
  <c r="BB105" i="5" s="1"/>
  <c r="AL106" i="5"/>
  <c r="AN106" i="5" s="1"/>
  <c r="AO106" i="5" s="1"/>
  <c r="BD106" i="5" s="1"/>
  <c r="W106" i="5"/>
  <c r="Y106" i="5" s="1"/>
  <c r="AB106" i="5"/>
  <c r="AD106" i="5" s="1"/>
  <c r="AE106" i="5" s="1"/>
  <c r="BB106" i="5" s="1"/>
  <c r="AG106" i="5"/>
  <c r="AZ107" i="5"/>
  <c r="K107" i="5"/>
  <c r="U107" i="5"/>
  <c r="Q107" i="5"/>
  <c r="M107" i="5"/>
  <c r="S108" i="5"/>
  <c r="E108" i="5"/>
  <c r="J108" i="5" a="1"/>
  <c r="J108" i="5" s="1"/>
  <c r="L108" i="5" s="1"/>
  <c r="N107" i="5"/>
  <c r="AI106" i="5" l="1"/>
  <c r="AJ106" i="5" s="1"/>
  <c r="BC106" i="5" s="1"/>
  <c r="R108" i="5"/>
  <c r="N108" i="5"/>
  <c r="M108" i="5"/>
  <c r="AG107" i="5"/>
  <c r="AL107" i="5"/>
  <c r="W107" i="5"/>
  <c r="AB107" i="5"/>
  <c r="DW116" i="2"/>
  <c r="BI116" i="2"/>
  <c r="AZ108" i="5"/>
  <c r="K108" i="5"/>
  <c r="U108" i="5"/>
  <c r="Q108" i="5"/>
  <c r="S109" i="5"/>
  <c r="E109" i="5"/>
  <c r="J109" i="5" a="1"/>
  <c r="J109" i="5" s="1"/>
  <c r="D109" i="5"/>
  <c r="AF108" i="5"/>
  <c r="AK108" i="5"/>
  <c r="V108" i="5"/>
  <c r="AA108" i="5"/>
  <c r="T108" i="5"/>
  <c r="AU110" i="5"/>
  <c r="H110" i="5"/>
  <c r="B111" i="5"/>
  <c r="I110" i="5"/>
  <c r="C110" i="5"/>
  <c r="DV117" i="2"/>
  <c r="D117" i="2"/>
  <c r="E117" i="2"/>
  <c r="AL117" i="2"/>
  <c r="K117" i="2"/>
  <c r="B118" i="2"/>
  <c r="L117" i="2"/>
  <c r="AH117" i="2"/>
  <c r="C117" i="2"/>
  <c r="G108" i="5"/>
  <c r="F108" i="5"/>
  <c r="AM107" i="5"/>
  <c r="X107" i="5"/>
  <c r="AC107" i="5"/>
  <c r="AH107" i="5"/>
  <c r="F109" i="5" l="1"/>
  <c r="G109" i="5"/>
  <c r="E110" i="5"/>
  <c r="J110" i="5" a="1"/>
  <c r="J110" i="5" s="1"/>
  <c r="S110" i="5"/>
  <c r="AH108" i="5"/>
  <c r="X108" i="5"/>
  <c r="AC108" i="5"/>
  <c r="AM108" i="5"/>
  <c r="AB108" i="5"/>
  <c r="W108" i="5"/>
  <c r="Y108" i="5" s="1"/>
  <c r="Z108" i="5" s="1"/>
  <c r="BA108" i="5" s="1"/>
  <c r="AG108" i="5"/>
  <c r="AI108" i="5" s="1"/>
  <c r="AJ108" i="5" s="1"/>
  <c r="BC108" i="5" s="1"/>
  <c r="AL108" i="5"/>
  <c r="AN108" i="5" s="1"/>
  <c r="AO108" i="5" s="1"/>
  <c r="BD108" i="5" s="1"/>
  <c r="DW117" i="2"/>
  <c r="BI117" i="2"/>
  <c r="AD107" i="5"/>
  <c r="AE107" i="5" s="1"/>
  <c r="BB107" i="5" s="1"/>
  <c r="V109" i="5"/>
  <c r="AA109" i="5"/>
  <c r="T109" i="5"/>
  <c r="AF109" i="5"/>
  <c r="AK109" i="5"/>
  <c r="Y107" i="5"/>
  <c r="Z107" i="5" s="1"/>
  <c r="BA107" i="5" s="1"/>
  <c r="DV118" i="2"/>
  <c r="K118" i="2"/>
  <c r="B119" i="2"/>
  <c r="L118" i="2"/>
  <c r="AH118" i="2"/>
  <c r="C118" i="2"/>
  <c r="D118" i="2"/>
  <c r="E118" i="2"/>
  <c r="AL118" i="2"/>
  <c r="AN107" i="5"/>
  <c r="AO107" i="5" s="1"/>
  <c r="BD107" i="5" s="1"/>
  <c r="AU111" i="5"/>
  <c r="H111" i="5"/>
  <c r="B112" i="5"/>
  <c r="C111" i="5"/>
  <c r="I111" i="5"/>
  <c r="D111" i="5"/>
  <c r="AV109" i="5"/>
  <c r="L109" i="5"/>
  <c r="P109" i="5"/>
  <c r="R109" i="5"/>
  <c r="N109" i="5"/>
  <c r="M109" i="5"/>
  <c r="AI107" i="5"/>
  <c r="AJ107" i="5" s="1"/>
  <c r="BC107" i="5" s="1"/>
  <c r="D110" i="5"/>
  <c r="AZ109" i="5"/>
  <c r="K109" i="5"/>
  <c r="U109" i="5"/>
  <c r="Q109" i="5"/>
  <c r="AD108" i="5" l="1"/>
  <c r="AE108" i="5" s="1"/>
  <c r="BB108" i="5" s="1"/>
  <c r="DW118" i="2"/>
  <c r="BI118" i="2"/>
  <c r="AF110" i="5"/>
  <c r="AA110" i="5"/>
  <c r="T110" i="5"/>
  <c r="AK110" i="5"/>
  <c r="V110" i="5"/>
  <c r="DV119" i="2"/>
  <c r="AH119" i="2"/>
  <c r="C119" i="2"/>
  <c r="E119" i="2" s="1"/>
  <c r="D119" i="2"/>
  <c r="AL119" i="2"/>
  <c r="K119" i="2"/>
  <c r="B120" i="2"/>
  <c r="L119" i="2"/>
  <c r="AZ110" i="5"/>
  <c r="K110" i="5"/>
  <c r="U110" i="5"/>
  <c r="Q110" i="5"/>
  <c r="AV111" i="5"/>
  <c r="P111" i="5"/>
  <c r="W109" i="5"/>
  <c r="AB109" i="5"/>
  <c r="AG109" i="5"/>
  <c r="AL109" i="5"/>
  <c r="AH109" i="5"/>
  <c r="AM109" i="5"/>
  <c r="X109" i="5"/>
  <c r="AC109" i="5"/>
  <c r="G110" i="5"/>
  <c r="F110" i="5"/>
  <c r="E111" i="5"/>
  <c r="S111" i="5"/>
  <c r="J111" i="5" a="1"/>
  <c r="J111" i="5" s="1"/>
  <c r="L111" i="5" s="1"/>
  <c r="AU112" i="5"/>
  <c r="H112" i="5"/>
  <c r="I112" i="5"/>
  <c r="C112" i="5"/>
  <c r="D112" i="5"/>
  <c r="B113" i="5"/>
  <c r="AV110" i="5"/>
  <c r="P110" i="5"/>
  <c r="L110" i="5"/>
  <c r="R110" i="5"/>
  <c r="M110" i="5"/>
  <c r="N110" i="5"/>
  <c r="AD109" i="5" l="1"/>
  <c r="AE109" i="5" s="1"/>
  <c r="BB109" i="5" s="1"/>
  <c r="DW119" i="2"/>
  <c r="BI119" i="2"/>
  <c r="AI109" i="5"/>
  <c r="AJ109" i="5" s="1"/>
  <c r="BC109" i="5" s="1"/>
  <c r="W110" i="5"/>
  <c r="AG110" i="5"/>
  <c r="AB110" i="5"/>
  <c r="AL110" i="5"/>
  <c r="DV120" i="2"/>
  <c r="K120" i="2"/>
  <c r="L120" i="2"/>
  <c r="AH120" i="2"/>
  <c r="C120" i="2"/>
  <c r="E120" i="2" s="1"/>
  <c r="D120" i="2"/>
  <c r="AL120" i="2"/>
  <c r="R111" i="5"/>
  <c r="N111" i="5"/>
  <c r="AN109" i="5"/>
  <c r="AO109" i="5" s="1"/>
  <c r="BD109" i="5" s="1"/>
  <c r="AV112" i="5"/>
  <c r="P112" i="5"/>
  <c r="Y109" i="5"/>
  <c r="Z109" i="5" s="1"/>
  <c r="BA109" i="5" s="1"/>
  <c r="AU113" i="5"/>
  <c r="C113" i="5"/>
  <c r="I113" i="5"/>
  <c r="D113" i="5"/>
  <c r="H113" i="5"/>
  <c r="AZ111" i="5"/>
  <c r="K111" i="5"/>
  <c r="U111" i="5"/>
  <c r="Q111" i="5"/>
  <c r="F111" i="5"/>
  <c r="G111" i="5"/>
  <c r="E112" i="5"/>
  <c r="J112" i="5" a="1"/>
  <c r="J112" i="5" s="1"/>
  <c r="N112" i="5" s="1"/>
  <c r="S112" i="5"/>
  <c r="M111" i="5"/>
  <c r="AF111" i="5"/>
  <c r="T111" i="5"/>
  <c r="V111" i="5"/>
  <c r="AA111" i="5"/>
  <c r="AK111" i="5"/>
  <c r="X110" i="5"/>
  <c r="AC110" i="5"/>
  <c r="AH110" i="5"/>
  <c r="AM110" i="5"/>
  <c r="AN110" i="5" l="1"/>
  <c r="AO110" i="5" s="1"/>
  <c r="BD110" i="5" s="1"/>
  <c r="AI110" i="5"/>
  <c r="AJ110" i="5" s="1"/>
  <c r="BC110" i="5" s="1"/>
  <c r="AD110" i="5"/>
  <c r="AE110" i="5" s="1"/>
  <c r="BB110" i="5" s="1"/>
  <c r="DW120" i="2"/>
  <c r="BI120" i="2"/>
  <c r="AV113" i="5"/>
  <c r="R113" i="5"/>
  <c r="L113" i="5"/>
  <c r="P113" i="5"/>
  <c r="M113" i="5"/>
  <c r="N113" i="5"/>
  <c r="AA112" i="5"/>
  <c r="T112" i="5"/>
  <c r="V112" i="5"/>
  <c r="AF112" i="5"/>
  <c r="AK112" i="5"/>
  <c r="E113" i="5"/>
  <c r="S113" i="5"/>
  <c r="J113" i="5" a="1"/>
  <c r="J113" i="5" s="1"/>
  <c r="Y110" i="5"/>
  <c r="Z110" i="5" s="1"/>
  <c r="BA110" i="5" s="1"/>
  <c r="AG111" i="5"/>
  <c r="AL111" i="5"/>
  <c r="W111" i="5"/>
  <c r="AB111" i="5"/>
  <c r="AZ112" i="5"/>
  <c r="K112" i="5"/>
  <c r="U112" i="5"/>
  <c r="Q112" i="5"/>
  <c r="AC111" i="5"/>
  <c r="AM111" i="5"/>
  <c r="X111" i="5"/>
  <c r="AH111" i="5"/>
  <c r="G112" i="5"/>
  <c r="F112" i="5"/>
  <c r="L112" i="5"/>
  <c r="M112" i="5"/>
  <c r="R112" i="5"/>
  <c r="AI111" i="5" l="1"/>
  <c r="AJ111" i="5" s="1"/>
  <c r="BC111" i="5" s="1"/>
  <c r="Y111" i="5"/>
  <c r="Z111" i="5" s="1"/>
  <c r="BA111" i="5" s="1"/>
  <c r="AM112" i="5"/>
  <c r="X112" i="5"/>
  <c r="AC112" i="5"/>
  <c r="AH112" i="5"/>
  <c r="AN111" i="5"/>
  <c r="AO111" i="5" s="1"/>
  <c r="BD111" i="5" s="1"/>
  <c r="W112" i="5"/>
  <c r="Y112" i="5" s="1"/>
  <c r="AG112" i="5"/>
  <c r="AI112" i="5" s="1"/>
  <c r="AJ112" i="5" s="1"/>
  <c r="BC112" i="5" s="1"/>
  <c r="AL112" i="5"/>
  <c r="AN112" i="5" s="1"/>
  <c r="AO112" i="5" s="1"/>
  <c r="BD112" i="5" s="1"/>
  <c r="AB112" i="5"/>
  <c r="AD112" i="5" s="1"/>
  <c r="AE112" i="5" s="1"/>
  <c r="BB112" i="5" s="1"/>
  <c r="AD111" i="5"/>
  <c r="AE111" i="5" s="1"/>
  <c r="BB111" i="5" s="1"/>
  <c r="Z112" i="5"/>
  <c r="BA112" i="5" s="1"/>
  <c r="AZ113" i="5"/>
  <c r="K113" i="5"/>
  <c r="U113" i="5"/>
  <c r="Q113" i="5"/>
  <c r="T113" i="5"/>
  <c r="AA113" i="5"/>
  <c r="V113" i="5"/>
  <c r="AF113" i="5"/>
  <c r="AK113" i="5"/>
  <c r="F113" i="5"/>
  <c r="G113" i="5"/>
  <c r="W113" i="5" l="1"/>
  <c r="AB113" i="5"/>
  <c r="AG113" i="5"/>
  <c r="AL113" i="5"/>
  <c r="AH113" i="5"/>
  <c r="X113" i="5"/>
  <c r="AC113" i="5"/>
  <c r="AM113" i="5"/>
  <c r="AN113" i="5" l="1"/>
  <c r="AO113" i="5" s="1"/>
  <c r="BD113" i="5" s="1"/>
  <c r="AI113" i="5"/>
  <c r="AJ113" i="5" s="1"/>
  <c r="BC113" i="5" s="1"/>
  <c r="AD113" i="5"/>
  <c r="AE113" i="5" s="1"/>
  <c r="BB113" i="5" s="1"/>
  <c r="Y113" i="5"/>
  <c r="Z113" i="5" s="1"/>
  <c r="BA113" i="5" s="1"/>
  <c r="BM21" i="2"/>
  <c r="BN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 a="1"/>
  <c r="CK21" i="2"/>
  <c r="CL21" i="2"/>
  <c r="CM21" i="2" a="1"/>
  <c r="CM21" i="2"/>
  <c r="CN21" i="2"/>
  <c r="CO21" i="2"/>
  <c r="CP21" i="2"/>
  <c r="CQ21" i="2"/>
  <c r="CR21" i="2" a="1"/>
  <c r="CR21" i="2"/>
  <c r="CS21" i="2"/>
  <c r="CT21" i="2"/>
  <c r="CU21" i="2"/>
  <c r="CV21" i="2"/>
  <c r="CW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22" i="2"/>
  <c r="G22" i="2"/>
  <c r="H22" i="2"/>
  <c r="I22" i="2"/>
  <c r="J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I22" i="2"/>
  <c r="AJ22" i="2"/>
  <c r="AK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H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 a="1"/>
  <c r="CK22" i="2"/>
  <c r="CL22" i="2"/>
  <c r="CM22" i="2" a="1"/>
  <c r="CM22" i="2"/>
  <c r="CN22" i="2"/>
  <c r="CO22" i="2"/>
  <c r="CP22" i="2"/>
  <c r="CQ22" i="2"/>
  <c r="CR22" i="2" a="1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F23" i="2"/>
  <c r="G23" i="2"/>
  <c r="H23" i="2"/>
  <c r="I23" i="2"/>
  <c r="J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I23" i="2"/>
  <c r="AJ23" i="2"/>
  <c r="AK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H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 a="1"/>
  <c r="CK23" i="2"/>
  <c r="CL23" i="2"/>
  <c r="CM23" i="2" a="1"/>
  <c r="CM23" i="2"/>
  <c r="CN23" i="2"/>
  <c r="CO23" i="2"/>
  <c r="CP23" i="2"/>
  <c r="CQ23" i="2"/>
  <c r="CR23" i="2" a="1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F24" i="2"/>
  <c r="G24" i="2"/>
  <c r="H24" i="2"/>
  <c r="I24" i="2"/>
  <c r="J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I24" i="2"/>
  <c r="AJ24" i="2"/>
  <c r="AK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H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 a="1"/>
  <c r="CK24" i="2"/>
  <c r="CL24" i="2"/>
  <c r="CM24" i="2" a="1"/>
  <c r="CM24" i="2"/>
  <c r="CN24" i="2"/>
  <c r="CO24" i="2"/>
  <c r="CP24" i="2"/>
  <c r="CQ24" i="2"/>
  <c r="CR24" i="2" a="1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F25" i="2"/>
  <c r="G25" i="2"/>
  <c r="H25" i="2"/>
  <c r="I25" i="2"/>
  <c r="J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I25" i="2"/>
  <c r="AJ25" i="2"/>
  <c r="AK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H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 a="1"/>
  <c r="CK25" i="2"/>
  <c r="CL25" i="2"/>
  <c r="CM25" i="2" a="1"/>
  <c r="CM25" i="2"/>
  <c r="CN25" i="2"/>
  <c r="CO25" i="2"/>
  <c r="CP25" i="2"/>
  <c r="CQ25" i="2"/>
  <c r="CR25" i="2" a="1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F26" i="2"/>
  <c r="G26" i="2"/>
  <c r="H26" i="2"/>
  <c r="I26" i="2"/>
  <c r="J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I26" i="2"/>
  <c r="AJ26" i="2"/>
  <c r="AK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H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 a="1"/>
  <c r="CK26" i="2"/>
  <c r="CL26" i="2"/>
  <c r="CM26" i="2" a="1"/>
  <c r="CM26" i="2"/>
  <c r="CN26" i="2"/>
  <c r="CO26" i="2"/>
  <c r="CP26" i="2"/>
  <c r="CQ26" i="2"/>
  <c r="CR26" i="2" a="1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F27" i="2"/>
  <c r="G27" i="2"/>
  <c r="H27" i="2"/>
  <c r="I27" i="2"/>
  <c r="J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I27" i="2"/>
  <c r="AJ27" i="2"/>
  <c r="AK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H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 a="1"/>
  <c r="CK27" i="2"/>
  <c r="CL27" i="2"/>
  <c r="CM27" i="2" a="1"/>
  <c r="CM27" i="2"/>
  <c r="CN27" i="2"/>
  <c r="CO27" i="2"/>
  <c r="CP27" i="2"/>
  <c r="CQ27" i="2"/>
  <c r="CR27" i="2" a="1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F28" i="2"/>
  <c r="G28" i="2"/>
  <c r="H28" i="2"/>
  <c r="I28" i="2"/>
  <c r="J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I28" i="2"/>
  <c r="AJ28" i="2"/>
  <c r="AK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H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 a="1"/>
  <c r="CK28" i="2"/>
  <c r="CL28" i="2"/>
  <c r="CM28" i="2" a="1"/>
  <c r="CM28" i="2"/>
  <c r="CN28" i="2"/>
  <c r="CO28" i="2"/>
  <c r="CP28" i="2"/>
  <c r="CQ28" i="2"/>
  <c r="CR28" i="2" a="1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F29" i="2"/>
  <c r="G29" i="2"/>
  <c r="H29" i="2"/>
  <c r="I29" i="2"/>
  <c r="J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I29" i="2"/>
  <c r="AJ29" i="2"/>
  <c r="AK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H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 a="1"/>
  <c r="CK29" i="2"/>
  <c r="CL29" i="2"/>
  <c r="CM29" i="2" a="1"/>
  <c r="CM29" i="2"/>
  <c r="CN29" i="2"/>
  <c r="CO29" i="2"/>
  <c r="CP29" i="2"/>
  <c r="CQ29" i="2"/>
  <c r="CR29" i="2" a="1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F30" i="2"/>
  <c r="G30" i="2"/>
  <c r="H30" i="2"/>
  <c r="I30" i="2"/>
  <c r="J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I30" i="2"/>
  <c r="AJ30" i="2"/>
  <c r="AK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H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 a="1"/>
  <c r="CK30" i="2"/>
  <c r="CL30" i="2"/>
  <c r="CM30" i="2" a="1"/>
  <c r="CM30" i="2"/>
  <c r="CN30" i="2"/>
  <c r="CO30" i="2"/>
  <c r="CP30" i="2"/>
  <c r="CQ30" i="2"/>
  <c r="CR30" i="2" a="1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F31" i="2"/>
  <c r="G31" i="2"/>
  <c r="H31" i="2"/>
  <c r="I31" i="2"/>
  <c r="J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I31" i="2"/>
  <c r="AJ31" i="2"/>
  <c r="AK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H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 a="1"/>
  <c r="CK31" i="2"/>
  <c r="CL31" i="2"/>
  <c r="CM31" i="2" a="1"/>
  <c r="CM31" i="2"/>
  <c r="CN31" i="2"/>
  <c r="CO31" i="2"/>
  <c r="CP31" i="2"/>
  <c r="CQ31" i="2"/>
  <c r="CR31" i="2" a="1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F32" i="2"/>
  <c r="G32" i="2"/>
  <c r="H32" i="2"/>
  <c r="I32" i="2"/>
  <c r="J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I32" i="2"/>
  <c r="AJ32" i="2"/>
  <c r="AK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H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 a="1"/>
  <c r="CK32" i="2"/>
  <c r="CL32" i="2"/>
  <c r="CM32" i="2" a="1"/>
  <c r="CM32" i="2"/>
  <c r="CN32" i="2"/>
  <c r="CO32" i="2"/>
  <c r="CP32" i="2"/>
  <c r="CQ32" i="2"/>
  <c r="CR32" i="2" a="1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F33" i="2"/>
  <c r="G33" i="2"/>
  <c r="H33" i="2"/>
  <c r="I33" i="2"/>
  <c r="J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I33" i="2"/>
  <c r="AJ33" i="2"/>
  <c r="AK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H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 a="1"/>
  <c r="CK33" i="2"/>
  <c r="CL33" i="2"/>
  <c r="CM33" i="2" a="1"/>
  <c r="CM33" i="2"/>
  <c r="CN33" i="2"/>
  <c r="CO33" i="2"/>
  <c r="CP33" i="2"/>
  <c r="CQ33" i="2"/>
  <c r="CR33" i="2" a="1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F34" i="2"/>
  <c r="G34" i="2"/>
  <c r="H34" i="2"/>
  <c r="I34" i="2"/>
  <c r="J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I34" i="2"/>
  <c r="AJ34" i="2"/>
  <c r="AK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H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 a="1"/>
  <c r="CK34" i="2"/>
  <c r="CL34" i="2"/>
  <c r="CM34" i="2" a="1"/>
  <c r="CM34" i="2"/>
  <c r="CN34" i="2"/>
  <c r="CO34" i="2"/>
  <c r="CP34" i="2"/>
  <c r="CQ34" i="2"/>
  <c r="CR34" i="2" a="1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F35" i="2"/>
  <c r="G35" i="2"/>
  <c r="H35" i="2"/>
  <c r="I35" i="2"/>
  <c r="J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I35" i="2"/>
  <c r="AJ35" i="2"/>
  <c r="AK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H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 a="1"/>
  <c r="CK35" i="2"/>
  <c r="CL35" i="2"/>
  <c r="CM35" i="2" a="1"/>
  <c r="CM35" i="2"/>
  <c r="CN35" i="2"/>
  <c r="CO35" i="2"/>
  <c r="CP35" i="2"/>
  <c r="CQ35" i="2"/>
  <c r="CR35" i="2" a="1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F36" i="2"/>
  <c r="G36" i="2"/>
  <c r="H36" i="2"/>
  <c r="I36" i="2"/>
  <c r="J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I36" i="2"/>
  <c r="AJ36" i="2"/>
  <c r="AK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H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 a="1"/>
  <c r="CK36" i="2"/>
  <c r="CL36" i="2"/>
  <c r="CM36" i="2" a="1"/>
  <c r="CM36" i="2"/>
  <c r="CN36" i="2"/>
  <c r="CO36" i="2"/>
  <c r="CP36" i="2"/>
  <c r="CQ36" i="2"/>
  <c r="CR36" i="2" a="1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F37" i="2"/>
  <c r="G37" i="2"/>
  <c r="H37" i="2"/>
  <c r="I37" i="2"/>
  <c r="J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I37" i="2"/>
  <c r="AJ37" i="2"/>
  <c r="AK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H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 a="1"/>
  <c r="CK37" i="2"/>
  <c r="CL37" i="2"/>
  <c r="CM37" i="2" a="1"/>
  <c r="CM37" i="2"/>
  <c r="CN37" i="2"/>
  <c r="CO37" i="2"/>
  <c r="CP37" i="2"/>
  <c r="CQ37" i="2"/>
  <c r="CR37" i="2" a="1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F38" i="2"/>
  <c r="G38" i="2"/>
  <c r="H38" i="2"/>
  <c r="I38" i="2"/>
  <c r="J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I38" i="2"/>
  <c r="AJ38" i="2"/>
  <c r="AK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H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 a="1"/>
  <c r="CK38" i="2"/>
  <c r="CL38" i="2"/>
  <c r="CM38" i="2" a="1"/>
  <c r="CM38" i="2"/>
  <c r="CN38" i="2"/>
  <c r="CO38" i="2"/>
  <c r="CP38" i="2"/>
  <c r="CQ38" i="2"/>
  <c r="CR38" i="2" a="1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F39" i="2"/>
  <c r="G39" i="2"/>
  <c r="H39" i="2"/>
  <c r="I39" i="2"/>
  <c r="J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I39" i="2"/>
  <c r="AJ39" i="2"/>
  <c r="AK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H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 a="1"/>
  <c r="CK39" i="2"/>
  <c r="CL39" i="2"/>
  <c r="CM39" i="2" a="1"/>
  <c r="CM39" i="2"/>
  <c r="CN39" i="2"/>
  <c r="CO39" i="2"/>
  <c r="CP39" i="2"/>
  <c r="CQ39" i="2"/>
  <c r="CR39" i="2" a="1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F40" i="2"/>
  <c r="G40" i="2"/>
  <c r="H40" i="2"/>
  <c r="I40" i="2"/>
  <c r="J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I40" i="2"/>
  <c r="AJ40" i="2"/>
  <c r="AK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H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 a="1"/>
  <c r="CK40" i="2"/>
  <c r="CL40" i="2"/>
  <c r="CM40" i="2" a="1"/>
  <c r="CM40" i="2"/>
  <c r="CN40" i="2"/>
  <c r="CO40" i="2"/>
  <c r="CP40" i="2"/>
  <c r="CQ40" i="2"/>
  <c r="CR40" i="2" a="1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F41" i="2"/>
  <c r="G41" i="2"/>
  <c r="H41" i="2"/>
  <c r="I41" i="2"/>
  <c r="J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I41" i="2"/>
  <c r="AJ41" i="2"/>
  <c r="AK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H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 a="1"/>
  <c r="CK41" i="2"/>
  <c r="CL41" i="2"/>
  <c r="CM41" i="2" a="1"/>
  <c r="CM41" i="2"/>
  <c r="CN41" i="2"/>
  <c r="CO41" i="2"/>
  <c r="CP41" i="2"/>
  <c r="CQ41" i="2"/>
  <c r="CR41" i="2" a="1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F42" i="2"/>
  <c r="G42" i="2"/>
  <c r="H42" i="2"/>
  <c r="I42" i="2"/>
  <c r="J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I42" i="2"/>
  <c r="AJ42" i="2"/>
  <c r="AK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H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 a="1"/>
  <c r="CK42" i="2"/>
  <c r="CL42" i="2"/>
  <c r="CM42" i="2" a="1"/>
  <c r="CM42" i="2"/>
  <c r="CN42" i="2"/>
  <c r="CO42" i="2"/>
  <c r="CP42" i="2"/>
  <c r="CQ42" i="2"/>
  <c r="CR42" i="2" a="1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F43" i="2"/>
  <c r="G43" i="2"/>
  <c r="H43" i="2"/>
  <c r="I43" i="2"/>
  <c r="J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I43" i="2"/>
  <c r="AJ43" i="2"/>
  <c r="AK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H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 a="1"/>
  <c r="CK43" i="2"/>
  <c r="CL43" i="2"/>
  <c r="CM43" i="2" a="1"/>
  <c r="CM43" i="2"/>
  <c r="CN43" i="2"/>
  <c r="CO43" i="2"/>
  <c r="CP43" i="2"/>
  <c r="CQ43" i="2"/>
  <c r="CR43" i="2" a="1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F44" i="2"/>
  <c r="G44" i="2"/>
  <c r="H44" i="2"/>
  <c r="I44" i="2"/>
  <c r="J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I44" i="2"/>
  <c r="AJ44" i="2"/>
  <c r="AK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H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 a="1"/>
  <c r="CK44" i="2"/>
  <c r="CL44" i="2"/>
  <c r="CM44" i="2" a="1"/>
  <c r="CM44" i="2"/>
  <c r="CN44" i="2"/>
  <c r="CO44" i="2"/>
  <c r="CP44" i="2"/>
  <c r="CQ44" i="2"/>
  <c r="CR44" i="2" a="1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F45" i="2"/>
  <c r="G45" i="2"/>
  <c r="H45" i="2"/>
  <c r="I45" i="2"/>
  <c r="J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I45" i="2"/>
  <c r="AJ45" i="2"/>
  <c r="AK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H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 a="1"/>
  <c r="CK45" i="2"/>
  <c r="CL45" i="2"/>
  <c r="CM45" i="2" a="1"/>
  <c r="CM45" i="2"/>
  <c r="CN45" i="2"/>
  <c r="CO45" i="2"/>
  <c r="CP45" i="2"/>
  <c r="CQ45" i="2"/>
  <c r="CR45" i="2" a="1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F46" i="2"/>
  <c r="G46" i="2"/>
  <c r="H46" i="2"/>
  <c r="I46" i="2"/>
  <c r="J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I46" i="2"/>
  <c r="AJ46" i="2"/>
  <c r="AK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H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 a="1"/>
  <c r="CK46" i="2"/>
  <c r="CL46" i="2"/>
  <c r="CM46" i="2" a="1"/>
  <c r="CM46" i="2"/>
  <c r="CN46" i="2"/>
  <c r="CO46" i="2"/>
  <c r="CP46" i="2"/>
  <c r="CQ46" i="2"/>
  <c r="CR46" i="2" a="1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F47" i="2"/>
  <c r="G47" i="2"/>
  <c r="H47" i="2"/>
  <c r="I47" i="2"/>
  <c r="J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I47" i="2"/>
  <c r="AJ47" i="2"/>
  <c r="AK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H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 a="1"/>
  <c r="CK47" i="2"/>
  <c r="CL47" i="2"/>
  <c r="CM47" i="2" a="1"/>
  <c r="CM47" i="2"/>
  <c r="CN47" i="2"/>
  <c r="CO47" i="2"/>
  <c r="CP47" i="2"/>
  <c r="CQ47" i="2"/>
  <c r="CR47" i="2" a="1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F48" i="2"/>
  <c r="G48" i="2"/>
  <c r="H48" i="2"/>
  <c r="I48" i="2"/>
  <c r="J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I48" i="2"/>
  <c r="AJ48" i="2"/>
  <c r="AK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H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 a="1"/>
  <c r="CK48" i="2"/>
  <c r="CL48" i="2"/>
  <c r="CM48" i="2" a="1"/>
  <c r="CM48" i="2"/>
  <c r="CN48" i="2"/>
  <c r="CO48" i="2"/>
  <c r="CP48" i="2"/>
  <c r="CQ48" i="2"/>
  <c r="CR48" i="2" a="1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F49" i="2"/>
  <c r="G49" i="2"/>
  <c r="H49" i="2"/>
  <c r="I49" i="2"/>
  <c r="J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I49" i="2"/>
  <c r="AJ49" i="2"/>
  <c r="AK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H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 a="1"/>
  <c r="CK49" i="2"/>
  <c r="CL49" i="2"/>
  <c r="CM49" i="2" a="1"/>
  <c r="CM49" i="2"/>
  <c r="CN49" i="2"/>
  <c r="CO49" i="2"/>
  <c r="CP49" i="2"/>
  <c r="CQ49" i="2"/>
  <c r="CR49" i="2" a="1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F50" i="2"/>
  <c r="G50" i="2"/>
  <c r="H50" i="2"/>
  <c r="I50" i="2"/>
  <c r="J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I50" i="2"/>
  <c r="AJ50" i="2"/>
  <c r="AK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H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 a="1"/>
  <c r="CK50" i="2"/>
  <c r="CL50" i="2"/>
  <c r="CM50" i="2" a="1"/>
  <c r="CM50" i="2"/>
  <c r="CN50" i="2"/>
  <c r="CO50" i="2"/>
  <c r="CP50" i="2"/>
  <c r="CQ50" i="2"/>
  <c r="CR50" i="2" a="1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F51" i="2"/>
  <c r="G51" i="2"/>
  <c r="H51" i="2"/>
  <c r="I51" i="2"/>
  <c r="J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I51" i="2"/>
  <c r="AJ51" i="2"/>
  <c r="AK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H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 a="1"/>
  <c r="CK51" i="2"/>
  <c r="CL51" i="2"/>
  <c r="CM51" i="2" a="1"/>
  <c r="CM51" i="2"/>
  <c r="CN51" i="2"/>
  <c r="CO51" i="2"/>
  <c r="CP51" i="2"/>
  <c r="CQ51" i="2"/>
  <c r="CR51" i="2" a="1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F52" i="2"/>
  <c r="G52" i="2"/>
  <c r="H52" i="2"/>
  <c r="I52" i="2"/>
  <c r="J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I52" i="2"/>
  <c r="AJ52" i="2"/>
  <c r="AK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H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 a="1"/>
  <c r="CK52" i="2"/>
  <c r="CL52" i="2"/>
  <c r="CM52" i="2" a="1"/>
  <c r="CM52" i="2"/>
  <c r="CN52" i="2"/>
  <c r="CO52" i="2"/>
  <c r="CP52" i="2"/>
  <c r="CQ52" i="2"/>
  <c r="CR52" i="2" a="1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F53" i="2"/>
  <c r="G53" i="2"/>
  <c r="H53" i="2"/>
  <c r="I53" i="2"/>
  <c r="J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I53" i="2"/>
  <c r="AJ53" i="2"/>
  <c r="AK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H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 a="1"/>
  <c r="CK53" i="2"/>
  <c r="CL53" i="2"/>
  <c r="CM53" i="2" a="1"/>
  <c r="CM53" i="2"/>
  <c r="CN53" i="2"/>
  <c r="CO53" i="2"/>
  <c r="CP53" i="2"/>
  <c r="CQ53" i="2"/>
  <c r="CR53" i="2" a="1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F54" i="2"/>
  <c r="G54" i="2"/>
  <c r="H54" i="2"/>
  <c r="I54" i="2"/>
  <c r="J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I54" i="2"/>
  <c r="AJ54" i="2"/>
  <c r="AK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H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 a="1"/>
  <c r="CK54" i="2"/>
  <c r="CL54" i="2"/>
  <c r="CM54" i="2" a="1"/>
  <c r="CM54" i="2"/>
  <c r="CN54" i="2"/>
  <c r="CO54" i="2"/>
  <c r="CP54" i="2"/>
  <c r="CQ54" i="2"/>
  <c r="CR54" i="2" a="1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F55" i="2"/>
  <c r="G55" i="2"/>
  <c r="H55" i="2"/>
  <c r="I55" i="2"/>
  <c r="J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I55" i="2"/>
  <c r="AJ55" i="2"/>
  <c r="AK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H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 a="1"/>
  <c r="CK55" i="2"/>
  <c r="CL55" i="2"/>
  <c r="CM55" i="2" a="1"/>
  <c r="CM55" i="2"/>
  <c r="CN55" i="2"/>
  <c r="CO55" i="2"/>
  <c r="CP55" i="2"/>
  <c r="CQ55" i="2"/>
  <c r="CR55" i="2" a="1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F56" i="2"/>
  <c r="G56" i="2"/>
  <c r="H56" i="2"/>
  <c r="I56" i="2"/>
  <c r="J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I56" i="2"/>
  <c r="AJ56" i="2"/>
  <c r="AK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H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 a="1"/>
  <c r="CK56" i="2"/>
  <c r="CL56" i="2"/>
  <c r="CM56" i="2" a="1"/>
  <c r="CM56" i="2"/>
  <c r="CN56" i="2"/>
  <c r="CO56" i="2"/>
  <c r="CP56" i="2"/>
  <c r="CQ56" i="2"/>
  <c r="CR56" i="2" a="1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F57" i="2"/>
  <c r="G57" i="2"/>
  <c r="H57" i="2"/>
  <c r="I57" i="2"/>
  <c r="J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I57" i="2"/>
  <c r="AJ57" i="2"/>
  <c r="AK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H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 a="1"/>
  <c r="CK57" i="2"/>
  <c r="CL57" i="2"/>
  <c r="CM57" i="2" a="1"/>
  <c r="CM57" i="2"/>
  <c r="CN57" i="2"/>
  <c r="CO57" i="2"/>
  <c r="CP57" i="2"/>
  <c r="CQ57" i="2"/>
  <c r="CR57" i="2" a="1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F58" i="2"/>
  <c r="G58" i="2"/>
  <c r="H58" i="2"/>
  <c r="I58" i="2"/>
  <c r="J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I58" i="2"/>
  <c r="AJ58" i="2"/>
  <c r="AK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H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 a="1"/>
  <c r="CK58" i="2"/>
  <c r="CL58" i="2"/>
  <c r="CM58" i="2" a="1"/>
  <c r="CM58" i="2"/>
  <c r="CN58" i="2"/>
  <c r="CO58" i="2"/>
  <c r="CP58" i="2"/>
  <c r="CQ58" i="2"/>
  <c r="CR58" i="2" a="1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F59" i="2"/>
  <c r="G59" i="2"/>
  <c r="H59" i="2"/>
  <c r="I59" i="2"/>
  <c r="J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I59" i="2"/>
  <c r="AJ59" i="2"/>
  <c r="AK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H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 a="1"/>
  <c r="CK59" i="2"/>
  <c r="CL59" i="2"/>
  <c r="CM59" i="2" a="1"/>
  <c r="CM59" i="2"/>
  <c r="CN59" i="2"/>
  <c r="CO59" i="2"/>
  <c r="CP59" i="2"/>
  <c r="CQ59" i="2"/>
  <c r="CR59" i="2" a="1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F60" i="2"/>
  <c r="G60" i="2"/>
  <c r="H60" i="2"/>
  <c r="I60" i="2"/>
  <c r="J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I60" i="2"/>
  <c r="AJ60" i="2"/>
  <c r="AK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H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 a="1"/>
  <c r="CK60" i="2"/>
  <c r="CL60" i="2"/>
  <c r="CM60" i="2" a="1"/>
  <c r="CM60" i="2"/>
  <c r="CN60" i="2"/>
  <c r="CO60" i="2"/>
  <c r="CP60" i="2"/>
  <c r="CQ60" i="2"/>
  <c r="CR60" i="2" a="1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F61" i="2"/>
  <c r="G61" i="2"/>
  <c r="H61" i="2"/>
  <c r="I61" i="2"/>
  <c r="J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I61" i="2"/>
  <c r="AJ61" i="2"/>
  <c r="AK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H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 a="1"/>
  <c r="CK61" i="2"/>
  <c r="CL61" i="2"/>
  <c r="CM61" i="2" a="1"/>
  <c r="CM61" i="2"/>
  <c r="CN61" i="2"/>
  <c r="CO61" i="2"/>
  <c r="CP61" i="2"/>
  <c r="CQ61" i="2"/>
  <c r="CR61" i="2" a="1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F62" i="2"/>
  <c r="G62" i="2"/>
  <c r="H62" i="2"/>
  <c r="I62" i="2"/>
  <c r="J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I62" i="2"/>
  <c r="AJ62" i="2"/>
  <c r="AK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H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 a="1"/>
  <c r="CK62" i="2"/>
  <c r="CL62" i="2"/>
  <c r="CM62" i="2" a="1"/>
  <c r="CM62" i="2"/>
  <c r="CN62" i="2"/>
  <c r="CO62" i="2"/>
  <c r="CP62" i="2"/>
  <c r="CQ62" i="2"/>
  <c r="CR62" i="2" a="1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F63" i="2"/>
  <c r="G63" i="2"/>
  <c r="H63" i="2"/>
  <c r="I63" i="2"/>
  <c r="J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I63" i="2"/>
  <c r="AJ63" i="2"/>
  <c r="AK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H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 a="1"/>
  <c r="CK63" i="2"/>
  <c r="CL63" i="2"/>
  <c r="CM63" i="2" a="1"/>
  <c r="CM63" i="2"/>
  <c r="CN63" i="2"/>
  <c r="CO63" i="2"/>
  <c r="CP63" i="2"/>
  <c r="CQ63" i="2"/>
  <c r="CR63" i="2" a="1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F64" i="2"/>
  <c r="G64" i="2"/>
  <c r="H64" i="2"/>
  <c r="I64" i="2"/>
  <c r="J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I64" i="2"/>
  <c r="AJ64" i="2"/>
  <c r="AK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H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 a="1"/>
  <c r="CK64" i="2"/>
  <c r="CL64" i="2"/>
  <c r="CM64" i="2" a="1"/>
  <c r="CM64" i="2"/>
  <c r="CN64" i="2"/>
  <c r="CO64" i="2"/>
  <c r="CP64" i="2"/>
  <c r="CQ64" i="2"/>
  <c r="CR64" i="2" a="1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F65" i="2"/>
  <c r="G65" i="2"/>
  <c r="H65" i="2"/>
  <c r="I65" i="2"/>
  <c r="J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I65" i="2"/>
  <c r="AJ65" i="2"/>
  <c r="AK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H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 a="1"/>
  <c r="CK65" i="2"/>
  <c r="CL65" i="2"/>
  <c r="CM65" i="2" a="1"/>
  <c r="CM65" i="2"/>
  <c r="CN65" i="2"/>
  <c r="CO65" i="2"/>
  <c r="CP65" i="2"/>
  <c r="CQ65" i="2"/>
  <c r="CR65" i="2" a="1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F66" i="2"/>
  <c r="G66" i="2"/>
  <c r="H66" i="2"/>
  <c r="I66" i="2"/>
  <c r="J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I66" i="2"/>
  <c r="AJ66" i="2"/>
  <c r="AK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H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 a="1"/>
  <c r="CK66" i="2"/>
  <c r="CL66" i="2"/>
  <c r="CM66" i="2" a="1"/>
  <c r="CM66" i="2"/>
  <c r="CN66" i="2"/>
  <c r="CO66" i="2"/>
  <c r="CP66" i="2"/>
  <c r="CQ66" i="2"/>
  <c r="CR66" i="2" a="1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F67" i="2"/>
  <c r="G67" i="2"/>
  <c r="H67" i="2"/>
  <c r="I67" i="2"/>
  <c r="J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I67" i="2"/>
  <c r="AJ67" i="2"/>
  <c r="AK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H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 a="1"/>
  <c r="CK67" i="2"/>
  <c r="CL67" i="2"/>
  <c r="CM67" i="2" a="1"/>
  <c r="CM67" i="2"/>
  <c r="CN67" i="2"/>
  <c r="CO67" i="2"/>
  <c r="CP67" i="2"/>
  <c r="CQ67" i="2"/>
  <c r="CR67" i="2" a="1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F68" i="2"/>
  <c r="G68" i="2"/>
  <c r="H68" i="2"/>
  <c r="I68" i="2"/>
  <c r="J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I68" i="2"/>
  <c r="AJ68" i="2"/>
  <c r="AK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H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 a="1"/>
  <c r="CK68" i="2"/>
  <c r="CL68" i="2"/>
  <c r="CM68" i="2" a="1"/>
  <c r="CM68" i="2"/>
  <c r="CN68" i="2"/>
  <c r="CO68" i="2"/>
  <c r="CP68" i="2"/>
  <c r="CQ68" i="2"/>
  <c r="CR68" i="2" a="1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F69" i="2"/>
  <c r="G69" i="2"/>
  <c r="H69" i="2"/>
  <c r="I69" i="2"/>
  <c r="J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I69" i="2"/>
  <c r="AJ69" i="2"/>
  <c r="AK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H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 a="1"/>
  <c r="CK69" i="2"/>
  <c r="CL69" i="2"/>
  <c r="CM69" i="2" a="1"/>
  <c r="CM69" i="2"/>
  <c r="CN69" i="2"/>
  <c r="CO69" i="2"/>
  <c r="CP69" i="2"/>
  <c r="CQ69" i="2"/>
  <c r="CR69" i="2" a="1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F70" i="2"/>
  <c r="G70" i="2"/>
  <c r="H70" i="2"/>
  <c r="I70" i="2"/>
  <c r="J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I70" i="2"/>
  <c r="AJ70" i="2"/>
  <c r="AK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H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 a="1"/>
  <c r="CK70" i="2"/>
  <c r="CL70" i="2"/>
  <c r="CM70" i="2" a="1"/>
  <c r="CM70" i="2"/>
  <c r="CN70" i="2"/>
  <c r="CO70" i="2"/>
  <c r="CP70" i="2"/>
  <c r="CQ70" i="2"/>
  <c r="CR70" i="2" a="1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F71" i="2"/>
  <c r="G71" i="2"/>
  <c r="H71" i="2"/>
  <c r="I71" i="2"/>
  <c r="J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I71" i="2"/>
  <c r="AJ71" i="2"/>
  <c r="AK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H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 a="1"/>
  <c r="CK71" i="2"/>
  <c r="CL71" i="2"/>
  <c r="CM71" i="2" a="1"/>
  <c r="CM71" i="2"/>
  <c r="CN71" i="2"/>
  <c r="CO71" i="2"/>
  <c r="CP71" i="2"/>
  <c r="CQ71" i="2"/>
  <c r="CR71" i="2" a="1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F72" i="2"/>
  <c r="G72" i="2"/>
  <c r="H72" i="2"/>
  <c r="I72" i="2"/>
  <c r="J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I72" i="2"/>
  <c r="AJ72" i="2"/>
  <c r="AK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H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 a="1"/>
  <c r="CK72" i="2"/>
  <c r="CL72" i="2"/>
  <c r="CM72" i="2" a="1"/>
  <c r="CM72" i="2"/>
  <c r="CN72" i="2"/>
  <c r="CO72" i="2"/>
  <c r="CP72" i="2"/>
  <c r="CQ72" i="2"/>
  <c r="CR72" i="2" a="1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F73" i="2"/>
  <c r="G73" i="2"/>
  <c r="H73" i="2"/>
  <c r="I73" i="2"/>
  <c r="J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I73" i="2"/>
  <c r="AJ73" i="2"/>
  <c r="AK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H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 a="1"/>
  <c r="CK73" i="2"/>
  <c r="CL73" i="2"/>
  <c r="CM73" i="2" a="1"/>
  <c r="CM73" i="2"/>
  <c r="CN73" i="2"/>
  <c r="CO73" i="2"/>
  <c r="CP73" i="2"/>
  <c r="CQ73" i="2"/>
  <c r="CR73" i="2" a="1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F74" i="2"/>
  <c r="G74" i="2"/>
  <c r="H74" i="2"/>
  <c r="I74" i="2"/>
  <c r="J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I74" i="2"/>
  <c r="AJ74" i="2"/>
  <c r="AK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H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 a="1"/>
  <c r="CK74" i="2"/>
  <c r="CL74" i="2"/>
  <c r="CM74" i="2" a="1"/>
  <c r="CM74" i="2"/>
  <c r="CN74" i="2"/>
  <c r="CO74" i="2"/>
  <c r="CP74" i="2"/>
  <c r="CQ74" i="2"/>
  <c r="CR74" i="2" a="1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F75" i="2"/>
  <c r="G75" i="2"/>
  <c r="H75" i="2"/>
  <c r="I75" i="2"/>
  <c r="J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I75" i="2"/>
  <c r="AJ75" i="2"/>
  <c r="AK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H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 a="1"/>
  <c r="CK75" i="2"/>
  <c r="CL75" i="2"/>
  <c r="CM75" i="2" a="1"/>
  <c r="CM75" i="2"/>
  <c r="CN75" i="2"/>
  <c r="CO75" i="2"/>
  <c r="CP75" i="2"/>
  <c r="CQ75" i="2"/>
  <c r="CR75" i="2" a="1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F76" i="2"/>
  <c r="G76" i="2"/>
  <c r="H76" i="2"/>
  <c r="I76" i="2"/>
  <c r="J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I76" i="2"/>
  <c r="AJ76" i="2"/>
  <c r="AK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H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 a="1"/>
  <c r="CK76" i="2"/>
  <c r="CL76" i="2"/>
  <c r="CM76" i="2" a="1"/>
  <c r="CM76" i="2"/>
  <c r="CN76" i="2"/>
  <c r="CO76" i="2"/>
  <c r="CP76" i="2"/>
  <c r="CQ76" i="2"/>
  <c r="CR76" i="2" a="1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F77" i="2"/>
  <c r="G77" i="2"/>
  <c r="H77" i="2"/>
  <c r="I77" i="2"/>
  <c r="J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I77" i="2"/>
  <c r="AJ77" i="2"/>
  <c r="AK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H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 a="1"/>
  <c r="CK77" i="2"/>
  <c r="CL77" i="2"/>
  <c r="CM77" i="2" a="1"/>
  <c r="CM77" i="2"/>
  <c r="CN77" i="2"/>
  <c r="CO77" i="2"/>
  <c r="CP77" i="2"/>
  <c r="CQ77" i="2"/>
  <c r="CR77" i="2" a="1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F78" i="2"/>
  <c r="G78" i="2"/>
  <c r="H78" i="2"/>
  <c r="I78" i="2"/>
  <c r="J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I78" i="2"/>
  <c r="AJ78" i="2"/>
  <c r="AK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H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 a="1"/>
  <c r="CK78" i="2"/>
  <c r="CL78" i="2"/>
  <c r="CM78" i="2" a="1"/>
  <c r="CM78" i="2"/>
  <c r="CN78" i="2"/>
  <c r="CO78" i="2"/>
  <c r="CP78" i="2"/>
  <c r="CQ78" i="2"/>
  <c r="CR78" i="2" a="1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F79" i="2"/>
  <c r="G79" i="2"/>
  <c r="H79" i="2"/>
  <c r="I79" i="2"/>
  <c r="J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I79" i="2"/>
  <c r="AJ79" i="2"/>
  <c r="AK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H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 a="1"/>
  <c r="CK79" i="2"/>
  <c r="CL79" i="2"/>
  <c r="CM79" i="2" a="1"/>
  <c r="CM79" i="2"/>
  <c r="CN79" i="2"/>
  <c r="CO79" i="2"/>
  <c r="CP79" i="2"/>
  <c r="CQ79" i="2"/>
  <c r="CR79" i="2" a="1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F80" i="2"/>
  <c r="G80" i="2"/>
  <c r="H80" i="2"/>
  <c r="I80" i="2"/>
  <c r="J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I80" i="2"/>
  <c r="AJ80" i="2"/>
  <c r="AK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H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 a="1"/>
  <c r="CK80" i="2"/>
  <c r="CL80" i="2"/>
  <c r="CM80" i="2" a="1"/>
  <c r="CM80" i="2"/>
  <c r="CN80" i="2"/>
  <c r="CO80" i="2"/>
  <c r="CP80" i="2"/>
  <c r="CQ80" i="2"/>
  <c r="CR80" i="2" a="1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F81" i="2"/>
  <c r="G81" i="2"/>
  <c r="H81" i="2"/>
  <c r="I81" i="2"/>
  <c r="J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I81" i="2"/>
  <c r="AJ81" i="2"/>
  <c r="AK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H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 a="1"/>
  <c r="CK81" i="2"/>
  <c r="CL81" i="2"/>
  <c r="CM81" i="2" a="1"/>
  <c r="CM81" i="2"/>
  <c r="CN81" i="2"/>
  <c r="CO81" i="2"/>
  <c r="CP81" i="2"/>
  <c r="CQ81" i="2"/>
  <c r="CR81" i="2" a="1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F82" i="2"/>
  <c r="G82" i="2"/>
  <c r="H82" i="2"/>
  <c r="I82" i="2"/>
  <c r="J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I82" i="2"/>
  <c r="AJ82" i="2"/>
  <c r="AK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H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 a="1"/>
  <c r="CK82" i="2"/>
  <c r="CL82" i="2"/>
  <c r="CM82" i="2" a="1"/>
  <c r="CM82" i="2"/>
  <c r="CN82" i="2"/>
  <c r="CO82" i="2"/>
  <c r="CP82" i="2"/>
  <c r="CQ82" i="2"/>
  <c r="CR82" i="2" a="1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F83" i="2"/>
  <c r="G83" i="2"/>
  <c r="H83" i="2"/>
  <c r="I83" i="2"/>
  <c r="J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I83" i="2"/>
  <c r="AJ83" i="2"/>
  <c r="AK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H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 a="1"/>
  <c r="CK83" i="2"/>
  <c r="CL83" i="2"/>
  <c r="CM83" i="2" a="1"/>
  <c r="CM83" i="2"/>
  <c r="CN83" i="2"/>
  <c r="CO83" i="2"/>
  <c r="CP83" i="2"/>
  <c r="CQ83" i="2"/>
  <c r="CR83" i="2" a="1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F84" i="2"/>
  <c r="G84" i="2"/>
  <c r="H84" i="2"/>
  <c r="I84" i="2"/>
  <c r="J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I84" i="2"/>
  <c r="AJ84" i="2"/>
  <c r="AK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H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 a="1"/>
  <c r="CK84" i="2"/>
  <c r="CL84" i="2"/>
  <c r="CM84" i="2" a="1"/>
  <c r="CM84" i="2"/>
  <c r="CN84" i="2"/>
  <c r="CO84" i="2"/>
  <c r="CP84" i="2"/>
  <c r="CQ84" i="2"/>
  <c r="CR84" i="2" a="1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F85" i="2"/>
  <c r="G85" i="2"/>
  <c r="H85" i="2"/>
  <c r="I85" i="2"/>
  <c r="J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I85" i="2"/>
  <c r="AJ85" i="2"/>
  <c r="AK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H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 a="1"/>
  <c r="CK85" i="2"/>
  <c r="CL85" i="2"/>
  <c r="CM85" i="2" a="1"/>
  <c r="CM85" i="2"/>
  <c r="CN85" i="2"/>
  <c r="CO85" i="2"/>
  <c r="CP85" i="2"/>
  <c r="CQ85" i="2"/>
  <c r="CR85" i="2" a="1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F86" i="2"/>
  <c r="G86" i="2"/>
  <c r="H86" i="2"/>
  <c r="I86" i="2"/>
  <c r="J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I86" i="2"/>
  <c r="AJ86" i="2"/>
  <c r="AK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H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 a="1"/>
  <c r="CK86" i="2"/>
  <c r="CL86" i="2"/>
  <c r="CM86" i="2" a="1"/>
  <c r="CM86" i="2"/>
  <c r="CN86" i="2"/>
  <c r="CO86" i="2"/>
  <c r="CP86" i="2"/>
  <c r="CQ86" i="2"/>
  <c r="CR86" i="2" a="1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F87" i="2"/>
  <c r="G87" i="2"/>
  <c r="H87" i="2"/>
  <c r="I87" i="2"/>
  <c r="J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I87" i="2"/>
  <c r="AJ87" i="2"/>
  <c r="AK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H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 a="1"/>
  <c r="CK87" i="2"/>
  <c r="CL87" i="2"/>
  <c r="CM87" i="2" a="1"/>
  <c r="CM87" i="2"/>
  <c r="CN87" i="2"/>
  <c r="CO87" i="2"/>
  <c r="CP87" i="2"/>
  <c r="CQ87" i="2"/>
  <c r="CR87" i="2" a="1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F88" i="2"/>
  <c r="G88" i="2"/>
  <c r="H88" i="2"/>
  <c r="I88" i="2"/>
  <c r="J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I88" i="2"/>
  <c r="AJ88" i="2"/>
  <c r="AK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H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 a="1"/>
  <c r="CK88" i="2"/>
  <c r="CL88" i="2"/>
  <c r="CM88" i="2" a="1"/>
  <c r="CM88" i="2"/>
  <c r="CN88" i="2"/>
  <c r="CO88" i="2"/>
  <c r="CP88" i="2"/>
  <c r="CQ88" i="2"/>
  <c r="CR88" i="2" a="1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F89" i="2"/>
  <c r="G89" i="2"/>
  <c r="H89" i="2"/>
  <c r="I89" i="2"/>
  <c r="J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I89" i="2"/>
  <c r="AJ89" i="2"/>
  <c r="AK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H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 a="1"/>
  <c r="CK89" i="2"/>
  <c r="CL89" i="2"/>
  <c r="CM89" i="2" a="1"/>
  <c r="CM89" i="2"/>
  <c r="CN89" i="2"/>
  <c r="CO89" i="2"/>
  <c r="CP89" i="2"/>
  <c r="CQ89" i="2"/>
  <c r="CR89" i="2" a="1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F90" i="2"/>
  <c r="G90" i="2"/>
  <c r="H90" i="2"/>
  <c r="I90" i="2"/>
  <c r="J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I90" i="2"/>
  <c r="AJ90" i="2"/>
  <c r="AK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H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 a="1"/>
  <c r="CK90" i="2"/>
  <c r="CL90" i="2"/>
  <c r="CM90" i="2" a="1"/>
  <c r="CM90" i="2"/>
  <c r="CN90" i="2"/>
  <c r="CO90" i="2"/>
  <c r="CP90" i="2"/>
  <c r="CQ90" i="2"/>
  <c r="CR90" i="2" a="1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F91" i="2"/>
  <c r="G91" i="2"/>
  <c r="H91" i="2"/>
  <c r="I91" i="2"/>
  <c r="J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I91" i="2"/>
  <c r="AJ91" i="2"/>
  <c r="AK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H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 a="1"/>
  <c r="CK91" i="2"/>
  <c r="CL91" i="2"/>
  <c r="CM91" i="2" a="1"/>
  <c r="CM91" i="2"/>
  <c r="CN91" i="2"/>
  <c r="CO91" i="2"/>
  <c r="CP91" i="2"/>
  <c r="CQ91" i="2"/>
  <c r="CR91" i="2" a="1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F92" i="2"/>
  <c r="G92" i="2"/>
  <c r="H92" i="2"/>
  <c r="I92" i="2"/>
  <c r="J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I92" i="2"/>
  <c r="AJ92" i="2"/>
  <c r="AK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H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 a="1"/>
  <c r="CK92" i="2"/>
  <c r="CL92" i="2"/>
  <c r="CM92" i="2" a="1"/>
  <c r="CM92" i="2"/>
  <c r="CN92" i="2"/>
  <c r="CO92" i="2"/>
  <c r="CP92" i="2"/>
  <c r="CQ92" i="2"/>
  <c r="CR92" i="2" a="1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F93" i="2"/>
  <c r="G93" i="2"/>
  <c r="H93" i="2"/>
  <c r="I93" i="2"/>
  <c r="J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I93" i="2"/>
  <c r="AJ93" i="2"/>
  <c r="AK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H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 a="1"/>
  <c r="CK93" i="2"/>
  <c r="CL93" i="2"/>
  <c r="CM93" i="2" a="1"/>
  <c r="CM93" i="2"/>
  <c r="CN93" i="2"/>
  <c r="CO93" i="2"/>
  <c r="CP93" i="2"/>
  <c r="CQ93" i="2"/>
  <c r="CR93" i="2" a="1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F94" i="2"/>
  <c r="G94" i="2"/>
  <c r="H94" i="2"/>
  <c r="I94" i="2"/>
  <c r="J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I94" i="2"/>
  <c r="AJ94" i="2"/>
  <c r="AK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H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 a="1"/>
  <c r="CK94" i="2"/>
  <c r="CL94" i="2"/>
  <c r="CM94" i="2" a="1"/>
  <c r="CM94" i="2"/>
  <c r="CN94" i="2"/>
  <c r="CO94" i="2"/>
  <c r="CP94" i="2"/>
  <c r="CQ94" i="2"/>
  <c r="CR94" i="2" a="1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F95" i="2"/>
  <c r="G95" i="2"/>
  <c r="H95" i="2"/>
  <c r="I95" i="2"/>
  <c r="J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I95" i="2"/>
  <c r="AJ95" i="2"/>
  <c r="AK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H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 a="1"/>
  <c r="CK95" i="2"/>
  <c r="CL95" i="2"/>
  <c r="CM95" i="2" a="1"/>
  <c r="CM95" i="2"/>
  <c r="CN95" i="2"/>
  <c r="CO95" i="2"/>
  <c r="CP95" i="2"/>
  <c r="CQ95" i="2"/>
  <c r="CR95" i="2" a="1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F96" i="2"/>
  <c r="G96" i="2"/>
  <c r="H96" i="2"/>
  <c r="I96" i="2"/>
  <c r="J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I96" i="2"/>
  <c r="AJ96" i="2"/>
  <c r="AK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H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 a="1"/>
  <c r="CK96" i="2"/>
  <c r="CL96" i="2"/>
  <c r="CM96" i="2" a="1"/>
  <c r="CM96" i="2"/>
  <c r="CN96" i="2"/>
  <c r="CO96" i="2"/>
  <c r="CP96" i="2"/>
  <c r="CQ96" i="2"/>
  <c r="CR96" i="2" a="1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F97" i="2"/>
  <c r="G97" i="2"/>
  <c r="H97" i="2"/>
  <c r="I97" i="2"/>
  <c r="J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I97" i="2"/>
  <c r="AJ97" i="2"/>
  <c r="AK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H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 a="1"/>
  <c r="CK97" i="2"/>
  <c r="CL97" i="2"/>
  <c r="CM97" i="2" a="1"/>
  <c r="CM97" i="2"/>
  <c r="CN97" i="2"/>
  <c r="CO97" i="2"/>
  <c r="CP97" i="2"/>
  <c r="CQ97" i="2"/>
  <c r="CR97" i="2" a="1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F98" i="2"/>
  <c r="G98" i="2"/>
  <c r="H98" i="2"/>
  <c r="I98" i="2"/>
  <c r="J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I98" i="2"/>
  <c r="AJ98" i="2"/>
  <c r="AK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H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 a="1"/>
  <c r="CK98" i="2"/>
  <c r="CL98" i="2"/>
  <c r="CM98" i="2" a="1"/>
  <c r="CM98" i="2"/>
  <c r="CN98" i="2"/>
  <c r="CO98" i="2"/>
  <c r="CP98" i="2"/>
  <c r="CQ98" i="2"/>
  <c r="CR98" i="2" a="1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F99" i="2"/>
  <c r="G99" i="2"/>
  <c r="H99" i="2"/>
  <c r="I99" i="2"/>
  <c r="J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I99" i="2"/>
  <c r="AJ99" i="2"/>
  <c r="AK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H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 a="1"/>
  <c r="CK99" i="2"/>
  <c r="CL99" i="2"/>
  <c r="CM99" i="2" a="1"/>
  <c r="CM99" i="2"/>
  <c r="CN99" i="2"/>
  <c r="CO99" i="2"/>
  <c r="CP99" i="2"/>
  <c r="CQ99" i="2"/>
  <c r="CR99" i="2" a="1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F100" i="2"/>
  <c r="G100" i="2"/>
  <c r="H100" i="2"/>
  <c r="I100" i="2"/>
  <c r="J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I100" i="2"/>
  <c r="AJ100" i="2"/>
  <c r="AK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H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 a="1"/>
  <c r="CK100" i="2"/>
  <c r="CL100" i="2"/>
  <c r="CM100" i="2" a="1"/>
  <c r="CM100" i="2"/>
  <c r="CN100" i="2"/>
  <c r="CO100" i="2"/>
  <c r="CP100" i="2"/>
  <c r="CQ100" i="2"/>
  <c r="CR100" i="2" a="1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F101" i="2"/>
  <c r="G101" i="2"/>
  <c r="H101" i="2"/>
  <c r="I101" i="2"/>
  <c r="J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I101" i="2"/>
  <c r="AJ101" i="2"/>
  <c r="AK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H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 a="1"/>
  <c r="CK101" i="2"/>
  <c r="CL101" i="2"/>
  <c r="CM101" i="2" a="1"/>
  <c r="CM101" i="2"/>
  <c r="CN101" i="2"/>
  <c r="CO101" i="2"/>
  <c r="CP101" i="2"/>
  <c r="CQ101" i="2"/>
  <c r="CR101" i="2" a="1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F102" i="2"/>
  <c r="G102" i="2"/>
  <c r="H102" i="2"/>
  <c r="I102" i="2"/>
  <c r="J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I102" i="2"/>
  <c r="AJ102" i="2"/>
  <c r="AK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H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 a="1"/>
  <c r="CK102" i="2"/>
  <c r="CL102" i="2"/>
  <c r="CM102" i="2" a="1"/>
  <c r="CM102" i="2"/>
  <c r="CN102" i="2"/>
  <c r="CO102" i="2"/>
  <c r="CP102" i="2"/>
  <c r="CQ102" i="2"/>
  <c r="CR102" i="2" a="1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F103" i="2"/>
  <c r="G103" i="2"/>
  <c r="H103" i="2"/>
  <c r="I103" i="2"/>
  <c r="J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I103" i="2"/>
  <c r="AJ103" i="2"/>
  <c r="AK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H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 a="1"/>
  <c r="CK103" i="2"/>
  <c r="CL103" i="2"/>
  <c r="CM103" i="2" a="1"/>
  <c r="CM103" i="2"/>
  <c r="CN103" i="2"/>
  <c r="CO103" i="2"/>
  <c r="CP103" i="2"/>
  <c r="CQ103" i="2"/>
  <c r="CR103" i="2" a="1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F104" i="2"/>
  <c r="G104" i="2"/>
  <c r="H104" i="2"/>
  <c r="I104" i="2"/>
  <c r="J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I104" i="2"/>
  <c r="AJ104" i="2"/>
  <c r="AK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H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 a="1"/>
  <c r="CK104" i="2"/>
  <c r="CL104" i="2"/>
  <c r="CM104" i="2" a="1"/>
  <c r="CM104" i="2"/>
  <c r="CN104" i="2"/>
  <c r="CO104" i="2"/>
  <c r="CP104" i="2"/>
  <c r="CQ104" i="2"/>
  <c r="CR104" i="2" a="1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F105" i="2"/>
  <c r="G105" i="2"/>
  <c r="H105" i="2"/>
  <c r="I105" i="2"/>
  <c r="J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I105" i="2"/>
  <c r="AJ105" i="2"/>
  <c r="AK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H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 a="1"/>
  <c r="CK105" i="2"/>
  <c r="CL105" i="2"/>
  <c r="CM105" i="2" a="1"/>
  <c r="CM105" i="2"/>
  <c r="CN105" i="2"/>
  <c r="CO105" i="2"/>
  <c r="CP105" i="2"/>
  <c r="CQ105" i="2"/>
  <c r="CR105" i="2" a="1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F106" i="2"/>
  <c r="G106" i="2"/>
  <c r="H106" i="2"/>
  <c r="I106" i="2"/>
  <c r="J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I106" i="2"/>
  <c r="AJ106" i="2"/>
  <c r="AK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H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 a="1"/>
  <c r="CK106" i="2"/>
  <c r="CL106" i="2"/>
  <c r="CM106" i="2" a="1"/>
  <c r="CM106" i="2"/>
  <c r="CN106" i="2"/>
  <c r="CO106" i="2"/>
  <c r="CP106" i="2"/>
  <c r="CQ106" i="2"/>
  <c r="CR106" i="2" a="1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F107" i="2"/>
  <c r="G107" i="2"/>
  <c r="H107" i="2"/>
  <c r="I107" i="2"/>
  <c r="J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I107" i="2"/>
  <c r="AJ107" i="2"/>
  <c r="AK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H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 a="1"/>
  <c r="CK107" i="2"/>
  <c r="CL107" i="2"/>
  <c r="CM107" i="2" a="1"/>
  <c r="CM107" i="2"/>
  <c r="CN107" i="2"/>
  <c r="CO107" i="2"/>
  <c r="CP107" i="2"/>
  <c r="CQ107" i="2"/>
  <c r="CR107" i="2" a="1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F108" i="2"/>
  <c r="G108" i="2"/>
  <c r="H108" i="2"/>
  <c r="I108" i="2"/>
  <c r="J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I108" i="2"/>
  <c r="AJ108" i="2"/>
  <c r="AK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H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 a="1"/>
  <c r="CK108" i="2"/>
  <c r="CL108" i="2"/>
  <c r="CM108" i="2" a="1"/>
  <c r="CM108" i="2"/>
  <c r="CN108" i="2"/>
  <c r="CO108" i="2"/>
  <c r="CP108" i="2"/>
  <c r="CQ108" i="2"/>
  <c r="CR108" i="2" a="1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F109" i="2"/>
  <c r="G109" i="2"/>
  <c r="H109" i="2"/>
  <c r="I109" i="2"/>
  <c r="J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I109" i="2"/>
  <c r="AJ109" i="2"/>
  <c r="AK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H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 a="1"/>
  <c r="CK109" i="2"/>
  <c r="CL109" i="2"/>
  <c r="CM109" i="2" a="1"/>
  <c r="CM109" i="2"/>
  <c r="CN109" i="2"/>
  <c r="CO109" i="2"/>
  <c r="CP109" i="2"/>
  <c r="CQ109" i="2"/>
  <c r="CR109" i="2" a="1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F110" i="2"/>
  <c r="G110" i="2"/>
  <c r="H110" i="2"/>
  <c r="I110" i="2"/>
  <c r="J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I110" i="2"/>
  <c r="AJ110" i="2"/>
  <c r="AK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H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 a="1"/>
  <c r="CK110" i="2"/>
  <c r="CL110" i="2"/>
  <c r="CM110" i="2" a="1"/>
  <c r="CM110" i="2"/>
  <c r="CN110" i="2"/>
  <c r="CO110" i="2"/>
  <c r="CP110" i="2"/>
  <c r="CQ110" i="2"/>
  <c r="CR110" i="2" a="1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F111" i="2"/>
  <c r="G111" i="2"/>
  <c r="H111" i="2"/>
  <c r="I111" i="2"/>
  <c r="J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I111" i="2"/>
  <c r="AJ111" i="2"/>
  <c r="AK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H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 a="1"/>
  <c r="CK111" i="2"/>
  <c r="CL111" i="2"/>
  <c r="CM111" i="2" a="1"/>
  <c r="CM111" i="2"/>
  <c r="CN111" i="2"/>
  <c r="CO111" i="2"/>
  <c r="CP111" i="2"/>
  <c r="CQ111" i="2"/>
  <c r="CR111" i="2" a="1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F112" i="2"/>
  <c r="G112" i="2"/>
  <c r="H112" i="2"/>
  <c r="I112" i="2"/>
  <c r="J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I112" i="2"/>
  <c r="AJ112" i="2"/>
  <c r="AK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H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 a="1"/>
  <c r="CK112" i="2"/>
  <c r="CL112" i="2"/>
  <c r="CM112" i="2" a="1"/>
  <c r="CM112" i="2"/>
  <c r="CN112" i="2"/>
  <c r="CO112" i="2"/>
  <c r="CP112" i="2"/>
  <c r="CQ112" i="2"/>
  <c r="CR112" i="2" a="1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F113" i="2"/>
  <c r="G113" i="2"/>
  <c r="H113" i="2"/>
  <c r="I113" i="2"/>
  <c r="J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I113" i="2"/>
  <c r="AJ113" i="2"/>
  <c r="AK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H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 a="1"/>
  <c r="CK113" i="2"/>
  <c r="CL113" i="2"/>
  <c r="CM113" i="2" a="1"/>
  <c r="CM113" i="2"/>
  <c r="CN113" i="2"/>
  <c r="CO113" i="2"/>
  <c r="CP113" i="2"/>
  <c r="CQ113" i="2"/>
  <c r="CR113" i="2" a="1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F114" i="2"/>
  <c r="G114" i="2"/>
  <c r="H114" i="2"/>
  <c r="I114" i="2"/>
  <c r="J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I114" i="2"/>
  <c r="AJ114" i="2"/>
  <c r="AK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H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 a="1"/>
  <c r="CK114" i="2"/>
  <c r="CL114" i="2"/>
  <c r="CM114" i="2" a="1"/>
  <c r="CM114" i="2"/>
  <c r="CN114" i="2"/>
  <c r="CO114" i="2"/>
  <c r="CP114" i="2"/>
  <c r="CQ114" i="2"/>
  <c r="CR114" i="2" a="1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F115" i="2"/>
  <c r="G115" i="2"/>
  <c r="H115" i="2"/>
  <c r="I115" i="2"/>
  <c r="J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I115" i="2"/>
  <c r="AJ115" i="2"/>
  <c r="AK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H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 a="1"/>
  <c r="CK115" i="2"/>
  <c r="CL115" i="2"/>
  <c r="CM115" i="2" a="1"/>
  <c r="CM115" i="2"/>
  <c r="CN115" i="2"/>
  <c r="CO115" i="2"/>
  <c r="CP115" i="2"/>
  <c r="CQ115" i="2"/>
  <c r="CR115" i="2" a="1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F116" i="2"/>
  <c r="G116" i="2"/>
  <c r="H116" i="2"/>
  <c r="I116" i="2"/>
  <c r="J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I116" i="2"/>
  <c r="AJ116" i="2"/>
  <c r="AK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H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 a="1"/>
  <c r="CK116" i="2"/>
  <c r="CL116" i="2"/>
  <c r="CM116" i="2" a="1"/>
  <c r="CM116" i="2"/>
  <c r="CN116" i="2"/>
  <c r="CO116" i="2"/>
  <c r="CP116" i="2"/>
  <c r="CQ116" i="2"/>
  <c r="CR116" i="2" a="1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F117" i="2"/>
  <c r="G117" i="2"/>
  <c r="H117" i="2"/>
  <c r="I117" i="2"/>
  <c r="J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I117" i="2"/>
  <c r="AJ117" i="2"/>
  <c r="AK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H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 a="1"/>
  <c r="CK117" i="2"/>
  <c r="CL117" i="2"/>
  <c r="CM117" i="2" a="1"/>
  <c r="CM117" i="2"/>
  <c r="CN117" i="2"/>
  <c r="CO117" i="2"/>
  <c r="CP117" i="2"/>
  <c r="CQ117" i="2"/>
  <c r="CR117" i="2" a="1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F118" i="2"/>
  <c r="G118" i="2"/>
  <c r="H118" i="2"/>
  <c r="I118" i="2"/>
  <c r="J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I118" i="2"/>
  <c r="AJ118" i="2"/>
  <c r="AK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H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 a="1"/>
  <c r="CK118" i="2"/>
  <c r="CL118" i="2"/>
  <c r="CM118" i="2" a="1"/>
  <c r="CM118" i="2"/>
  <c r="CN118" i="2"/>
  <c r="CO118" i="2"/>
  <c r="CP118" i="2"/>
  <c r="CQ118" i="2"/>
  <c r="CR118" i="2" a="1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F119" i="2"/>
  <c r="G119" i="2"/>
  <c r="H119" i="2"/>
  <c r="I119" i="2"/>
  <c r="J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I119" i="2"/>
  <c r="AJ119" i="2"/>
  <c r="AK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H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 a="1"/>
  <c r="CK119" i="2"/>
  <c r="CL119" i="2"/>
  <c r="CM119" i="2" a="1"/>
  <c r="CM119" i="2"/>
  <c r="CN119" i="2"/>
  <c r="CO119" i="2"/>
  <c r="CP119" i="2"/>
  <c r="CQ119" i="2"/>
  <c r="CR119" i="2" a="1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F120" i="2"/>
  <c r="G120" i="2"/>
  <c r="H120" i="2"/>
  <c r="I120" i="2"/>
  <c r="J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I120" i="2"/>
  <c r="AJ120" i="2"/>
  <c r="AK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H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 a="1"/>
  <c r="CK120" i="2"/>
  <c r="CL120" i="2"/>
  <c r="CM120" i="2" a="1"/>
  <c r="CM120" i="2"/>
  <c r="CN120" i="2"/>
  <c r="CO120" i="2"/>
  <c r="CP120" i="2"/>
  <c r="CQ120" i="2"/>
  <c r="CR120" i="2" a="1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Z3" i="8"/>
  <c r="AD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tc={13F4375F-4949-47DB-925F-5836147DC525}</author>
  </authors>
  <commentList>
    <comment ref="DH1" authorId="0" shapeId="0" xr:uid="{13F4375F-4949-47DB-925F-5836147DC525}">
      <text>
        <t>[Threaded comment]
Your version of Excel allows you to read this threaded comment; however, any edits to it will get removed if the file is opened in a newer version of Excel. Learn more: https://go.microsoft.com/fwlink/?linkid=870924
Comment:
    -1 means require manual validation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E6C50F-8F8D-4132-89E7-D5678C125DD8}" keepAlive="1" name="Query - result_fixed" description="Connection to the 'result_fixed' query in the workbook." type="5" refreshedVersion="8" background="1" saveData="1">
    <dbPr connection="Provider=Microsoft.Mashup.OleDb.1;Data Source=$Workbook$;Location=result_fixed;Extended Properties=&quot;&quot;" command="SELECT * FROM [result_fixed]"/>
  </connection>
  <connection id="2" xr16:uid="{E8E18FD5-B900-4760-B581-05D0D2DA9A71}" keepAlive="1" name="Query - result_varied" description="Connection to the 'result_varied' query in the workbook." type="5" refreshedVersion="8" background="1" saveData="1">
    <dbPr connection="Provider=Microsoft.Mashup.OleDb.1;Data Source=$Workbook$;Location=result_varied;Extended Properties=&quot;&quot;" command="SELECT * FROM [result_varied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<sst xmlns="http://schemas.openxmlformats.org/spreadsheetml/2006/main" count="5860" uniqueCount="515">
  <si>
    <t>STEP 1: BASE CF CALCULATION</t>
  </si>
  <si>
    <t>Interest rate scenario</t>
  </si>
  <si>
    <t>Fund</t>
  </si>
  <si>
    <t>Sub-risk inclusion</t>
  </si>
  <si>
    <t>Premium term scenario</t>
  </si>
  <si>
    <t>TP term</t>
  </si>
  <si>
    <t>EP term</t>
  </si>
  <si>
    <t>From tblBaseCF</t>
  </si>
  <si>
    <t>From tblBaseCFSummary</t>
  </si>
  <si>
    <t>Note: These are used as a quick check of formula in the table</t>
  </si>
  <si>
    <t>All flags behind this will be influenced by this flag</t>
  </si>
  <si>
    <t>Plan figures</t>
  </si>
  <si>
    <t>Actual figures</t>
  </si>
  <si>
    <t>Formula text:</t>
  </si>
  <si>
    <t>#int_rate_scenario</t>
  </si>
  <si>
    <t>#risk_type</t>
  </si>
  <si>
    <t>#prem_term_scenario</t>
  </si>
  <si>
    <t>Year</t>
  </si>
  <si>
    <t>PolTermFlag</t>
  </si>
  <si>
    <t>CalYear</t>
  </si>
  <si>
    <t>Age</t>
  </si>
  <si>
    <t>ContFlag</t>
  </si>
  <si>
    <t>ContLog</t>
  </si>
  <si>
    <t>AccBenTermFlag</t>
  </si>
  <si>
    <t>TPTermFlag</t>
  </si>
  <si>
    <t>EPTermFlag</t>
  </si>
  <si>
    <t>SubStandardFlag</t>
  </si>
  <si>
    <t>EMLoadTermFlag</t>
  </si>
  <si>
    <t>PMLoadTermFlag</t>
  </si>
  <si>
    <t>StartSI</t>
  </si>
  <si>
    <t>StartTAV</t>
  </si>
  <si>
    <t>StartEAV</t>
  </si>
  <si>
    <t>StartPAV</t>
  </si>
  <si>
    <t>Ben</t>
  </si>
  <si>
    <t>AccBen</t>
  </si>
  <si>
    <t>SrrChrgRate</t>
  </si>
  <si>
    <t>SVChrg</t>
  </si>
  <si>
    <t>SV</t>
  </si>
  <si>
    <t>WithdrawalInput</t>
  </si>
  <si>
    <t>1stCheckProceed</t>
  </si>
  <si>
    <t>2ndCheckAmount</t>
  </si>
  <si>
    <t>3rdCheckPAV</t>
  </si>
  <si>
    <t>endSITest</t>
  </si>
  <si>
    <t>4thCheckSI</t>
  </si>
  <si>
    <t>Withdrawal</t>
  </si>
  <si>
    <t>EAVWithdrawal</t>
  </si>
  <si>
    <t>TAVWithdrawal</t>
  </si>
  <si>
    <t>EndSI</t>
  </si>
  <si>
    <t>WithdrawalLog</t>
  </si>
  <si>
    <t>TPAllocChrgRate</t>
  </si>
  <si>
    <t>TP</t>
  </si>
  <si>
    <t>TPAllocChrg</t>
  </si>
  <si>
    <t>TPAlloc</t>
  </si>
  <si>
    <t>EPAllocChrgRate</t>
  </si>
  <si>
    <t>EP</t>
  </si>
  <si>
    <t>EPAllocChrg</t>
  </si>
  <si>
    <t>EPAlloc</t>
  </si>
  <si>
    <t>UnroundedEMLoad</t>
  </si>
  <si>
    <t>UnroundedPMLoad</t>
  </si>
  <si>
    <t>EMLoad</t>
  </si>
  <si>
    <t>PMLoad</t>
  </si>
  <si>
    <t>Load</t>
  </si>
  <si>
    <t>LoadAllocChrg</t>
  </si>
  <si>
    <t>LoadAlloc</t>
  </si>
  <si>
    <t>TotalPrem</t>
  </si>
  <si>
    <t>AllocChrg</t>
  </si>
  <si>
    <t>Alloc</t>
  </si>
  <si>
    <t>AccumTotalPrem</t>
  </si>
  <si>
    <t>TAVAfterWdrlAlloc</t>
  </si>
  <si>
    <t>EAVAfterWdrlAlloc</t>
  </si>
  <si>
    <t>AnnualIntRate</t>
  </si>
  <si>
    <t>MonthlyIntRate</t>
  </si>
  <si>
    <t>Duean1m12</t>
  </si>
  <si>
    <t>ExcelFV</t>
  </si>
  <si>
    <t>SAR</t>
  </si>
  <si>
    <t>COIRate</t>
  </si>
  <si>
    <t>pStandardCOI</t>
  </si>
  <si>
    <t>pEMLoadCOI</t>
  </si>
  <si>
    <t>pPMLoadCOI</t>
  </si>
  <si>
    <t>pAccCOI</t>
  </si>
  <si>
    <t>pCOI</t>
  </si>
  <si>
    <t>pMonthlyAdminChrg</t>
  </si>
  <si>
    <t>pAdminChrg</t>
  </si>
  <si>
    <t>pNomDeduct</t>
  </si>
  <si>
    <t>DeductFlag</t>
  </si>
  <si>
    <t>StandardCOI</t>
  </si>
  <si>
    <t>EMLoadCOI</t>
  </si>
  <si>
    <t>PMLoadCOI</t>
  </si>
  <si>
    <t>AccCOI</t>
  </si>
  <si>
    <t>COI</t>
  </si>
  <si>
    <t>MonthlyAdminChrg</t>
  </si>
  <si>
    <t>AdminChrg</t>
  </si>
  <si>
    <t>NomDeduct</t>
  </si>
  <si>
    <t>EffDeduct</t>
  </si>
  <si>
    <t>TAVDeduct</t>
  </si>
  <si>
    <t>EAVDeduct</t>
  </si>
  <si>
    <t>TAVInt</t>
  </si>
  <si>
    <t>EAVInt</t>
  </si>
  <si>
    <t>LBRate</t>
  </si>
  <si>
    <t>LBTAVWithdrawal</t>
  </si>
  <si>
    <t>LBBasis</t>
  </si>
  <si>
    <t>LB</t>
  </si>
  <si>
    <t>SBCode</t>
  </si>
  <si>
    <t>SBIndex</t>
  </si>
  <si>
    <t>SBRate</t>
  </si>
  <si>
    <t>SBTAVWithdrawal</t>
  </si>
  <si>
    <t>SBBasis</t>
  </si>
  <si>
    <t>SB</t>
  </si>
  <si>
    <t>Bonus</t>
  </si>
  <si>
    <t>EndTAV</t>
  </si>
  <si>
    <t>EndEAV</t>
  </si>
  <si>
    <t>EndPAV</t>
  </si>
  <si>
    <t>SemiAnnualTP</t>
  </si>
  <si>
    <t>SemiAnnualEP</t>
  </si>
  <si>
    <t>SemiAnnualEMLoad</t>
  </si>
  <si>
    <t>SemiAnnualPMLoad</t>
  </si>
  <si>
    <t>SemiAnnualLoad</t>
  </si>
  <si>
    <t>SemiAnnualTotalPrem</t>
  </si>
  <si>
    <t>QuarterlyTP</t>
  </si>
  <si>
    <t>QuarterlyEP</t>
  </si>
  <si>
    <t>QuarterlyEMLoad</t>
  </si>
  <si>
    <t>QuarterlyPMLoad</t>
  </si>
  <si>
    <t>QuarterlyLoad</t>
  </si>
  <si>
    <t>QuarterlyTotalPrem</t>
  </si>
  <si>
    <t>MonthlyTP</t>
  </si>
  <si>
    <t>MonthlyEP</t>
  </si>
  <si>
    <t>MonthlyEMLoad</t>
  </si>
  <si>
    <t>MonthlyPMLoad</t>
  </si>
  <si>
    <t>MonthlyLoad</t>
  </si>
  <si>
    <t>MonthlyTotalPrem</t>
  </si>
  <si>
    <t>IntRateScenario</t>
  </si>
  <si>
    <t>Risk</t>
  </si>
  <si>
    <t>PremTermScenario</t>
  </si>
  <si>
    <t>Duesn1m12</t>
  </si>
  <si>
    <t>High</t>
  </si>
  <si>
    <t>Standard</t>
  </si>
  <si>
    <t>First year - Guaranteed to continue.</t>
  </si>
  <si>
    <t>No withdrawal.</t>
  </si>
  <si>
    <t>F000</t>
  </si>
  <si>
    <t>Guaranteed</t>
  </si>
  <si>
    <t>Input term</t>
  </si>
  <si>
    <t>Sub-standard</t>
  </si>
  <si>
    <t>F001</t>
  </si>
  <si>
    <t>F002</t>
  </si>
  <si>
    <t>Low</t>
  </si>
  <si>
    <t>F003</t>
  </si>
  <si>
    <t>F004</t>
  </si>
  <si>
    <t>F005</t>
  </si>
  <si>
    <t>F006</t>
  </si>
  <si>
    <t>F007</t>
  </si>
  <si>
    <t>F008</t>
  </si>
  <si>
    <t>F009</t>
  </si>
  <si>
    <t>F010</t>
  </si>
  <si>
    <t>Version</t>
  </si>
  <si>
    <t>I. GENERAL:</t>
  </si>
  <si>
    <t>Item</t>
  </si>
  <si>
    <t>Setting</t>
  </si>
  <si>
    <t>Printing directory</t>
  </si>
  <si>
    <t>Channel</t>
  </si>
  <si>
    <t>VAB</t>
  </si>
  <si>
    <t>Product</t>
  </si>
  <si>
    <t>ILP01</t>
  </si>
  <si>
    <t>List of product is dependent on channel</t>
  </si>
  <si>
    <t>Customer type</t>
  </si>
  <si>
    <t>Individual</t>
  </si>
  <si>
    <t>List Individual or Corporate</t>
  </si>
  <si>
    <t>Effective date</t>
  </si>
  <si>
    <t>Back date feature: rcd cannot be 18 months away from printed date</t>
  </si>
  <si>
    <t>II. CLIENT INFO:</t>
  </si>
  <si>
    <t>POLICY OWNER INFO:</t>
  </si>
  <si>
    <t>Name</t>
  </si>
  <si>
    <t>Policy owner (Corporate)</t>
  </si>
  <si>
    <t>Gender</t>
  </si>
  <si>
    <t>Date of Birth</t>
  </si>
  <si>
    <t>Relationship to PO</t>
  </si>
  <si>
    <t>Age last birthdate</t>
  </si>
  <si>
    <t>Month Age (when entry age is 0)</t>
  </si>
  <si>
    <t>Policy owner (individual)</t>
  </si>
  <si>
    <t>Test Case 01 MainLA</t>
  </si>
  <si>
    <t>Female</t>
  </si>
  <si>
    <t>Self</t>
  </si>
  <si>
    <t>LIFE ASSURED INFO:</t>
  </si>
  <si>
    <t>*Not compulsary - for printing</t>
  </si>
  <si>
    <t>Life assured</t>
  </si>
  <si>
    <t>ID</t>
  </si>
  <si>
    <t>Occupation class</t>
  </si>
  <si>
    <t>MainLI</t>
  </si>
  <si>
    <t>Other</t>
  </si>
  <si>
    <t>SubLI01</t>
  </si>
  <si>
    <t>Test Case 01 SubLA01</t>
  </si>
  <si>
    <t>SubLI02</t>
  </si>
  <si>
    <t>SubLI03</t>
  </si>
  <si>
    <t>SubLI04</t>
  </si>
  <si>
    <t>SubLI05</t>
  </si>
  <si>
    <t>SubLI06</t>
  </si>
  <si>
    <t>SubLI07</t>
  </si>
  <si>
    <t>SubLI08</t>
  </si>
  <si>
    <t>SubLI09</t>
  </si>
  <si>
    <t>SubLI10</t>
  </si>
  <si>
    <t>II. PRODUCT INFO:</t>
  </si>
  <si>
    <t>BASE INFO:</t>
  </si>
  <si>
    <t>Information</t>
  </si>
  <si>
    <t>Input</t>
  </si>
  <si>
    <t>Output</t>
  </si>
  <si>
    <t>Death and total permanent disability benefit option</t>
  </si>
  <si>
    <t>A</t>
  </si>
  <si>
    <t>List "A", "B"</t>
  </si>
  <si>
    <t>Additional accident term</t>
  </si>
  <si>
    <t>Maturity option</t>
  </si>
  <si>
    <t>List 1, 2</t>
  </si>
  <si>
    <t>Plan target premium term</t>
  </si>
  <si>
    <t>TP rate</t>
  </si>
  <si>
    <t>Base sum insured</t>
  </si>
  <si>
    <t>Big case size bonus</t>
  </si>
  <si>
    <t>Sum insured coeff accidental death and total permanent disability</t>
  </si>
  <si>
    <t>List from 0 to 5</t>
  </si>
  <si>
    <t>Planned excess premium amount - annual</t>
  </si>
  <si>
    <t>Mode</t>
  </si>
  <si>
    <t>Factor</t>
  </si>
  <si>
    <t>Plan excess premium term</t>
  </si>
  <si>
    <t>Annual</t>
  </si>
  <si>
    <t>Payment frequency option</t>
  </si>
  <si>
    <t>List "Annual", "Semi-annual", "Quarterly", "Monthly"</t>
  </si>
  <si>
    <t>Semi-annual</t>
  </si>
  <si>
    <t>Quarterly</t>
  </si>
  <si>
    <t>Monthly</t>
  </si>
  <si>
    <t>BASE SUB-RISK LOADING:</t>
  </si>
  <si>
    <t>Extra mortality</t>
  </si>
  <si>
    <t>list from 0% to 250% with 25% step</t>
  </si>
  <si>
    <t>Extra premium rate</t>
  </si>
  <si>
    <t>Extra mortality term</t>
  </si>
  <si>
    <t>Permille</t>
  </si>
  <si>
    <t>List from 1 to 15</t>
  </si>
  <si>
    <t>Permille term</t>
  </si>
  <si>
    <t>FUND ALLOCATION:</t>
  </si>
  <si>
    <t>TP%</t>
  </si>
  <si>
    <t>EP%</t>
  </si>
  <si>
    <t>Note: Do not interfere with space below as it is used to extending the withdrawal output</t>
  </si>
  <si>
    <t>WITHDRAWAL:</t>
  </si>
  <si>
    <t>From</t>
  </si>
  <si>
    <t>To</t>
  </si>
  <si>
    <t>Amount</t>
  </si>
  <si>
    <t>RIDER:</t>
  </si>
  <si>
    <t>Rider</t>
  </si>
  <si>
    <t>Insured</t>
  </si>
  <si>
    <t>SI</t>
  </si>
  <si>
    <t>Option</t>
  </si>
  <si>
    <t>Prem load</t>
  </si>
  <si>
    <t>Prem load term</t>
  </si>
  <si>
    <t>Permille load</t>
  </si>
  <si>
    <t>Permille load term</t>
  </si>
  <si>
    <t>Validation note:</t>
  </si>
  <si>
    <t>1) SI</t>
  </si>
  <si>
    <t>WOP2</t>
  </si>
  <si>
    <t xml:space="preserve">- For WOP1, WOP2, HOP2, SUP1: deactivate SI field
</t>
  </si>
  <si>
    <t>WOP1</t>
  </si>
  <si>
    <t>- For non-waiver: sum insured has multiple of 100,000</t>
  </si>
  <si>
    <t>CIR2</t>
  </si>
  <si>
    <t>SUP1</t>
  </si>
  <si>
    <t>2) Option:</t>
  </si>
  <si>
    <t>- Activate only For HOP2, deactivate For all other product</t>
  </si>
  <si>
    <t>HOP2</t>
  </si>
  <si>
    <t>3) Spreadsheet does not implement Rider Matrix</t>
  </si>
  <si>
    <t>RIDER CASHFLOW:</t>
  </si>
  <si>
    <t>Sum insured</t>
  </si>
  <si>
    <t xml:space="preserve">Prem load </t>
  </si>
  <si>
    <t>PM load</t>
  </si>
  <si>
    <t>PM load term</t>
  </si>
  <si>
    <t>Entry age</t>
  </si>
  <si>
    <t>Term</t>
  </si>
  <si>
    <t>Is Waiver</t>
  </si>
  <si>
    <t>CIR1</t>
  </si>
  <si>
    <t>RiderTermFlag</t>
  </si>
  <si>
    <t>WOPSIPart1</t>
  </si>
  <si>
    <t>WOPSIPart2</t>
  </si>
  <si>
    <t>ADD1UnroundedPrem</t>
  </si>
  <si>
    <t>PDD1UnroundedPrem</t>
  </si>
  <si>
    <t>CIR1UnroundedPrem</t>
  </si>
  <si>
    <t>CIR2UnroundedPrem</t>
  </si>
  <si>
    <t>HOP2UnroundedPrem</t>
  </si>
  <si>
    <t>SUP1UnroundedPrem</t>
  </si>
  <si>
    <t>WOP1UnroundedPrem</t>
  </si>
  <si>
    <t>WOP2UnroundedPrem</t>
  </si>
  <si>
    <t>UnroundedPrem</t>
  </si>
  <si>
    <t>UnroundedPremLoad</t>
  </si>
  <si>
    <t>Prem</t>
  </si>
  <si>
    <t>PremLoad</t>
  </si>
  <si>
    <t>SemiAnnualPrem</t>
  </si>
  <si>
    <t>SemiAnnualPremLoad</t>
  </si>
  <si>
    <t>QuarterlyPrem</t>
  </si>
  <si>
    <t>QuarterlyPremLoad</t>
  </si>
  <si>
    <t>MonthlyPrem</t>
  </si>
  <si>
    <t>MonthlyPremLoad</t>
  </si>
  <si>
    <t>Formula:</t>
  </si>
  <si>
    <t>#rider_cf_risk_type</t>
  </si>
  <si>
    <t>#rider_insured</t>
  </si>
  <si>
    <t>IsWaiver</t>
  </si>
  <si>
    <t>Admin</t>
  </si>
  <si>
    <t>Total</t>
  </si>
  <si>
    <t>Year/Age</t>
  </si>
  <si>
    <t>PAV</t>
  </si>
  <si>
    <t>Death TPD Benefit</t>
  </si>
  <si>
    <t>Charge at high rate</t>
  </si>
  <si>
    <t>Charge at guarantee rate</t>
  </si>
  <si>
    <t>Allocated premium</t>
  </si>
  <si>
    <t>Allocation charge</t>
  </si>
  <si>
    <t>Premium</t>
  </si>
  <si>
    <t>Guarantee</t>
  </si>
  <si>
    <t>Accum premium</t>
  </si>
  <si>
    <t>Plan premium</t>
  </si>
  <si>
    <t>Unit: VND '000</t>
  </si>
  <si>
    <t>POLICY EXPENSE</t>
  </si>
  <si>
    <t>POLICY BENEFIT AND ACCOUNT VALUE</t>
  </si>
  <si>
    <t>Total premium</t>
  </si>
  <si>
    <t>Rider premium</t>
  </si>
  <si>
    <t>Modal</t>
  </si>
  <si>
    <t>Target premium (annual)</t>
  </si>
  <si>
    <t>Pol term/ Prem term</t>
  </si>
  <si>
    <t>Main LI</t>
  </si>
  <si>
    <t>Index</t>
  </si>
  <si>
    <t>2. Summary of ploicy account value and Death/TPD Benefit at 5% bonus rate over the first 20 years:</t>
  </si>
  <si>
    <t>UNIVERSAL LIFE</t>
  </si>
  <si>
    <t>SUMMARY OF POLICY</t>
  </si>
  <si>
    <t>TOTAL PREMIUM</t>
  </si>
  <si>
    <t>SUMMARY OF ILLUSTRATION</t>
  </si>
  <si>
    <t>INVESTMENT LINK PRODUCT</t>
  </si>
  <si>
    <t>FUND ACCOUNT VALUE</t>
  </si>
  <si>
    <t>Target</t>
  </si>
  <si>
    <t>Alloced premium
(include big case size discount)</t>
  </si>
  <si>
    <t>Fund PAV</t>
  </si>
  <si>
    <t>Fund Bonus</t>
  </si>
  <si>
    <t>Allocated charge</t>
  </si>
  <si>
    <t>Admin charge</t>
  </si>
  <si>
    <t>Base</t>
  </si>
  <si>
    <t>Riders</t>
  </si>
  <si>
    <t>TP RATE</t>
  </si>
  <si>
    <t>BASE COI RATE</t>
  </si>
  <si>
    <t>MONTHLY ACCIDENTAL COI RATE</t>
  </si>
  <si>
    <t>TP ALLOC CHRG RATE</t>
  </si>
  <si>
    <t>EP ALLOC CHRG RATE</t>
  </si>
  <si>
    <t>SURR CHRG RATE</t>
  </si>
  <si>
    <t>LOYALTY BONUS RATE</t>
  </si>
  <si>
    <t>SPECIAL BONUS RATE</t>
  </si>
  <si>
    <t>MONTHLY POL MGT CHRG</t>
  </si>
  <si>
    <t>INTEREST RATE</t>
  </si>
  <si>
    <t>JUVENILE LIEN RATE</t>
  </si>
  <si>
    <t>OTHER SETTING</t>
  </si>
  <si>
    <t>MODAL FACTOR</t>
  </si>
  <si>
    <t>PRODUCT AGE VALIDATION</t>
  </si>
  <si>
    <t>Rate</t>
  </si>
  <si>
    <t>UVL01_Male</t>
  </si>
  <si>
    <t>UVL01_Female</t>
  </si>
  <si>
    <t>UVL02_Male</t>
  </si>
  <si>
    <t>UVL02_Female</t>
  </si>
  <si>
    <t>UVL03_Male</t>
  </si>
  <si>
    <t>UVL03_Female</t>
  </si>
  <si>
    <t>ILP01_Male</t>
  </si>
  <si>
    <t>ILP01_Female</t>
  </si>
  <si>
    <t>UVL01</t>
  </si>
  <si>
    <t>UVL02</t>
  </si>
  <si>
    <t>UVL03</t>
  </si>
  <si>
    <t>Case</t>
  </si>
  <si>
    <t>Cal_Year</t>
  </si>
  <si>
    <t>Type</t>
  </si>
  <si>
    <t>Variable</t>
  </si>
  <si>
    <t>Value</t>
  </si>
  <si>
    <t>Min</t>
  </si>
  <si>
    <t>Max</t>
  </si>
  <si>
    <t>Maturity</t>
  </si>
  <si>
    <t>&lt; VND 500mil</t>
  </si>
  <si>
    <t>Must-pay period</t>
  </si>
  <si>
    <t>&gt;=VND 500mil and &lt; VND 1bil</t>
  </si>
  <si>
    <t>LB review period</t>
  </si>
  <si>
    <t>&gt;=VND 1bil</t>
  </si>
  <si>
    <t>SB review period</t>
  </si>
  <si>
    <t>Min EP</t>
  </si>
  <si>
    <t>Max EP</t>
  </si>
  <si>
    <t>Min base SI</t>
  </si>
  <si>
    <t>Min TP</t>
  </si>
  <si>
    <t>Withdrawal start year</t>
  </si>
  <si>
    <t>Min withdrawal</t>
  </si>
  <si>
    <t>Min PAV after withdrawal</t>
  </si>
  <si>
    <t>47</t>
  </si>
  <si>
    <t>46</t>
  </si>
  <si>
    <t>45</t>
  </si>
  <si>
    <t>44</t>
  </si>
  <si>
    <t>43</t>
  </si>
  <si>
    <t>42</t>
  </si>
  <si>
    <t>41</t>
  </si>
  <si>
    <t>40</t>
  </si>
  <si>
    <t>39</t>
  </si>
  <si>
    <t>38</t>
  </si>
  <si>
    <t>37</t>
  </si>
  <si>
    <t>36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</si>
  <si>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</si>
  <si>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</si>
  <si>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</si>
  <si>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</si>
  <si>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</si>
  <si>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</si>
  <si>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</si>
  <si>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</si>
  <si>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</si>
  <si>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</si>
  <si>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</si>
  <si>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</si>
  <si>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</si>
  <si>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</si>
  <si>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</si>
  <si>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20</t>
  </si>
  <si>
    <t>19</t>
  </si>
  <si>
    <t>18</t>
  </si>
  <si>
    <t>17</t>
  </si>
  <si>
    <t>16</t>
  </si>
  <si>
    <t>15</t>
  </si>
  <si>
    <t>14</t>
  </si>
  <si>
    <t>13</t>
  </si>
  <si>
    <t>12</t>
  </si>
  <si>
    <t>11</t>
  </si>
  <si>
    <t>10</t>
  </si>
  <si>
    <t>9</t>
  </si>
  <si>
    <t>8</t>
  </si>
  <si>
    <t>7</t>
  </si>
  <si>
    <t>6</t>
  </si>
  <si>
    <t>5</t>
  </si>
  <si>
    <t>Male - per 1000 VND of SA</t>
  </si>
  <si>
    <t>Female - per 1000 VND of SA</t>
  </si>
  <si>
    <t>f(k)</t>
  </si>
  <si>
    <t>k</t>
  </si>
  <si>
    <t>Male</t>
  </si>
  <si>
    <t xml:space="preserve">Age </t>
  </si>
  <si>
    <t>SA</t>
  </si>
  <si>
    <t>Annualized GPR</t>
  </si>
  <si>
    <t>Max age</t>
  </si>
  <si>
    <t>Min age</t>
  </si>
  <si>
    <t>ADD Rate</t>
  </si>
  <si>
    <t>WOP2 Discount factor</t>
  </si>
  <si>
    <t>Permanent disability</t>
  </si>
  <si>
    <t>Accidental Death TPD</t>
  </si>
  <si>
    <t>Extra Premium  Rate per 1000 VND Sum Insured</t>
  </si>
  <si>
    <t>MALE</t>
  </si>
  <si>
    <t>Loading Term</t>
  </si>
  <si>
    <t>FEMALE</t>
  </si>
  <si>
    <t>IntRte</t>
  </si>
  <si>
    <t>NPV</t>
  </si>
  <si>
    <t>FV</t>
  </si>
  <si>
    <t>t</t>
  </si>
  <si>
    <t>CF</t>
  </si>
  <si>
    <t>PV_ordinary (t=1)</t>
  </si>
  <si>
    <t>PV_due (t=0)</t>
  </si>
  <si>
    <t>FV_ordinary (t=5)</t>
  </si>
  <si>
    <t>PV_due (t=5)</t>
  </si>
  <si>
    <t>cf</t>
  </si>
  <si>
    <t>pv</t>
  </si>
  <si>
    <t>fv(t=5)</t>
  </si>
  <si>
    <t>excel</t>
  </si>
  <si>
    <t>Base term</t>
  </si>
  <si>
    <t>Continue.</t>
  </si>
  <si>
    <t>Successfully withdraw.</t>
  </si>
  <si>
    <t>Base TP</t>
  </si>
  <si>
    <t>Risk scenario</t>
  </si>
  <si>
    <t>Interest rate</t>
  </si>
  <si>
    <t>Validation</t>
  </si>
  <si>
    <t>Excel list</t>
  </si>
  <si>
    <t>Excel whole number</t>
  </si>
  <si>
    <t>Excel custom validation</t>
  </si>
  <si>
    <t>Formula</t>
  </si>
  <si>
    <t>(*) The below check is dependent on product</t>
  </si>
  <si>
    <t>Policy term</t>
  </si>
  <si>
    <t>TP_Validation</t>
  </si>
  <si>
    <t>EP_Validation</t>
  </si>
  <si>
    <t>Test Case 01 PO</t>
  </si>
  <si>
    <t>From_Validation</t>
  </si>
  <si>
    <t>To_Validation</t>
  </si>
  <si>
    <t>Amount_Validation</t>
  </si>
  <si>
    <t>DOB-PO Age Validation</t>
  </si>
  <si>
    <t>DOB - Insured Age validation</t>
  </si>
  <si>
    <t>Self option Validation</t>
  </si>
  <si>
    <t>Active Insured</t>
  </si>
  <si>
    <t>Age Validation</t>
  </si>
  <si>
    <t>ADD01</t>
  </si>
  <si>
    <t>WOP02</t>
  </si>
  <si>
    <t>WOP01</t>
  </si>
  <si>
    <t>CIR02</t>
  </si>
  <si>
    <t>SUP01</t>
  </si>
  <si>
    <t>PPD01</t>
  </si>
  <si>
    <t>HOP02</t>
  </si>
  <si>
    <t>CIR01</t>
  </si>
  <si>
    <t>Warning</t>
  </si>
  <si>
    <t>Validation result</t>
  </si>
  <si>
    <t>Maturity age</t>
  </si>
  <si>
    <t>v1.00.00</t>
  </si>
  <si>
    <t>Int Rate</t>
  </si>
  <si>
    <t>1st principle</t>
  </si>
  <si>
    <t>PAVAfterWdrlAlloc</t>
  </si>
  <si>
    <t>pDeduct</t>
  </si>
  <si>
    <t>Deduct</t>
  </si>
  <si>
    <t>Int</t>
  </si>
  <si>
    <t>LBFlag</t>
  </si>
  <si>
    <t>SBFlag</t>
  </si>
  <si>
    <t>JuvenileLienRate</t>
  </si>
  <si>
    <t>Subrisk</t>
  </si>
  <si>
    <t>Opted term</t>
  </si>
  <si>
    <t>Extra</t>
  </si>
  <si>
    <t>STEP 2: SUMMARY RESULTS</t>
  </si>
  <si>
    <t>STEP 3: COLLECT ALL RESULTS</t>
  </si>
  <si>
    <t>TP pct</t>
  </si>
  <si>
    <t>EP pct</t>
  </si>
  <si>
    <t>Account value</t>
  </si>
  <si>
    <t>Description</t>
  </si>
  <si>
    <t>Duration: 1.17 seconds</t>
  </si>
  <si>
    <t>Started: 6/29/2025, 4:32:56 AM</t>
  </si>
  <si>
    <t>Finished: 6/29/2025, 4:32:56 AM</t>
  </si>
  <si>
    <t>Duration: 0.65 seconds</t>
  </si>
  <si>
    <t>Duration: 2.04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</si>
</sst>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1">
    <numFmt numFmtId="43" formatCode="_(* #,##0.00_);_(* \(#,##0.00\);_(* &quot;-&quot;??_);_(@_)"/>
    <numFmt numFmtId="164" formatCode="_-* #,##0_-;\-* #,##0_-;_-* \-??_-;_-@_-"/>
    <numFmt numFmtId="165" formatCode="0.0%"/>
    <numFmt numFmtId="166" formatCode="0.0000"/>
    <numFmt numFmtId="167" formatCode="_(* #,##0.0000_);_(* \(#,##0.0000\);_(* &quot;-&quot;??_);_(@_)"/>
    <numFmt numFmtId="168" formatCode="0.0000%"/>
    <numFmt numFmtId="169" formatCode="dd\-mmm\-yyyy"/>
    <numFmt numFmtId="170" formatCode="0&quot; tuổi&quot;"/>
    <numFmt numFmtId="171" formatCode="0&quot; tháng tuổi&quot;"/>
    <numFmt numFmtId="172" formatCode="_-* #,##0.00_-;\-* #,##0.00_-;_-* \-??_-;_-@_-"/>
    <numFmt numFmtId="173" formatCode="_-* #,##0\ _€_-;\-* #,##0\ _€_-;_-* \-??\ _€_-;_-@_-"/>
    <numFmt numFmtId="174" formatCode="0&quot; years old&quot;"/>
    <numFmt numFmtId="175" formatCode="0&quot; months old&quot;"/>
    <numFmt numFmtId="176" formatCode="&quot;Option &quot;@"/>
    <numFmt numFmtId="177" formatCode="0&quot; years&quot;"/>
    <numFmt numFmtId="178" formatCode="&quot;Option &quot;0"/>
    <numFmt numFmtId="179" formatCode="&quot;VND &quot;0,000"/>
    <numFmt numFmtId="180" formatCode="\x0"/>
    <numFmt numFmtId="181" formatCode="_(* #,##0_);_(* \(#,##0\);_(* \-??_);_(@_)"/>
    <numFmt numFmtId="182" formatCode="0&quot; năm&quot;"/>
    <numFmt numFmtId="183" formatCode="_(* #,##0_);_(* \(#,##0\);_(* &quot;-&quot;??_);_(@_)"/>
    <numFmt numFmtId="184" formatCode="#&quot; years&quot;"/>
    <numFmt numFmtId="186" formatCode="&quot;VND &quot;#,###"/>
    <numFmt numFmtId="187" formatCode="_(* #,##0.00_);_(* \(#,##0.00\);_(* \-??_);_(@_)"/>
    <numFmt numFmtId="188" formatCode="[$-409]d\-mmm\-yy;@"/>
    <numFmt numFmtId="189" formatCode="[$-409]0"/>
    <numFmt numFmtId="190" formatCode="0E+00"/>
    <numFmt numFmtId="191" formatCode="\$#,##0.00_);[Red]&quot;($&quot;#,##0.00\)"/>
    <numFmt numFmtId="192" formatCode="\$#,##0.0000_);[Red]&quot;($&quot;#,##0.0000\)"/>
    <numFmt numFmtId="193" formatCode="_-* #,##0.0000_-;\-* #,##0.0000_-;_-* \-??_-;_-@_-"/>
    <numFmt numFmtId="194" formatCode="_(* #,##0.0000_);_(* \(#,##0.0000\);_(* \-????_);_(@_)"/>
  </numFmts>
  <fonts count="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70C0"/>
      <name val="Calibri"/>
      <family val="2"/>
    </font>
    <font>
      <b/>
      <sz val="11"/>
      <color theme="1"/>
      <name val="Calibri"/>
      <family val="2"/>
    </font>
    <font>
      <sz val="18"/>
      <color theme="3"/>
      <name val="Calibri Light"/>
      <family val="2"/>
      <charset val="1"/>
    </font>
    <font>
      <b/>
      <u/>
      <sz val="40"/>
      <color theme="3"/>
      <name val="Calibri"/>
      <family val="2"/>
    </font>
    <font>
      <sz val="40"/>
      <color theme="1"/>
      <name val="Calibri"/>
      <family val="2"/>
    </font>
    <font>
      <b/>
      <sz val="40"/>
      <color theme="1"/>
      <name val="Calibri"/>
      <family val="2"/>
    </font>
    <font>
      <sz val="40"/>
      <color theme="1"/>
      <name val="Calibri"/>
      <family val="2"/>
      <scheme val="minor"/>
    </font>
    <font>
      <sz val="11"/>
      <color rgb="FF3F3F76"/>
      <name val="Calibri"/>
      <family val="2"/>
      <charset val="1"/>
    </font>
    <font>
      <sz val="11"/>
      <color rgb="FF3F3F76"/>
      <name val="Calibri"/>
      <family val="2"/>
    </font>
    <font>
      <i/>
      <sz val="11"/>
      <color theme="1"/>
      <name val="Calibri"/>
      <family val="2"/>
    </font>
    <font>
      <b/>
      <sz val="30"/>
      <color theme="3"/>
      <name val="Calibri"/>
      <family val="2"/>
      <scheme val="minor"/>
    </font>
    <font>
      <sz val="11"/>
      <color rgb="FFFF0000"/>
      <name val="Calibri"/>
      <family val="2"/>
    </font>
    <font>
      <sz val="11"/>
      <color theme="5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charset val="1"/>
    </font>
    <font>
      <b/>
      <sz val="20"/>
      <color rgb="FF00427A"/>
      <name val="Arial"/>
      <family val="2"/>
      <charset val="1"/>
    </font>
    <font>
      <b/>
      <sz val="11"/>
      <name val="Calibri"/>
      <family val="2"/>
      <charset val="1"/>
    </font>
    <font>
      <sz val="11"/>
      <name val="Calibri"/>
      <family val="2"/>
      <charset val="1"/>
    </font>
    <font>
      <b/>
      <sz val="14"/>
      <color rgb="FF4F81BD"/>
      <name val="Calibri"/>
      <family val="2"/>
      <charset val="1"/>
    </font>
    <font>
      <b/>
      <sz val="11"/>
      <color theme="1"/>
      <name val="Calibri"/>
      <family val="2"/>
      <charset val="1"/>
    </font>
    <font>
      <b/>
      <sz val="11"/>
      <color rgb="FFBFBFBF"/>
      <name val="Calibri"/>
      <family val="2"/>
      <charset val="1"/>
    </font>
    <font>
      <b/>
      <sz val="11"/>
      <color rgb="FF3F3F3F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1"/>
      <color rgb="FF0070C0"/>
      <name val="Calibri"/>
      <family val="2"/>
      <scheme val="minor"/>
    </font>
    <font>
      <b/>
      <sz val="30"/>
      <color theme="3"/>
      <name val="Calibri"/>
      <family val="2"/>
    </font>
    <font>
      <sz val="11"/>
      <color theme="0" tint="-0.34998626667073579"/>
      <name val="Calibri"/>
      <family val="2"/>
      <charset val="1"/>
    </font>
    <font>
      <b/>
      <sz val="11"/>
      <color theme="0" tint="-0.34998626667073579"/>
      <name val="Calibri"/>
      <family val="2"/>
      <charset val="1"/>
    </font>
    <font>
      <b/>
      <i/>
      <sz val="11"/>
      <color theme="1"/>
      <name val="Calibri"/>
      <family val="2"/>
    </font>
    <font>
      <sz val="11"/>
      <color theme="0" tint="-0.34998626667073579"/>
      <name val="Calibri"/>
      <family val="2"/>
    </font>
    <font>
      <b/>
      <sz val="11"/>
      <color theme="0" tint="-0.34998626667073579"/>
      <name val="Calibri"/>
      <family val="2"/>
    </font>
    <font>
      <sz val="11"/>
      <color theme="2" tint="-0.249977111117893"/>
      <name val="Calibri"/>
      <family val="2"/>
      <charset val="1"/>
    </font>
    <font>
      <sz val="11"/>
      <color theme="2" tint="-0.249977111117893"/>
      <name val="Calibri"/>
      <family val="2"/>
      <scheme val="minor"/>
    </font>
    <font>
      <b/>
      <sz val="15"/>
      <color theme="1"/>
      <name val="Calibri"/>
      <family val="2"/>
      <charset val="1"/>
    </font>
    <font>
      <b/>
      <sz val="15"/>
      <color theme="1"/>
      <name val="Calibri"/>
      <family val="2"/>
    </font>
    <font>
      <sz val="9"/>
      <color theme="1"/>
      <name val="Calibri"/>
      <family val="2"/>
      <charset val="1"/>
    </font>
    <font>
      <b/>
      <sz val="14"/>
      <color theme="1"/>
      <name val="Calibri"/>
      <family val="2"/>
      <charset val="1"/>
    </font>
    <font>
      <sz val="14"/>
      <name val="Arial"/>
      <family val="2"/>
      <charset val="1"/>
    </font>
    <font>
      <b/>
      <sz val="14"/>
      <color rgb="FFFF0000"/>
      <name val="Calibri"/>
      <family val="2"/>
      <charset val="1"/>
    </font>
    <font>
      <sz val="11"/>
      <color theme="8"/>
      <name val="Calibri"/>
      <family val="2"/>
      <charset val="1"/>
    </font>
    <font>
      <sz val="11"/>
      <color rgb="FF3F3F3F"/>
      <name val="Calibri"/>
      <family val="2"/>
    </font>
    <font>
      <sz val="9"/>
      <color indexed="81"/>
      <name val="Tahoma"/>
      <family val="2"/>
    </font>
  </fonts>
  <fills count="39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CC99"/>
        <bgColor rgb="FFF8CBAD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89999084444715716"/>
        <bgColor rgb="FF4F81BD"/>
      </patternFill>
    </fill>
    <fill>
      <patternFill patternType="solid">
        <fgColor theme="1"/>
        <bgColor rgb="FF4F81BD"/>
      </patternFill>
    </fill>
    <fill>
      <patternFill patternType="solid">
        <fgColor rgb="FF00B050"/>
        <bgColor rgb="FF008080"/>
      </patternFill>
    </fill>
    <fill>
      <patternFill patternType="solid">
        <fgColor theme="7"/>
        <bgColor rgb="FFFFFF00"/>
      </patternFill>
    </fill>
    <fill>
      <patternFill patternType="solid">
        <fgColor theme="5"/>
        <bgColor rgb="FFFFC000"/>
      </patternFill>
    </fill>
    <fill>
      <patternFill patternType="solid">
        <fgColor rgb="FFFF0000"/>
        <bgColor rgb="FF800000"/>
      </patternFill>
    </fill>
    <fill>
      <patternFill patternType="solid">
        <fgColor theme="8"/>
        <bgColor rgb="FF4F81BD"/>
      </patternFill>
    </fill>
    <fill>
      <patternFill patternType="solid">
        <fgColor theme="3"/>
        <bgColor rgb="FF3F3F76"/>
      </patternFill>
    </fill>
    <fill>
      <patternFill patternType="solid">
        <fgColor theme="1"/>
        <bgColor rgb="FF003300"/>
      </patternFill>
    </fill>
    <fill>
      <patternFill patternType="solid">
        <fgColor theme="2" tint="-9.9978637043366805E-2"/>
        <bgColor rgb="FF003300"/>
      </patternFill>
    </fill>
    <fill>
      <patternFill patternType="solid">
        <fgColor theme="6" tint="0.39988402966399123"/>
        <bgColor rgb="FFC0C0C0"/>
      </patternFill>
    </fill>
    <fill>
      <patternFill patternType="solid">
        <fgColor rgb="FFFF0000"/>
        <bgColor rgb="FFC0C0C0"/>
      </patternFill>
    </fill>
    <fill>
      <patternFill patternType="solid">
        <fgColor rgb="FFFF0000"/>
        <bgColor rgb="FFFFC000"/>
      </patternFill>
    </fill>
    <fill>
      <patternFill patternType="solid">
        <fgColor rgb="FF0070C0"/>
        <bgColor rgb="FF0066CC"/>
      </patternFill>
    </fill>
    <fill>
      <patternFill patternType="solid">
        <fgColor rgb="FF00B050"/>
        <bgColor rgb="FFFFC000"/>
      </patternFill>
    </fill>
    <fill>
      <patternFill patternType="solid">
        <fgColor theme="2"/>
        <bgColor rgb="FFDEEBF7"/>
      </patternFill>
    </fill>
    <fill>
      <patternFill patternType="solid">
        <fgColor theme="1"/>
        <bgColor indexed="64"/>
      </patternFill>
    </fill>
    <fill>
      <patternFill patternType="solid">
        <fgColor rgb="FF8DB4E2"/>
        <bgColor rgb="FF9DC3E6"/>
      </patternFill>
    </fill>
    <fill>
      <patternFill patternType="solid">
        <fgColor theme="3" tint="0.89999084444715716"/>
        <bgColor rgb="FFDEEBF7"/>
      </patternFill>
    </fill>
    <fill>
      <patternFill patternType="solid">
        <fgColor rgb="FFC0C0C0"/>
        <bgColor rgb="FFBFBFBF"/>
      </patternFill>
    </fill>
    <fill>
      <patternFill patternType="solid">
        <fgColor theme="0" tint="-0.14999847407452621"/>
        <bgColor rgb="FFDAE3F3"/>
      </patternFill>
    </fill>
    <fill>
      <patternFill patternType="solid">
        <fgColor rgb="FFF2F2F2"/>
        <bgColor rgb="FFE7E6E6"/>
      </patternFill>
    </fill>
    <fill>
      <patternFill patternType="lightDown"/>
    </fill>
    <fill>
      <patternFill patternType="solid">
        <fgColor theme="4" tint="0.79989013336588644"/>
        <bgColor rgb="FFDAE3F3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79989013336588644"/>
        <bgColor rgb="FFDEEBF7"/>
      </patternFill>
    </fill>
    <fill>
      <patternFill patternType="solid">
        <fgColor theme="9" tint="0.79989013336588644"/>
        <bgColor rgb="FFE7E6E6"/>
      </patternFill>
    </fill>
    <fill>
      <patternFill patternType="solid">
        <fgColor rgb="FFFFFF00"/>
        <bgColor rgb="FFFFC000"/>
      </patternFill>
    </fill>
    <fill>
      <patternFill patternType="solid">
        <fgColor theme="7" tint="0.59987182226020086"/>
        <bgColor rgb="FFFFEB9C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59999389629810485"/>
        <bgColor rgb="FFBFBFBF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rgb="FF00B050"/>
      </left>
      <right/>
      <top style="thin">
        <color auto="1"/>
      </top>
      <bottom/>
      <diagonal/>
    </border>
    <border>
      <left style="medium">
        <color rgb="FF00B050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 style="thin">
        <color rgb="FF3F3F3F"/>
      </left>
      <right/>
      <top/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2" borderId="2" applyNumberFormat="0" applyAlignment="0" applyProtection="0"/>
    <xf numFmtId="0" fontId="11" fillId="0" borderId="0" applyBorder="0" applyProtection="0"/>
    <xf numFmtId="0" fontId="16" fillId="3" borderId="2" applyProtection="0"/>
    <xf numFmtId="0" fontId="25" fillId="0" borderId="0"/>
    <xf numFmtId="172" fontId="25" fillId="0" borderId="0" applyBorder="0" applyProtection="0"/>
    <xf numFmtId="0" fontId="32" fillId="28" borderId="3" applyProtection="0"/>
    <xf numFmtId="9" fontId="25" fillId="0" borderId="0" applyBorder="0" applyProtection="0"/>
    <xf numFmtId="0" fontId="25" fillId="32" borderId="0" applyBorder="0" applyProtection="0"/>
    <xf numFmtId="187" fontId="25" fillId="0" borderId="0" applyBorder="0" applyProtection="0"/>
    <xf numFmtId="188" fontId="25" fillId="0" borderId="0"/>
  </cellStyleXfs>
  <cellXfs count="408">
    <xf numFmtId="0" fontId="0" fillId="0" borderId="0" xfId="0"/>
    <xf numFmtId="22" fontId="9" fillId="0" borderId="0" xfId="0" applyNumberFormat="1" applyFont="1" applyProtection="1">
      <protection hidden="1"/>
    </xf>
    <xf numFmtId="0" fontId="8" fillId="0" borderId="0" xfId="0" applyFont="1" applyProtection="1">
      <protection hidden="1"/>
    </xf>
    <xf numFmtId="0" fontId="8" fillId="0" borderId="0" xfId="0" applyFont="1"/>
    <xf numFmtId="0" fontId="10" fillId="0" borderId="0" xfId="0" applyFont="1"/>
    <xf numFmtId="22" fontId="8" fillId="0" borderId="0" xfId="0" applyNumberFormat="1" applyFont="1" applyProtection="1">
      <protection hidden="1"/>
    </xf>
    <xf numFmtId="0" fontId="12" fillId="0" borderId="0" xfId="6" applyFont="1" applyBorder="1" applyProtection="1">
      <protection hidden="1"/>
    </xf>
    <xf numFmtId="0" fontId="13" fillId="0" borderId="0" xfId="0" applyFont="1" applyProtection="1">
      <protection hidden="1"/>
    </xf>
    <xf numFmtId="0" fontId="14" fillId="0" borderId="0" xfId="0" applyFont="1"/>
    <xf numFmtId="0" fontId="15" fillId="0" borderId="0" xfId="0" applyFont="1"/>
    <xf numFmtId="0" fontId="10" fillId="0" borderId="4" xfId="0" applyFont="1" applyBorder="1" applyProtection="1">
      <protection hidden="1"/>
    </xf>
    <xf numFmtId="0" fontId="17" fillId="3" borderId="4" xfId="7" applyFont="1" applyBorder="1" applyProtection="1">
      <protection hidden="1"/>
    </xf>
    <xf numFmtId="164" fontId="8" fillId="0" borderId="0" xfId="1" applyNumberFormat="1" applyFont="1" applyBorder="1" applyProtection="1">
      <protection hidden="1"/>
    </xf>
    <xf numFmtId="0" fontId="18" fillId="0" borderId="0" xfId="0" applyFont="1" applyProtection="1">
      <protection hidden="1"/>
    </xf>
    <xf numFmtId="0" fontId="19" fillId="5" borderId="1" xfId="4" applyFont="1" applyFill="1"/>
    <xf numFmtId="0" fontId="0" fillId="5" borderId="0" xfId="0" applyFill="1"/>
    <xf numFmtId="0" fontId="6" fillId="0" borderId="0" xfId="0" applyFont="1"/>
    <xf numFmtId="0" fontId="7" fillId="0" borderId="4" xfId="0" applyFont="1" applyBorder="1"/>
    <xf numFmtId="0" fontId="0" fillId="0" borderId="4" xfId="0" applyBorder="1"/>
    <xf numFmtId="0" fontId="20" fillId="0" borderId="0" xfId="0" applyFont="1" applyProtection="1">
      <protection hidden="1"/>
    </xf>
    <xf numFmtId="0" fontId="8" fillId="0" borderId="4" xfId="0" applyFont="1" applyBorder="1" applyProtection="1">
      <protection hidden="1"/>
    </xf>
    <xf numFmtId="0" fontId="20" fillId="6" borderId="0" xfId="0" applyFont="1" applyFill="1" applyAlignment="1" applyProtection="1">
      <alignment horizontal="center"/>
      <protection hidden="1"/>
    </xf>
    <xf numFmtId="0" fontId="7" fillId="0" borderId="0" xfId="0" applyFont="1"/>
    <xf numFmtId="0" fontId="21" fillId="0" borderId="0" xfId="0" applyFont="1"/>
    <xf numFmtId="0" fontId="22" fillId="0" borderId="0" xfId="0" applyFont="1"/>
    <xf numFmtId="0" fontId="23" fillId="7" borderId="0" xfId="0" applyFont="1" applyFill="1" applyAlignment="1" applyProtection="1">
      <alignment horizontal="center" vertical="center"/>
      <protection hidden="1"/>
    </xf>
    <xf numFmtId="0" fontId="24" fillId="8" borderId="0" xfId="0" applyFont="1" applyFill="1" applyAlignment="1" applyProtection="1">
      <alignment horizontal="center" vertical="center"/>
      <protection hidden="1"/>
    </xf>
    <xf numFmtId="0" fontId="23" fillId="9" borderId="0" xfId="0" applyFont="1" applyFill="1" applyAlignment="1" applyProtection="1">
      <alignment horizontal="center" vertical="center"/>
      <protection hidden="1"/>
    </xf>
    <xf numFmtId="0" fontId="23" fillId="10" borderId="0" xfId="0" applyFont="1" applyFill="1" applyAlignment="1" applyProtection="1">
      <alignment horizontal="center" vertical="center"/>
      <protection hidden="1"/>
    </xf>
    <xf numFmtId="0" fontId="23" fillId="11" borderId="0" xfId="0" applyFont="1" applyFill="1" applyAlignment="1" applyProtection="1">
      <alignment horizontal="center" vertical="center"/>
      <protection hidden="1"/>
    </xf>
    <xf numFmtId="0" fontId="23" fillId="12" borderId="0" xfId="0" applyFont="1" applyFill="1" applyAlignment="1" applyProtection="1">
      <alignment horizontal="center" vertical="center"/>
      <protection hidden="1"/>
    </xf>
    <xf numFmtId="0" fontId="23" fillId="13" borderId="0" xfId="0" applyFont="1" applyFill="1" applyAlignment="1" applyProtection="1">
      <alignment horizontal="center" vertical="center"/>
      <protection hidden="1"/>
    </xf>
    <xf numFmtId="0" fontId="24" fillId="14" borderId="0" xfId="0" applyFont="1" applyFill="1" applyAlignment="1" applyProtection="1">
      <alignment horizontal="center" vertical="center"/>
      <protection hidden="1"/>
    </xf>
    <xf numFmtId="0" fontId="17" fillId="3" borderId="2" xfId="7" applyFont="1" applyAlignment="1" applyProtection="1">
      <alignment horizontal="center" vertical="center"/>
      <protection hidden="1"/>
    </xf>
    <xf numFmtId="0" fontId="24" fillId="15" borderId="0" xfId="0" applyFont="1" applyFill="1" applyAlignment="1" applyProtection="1">
      <alignment horizontal="center" vertical="center"/>
      <protection hidden="1"/>
    </xf>
    <xf numFmtId="0" fontId="24" fillId="12" borderId="0" xfId="0" applyFont="1" applyFill="1" applyAlignment="1" applyProtection="1">
      <alignment horizontal="center" vertical="center"/>
      <protection hidden="1"/>
    </xf>
    <xf numFmtId="0" fontId="24" fillId="11" borderId="0" xfId="0" applyFont="1" applyFill="1" applyAlignment="1" applyProtection="1">
      <alignment horizontal="center" vertical="center"/>
      <protection hidden="1"/>
    </xf>
    <xf numFmtId="0" fontId="24" fillId="10" borderId="0" xfId="0" applyFont="1" applyFill="1" applyAlignment="1" applyProtection="1">
      <alignment horizontal="center" vertical="center"/>
      <protection hidden="1"/>
    </xf>
    <xf numFmtId="0" fontId="24" fillId="16" borderId="0" xfId="0" applyFont="1" applyFill="1" applyAlignment="1" applyProtection="1">
      <alignment horizontal="center" vertical="center"/>
      <protection hidden="1"/>
    </xf>
    <xf numFmtId="0" fontId="23" fillId="17" borderId="0" xfId="0" applyFont="1" applyFill="1" applyAlignment="1" applyProtection="1">
      <alignment horizontal="center" vertical="center"/>
      <protection hidden="1"/>
    </xf>
    <xf numFmtId="0" fontId="23" fillId="18" borderId="0" xfId="0" applyFont="1" applyFill="1" applyAlignment="1" applyProtection="1">
      <alignment horizontal="center" vertical="center"/>
      <protection hidden="1"/>
    </xf>
    <xf numFmtId="0" fontId="23" fillId="19" borderId="0" xfId="0" applyFont="1" applyFill="1" applyAlignment="1" applyProtection="1">
      <alignment horizontal="center" vertical="center"/>
      <protection hidden="1"/>
    </xf>
    <xf numFmtId="0" fontId="24" fillId="20" borderId="0" xfId="0" applyFont="1" applyFill="1" applyAlignment="1" applyProtection="1">
      <alignment horizontal="center" vertical="center"/>
      <protection hidden="1"/>
    </xf>
    <xf numFmtId="0" fontId="23" fillId="21" borderId="0" xfId="0" applyFont="1" applyFill="1" applyAlignment="1" applyProtection="1">
      <alignment horizontal="center" vertical="center"/>
      <protection hidden="1"/>
    </xf>
    <xf numFmtId="0" fontId="10" fillId="22" borderId="0" xfId="0" applyFont="1" applyFill="1" applyAlignment="1" applyProtection="1">
      <alignment horizontal="center" vertical="center"/>
      <protection hidden="1"/>
    </xf>
    <xf numFmtId="0" fontId="5" fillId="23" borderId="0" xfId="0" applyFont="1" applyFill="1" applyAlignment="1">
      <alignment horizontal="center" vertical="center"/>
    </xf>
    <xf numFmtId="49" fontId="0" fillId="0" borderId="0" xfId="0" applyNumberFormat="1"/>
    <xf numFmtId="43" fontId="0" fillId="0" borderId="0" xfId="0" applyNumberFormat="1"/>
    <xf numFmtId="9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4" fontId="0" fillId="0" borderId="0" xfId="0" applyNumberFormat="1"/>
    <xf numFmtId="0" fontId="7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8" fillId="0" borderId="0" xfId="0" applyFont="1" applyAlignment="1" applyProtection="1">
      <alignment wrapText="1"/>
      <protection hidden="1"/>
    </xf>
    <xf numFmtId="49" fontId="8" fillId="0" borderId="0" xfId="0" applyNumberFormat="1" applyFont="1" applyAlignment="1" applyProtection="1">
      <alignment wrapText="1"/>
      <protection hidden="1"/>
    </xf>
    <xf numFmtId="43" fontId="8" fillId="0" borderId="0" xfId="1" applyFont="1" applyAlignment="1">
      <alignment wrapText="1"/>
    </xf>
    <xf numFmtId="43" fontId="8" fillId="0" borderId="0" xfId="1" applyFont="1" applyProtection="1">
      <protection hidden="1"/>
    </xf>
    <xf numFmtId="9" fontId="8" fillId="0" borderId="0" xfId="2" applyFont="1" applyAlignment="1" applyProtection="1">
      <alignment wrapText="1"/>
      <protection hidden="1"/>
    </xf>
    <xf numFmtId="43" fontId="8" fillId="0" borderId="0" xfId="1" applyFont="1" applyAlignment="1" applyProtection="1">
      <alignment wrapText="1"/>
      <protection hidden="1"/>
    </xf>
    <xf numFmtId="43" fontId="8" fillId="0" borderId="0" xfId="1" applyFont="1"/>
    <xf numFmtId="0" fontId="8" fillId="0" borderId="0" xfId="1" applyNumberFormat="1" applyFont="1" applyAlignment="1" applyProtection="1">
      <alignment wrapText="1"/>
      <protection hidden="1"/>
    </xf>
    <xf numFmtId="9" fontId="8" fillId="0" borderId="0" xfId="2" applyFont="1" applyProtection="1">
      <protection hidden="1"/>
    </xf>
    <xf numFmtId="165" fontId="8" fillId="0" borderId="0" xfId="2" applyNumberFormat="1" applyFont="1" applyAlignment="1">
      <alignment wrapText="1"/>
    </xf>
    <xf numFmtId="165" fontId="8" fillId="0" borderId="0" xfId="2" applyNumberFormat="1" applyFont="1"/>
    <xf numFmtId="166" fontId="8" fillId="0" borderId="0" xfId="0" applyNumberFormat="1" applyFont="1"/>
    <xf numFmtId="167" fontId="8" fillId="0" borderId="0" xfId="1" applyNumberFormat="1" applyFont="1"/>
    <xf numFmtId="168" fontId="8" fillId="0" borderId="0" xfId="2" applyNumberFormat="1" applyFont="1" applyProtection="1">
      <protection hidden="1"/>
    </xf>
    <xf numFmtId="0" fontId="8" fillId="0" borderId="0" xfId="1" applyNumberFormat="1" applyFont="1" applyProtection="1">
      <protection hidden="1"/>
    </xf>
    <xf numFmtId="0" fontId="25" fillId="0" borderId="0" xfId="8" applyProtection="1">
      <protection hidden="1"/>
    </xf>
    <xf numFmtId="0" fontId="26" fillId="0" borderId="0" xfId="8" applyFont="1" applyAlignment="1" applyProtection="1">
      <alignment vertical="center"/>
      <protection hidden="1"/>
    </xf>
    <xf numFmtId="0" fontId="27" fillId="24" borderId="4" xfId="8" applyFont="1" applyFill="1" applyBorder="1" applyAlignment="1" applyProtection="1">
      <alignment horizontal="center" vertical="center"/>
      <protection hidden="1"/>
    </xf>
    <xf numFmtId="0" fontId="27" fillId="25" borderId="4" xfId="8" applyFont="1" applyFill="1" applyBorder="1" applyProtection="1">
      <protection hidden="1"/>
    </xf>
    <xf numFmtId="49" fontId="28" fillId="0" borderId="4" xfId="7" applyNumberFormat="1" applyFont="1" applyFill="1" applyBorder="1" applyAlignment="1" applyProtection="1">
      <alignment horizontal="center" vertical="center"/>
      <protection locked="0"/>
    </xf>
    <xf numFmtId="0" fontId="27" fillId="25" borderId="6" xfId="8" applyFont="1" applyFill="1" applyBorder="1" applyProtection="1">
      <protection hidden="1"/>
    </xf>
    <xf numFmtId="169" fontId="28" fillId="0" borderId="4" xfId="7" applyNumberFormat="1" applyFont="1" applyFill="1" applyBorder="1" applyAlignment="1" applyProtection="1">
      <alignment horizontal="center" vertical="center"/>
      <protection locked="0"/>
    </xf>
    <xf numFmtId="14" fontId="25" fillId="0" borderId="0" xfId="8" applyNumberFormat="1" applyProtection="1">
      <protection hidden="1"/>
    </xf>
    <xf numFmtId="0" fontId="29" fillId="0" borderId="0" xfId="8" applyFont="1" applyAlignment="1" applyProtection="1">
      <alignment vertical="center"/>
      <protection hidden="1"/>
    </xf>
    <xf numFmtId="0" fontId="28" fillId="0" borderId="0" xfId="8" applyFont="1" applyProtection="1">
      <protection hidden="1"/>
    </xf>
    <xf numFmtId="170" fontId="25" fillId="0" borderId="0" xfId="8" applyNumberFormat="1" applyProtection="1">
      <protection hidden="1"/>
    </xf>
    <xf numFmtId="171" fontId="25" fillId="0" borderId="0" xfId="8" applyNumberFormat="1" applyProtection="1">
      <protection hidden="1"/>
    </xf>
    <xf numFmtId="0" fontId="27" fillId="25" borderId="4" xfId="8" applyFont="1" applyFill="1" applyBorder="1" applyAlignment="1" applyProtection="1">
      <alignment horizontal="center" vertical="center"/>
      <protection hidden="1"/>
    </xf>
    <xf numFmtId="0" fontId="27" fillId="0" borderId="4" xfId="7" applyFont="1" applyFill="1" applyBorder="1" applyAlignment="1" applyProtection="1">
      <alignment horizontal="center" vertical="center"/>
      <protection locked="0"/>
    </xf>
    <xf numFmtId="0" fontId="27" fillId="0" borderId="0" xfId="8" applyFont="1" applyProtection="1">
      <protection hidden="1"/>
    </xf>
    <xf numFmtId="0" fontId="30" fillId="0" borderId="0" xfId="8" applyFont="1" applyProtection="1">
      <protection hidden="1"/>
    </xf>
    <xf numFmtId="170" fontId="30" fillId="0" borderId="0" xfId="8" applyNumberFormat="1" applyFont="1" applyProtection="1">
      <protection hidden="1"/>
    </xf>
    <xf numFmtId="171" fontId="30" fillId="0" borderId="0" xfId="8" applyNumberFormat="1" applyFont="1" applyProtection="1">
      <protection hidden="1"/>
    </xf>
    <xf numFmtId="0" fontId="31" fillId="0" borderId="0" xfId="8" applyFont="1" applyProtection="1">
      <protection hidden="1"/>
    </xf>
    <xf numFmtId="14" fontId="30" fillId="0" borderId="0" xfId="8" applyNumberFormat="1" applyFont="1" applyProtection="1">
      <protection hidden="1"/>
    </xf>
    <xf numFmtId="164" fontId="30" fillId="0" borderId="0" xfId="9" applyNumberFormat="1" applyFont="1" applyBorder="1" applyProtection="1">
      <protection hidden="1"/>
    </xf>
    <xf numFmtId="0" fontId="28" fillId="0" borderId="4" xfId="7" applyFont="1" applyFill="1" applyBorder="1" applyAlignment="1" applyProtection="1">
      <alignment horizontal="center" vertical="center"/>
      <protection locked="0"/>
    </xf>
    <xf numFmtId="169" fontId="28" fillId="0" borderId="4" xfId="7" applyNumberFormat="1" applyFont="1" applyFill="1" applyBorder="1" applyAlignment="1" applyProtection="1">
      <alignment horizontal="center" vertical="center" wrapText="1"/>
      <protection locked="0"/>
    </xf>
    <xf numFmtId="174" fontId="32" fillId="27" borderId="3" xfId="9" applyNumberFormat="1" applyFont="1" applyFill="1" applyBorder="1" applyAlignment="1" applyProtection="1">
      <alignment horizontal="center" vertical="center"/>
      <protection hidden="1"/>
    </xf>
    <xf numFmtId="174" fontId="25" fillId="0" borderId="0" xfId="8" applyNumberFormat="1" applyProtection="1">
      <protection hidden="1"/>
    </xf>
    <xf numFmtId="175" fontId="25" fillId="0" borderId="0" xfId="8" applyNumberFormat="1" applyProtection="1">
      <protection hidden="1"/>
    </xf>
    <xf numFmtId="0" fontId="27" fillId="24" borderId="4" xfId="8" applyFont="1" applyFill="1" applyBorder="1" applyAlignment="1" applyProtection="1">
      <alignment horizontal="center"/>
      <protection hidden="1"/>
    </xf>
    <xf numFmtId="174" fontId="27" fillId="24" borderId="4" xfId="8" applyNumberFormat="1" applyFont="1" applyFill="1" applyBorder="1" applyAlignment="1" applyProtection="1">
      <alignment horizontal="center" vertical="center"/>
      <protection hidden="1"/>
    </xf>
    <xf numFmtId="173" fontId="28" fillId="0" borderId="4" xfId="9" applyNumberFormat="1" applyFont="1" applyBorder="1" applyAlignment="1" applyProtection="1">
      <alignment horizontal="center" vertical="center"/>
      <protection locked="0"/>
    </xf>
    <xf numFmtId="0" fontId="25" fillId="0" borderId="4" xfId="8" applyBorder="1" applyProtection="1">
      <protection hidden="1"/>
    </xf>
    <xf numFmtId="0" fontId="10" fillId="0" borderId="0" xfId="8" applyFont="1" applyProtection="1">
      <protection hidden="1"/>
    </xf>
    <xf numFmtId="0" fontId="34" fillId="25" borderId="4" xfId="8" applyFont="1" applyFill="1" applyBorder="1" applyAlignment="1" applyProtection="1">
      <alignment horizontal="left" vertical="center"/>
      <protection hidden="1"/>
    </xf>
    <xf numFmtId="176" fontId="28" fillId="0" borderId="4" xfId="7" applyNumberFormat="1" applyFont="1" applyFill="1" applyBorder="1" applyAlignment="1" applyProtection="1">
      <alignment horizontal="center" vertical="center"/>
      <protection locked="0"/>
    </xf>
    <xf numFmtId="0" fontId="25" fillId="0" borderId="0" xfId="8" applyAlignment="1" applyProtection="1">
      <alignment wrapText="1"/>
      <protection hidden="1"/>
    </xf>
    <xf numFmtId="0" fontId="34" fillId="0" borderId="4" xfId="8" applyFont="1" applyBorder="1" applyAlignment="1" applyProtection="1">
      <alignment horizontal="left" vertical="center"/>
      <protection hidden="1"/>
    </xf>
    <xf numFmtId="178" fontId="28" fillId="0" borderId="4" xfId="7" applyNumberFormat="1" applyFont="1" applyFill="1" applyBorder="1" applyAlignment="1" applyProtection="1">
      <alignment horizontal="center" vertical="center"/>
      <protection locked="0"/>
    </xf>
    <xf numFmtId="177" fontId="28" fillId="0" borderId="4" xfId="7" applyNumberFormat="1" applyFont="1" applyFill="1" applyBorder="1" applyAlignment="1" applyProtection="1">
      <alignment horizontal="center" vertical="center"/>
      <protection locked="0"/>
    </xf>
    <xf numFmtId="164" fontId="25" fillId="0" borderId="0" xfId="9" applyNumberFormat="1" applyBorder="1" applyProtection="1">
      <protection hidden="1"/>
    </xf>
    <xf numFmtId="179" fontId="28" fillId="0" borderId="4" xfId="9" applyNumberFormat="1" applyFont="1" applyBorder="1" applyAlignment="1" applyProtection="1">
      <alignment horizontal="center" vertical="center"/>
      <protection locked="0"/>
    </xf>
    <xf numFmtId="180" fontId="28" fillId="0" borderId="4" xfId="7" applyNumberFormat="1" applyFont="1" applyFill="1" applyBorder="1" applyAlignment="1" applyProtection="1">
      <alignment horizontal="center" vertical="center"/>
      <protection locked="0"/>
    </xf>
    <xf numFmtId="0" fontId="27" fillId="24" borderId="9" xfId="8" applyFont="1" applyFill="1" applyBorder="1" applyAlignment="1" applyProtection="1">
      <alignment horizontal="center" vertical="center"/>
      <protection hidden="1"/>
    </xf>
    <xf numFmtId="0" fontId="27" fillId="24" borderId="10" xfId="8" applyFont="1" applyFill="1" applyBorder="1" applyAlignment="1" applyProtection="1">
      <alignment horizontal="center" vertical="center"/>
      <protection hidden="1"/>
    </xf>
    <xf numFmtId="0" fontId="25" fillId="0" borderId="11" xfId="8" applyBorder="1" applyProtection="1">
      <protection hidden="1"/>
    </xf>
    <xf numFmtId="0" fontId="25" fillId="0" borderId="12" xfId="8" applyBorder="1" applyProtection="1">
      <protection hidden="1"/>
    </xf>
    <xf numFmtId="0" fontId="35" fillId="25" borderId="4" xfId="8" applyFont="1" applyFill="1" applyBorder="1" applyProtection="1">
      <protection hidden="1"/>
    </xf>
    <xf numFmtId="9" fontId="28" fillId="0" borderId="4" xfId="11" applyFont="1" applyBorder="1" applyAlignment="1" applyProtection="1">
      <alignment horizontal="center" wrapText="1"/>
      <protection locked="0"/>
    </xf>
    <xf numFmtId="177" fontId="28" fillId="0" borderId="4" xfId="9" applyNumberFormat="1" applyFont="1" applyBorder="1" applyAlignment="1" applyProtection="1">
      <alignment horizontal="center" wrapText="1"/>
      <protection locked="0"/>
    </xf>
    <xf numFmtId="0" fontId="28" fillId="0" borderId="4" xfId="9" applyNumberFormat="1" applyFont="1" applyBorder="1" applyAlignment="1" applyProtection="1">
      <alignment horizontal="center" wrapText="1"/>
      <protection locked="0"/>
    </xf>
    <xf numFmtId="0" fontId="27" fillId="24" borderId="13" xfId="8" applyFont="1" applyFill="1" applyBorder="1" applyAlignment="1" applyProtection="1">
      <alignment horizontal="center" vertical="center"/>
      <protection hidden="1"/>
    </xf>
    <xf numFmtId="0" fontId="33" fillId="0" borderId="0" xfId="8" applyFont="1" applyProtection="1">
      <protection hidden="1"/>
    </xf>
    <xf numFmtId="0" fontId="33" fillId="0" borderId="7" xfId="8" applyFont="1" applyBorder="1" applyProtection="1">
      <protection hidden="1"/>
    </xf>
    <xf numFmtId="0" fontId="35" fillId="4" borderId="9" xfId="8" applyFont="1" applyFill="1" applyBorder="1" applyAlignment="1" applyProtection="1">
      <alignment horizontal="center"/>
      <protection hidden="1"/>
    </xf>
    <xf numFmtId="179" fontId="35" fillId="4" borderId="13" xfId="8" applyNumberFormat="1" applyFont="1" applyFill="1" applyBorder="1" applyAlignment="1" applyProtection="1">
      <alignment horizontal="center"/>
      <protection hidden="1"/>
    </xf>
    <xf numFmtId="0" fontId="35" fillId="24" borderId="9" xfId="8" applyFont="1" applyFill="1" applyBorder="1" applyAlignment="1" applyProtection="1">
      <alignment horizontal="center"/>
      <protection hidden="1"/>
    </xf>
    <xf numFmtId="0" fontId="35" fillId="24" borderId="10" xfId="8" applyFont="1" applyFill="1" applyBorder="1" applyAlignment="1" applyProtection="1">
      <alignment horizontal="center"/>
      <protection hidden="1"/>
    </xf>
    <xf numFmtId="0" fontId="35" fillId="24" borderId="13" xfId="8" applyFont="1" applyFill="1" applyBorder="1" applyAlignment="1" applyProtection="1">
      <alignment horizontal="center"/>
      <protection hidden="1"/>
    </xf>
    <xf numFmtId="181" fontId="28" fillId="0" borderId="11" xfId="9" applyNumberFormat="1" applyFont="1" applyBorder="1" applyAlignment="1" applyProtection="1">
      <alignment horizontal="center" vertical="center" wrapText="1"/>
      <protection locked="0"/>
    </xf>
    <xf numFmtId="181" fontId="28" fillId="0" borderId="4" xfId="9" applyNumberFormat="1" applyFont="1" applyBorder="1" applyAlignment="1" applyProtection="1">
      <alignment horizontal="center" vertical="center" wrapText="1"/>
      <protection locked="0"/>
    </xf>
    <xf numFmtId="179" fontId="28" fillId="0" borderId="6" xfId="9" applyNumberFormat="1" applyFont="1" applyBorder="1" applyAlignment="1" applyProtection="1">
      <alignment horizontal="center" vertical="center" wrapText="1"/>
      <protection locked="0"/>
    </xf>
    <xf numFmtId="182" fontId="25" fillId="0" borderId="0" xfId="8" applyNumberFormat="1" applyProtection="1">
      <protection hidden="1"/>
    </xf>
    <xf numFmtId="181" fontId="28" fillId="0" borderId="12" xfId="9" applyNumberFormat="1" applyFont="1" applyBorder="1" applyAlignment="1" applyProtection="1">
      <alignment horizontal="center" vertical="center" wrapText="1"/>
      <protection locked="0"/>
    </xf>
    <xf numFmtId="181" fontId="28" fillId="0" borderId="5" xfId="9" applyNumberFormat="1" applyFont="1" applyBorder="1" applyAlignment="1" applyProtection="1">
      <alignment horizontal="center" vertical="center" wrapText="1"/>
      <protection locked="0"/>
    </xf>
    <xf numFmtId="179" fontId="28" fillId="0" borderId="14" xfId="9" applyNumberFormat="1" applyFont="1" applyBorder="1" applyAlignment="1" applyProtection="1">
      <alignment horizontal="center" vertical="center" wrapText="1"/>
      <protection locked="0"/>
    </xf>
    <xf numFmtId="0" fontId="25" fillId="0" borderId="0" xfId="8" quotePrefix="1" applyAlignment="1" applyProtection="1">
      <alignment wrapText="1"/>
      <protection hidden="1"/>
    </xf>
    <xf numFmtId="0" fontId="25" fillId="0" borderId="0" xfId="8" quotePrefix="1" applyProtection="1">
      <protection hidden="1"/>
    </xf>
    <xf numFmtId="0" fontId="25" fillId="0" borderId="5" xfId="8" applyBorder="1" applyProtection="1">
      <protection hidden="1"/>
    </xf>
    <xf numFmtId="22" fontId="37" fillId="0" borderId="0" xfId="0" applyNumberFormat="1" applyFont="1"/>
    <xf numFmtId="0" fontId="38" fillId="0" borderId="0" xfId="6" applyFont="1" applyBorder="1" applyProtection="1">
      <protection hidden="1"/>
    </xf>
    <xf numFmtId="0" fontId="6" fillId="0" borderId="0" xfId="0" quotePrefix="1" applyFont="1"/>
    <xf numFmtId="0" fontId="35" fillId="24" borderId="4" xfId="8" applyFont="1" applyFill="1" applyBorder="1" applyAlignment="1" applyProtection="1">
      <alignment horizontal="center"/>
      <protection hidden="1"/>
    </xf>
    <xf numFmtId="0" fontId="4" fillId="2" borderId="2" xfId="5"/>
    <xf numFmtId="0" fontId="0" fillId="4" borderId="4" xfId="0" applyFill="1" applyBorder="1"/>
    <xf numFmtId="0" fontId="0" fillId="0" borderId="0" xfId="0" applyAlignment="1">
      <alignment horizontal="center" vertical="center"/>
    </xf>
    <xf numFmtId="0" fontId="8" fillId="0" borderId="4" xfId="0" applyFont="1" applyBorder="1" applyAlignment="1" applyProtection="1">
      <alignment horizontal="center" vertical="center"/>
      <protection hidden="1"/>
    </xf>
    <xf numFmtId="0" fontId="0" fillId="0" borderId="4" xfId="0" applyBorder="1" applyAlignment="1">
      <alignment horizontal="center" vertical="center"/>
    </xf>
    <xf numFmtId="0" fontId="20" fillId="0" borderId="0" xfId="0" applyFont="1" applyAlignment="1" applyProtection="1">
      <alignment horizontal="center" vertical="center"/>
      <protection hidden="1"/>
    </xf>
    <xf numFmtId="0" fontId="23" fillId="7" borderId="15" xfId="0" applyFont="1" applyFill="1" applyBorder="1" applyAlignment="1" applyProtection="1">
      <alignment horizontal="center" vertical="center"/>
      <protection hidden="1"/>
    </xf>
    <xf numFmtId="0" fontId="7" fillId="0" borderId="0" xfId="0" applyFont="1" applyAlignment="1">
      <alignment horizontal="center" vertical="center"/>
    </xf>
    <xf numFmtId="43" fontId="0" fillId="0" borderId="0" xfId="1" applyFont="1"/>
    <xf numFmtId="0" fontId="0" fillId="0" borderId="16" xfId="0" applyBorder="1"/>
    <xf numFmtId="183" fontId="25" fillId="0" borderId="4" xfId="1" applyNumberFormat="1" applyFont="1" applyBorder="1"/>
    <xf numFmtId="0" fontId="25" fillId="0" borderId="4" xfId="8" applyBorder="1"/>
    <xf numFmtId="0" fontId="25" fillId="0" borderId="0" xfId="8"/>
    <xf numFmtId="0" fontId="39" fillId="0" borderId="0" xfId="8" applyFont="1"/>
    <xf numFmtId="0" fontId="25" fillId="4" borderId="0" xfId="8" applyFill="1"/>
    <xf numFmtId="183" fontId="25" fillId="0" borderId="4" xfId="1" applyNumberFormat="1" applyFont="1" applyBorder="1" applyProtection="1"/>
    <xf numFmtId="164" fontId="25" fillId="0" borderId="4" xfId="9" applyNumberFormat="1" applyBorder="1" applyProtection="1"/>
    <xf numFmtId="0" fontId="10" fillId="0" borderId="4" xfId="8" applyFont="1" applyBorder="1" applyAlignment="1">
      <alignment horizontal="center"/>
    </xf>
    <xf numFmtId="0" fontId="30" fillId="0" borderId="0" xfId="8" applyFont="1" applyAlignment="1">
      <alignment horizontal="center" vertical="center"/>
    </xf>
    <xf numFmtId="0" fontId="40" fillId="0" borderId="0" xfId="8" applyFont="1" applyAlignment="1">
      <alignment horizontal="center" vertical="center"/>
    </xf>
    <xf numFmtId="0" fontId="10" fillId="0" borderId="4" xfId="8" applyFont="1" applyBorder="1" applyAlignment="1">
      <alignment horizontal="center" vertical="center"/>
    </xf>
    <xf numFmtId="0" fontId="10" fillId="0" borderId="4" xfId="8" applyFont="1" applyBorder="1"/>
    <xf numFmtId="0" fontId="41" fillId="0" borderId="0" xfId="8" applyFont="1"/>
    <xf numFmtId="0" fontId="30" fillId="0" borderId="0" xfId="8" applyFont="1"/>
    <xf numFmtId="0" fontId="42" fillId="0" borderId="0" xfId="8" applyFont="1"/>
    <xf numFmtId="0" fontId="43" fillId="0" borderId="0" xfId="8" applyFont="1"/>
    <xf numFmtId="0" fontId="40" fillId="0" borderId="0" xfId="8" applyFont="1"/>
    <xf numFmtId="0" fontId="0" fillId="4" borderId="0" xfId="0" applyFill="1"/>
    <xf numFmtId="0" fontId="44" fillId="0" borderId="0" xfId="8" applyFont="1"/>
    <xf numFmtId="0" fontId="45" fillId="0" borderId="0" xfId="0" applyFont="1"/>
    <xf numFmtId="0" fontId="10" fillId="0" borderId="4" xfId="8" applyFont="1" applyBorder="1" applyAlignment="1">
      <alignment vertical="center"/>
    </xf>
    <xf numFmtId="0" fontId="33" fillId="0" borderId="0" xfId="8" quotePrefix="1" applyFont="1"/>
    <xf numFmtId="0" fontId="25" fillId="29" borderId="0" xfId="8" applyFill="1"/>
    <xf numFmtId="0" fontId="10" fillId="0" borderId="0" xfId="8" applyFont="1"/>
    <xf numFmtId="0" fontId="2" fillId="0" borderId="0" xfId="3"/>
    <xf numFmtId="0" fontId="2" fillId="0" borderId="0" xfId="3" applyAlignment="1"/>
    <xf numFmtId="0" fontId="7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horizontal="center"/>
    </xf>
    <xf numFmtId="183" fontId="0" fillId="0" borderId="4" xfId="1" applyNumberFormat="1" applyFont="1" applyBorder="1"/>
    <xf numFmtId="183" fontId="0" fillId="0" borderId="4" xfId="0" applyNumberFormat="1" applyBorder="1"/>
    <xf numFmtId="183" fontId="0" fillId="0" borderId="4" xfId="1" quotePrefix="1" applyNumberFormat="1" applyFont="1" applyBorder="1" applyAlignment="1">
      <alignment wrapText="1"/>
    </xf>
    <xf numFmtId="0" fontId="8" fillId="0" borderId="0" xfId="0" applyFont="1" applyAlignment="1" applyProtection="1">
      <alignment horizontal="center" vertical="center"/>
      <protection hidden="1"/>
    </xf>
    <xf numFmtId="0" fontId="8" fillId="0" borderId="0" xfId="0" applyFont="1" applyAlignment="1" applyProtection="1">
      <alignment vertical="center"/>
      <protection hidden="1"/>
    </xf>
    <xf numFmtId="0" fontId="27" fillId="26" borderId="9" xfId="0" applyFont="1" applyFill="1" applyBorder="1" applyAlignment="1" applyProtection="1">
      <alignment horizontal="center" vertical="center" wrapText="1"/>
      <protection hidden="1"/>
    </xf>
    <xf numFmtId="0" fontId="27" fillId="26" borderId="13" xfId="0" applyFont="1" applyFill="1" applyBorder="1" applyAlignment="1" applyProtection="1">
      <alignment horizontal="center" vertical="center" wrapText="1"/>
      <protection hidden="1"/>
    </xf>
    <xf numFmtId="0" fontId="23" fillId="26" borderId="10" xfId="0" applyFont="1" applyFill="1" applyBorder="1" applyAlignment="1" applyProtection="1">
      <alignment horizontal="center" vertical="center"/>
      <protection hidden="1"/>
    </xf>
    <xf numFmtId="0" fontId="23" fillId="26" borderId="9" xfId="0" applyFont="1" applyFill="1" applyBorder="1" applyAlignment="1" applyProtection="1">
      <alignment horizontal="center" vertical="center"/>
      <protection hidden="1"/>
    </xf>
    <xf numFmtId="0" fontId="23" fillId="26" borderId="13" xfId="0" applyFont="1" applyFill="1" applyBorder="1" applyAlignment="1" applyProtection="1">
      <alignment horizontal="center" vertical="center"/>
      <protection hidden="1"/>
    </xf>
    <xf numFmtId="0" fontId="23" fillId="26" borderId="4" xfId="0" applyFont="1" applyFill="1" applyBorder="1" applyAlignment="1">
      <alignment horizontal="center" vertical="center" wrapText="1"/>
    </xf>
    <xf numFmtId="0" fontId="23" fillId="26" borderId="9" xfId="0" applyFont="1" applyFill="1" applyBorder="1" applyAlignment="1">
      <alignment horizontal="center" vertical="center" wrapText="1"/>
    </xf>
    <xf numFmtId="0" fontId="23" fillId="26" borderId="10" xfId="0" applyFont="1" applyFill="1" applyBorder="1" applyAlignment="1">
      <alignment horizontal="center" vertical="center" wrapText="1"/>
    </xf>
    <xf numFmtId="0" fontId="23" fillId="26" borderId="13" xfId="0" applyFont="1" applyFill="1" applyBorder="1" applyAlignment="1">
      <alignment horizontal="center" vertical="center" wrapText="1"/>
    </xf>
    <xf numFmtId="0" fontId="10" fillId="26" borderId="9" xfId="0" applyFont="1" applyFill="1" applyBorder="1" applyAlignment="1">
      <alignment horizontal="center" vertical="center" wrapText="1"/>
    </xf>
    <xf numFmtId="0" fontId="10" fillId="26" borderId="10" xfId="0" applyFont="1" applyFill="1" applyBorder="1" applyAlignment="1">
      <alignment horizontal="center" vertical="center" wrapText="1"/>
    </xf>
    <xf numFmtId="0" fontId="10" fillId="26" borderId="13" xfId="0" applyFont="1" applyFill="1" applyBorder="1" applyAlignment="1">
      <alignment horizontal="center" vertical="center" wrapText="1"/>
    </xf>
    <xf numFmtId="0" fontId="0" fillId="0" borderId="11" xfId="0" applyBorder="1" applyProtection="1">
      <protection hidden="1"/>
    </xf>
    <xf numFmtId="167" fontId="1" fillId="31" borderId="6" xfId="1" applyNumberFormat="1" applyFill="1" applyBorder="1" applyProtection="1">
      <protection hidden="1"/>
    </xf>
    <xf numFmtId="166" fontId="8" fillId="0" borderId="4" xfId="0" applyNumberFormat="1" applyFont="1" applyBorder="1" applyAlignment="1" applyProtection="1">
      <alignment vertical="center"/>
      <protection hidden="1"/>
    </xf>
    <xf numFmtId="0" fontId="8" fillId="0" borderId="11" xfId="0" applyFont="1" applyBorder="1"/>
    <xf numFmtId="168" fontId="8" fillId="25" borderId="4" xfId="12" applyNumberFormat="1" applyFont="1" applyFill="1" applyBorder="1" applyProtection="1"/>
    <xf numFmtId="168" fontId="8" fillId="0" borderId="4" xfId="2" applyNumberFormat="1" applyFont="1" applyBorder="1" applyProtection="1"/>
    <xf numFmtId="168" fontId="8" fillId="0" borderId="6" xfId="2" applyNumberFormat="1" applyFont="1" applyBorder="1" applyProtection="1"/>
    <xf numFmtId="168" fontId="8" fillId="25" borderId="4" xfId="2" applyNumberFormat="1" applyFont="1" applyFill="1" applyBorder="1" applyProtection="1"/>
    <xf numFmtId="9" fontId="8" fillId="25" borderId="4" xfId="12" applyNumberFormat="1" applyFont="1" applyFill="1" applyBorder="1" applyProtection="1"/>
    <xf numFmtId="9" fontId="8" fillId="0" borderId="4" xfId="2" applyFont="1" applyBorder="1" applyProtection="1"/>
    <xf numFmtId="9" fontId="8" fillId="0" borderId="4" xfId="0" applyNumberFormat="1" applyFont="1" applyBorder="1"/>
    <xf numFmtId="9" fontId="8" fillId="0" borderId="6" xfId="0" applyNumberFormat="1" applyFont="1" applyBorder="1"/>
    <xf numFmtId="165" fontId="8" fillId="25" borderId="4" xfId="12" applyNumberFormat="1" applyFont="1" applyFill="1" applyBorder="1" applyProtection="1"/>
    <xf numFmtId="165" fontId="8" fillId="0" borderId="4" xfId="2" applyNumberFormat="1" applyFont="1" applyBorder="1" applyProtection="1"/>
    <xf numFmtId="165" fontId="8" fillId="0" borderId="4" xfId="0" applyNumberFormat="1" applyFont="1" applyBorder="1"/>
    <xf numFmtId="165" fontId="8" fillId="0" borderId="6" xfId="0" applyNumberFormat="1" applyFont="1" applyBorder="1"/>
    <xf numFmtId="9" fontId="8" fillId="0" borderId="6" xfId="2" applyFont="1" applyBorder="1" applyProtection="1"/>
    <xf numFmtId="0" fontId="8" fillId="0" borderId="11" xfId="0" applyFont="1" applyBorder="1" applyAlignment="1" applyProtection="1">
      <alignment vertical="center"/>
      <protection hidden="1"/>
    </xf>
    <xf numFmtId="164" fontId="8" fillId="0" borderId="4" xfId="1" applyNumberFormat="1" applyFont="1" applyBorder="1" applyProtection="1"/>
    <xf numFmtId="0" fontId="8" fillId="0" borderId="4" xfId="0" applyFont="1" applyBorder="1" applyAlignment="1" applyProtection="1">
      <alignment vertical="center"/>
      <protection hidden="1"/>
    </xf>
    <xf numFmtId="9" fontId="8" fillId="0" borderId="6" xfId="0" applyNumberFormat="1" applyFont="1" applyBorder="1" applyAlignment="1" applyProtection="1">
      <alignment vertical="center"/>
      <protection hidden="1"/>
    </xf>
    <xf numFmtId="164" fontId="8" fillId="25" borderId="4" xfId="1" applyNumberFormat="1" applyFont="1" applyFill="1" applyBorder="1" applyProtection="1"/>
    <xf numFmtId="164" fontId="8" fillId="0" borderId="6" xfId="1" applyNumberFormat="1" applyFont="1" applyBorder="1" applyProtection="1"/>
    <xf numFmtId="165" fontId="8" fillId="0" borderId="6" xfId="0" applyNumberFormat="1" applyFont="1" applyBorder="1" applyAlignment="1" applyProtection="1">
      <alignment vertical="center"/>
      <protection hidden="1"/>
    </xf>
    <xf numFmtId="0" fontId="8" fillId="0" borderId="11" xfId="0" applyFont="1" applyBorder="1" applyAlignment="1">
      <alignment horizontal="left" vertical="center" wrapText="1"/>
    </xf>
    <xf numFmtId="184" fontId="8" fillId="25" borderId="4" xfId="1" applyNumberFormat="1" applyFont="1" applyFill="1" applyBorder="1" applyProtection="1"/>
    <xf numFmtId="0" fontId="8" fillId="0" borderId="4" xfId="0" applyFont="1" applyBorder="1"/>
    <xf numFmtId="0" fontId="8" fillId="0" borderId="11" xfId="8" applyFont="1" applyBorder="1" applyAlignment="1" applyProtection="1">
      <alignment vertical="center"/>
      <protection hidden="1"/>
    </xf>
    <xf numFmtId="13" fontId="8" fillId="0" borderId="4" xfId="8" applyNumberFormat="1" applyFont="1" applyBorder="1" applyAlignment="1" applyProtection="1">
      <alignment vertical="center"/>
      <protection hidden="1"/>
    </xf>
    <xf numFmtId="13" fontId="8" fillId="0" borderId="6" xfId="8" applyNumberFormat="1" applyFont="1" applyBorder="1" applyAlignment="1" applyProtection="1">
      <alignment vertical="center"/>
      <protection hidden="1"/>
    </xf>
    <xf numFmtId="0" fontId="8" fillId="0" borderId="12" xfId="0" applyFont="1" applyBorder="1"/>
    <xf numFmtId="165" fontId="8" fillId="25" borderId="5" xfId="12" applyNumberFormat="1" applyFont="1" applyFill="1" applyBorder="1" applyProtection="1"/>
    <xf numFmtId="165" fontId="8" fillId="0" borderId="5" xfId="0" applyNumberFormat="1" applyFont="1" applyBorder="1"/>
    <xf numFmtId="165" fontId="8" fillId="0" borderId="14" xfId="0" applyNumberFormat="1" applyFont="1" applyBorder="1"/>
    <xf numFmtId="186" fontId="8" fillId="25" borderId="4" xfId="1" applyNumberFormat="1" applyFont="1" applyFill="1" applyBorder="1" applyProtection="1"/>
    <xf numFmtId="0" fontId="8" fillId="0" borderId="12" xfId="0" applyFont="1" applyBorder="1" applyAlignment="1" applyProtection="1">
      <alignment vertical="center"/>
      <protection hidden="1"/>
    </xf>
    <xf numFmtId="164" fontId="8" fillId="0" borderId="5" xfId="1" applyNumberFormat="1" applyFont="1" applyBorder="1" applyProtection="1"/>
    <xf numFmtId="0" fontId="8" fillId="0" borderId="5" xfId="0" applyFont="1" applyBorder="1" applyAlignment="1" applyProtection="1">
      <alignment vertical="center"/>
      <protection hidden="1"/>
    </xf>
    <xf numFmtId="166" fontId="8" fillId="0" borderId="4" xfId="8" applyNumberFormat="1" applyFont="1" applyBorder="1" applyAlignment="1" applyProtection="1">
      <alignment vertical="center"/>
      <protection hidden="1"/>
    </xf>
    <xf numFmtId="166" fontId="8" fillId="0" borderId="6" xfId="8" applyNumberFormat="1" applyFont="1" applyBorder="1" applyAlignment="1" applyProtection="1">
      <alignment vertical="center"/>
      <protection hidden="1"/>
    </xf>
    <xf numFmtId="164" fontId="8" fillId="0" borderId="0" xfId="0" applyNumberFormat="1" applyFont="1" applyAlignment="1" applyProtection="1">
      <alignment vertical="center"/>
      <protection hidden="1"/>
    </xf>
    <xf numFmtId="0" fontId="8" fillId="25" borderId="4" xfId="1" applyNumberFormat="1" applyFont="1" applyFill="1" applyBorder="1" applyProtection="1"/>
    <xf numFmtId="0" fontId="8" fillId="0" borderId="12" xfId="0" applyFont="1" applyBorder="1" applyAlignment="1">
      <alignment horizontal="left" vertical="center" wrapText="1"/>
    </xf>
    <xf numFmtId="186" fontId="8" fillId="25" borderId="5" xfId="1" applyNumberFormat="1" applyFont="1" applyFill="1" applyBorder="1" applyProtection="1"/>
    <xf numFmtId="9" fontId="8" fillId="0" borderId="14" xfId="0" applyNumberFormat="1" applyFont="1" applyBorder="1" applyAlignment="1" applyProtection="1">
      <alignment vertical="center"/>
      <protection hidden="1"/>
    </xf>
    <xf numFmtId="166" fontId="8" fillId="0" borderId="5" xfId="8" applyNumberFormat="1" applyFont="1" applyBorder="1" applyAlignment="1" applyProtection="1">
      <alignment vertical="center"/>
      <protection hidden="1"/>
    </xf>
    <xf numFmtId="166" fontId="8" fillId="0" borderId="14" xfId="8" applyNumberFormat="1" applyFont="1" applyBorder="1" applyAlignment="1" applyProtection="1">
      <alignment vertical="center"/>
      <protection hidden="1"/>
    </xf>
    <xf numFmtId="168" fontId="8" fillId="0" borderId="0" xfId="2" applyNumberFormat="1" applyFont="1" applyBorder="1" applyAlignment="1" applyProtection="1">
      <alignment vertical="center"/>
      <protection hidden="1"/>
    </xf>
    <xf numFmtId="9" fontId="8" fillId="0" borderId="5" xfId="2" applyFont="1" applyBorder="1" applyProtection="1"/>
    <xf numFmtId="9" fontId="8" fillId="0" borderId="14" xfId="2" applyFont="1" applyBorder="1" applyProtection="1"/>
    <xf numFmtId="0" fontId="0" fillId="0" borderId="12" xfId="0" applyBorder="1" applyProtection="1">
      <protection hidden="1"/>
    </xf>
    <xf numFmtId="167" fontId="1" fillId="31" borderId="14" xfId="1" applyNumberFormat="1" applyFill="1" applyBorder="1" applyProtection="1">
      <protection hidden="1"/>
    </xf>
    <xf numFmtId="0" fontId="0" fillId="0" borderId="0" xfId="0" applyProtection="1">
      <protection hidden="1"/>
    </xf>
    <xf numFmtId="168" fontId="8" fillId="25" borderId="5" xfId="12" applyNumberFormat="1" applyFont="1" applyFill="1" applyBorder="1" applyProtection="1"/>
    <xf numFmtId="168" fontId="8" fillId="0" borderId="5" xfId="2" applyNumberFormat="1" applyFont="1" applyBorder="1" applyProtection="1"/>
    <xf numFmtId="168" fontId="8" fillId="0" borderId="14" xfId="2" applyNumberFormat="1" applyFont="1" applyBorder="1" applyProtection="1"/>
    <xf numFmtId="9" fontId="8" fillId="25" borderId="5" xfId="12" applyNumberFormat="1" applyFont="1" applyFill="1" applyBorder="1" applyProtection="1"/>
    <xf numFmtId="9" fontId="8" fillId="0" borderId="5" xfId="0" applyNumberFormat="1" applyFont="1" applyBorder="1"/>
    <xf numFmtId="9" fontId="8" fillId="0" borderId="14" xfId="0" applyNumberFormat="1" applyFont="1" applyBorder="1"/>
    <xf numFmtId="165" fontId="8" fillId="0" borderId="5" xfId="2" applyNumberFormat="1" applyFont="1" applyBorder="1" applyProtection="1"/>
    <xf numFmtId="164" fontId="8" fillId="25" borderId="5" xfId="1" applyNumberFormat="1" applyFont="1" applyFill="1" applyBorder="1" applyProtection="1"/>
    <xf numFmtId="164" fontId="8" fillId="0" borderId="14" xfId="1" applyNumberFormat="1" applyFont="1" applyBorder="1" applyProtection="1"/>
    <xf numFmtId="187" fontId="25" fillId="0" borderId="0" xfId="13" applyBorder="1" applyProtection="1">
      <protection hidden="1"/>
    </xf>
    <xf numFmtId="0" fontId="30" fillId="33" borderId="0" xfId="8" applyFont="1" applyFill="1" applyProtection="1">
      <protection hidden="1"/>
    </xf>
    <xf numFmtId="187" fontId="25" fillId="0" borderId="14" xfId="13" applyBorder="1" applyProtection="1">
      <protection hidden="1"/>
    </xf>
    <xf numFmtId="187" fontId="25" fillId="0" borderId="5" xfId="13" applyBorder="1" applyProtection="1">
      <protection hidden="1"/>
    </xf>
    <xf numFmtId="187" fontId="25" fillId="0" borderId="6" xfId="13" applyBorder="1" applyProtection="1">
      <protection hidden="1"/>
    </xf>
    <xf numFmtId="187" fontId="25" fillId="0" borderId="4" xfId="13" applyBorder="1" applyProtection="1">
      <protection hidden="1"/>
    </xf>
    <xf numFmtId="0" fontId="30" fillId="33" borderId="0" xfId="8" applyFont="1" applyFill="1" applyAlignment="1" applyProtection="1">
      <alignment horizontal="center"/>
      <protection hidden="1"/>
    </xf>
    <xf numFmtId="0" fontId="48" fillId="0" borderId="0" xfId="8" applyFont="1" applyProtection="1">
      <protection hidden="1"/>
    </xf>
    <xf numFmtId="9" fontId="48" fillId="0" borderId="0" xfId="2" applyFont="1" applyBorder="1" applyProtection="1">
      <protection hidden="1"/>
    </xf>
    <xf numFmtId="168" fontId="48" fillId="0" borderId="0" xfId="2" applyNumberFormat="1" applyFont="1" applyBorder="1" applyProtection="1">
      <protection hidden="1"/>
    </xf>
    <xf numFmtId="0" fontId="48" fillId="0" borderId="0" xfId="8" applyFont="1" applyAlignment="1" applyProtection="1">
      <alignment horizontal="center"/>
      <protection hidden="1"/>
    </xf>
    <xf numFmtId="166" fontId="25" fillId="0" borderId="14" xfId="8" applyNumberFormat="1" applyBorder="1" applyProtection="1">
      <protection hidden="1"/>
    </xf>
    <xf numFmtId="2" fontId="25" fillId="0" borderId="14" xfId="8" applyNumberFormat="1" applyBorder="1" applyProtection="1">
      <protection hidden="1"/>
    </xf>
    <xf numFmtId="166" fontId="25" fillId="0" borderId="6" xfId="8" applyNumberFormat="1" applyBorder="1" applyProtection="1">
      <protection hidden="1"/>
    </xf>
    <xf numFmtId="2" fontId="25" fillId="0" borderId="6" xfId="8" applyNumberFormat="1" applyBorder="1" applyProtection="1">
      <protection hidden="1"/>
    </xf>
    <xf numFmtId="181" fontId="25" fillId="0" borderId="0" xfId="13" applyNumberFormat="1" applyBorder="1" applyProtection="1">
      <protection hidden="1"/>
    </xf>
    <xf numFmtId="181" fontId="30" fillId="33" borderId="0" xfId="13" applyNumberFormat="1" applyFont="1" applyFill="1" applyBorder="1" applyProtection="1">
      <protection hidden="1"/>
    </xf>
    <xf numFmtId="181" fontId="25" fillId="0" borderId="14" xfId="13" applyNumberFormat="1" applyBorder="1" applyProtection="1">
      <protection hidden="1"/>
    </xf>
    <xf numFmtId="181" fontId="25" fillId="0" borderId="5" xfId="13" applyNumberFormat="1" applyBorder="1" applyProtection="1">
      <protection hidden="1"/>
    </xf>
    <xf numFmtId="189" fontId="25" fillId="0" borderId="12" xfId="14" applyNumberFormat="1" applyBorder="1" applyProtection="1">
      <protection hidden="1"/>
    </xf>
    <xf numFmtId="181" fontId="25" fillId="0" borderId="6" xfId="13" applyNumberFormat="1" applyBorder="1" applyProtection="1">
      <protection hidden="1"/>
    </xf>
    <xf numFmtId="181" fontId="25" fillId="0" borderId="4" xfId="13" applyNumberFormat="1" applyBorder="1" applyProtection="1">
      <protection hidden="1"/>
    </xf>
    <xf numFmtId="189" fontId="25" fillId="0" borderId="11" xfId="14" applyNumberFormat="1" applyBorder="1" applyProtection="1">
      <protection hidden="1"/>
    </xf>
    <xf numFmtId="168" fontId="34" fillId="0" borderId="14" xfId="8" applyNumberFormat="1" applyFont="1" applyBorder="1" applyAlignment="1" applyProtection="1">
      <alignment horizontal="center" vertical="center"/>
      <protection hidden="1"/>
    </xf>
    <xf numFmtId="0" fontId="25" fillId="0" borderId="5" xfId="8" applyBorder="1" applyAlignment="1" applyProtection="1">
      <alignment horizontal="center"/>
      <protection hidden="1"/>
    </xf>
    <xf numFmtId="0" fontId="34" fillId="0" borderId="12" xfId="8" applyFont="1" applyBorder="1" applyAlignment="1" applyProtection="1">
      <alignment horizontal="center" vertical="center"/>
      <protection hidden="1"/>
    </xf>
    <xf numFmtId="0" fontId="30" fillId="33" borderId="0" xfId="1" applyNumberFormat="1" applyFont="1" applyFill="1" applyBorder="1" applyAlignment="1" applyProtection="1">
      <alignment horizontal="center"/>
      <protection hidden="1"/>
    </xf>
    <xf numFmtId="0" fontId="30" fillId="33" borderId="0" xfId="13" applyNumberFormat="1" applyFont="1" applyFill="1" applyBorder="1" applyProtection="1">
      <protection hidden="1"/>
    </xf>
    <xf numFmtId="164" fontId="30" fillId="33" borderId="0" xfId="1" applyNumberFormat="1" applyFont="1" applyFill="1" applyBorder="1" applyAlignment="1" applyProtection="1">
      <alignment horizontal="center"/>
      <protection hidden="1"/>
    </xf>
    <xf numFmtId="168" fontId="34" fillId="0" borderId="6" xfId="8" applyNumberFormat="1" applyFont="1" applyBorder="1" applyAlignment="1" applyProtection="1">
      <alignment horizontal="center" vertical="center"/>
      <protection hidden="1"/>
    </xf>
    <xf numFmtId="0" fontId="25" fillId="0" borderId="4" xfId="8" applyBorder="1" applyAlignment="1" applyProtection="1">
      <alignment horizontal="center"/>
      <protection hidden="1"/>
    </xf>
    <xf numFmtId="0" fontId="34" fillId="0" borderId="11" xfId="8" applyFont="1" applyBorder="1" applyAlignment="1" applyProtection="1">
      <alignment horizontal="center" vertical="center"/>
      <protection hidden="1"/>
    </xf>
    <xf numFmtId="190" fontId="25" fillId="0" borderId="0" xfId="8" applyNumberFormat="1" applyProtection="1">
      <protection hidden="1"/>
    </xf>
    <xf numFmtId="10" fontId="25" fillId="0" borderId="4" xfId="8" applyNumberFormat="1" applyBorder="1" applyProtection="1">
      <protection hidden="1"/>
    </xf>
    <xf numFmtId="0" fontId="27" fillId="26" borderId="10" xfId="0" applyFont="1" applyFill="1" applyBorder="1" applyAlignment="1" applyProtection="1">
      <alignment horizontal="center" vertical="center" wrapText="1"/>
      <protection hidden="1"/>
    </xf>
    <xf numFmtId="0" fontId="27" fillId="26" borderId="4" xfId="0" applyFont="1" applyFill="1" applyBorder="1" applyAlignment="1" applyProtection="1">
      <alignment horizontal="center" vertical="center" wrapText="1"/>
      <protection hidden="1"/>
    </xf>
    <xf numFmtId="0" fontId="46" fillId="30" borderId="0" xfId="8" applyFont="1" applyFill="1" applyProtection="1">
      <protection hidden="1"/>
    </xf>
    <xf numFmtId="188" fontId="25" fillId="0" borderId="0" xfId="14" applyProtection="1">
      <protection hidden="1"/>
    </xf>
    <xf numFmtId="188" fontId="50" fillId="34" borderId="0" xfId="14" applyFont="1" applyFill="1" applyProtection="1">
      <protection hidden="1"/>
    </xf>
    <xf numFmtId="188" fontId="25" fillId="34" borderId="0" xfId="14" applyFill="1" applyProtection="1">
      <protection hidden="1"/>
    </xf>
    <xf numFmtId="172" fontId="25" fillId="0" borderId="0" xfId="9" applyBorder="1" applyProtection="1">
      <protection hidden="1"/>
    </xf>
    <xf numFmtId="188" fontId="25" fillId="35" borderId="0" xfId="14" applyFill="1" applyProtection="1">
      <protection hidden="1"/>
    </xf>
    <xf numFmtId="188" fontId="10" fillId="33" borderId="0" xfId="14" applyFont="1" applyFill="1" applyProtection="1">
      <protection hidden="1"/>
    </xf>
    <xf numFmtId="188" fontId="25" fillId="33" borderId="0" xfId="14" applyFill="1" applyProtection="1">
      <protection hidden="1"/>
    </xf>
    <xf numFmtId="188" fontId="10" fillId="25" borderId="0" xfId="14" applyFont="1" applyFill="1" applyProtection="1">
      <protection hidden="1"/>
    </xf>
    <xf numFmtId="181" fontId="10" fillId="33" borderId="0" xfId="13" applyNumberFormat="1" applyFont="1" applyFill="1" applyBorder="1" applyProtection="1">
      <protection hidden="1"/>
    </xf>
    <xf numFmtId="181" fontId="10" fillId="25" borderId="0" xfId="13" applyNumberFormat="1" applyFont="1" applyFill="1" applyBorder="1" applyProtection="1">
      <protection hidden="1"/>
    </xf>
    <xf numFmtId="187" fontId="25" fillId="0" borderId="0" xfId="14" applyNumberFormat="1" applyProtection="1">
      <protection hidden="1"/>
    </xf>
    <xf numFmtId="188" fontId="25" fillId="32" borderId="0" xfId="14" applyFill="1" applyProtection="1">
      <protection hidden="1"/>
    </xf>
    <xf numFmtId="9" fontId="25" fillId="0" borderId="0" xfId="8" applyNumberFormat="1"/>
    <xf numFmtId="191" fontId="25" fillId="0" borderId="0" xfId="8" applyNumberFormat="1"/>
    <xf numFmtId="192" fontId="25" fillId="0" borderId="0" xfId="8" applyNumberFormat="1"/>
    <xf numFmtId="172" fontId="25" fillId="0" borderId="0" xfId="9" applyBorder="1" applyProtection="1"/>
    <xf numFmtId="187" fontId="25" fillId="0" borderId="0" xfId="8" applyNumberFormat="1"/>
    <xf numFmtId="193" fontId="25" fillId="0" borderId="0" xfId="9" applyNumberFormat="1" applyBorder="1" applyProtection="1"/>
    <xf numFmtId="194" fontId="25" fillId="0" borderId="0" xfId="8" applyNumberFormat="1"/>
    <xf numFmtId="0" fontId="10" fillId="0" borderId="4" xfId="0" applyFont="1" applyBorder="1" applyAlignment="1" applyProtection="1">
      <alignment horizontal="left" vertical="center"/>
      <protection hidden="1"/>
    </xf>
    <xf numFmtId="177" fontId="28" fillId="36" borderId="4" xfId="9" applyNumberFormat="1" applyFont="1" applyFill="1" applyBorder="1" applyAlignment="1" applyProtection="1">
      <alignment horizontal="center" vertical="center" wrapText="1"/>
    </xf>
    <xf numFmtId="9" fontId="28" fillId="36" borderId="4" xfId="11" applyFont="1" applyFill="1" applyBorder="1" applyAlignment="1" applyProtection="1">
      <alignment horizontal="center" vertical="center" wrapText="1"/>
    </xf>
    <xf numFmtId="0" fontId="28" fillId="36" borderId="4" xfId="9" applyNumberFormat="1" applyFont="1" applyFill="1" applyBorder="1" applyAlignment="1" applyProtection="1">
      <alignment horizontal="center" vertical="center" wrapText="1"/>
    </xf>
    <xf numFmtId="183" fontId="0" fillId="4" borderId="4" xfId="1" applyNumberFormat="1" applyFont="1" applyFill="1" applyBorder="1"/>
    <xf numFmtId="0" fontId="51" fillId="0" borderId="0" xfId="8" applyFont="1" applyAlignment="1" applyProtection="1">
      <alignment vertical="center"/>
      <protection hidden="1"/>
    </xf>
    <xf numFmtId="174" fontId="29" fillId="0" borderId="0" xfId="8" applyNumberFormat="1" applyFont="1" applyAlignment="1" applyProtection="1">
      <alignment vertical="center"/>
      <protection hidden="1"/>
    </xf>
    <xf numFmtId="175" fontId="29" fillId="0" borderId="0" xfId="8" applyNumberFormat="1" applyFont="1" applyAlignment="1" applyProtection="1">
      <alignment vertical="center"/>
      <protection hidden="1"/>
    </xf>
    <xf numFmtId="9" fontId="28" fillId="36" borderId="4" xfId="11" quotePrefix="1" applyFont="1" applyFill="1" applyBorder="1" applyAlignment="1" applyProtection="1">
      <alignment horizontal="center" vertical="center" wrapText="1"/>
    </xf>
    <xf numFmtId="0" fontId="25" fillId="29" borderId="0" xfId="8" applyFill="1" applyProtection="1">
      <protection hidden="1"/>
    </xf>
    <xf numFmtId="175" fontId="32" fillId="27" borderId="8" xfId="9" applyNumberFormat="1" applyFont="1" applyFill="1" applyBorder="1" applyAlignment="1" applyProtection="1">
      <alignment horizontal="center" vertical="center"/>
      <protection hidden="1"/>
    </xf>
    <xf numFmtId="175" fontId="32" fillId="27" borderId="3" xfId="9" applyNumberFormat="1" applyFont="1" applyFill="1" applyBorder="1" applyAlignment="1" applyProtection="1">
      <alignment horizontal="center" vertical="center"/>
      <protection hidden="1"/>
    </xf>
    <xf numFmtId="0" fontId="27" fillId="25" borderId="10" xfId="8" applyFont="1" applyFill="1" applyBorder="1" applyAlignment="1" applyProtection="1">
      <alignment horizontal="center" vertical="center"/>
      <protection hidden="1"/>
    </xf>
    <xf numFmtId="0" fontId="28" fillId="0" borderId="10" xfId="7" applyFont="1" applyFill="1" applyBorder="1" applyAlignment="1" applyProtection="1">
      <alignment horizontal="center" vertical="center"/>
      <protection locked="0"/>
    </xf>
    <xf numFmtId="169" fontId="28" fillId="0" borderId="10" xfId="7" applyNumberFormat="1" applyFont="1" applyFill="1" applyBorder="1" applyAlignment="1" applyProtection="1">
      <alignment horizontal="center" vertical="center" wrapText="1"/>
      <protection locked="0"/>
    </xf>
    <xf numFmtId="173" fontId="28" fillId="0" borderId="10" xfId="9" applyNumberFormat="1" applyFont="1" applyBorder="1" applyAlignment="1" applyProtection="1">
      <alignment horizontal="center" vertical="center"/>
      <protection locked="0"/>
    </xf>
    <xf numFmtId="174" fontId="32" fillId="27" borderId="19" xfId="9" applyNumberFormat="1" applyFont="1" applyFill="1" applyBorder="1" applyAlignment="1" applyProtection="1">
      <alignment horizontal="center" vertical="center"/>
      <protection hidden="1"/>
    </xf>
    <xf numFmtId="175" fontId="32" fillId="27" borderId="20" xfId="9" applyNumberFormat="1" applyFont="1" applyFill="1" applyBorder="1" applyAlignment="1" applyProtection="1">
      <alignment horizontal="center" vertical="center" wrapText="1"/>
      <protection hidden="1"/>
    </xf>
    <xf numFmtId="175" fontId="27" fillId="24" borderId="4" xfId="8" applyNumberFormat="1" applyFont="1" applyFill="1" applyBorder="1" applyAlignment="1" applyProtection="1">
      <alignment horizontal="center" vertical="center"/>
      <protection hidden="1"/>
    </xf>
    <xf numFmtId="0" fontId="18" fillId="0" borderId="0" xfId="8" applyFont="1" applyProtection="1">
      <protection hidden="1"/>
    </xf>
    <xf numFmtId="177" fontId="28" fillId="4" borderId="4" xfId="7" applyNumberFormat="1" applyFont="1" applyFill="1" applyBorder="1" applyAlignment="1" applyProtection="1">
      <alignment horizontal="center" vertical="center"/>
      <protection hidden="1"/>
    </xf>
    <xf numFmtId="9" fontId="25" fillId="0" borderId="0" xfId="8" applyNumberFormat="1" applyProtection="1">
      <protection hidden="1"/>
    </xf>
    <xf numFmtId="174" fontId="33" fillId="0" borderId="0" xfId="8" applyNumberFormat="1" applyFont="1" applyProtection="1">
      <protection hidden="1"/>
    </xf>
    <xf numFmtId="175" fontId="33" fillId="0" borderId="0" xfId="8" applyNumberFormat="1" applyFont="1" applyProtection="1">
      <protection hidden="1"/>
    </xf>
    <xf numFmtId="0" fontId="52" fillId="0" borderId="0" xfId="8" applyFont="1" applyProtection="1">
      <protection hidden="1"/>
    </xf>
    <xf numFmtId="0" fontId="30" fillId="0" borderId="0" xfId="8" applyFont="1" applyAlignment="1" applyProtection="1">
      <alignment horizontal="center"/>
      <protection hidden="1"/>
    </xf>
    <xf numFmtId="9" fontId="33" fillId="0" borderId="0" xfId="8" applyNumberFormat="1" applyFont="1" applyProtection="1">
      <protection hidden="1"/>
    </xf>
    <xf numFmtId="9" fontId="25" fillId="0" borderId="4" xfId="8" applyNumberFormat="1" applyBorder="1" applyProtection="1">
      <protection locked="0"/>
    </xf>
    <xf numFmtId="9" fontId="25" fillId="0" borderId="6" xfId="8" applyNumberFormat="1" applyBorder="1" applyProtection="1">
      <protection locked="0"/>
    </xf>
    <xf numFmtId="0" fontId="25" fillId="0" borderId="4" xfId="8" applyBorder="1" applyAlignment="1" applyProtection="1">
      <alignment horizontal="center" vertical="center"/>
      <protection locked="0"/>
    </xf>
    <xf numFmtId="0" fontId="25" fillId="0" borderId="10" xfId="8" applyBorder="1" applyProtection="1">
      <protection locked="0"/>
    </xf>
    <xf numFmtId="0" fontId="25" fillId="0" borderId="4" xfId="8" applyBorder="1" applyProtection="1">
      <protection locked="0"/>
    </xf>
    <xf numFmtId="0" fontId="25" fillId="0" borderId="11" xfId="8" applyBorder="1" applyProtection="1">
      <protection locked="0"/>
    </xf>
    <xf numFmtId="0" fontId="36" fillId="0" borderId="11" xfId="8" applyFont="1" applyBorder="1" applyAlignment="1" applyProtection="1">
      <alignment horizontal="center"/>
      <protection locked="0"/>
    </xf>
    <xf numFmtId="0" fontId="36" fillId="0" borderId="4" xfId="8" applyFont="1" applyBorder="1" applyAlignment="1" applyProtection="1">
      <alignment horizontal="center"/>
      <protection locked="0"/>
    </xf>
    <xf numFmtId="0" fontId="35" fillId="0" borderId="4" xfId="8" applyFont="1" applyBorder="1" applyAlignment="1" applyProtection="1">
      <alignment horizontal="center"/>
      <protection locked="0"/>
    </xf>
    <xf numFmtId="9" fontId="35" fillId="0" borderId="4" xfId="8" applyNumberFormat="1" applyFont="1" applyBorder="1" applyAlignment="1" applyProtection="1">
      <alignment horizontal="center"/>
      <protection locked="0"/>
    </xf>
    <xf numFmtId="177" fontId="35" fillId="0" borderId="4" xfId="8" applyNumberFormat="1" applyFont="1" applyBorder="1" applyAlignment="1" applyProtection="1">
      <alignment horizontal="center"/>
      <protection locked="0"/>
    </xf>
    <xf numFmtId="184" fontId="35" fillId="0" borderId="6" xfId="8" applyNumberFormat="1" applyFont="1" applyBorder="1" applyAlignment="1" applyProtection="1">
      <alignment horizontal="center"/>
      <protection locked="0"/>
    </xf>
    <xf numFmtId="0" fontId="8" fillId="0" borderId="12" xfId="8" applyFont="1" applyBorder="1" applyProtection="1">
      <protection locked="0"/>
    </xf>
    <xf numFmtId="0" fontId="25" fillId="0" borderId="5" xfId="8" applyBorder="1" applyProtection="1">
      <protection locked="0"/>
    </xf>
    <xf numFmtId="0" fontId="34" fillId="0" borderId="10" xfId="8" applyFont="1" applyBorder="1" applyAlignment="1" applyProtection="1">
      <alignment horizontal="left" vertical="center"/>
      <protection hidden="1"/>
    </xf>
    <xf numFmtId="49" fontId="8" fillId="4" borderId="4" xfId="0" applyNumberFormat="1" applyFont="1" applyFill="1" applyBorder="1" applyProtection="1">
      <protection hidden="1"/>
    </xf>
    <xf numFmtId="179" fontId="53" fillId="27" borderId="19" xfId="10" applyNumberFormat="1" applyFont="1" applyFill="1" applyBorder="1" applyAlignment="1" applyProtection="1">
      <alignment vertical="center"/>
      <protection hidden="1"/>
    </xf>
    <xf numFmtId="177" fontId="53" fillId="27" borderId="3" xfId="10" applyNumberFormat="1" applyFont="1" applyFill="1" applyAlignment="1" applyProtection="1">
      <alignment vertical="center"/>
      <protection hidden="1"/>
    </xf>
    <xf numFmtId="166" fontId="53" fillId="27" borderId="3" xfId="10" applyNumberFormat="1" applyFont="1" applyFill="1" applyAlignment="1" applyProtection="1">
      <alignment vertical="center"/>
      <protection hidden="1"/>
    </xf>
    <xf numFmtId="179" fontId="53" fillId="27" borderId="3" xfId="10" applyNumberFormat="1" applyFont="1" applyFill="1" applyAlignment="1" applyProtection="1">
      <alignment vertical="center"/>
      <protection hidden="1"/>
    </xf>
    <xf numFmtId="0" fontId="10" fillId="4" borderId="4" xfId="8" applyFont="1" applyFill="1" applyBorder="1" applyProtection="1">
      <protection hidden="1"/>
    </xf>
    <xf numFmtId="0" fontId="10" fillId="4" borderId="0" xfId="8" applyFont="1" applyFill="1" applyProtection="1">
      <protection hidden="1"/>
    </xf>
    <xf numFmtId="0" fontId="10" fillId="4" borderId="0" xfId="8" applyFont="1" applyFill="1" applyAlignment="1" applyProtection="1">
      <alignment horizontal="center" vertical="center"/>
      <protection hidden="1"/>
    </xf>
    <xf numFmtId="0" fontId="10" fillId="4" borderId="0" xfId="8" applyFont="1" applyFill="1" applyAlignment="1" applyProtection="1">
      <alignment horizontal="center"/>
      <protection hidden="1"/>
    </xf>
    <xf numFmtId="0" fontId="25" fillId="4" borderId="0" xfId="8" applyFill="1" applyProtection="1">
      <protection hidden="1"/>
    </xf>
    <xf numFmtId="167" fontId="8" fillId="4" borderId="4" xfId="1" applyNumberFormat="1" applyFont="1" applyFill="1" applyBorder="1" applyProtection="1">
      <protection hidden="1"/>
    </xf>
    <xf numFmtId="0" fontId="7" fillId="0" borderId="5" xfId="0" applyFont="1" applyBorder="1"/>
    <xf numFmtId="0" fontId="4" fillId="2" borderId="21" xfId="5" applyBorder="1"/>
    <xf numFmtId="9" fontId="0" fillId="37" borderId="4" xfId="2" applyFont="1" applyFill="1" applyBorder="1"/>
    <xf numFmtId="0" fontId="33" fillId="0" borderId="0" xfId="8" applyFont="1" applyAlignment="1" applyProtection="1">
      <alignment horizontal="center"/>
      <protection hidden="1"/>
    </xf>
    <xf numFmtId="0" fontId="20" fillId="6" borderId="0" xfId="0" applyFont="1" applyFill="1" applyAlignment="1" applyProtection="1">
      <alignment horizontal="center"/>
      <protection hidden="1"/>
    </xf>
    <xf numFmtId="0" fontId="10" fillId="0" borderId="4" xfId="8" applyFont="1" applyBorder="1" applyAlignment="1">
      <alignment horizontal="center" vertical="center"/>
    </xf>
    <xf numFmtId="0" fontId="2" fillId="0" borderId="0" xfId="3" applyAlignment="1">
      <alignment horizontal="center"/>
    </xf>
    <xf numFmtId="0" fontId="10" fillId="0" borderId="6" xfId="8" applyFont="1" applyBorder="1" applyAlignment="1">
      <alignment horizontal="center"/>
    </xf>
    <xf numFmtId="0" fontId="10" fillId="0" borderId="17" xfId="8" applyFont="1" applyBorder="1" applyAlignment="1">
      <alignment horizontal="center"/>
    </xf>
    <xf numFmtId="0" fontId="10" fillId="0" borderId="11" xfId="8" applyFont="1" applyBorder="1" applyAlignment="1">
      <alignment horizontal="center"/>
    </xf>
    <xf numFmtId="0" fontId="10" fillId="0" borderId="5" xfId="8" applyFont="1" applyBorder="1" applyAlignment="1">
      <alignment horizontal="center" vertical="center"/>
    </xf>
    <xf numFmtId="0" fontId="10" fillId="0" borderId="18" xfId="8" applyFont="1" applyBorder="1" applyAlignment="1">
      <alignment horizontal="center" vertical="center"/>
    </xf>
    <xf numFmtId="0" fontId="10" fillId="0" borderId="10" xfId="8" applyFont="1" applyBorder="1" applyAlignment="1">
      <alignment horizontal="center" vertical="center"/>
    </xf>
    <xf numFmtId="0" fontId="7" fillId="0" borderId="6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47" fillId="30" borderId="0" xfId="8" applyFont="1" applyFill="1" applyAlignment="1" applyProtection="1">
      <alignment horizontal="center" vertical="center"/>
      <protection hidden="1"/>
    </xf>
    <xf numFmtId="0" fontId="46" fillId="30" borderId="0" xfId="8" applyFont="1" applyFill="1" applyAlignment="1" applyProtection="1">
      <alignment horizontal="center"/>
      <protection hidden="1"/>
    </xf>
    <xf numFmtId="0" fontId="47" fillId="30" borderId="7" xfId="8" applyFont="1" applyFill="1" applyBorder="1" applyAlignment="1">
      <alignment horizontal="center"/>
    </xf>
    <xf numFmtId="0" fontId="47" fillId="30" borderId="7" xfId="8" applyFont="1" applyFill="1" applyBorder="1" applyAlignment="1" applyProtection="1">
      <alignment horizontal="center" vertical="center"/>
      <protection hidden="1"/>
    </xf>
    <xf numFmtId="0" fontId="47" fillId="6" borderId="0" xfId="0" applyFont="1" applyFill="1" applyAlignment="1" applyProtection="1">
      <alignment horizontal="center" vertical="center"/>
      <protection hidden="1"/>
    </xf>
    <xf numFmtId="0" fontId="47" fillId="30" borderId="0" xfId="8" applyFont="1" applyFill="1" applyAlignment="1">
      <alignment horizontal="center"/>
    </xf>
    <xf numFmtId="0" fontId="30" fillId="12" borderId="0" xfId="8" applyFont="1" applyFill="1" applyAlignment="1" applyProtection="1">
      <alignment horizontal="center"/>
      <protection hidden="1"/>
    </xf>
    <xf numFmtId="0" fontId="30" fillId="33" borderId="0" xfId="8" applyFont="1" applyFill="1" applyAlignment="1" applyProtection="1">
      <alignment horizontal="center"/>
      <protection hidden="1"/>
    </xf>
    <xf numFmtId="0" fontId="49" fillId="30" borderId="0" xfId="8" applyFont="1" applyFill="1" applyAlignment="1" applyProtection="1">
      <alignment horizontal="center"/>
      <protection hidden="1"/>
    </xf>
    <xf numFmtId="181" fontId="30" fillId="33" borderId="0" xfId="13" applyNumberFormat="1" applyFont="1" applyFill="1" applyBorder="1" applyAlignment="1" applyProtection="1">
      <alignment horizontal="center"/>
      <protection hidden="1"/>
    </xf>
    <xf numFmtId="165" fontId="8" fillId="29" borderId="6" xfId="0" applyNumberFormat="1" applyFont="1" applyFill="1" applyBorder="1" applyAlignment="1" applyProtection="1">
      <alignment vertical="center"/>
      <protection hidden="1"/>
    </xf>
    <xf numFmtId="165" fontId="8" fillId="4" borderId="6" xfId="0" applyNumberFormat="1" applyFont="1" applyFill="1" applyBorder="1" applyAlignment="1" applyProtection="1">
      <alignment vertical="center"/>
      <protection hidden="1"/>
    </xf>
    <xf numFmtId="0" fontId="8" fillId="0" borderId="4" xfId="0" applyNumberFormat="1" applyFont="1" applyBorder="1"/>
    <xf numFmtId="0" fontId="8" fillId="0" borderId="6" xfId="0" applyNumberFormat="1" applyFont="1" applyBorder="1"/>
    <xf numFmtId="0" fontId="8" fillId="0" borderId="5" xfId="0" applyNumberFormat="1" applyFont="1" applyBorder="1"/>
    <xf numFmtId="0" fontId="8" fillId="0" borderId="14" xfId="0" applyNumberFormat="1" applyFont="1" applyBorder="1"/>
    <xf numFmtId="165" fontId="8" fillId="0" borderId="6" xfId="2" applyNumberFormat="1" applyFont="1" applyBorder="1" applyProtection="1"/>
    <xf numFmtId="165" fontId="8" fillId="0" borderId="14" xfId="2" applyNumberFormat="1" applyFont="1" applyBorder="1" applyProtection="1"/>
    <xf numFmtId="173" fontId="28" fillId="38" borderId="4" xfId="9" applyNumberFormat="1" applyFont="1" applyFill="1" applyBorder="1" applyAlignment="1" applyProtection="1">
      <alignment horizontal="center" vertical="center"/>
      <protection hidden="1"/>
    </xf>
  </cellXfs>
  <cellStyles count="15">
    <cellStyle name="Comma" xfId="1" builtinId="3"/>
    <cellStyle name="Comma 2" xfId="13" xr:uid="{34CBE64D-06EA-4956-9633-7F4E6F0666ED}"/>
    <cellStyle name="Comma 3" xfId="9" xr:uid="{9B574E47-2D1C-4C02-867A-6BAC86CEDB57}"/>
    <cellStyle name="Excel Built-in 20% - Accent5" xfId="12" xr:uid="{3FA188F6-3960-4F75-B793-5B701337C544}"/>
    <cellStyle name="Excel Built-in Input" xfId="7" xr:uid="{9F1F2676-C684-452C-AA4C-9A0C119ECAA1}"/>
    <cellStyle name="Excel Built-in Output" xfId="10" xr:uid="{C28371DE-9A7C-4F88-B820-D8DDB2AD62C9}"/>
    <cellStyle name="Excel Built-in Title" xfId="6" xr:uid="{374697AB-73F7-4C11-A73C-2B021AA18B5E}"/>
    <cellStyle name="Heading 1" xfId="4" builtinId="16"/>
    <cellStyle name="Input" xfId="5" builtinId="20"/>
    <cellStyle name="Normal" xfId="0" builtinId="0"/>
    <cellStyle name="Normal 3" xfId="8" xr:uid="{B33461D2-B75D-4DCF-AC02-96F0719841E2}"/>
    <cellStyle name="Normal 4" xfId="14" xr:uid="{FAE4FF90-9AAC-4268-9297-169F82FECC58}"/>
    <cellStyle name="Percent" xfId="2" builtinId="5"/>
    <cellStyle name="Percent 2" xfId="11" xr:uid="{163F7B25-D5DB-48BE-A4C8-BD1C6A5DA726}"/>
    <cellStyle name="Title" xfId="3" builtinId="15"/>
  </cellStyles>
  <dxfs count="436"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5" formatCode="0.0%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5" formatCode="0.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5" formatCode="0.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</border>
    </dxf>
    <dxf>
      <border diagonalUp="0" diagonalDown="0"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border diagonalUp="0" diagonalDown="0"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</border>
    </dxf>
    <dxf>
      <border>
        <left style="dashed">
          <color rgb="FFFF0000"/>
        </left>
        <right style="dashed">
          <color rgb="FFFF0000"/>
        </right>
        <top style="dashed">
          <color rgb="FFFF0000"/>
        </top>
        <bottom style="dashed">
          <color rgb="FFFF0000"/>
        </bottom>
        <vertical/>
        <horizontal/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 patternType="lightDown"/>
      </fill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 patternType="lightDown"/>
      </fill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ill>
        <patternFill>
          <bgColor theme="5" tint="0.59987182226020086"/>
        </patternFill>
      </fill>
      <border diagonalUp="0" diagonalDown="0">
        <left style="dashDot">
          <color rgb="FFFF0000"/>
        </left>
        <right style="dashDot">
          <color rgb="FFFF0000"/>
        </right>
        <top style="dashDot">
          <color rgb="FFFF0000"/>
        </top>
        <bottom style="dashDot">
          <color rgb="FFFF0000"/>
        </bottom>
      </border>
    </dxf>
    <dxf>
      <font>
        <b val="0"/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0" formatCode="General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fill>
        <patternFill patternType="solid">
          <fgColor indexed="64"/>
          <bgColor theme="2" tint="-9.9978637043366805E-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1" hidden="1"/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1"/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BFBFBF"/>
          <bgColor rgb="FFC0C0C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numFmt numFmtId="167" formatCode="_(* #,##0.0000_);_(* \(#,##0.0000\);_(* &quot;-&quot;??_);_(@_)"/>
      <fill>
        <patternFill patternType="solid">
          <fgColor indexed="64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3" formatCode="0%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1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4" formatCode="_-* #,##0_-;\-* #,##0_-;_-* \-??_-;_-@_-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alignment horizontal="general" vertical="center" textRotation="0" wrapText="0" indent="0" justifyLastLine="0" shrinkToFit="0" readingOrder="0"/>
      <protection locked="1" hidden="1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rgb="FFBFBFBF"/>
          <bgColor rgb="FFC0C0C0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3" formatCode="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3" formatCode="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1" hidden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4" formatCode="_-* #,##0_-;\-* #,##0_-;_-* \-??_-;_-@_-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* #,##0_-;\-* #,##0_-;_-* \-??_-;_-@_-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1" hidden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4" formatCode="_-* #,##0_-;\-* #,##0_-;_-* \-??_-;_-@_-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1" hidden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b/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_-* #,##0_-;\-* #,##0_-;_-* \-??_-;_-@_-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1" hidden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5" formatCode="0.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5" formatCode="0.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5" formatCode="0.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8" formatCode="0.000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numFmt numFmtId="168" formatCode="0.0000%"/>
      <fill>
        <patternFill patternType="solid">
          <fgColor rgb="FFDEEBF7"/>
          <bgColor theme="3" tint="0.89999084444715716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</dxf>
    <dxf>
      <border>
        <bottom style="thin">
          <color auto="1"/>
        </bottom>
      </border>
    </dxf>
    <dxf>
      <font>
        <strike val="0"/>
        <outline val="0"/>
        <shadow val="0"/>
        <u val="none"/>
        <vertAlign val="baseline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DEEBF7"/>
          <bgColor theme="2"/>
        </patternFill>
      </fill>
      <alignment horizontal="center" vertical="center" textRotation="0" wrapText="0" indent="0" justifyLastLine="0" shrinkToFit="0" readingOrder="0"/>
      <protection locked="1" hidden="1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5" formatCode="_(* #,##0.00_);_(* \(#,##0.0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DEEBF7"/>
          <bgColor theme="2"/>
        </patternFill>
      </fill>
      <alignment horizontal="center" vertical="center" textRotation="0" wrapText="0" indent="0" justifyLastLine="0" shrinkToFit="0" readingOrder="0"/>
      <protection locked="1" hidden="1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medium">
          <color rgb="FF00B050"/>
        </left>
        <right/>
        <top/>
        <bottom/>
        <vertical/>
        <horizontal/>
      </border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rgb="FF4F81BD"/>
          <bgColor theme="3" tint="0.89999084444715716"/>
        </patternFill>
      </fill>
      <alignment horizontal="center" vertical="center" textRotation="0" wrapText="0" indent="0" justifyLastLine="0" shrinkToFit="0" readingOrder="0"/>
      <protection locked="1" hidden="1"/>
    </dxf>
    <dxf>
      <font>
        <b val="0"/>
      </font>
      <numFmt numFmtId="166" formatCode="0.0000"/>
      <fill>
        <patternFill patternType="solid">
          <fgColor rgb="FFDAE3F3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1"/>
    </dxf>
    <dxf>
      <font>
        <b val="0"/>
      </font>
      <numFmt numFmtId="179" formatCode="&quot;VND &quot;0,000"/>
      <fill>
        <patternFill patternType="solid">
          <fgColor rgb="FFDAE3F3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1"/>
    </dxf>
    <dxf>
      <font>
        <b val="0"/>
      </font>
      <numFmt numFmtId="179" formatCode="&quot;VND &quot;0,000"/>
      <fill>
        <patternFill patternType="solid">
          <fgColor rgb="FFDAE3F3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1"/>
    </dxf>
    <dxf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1"/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protection locked="1" hidden="1"/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rgb="FF9DC3E6"/>
          <bgColor rgb="FF8DB4E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</dxf>
    <dxf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numFmt numFmtId="35" formatCode="_(* #,##0.00_);_(* \(#,##0.00\);_(* &quot;-&quot;??_);_(@_)"/>
    </dxf>
    <dxf>
      <numFmt numFmtId="166" formatCode="0.0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_(* #,##0.0000_);_(* \(#,##0.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_(* #,##0.0000_);_(* \(#,##0.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_(* #,##0.0000_);_(* \(#,##0.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8" formatCode="0.0000%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7" formatCode="_(* #,##0.0000_);_(* \(#,##0.00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0.0000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0.0%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0" formatCode="@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DEEBF7"/>
          <bgColor theme="2"/>
        </patternFill>
      </fill>
      <alignment horizontal="center" vertical="center" textRotation="0" wrapText="0" indent="0" justifyLastLine="0" shrinkToFit="0" readingOrder="0"/>
      <protection locked="1" hidden="1"/>
    </dxf>
    <dxf>
      <numFmt numFmtId="13" formatCode="0%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13" formatCode="0%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color rgb="FF000000"/>
        <name val="Calibri"/>
        <family val="2"/>
        <charset val="1"/>
        <scheme val="none"/>
      </font>
      <fill>
        <patternFill patternType="solid">
          <fgColor rgb="FFDEEBF7"/>
          <bgColor theme="3" tint="0.89999084444715716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1" hidden="1"/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protection locked="1" hidden="1"/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rgb="FF9DC3E6"/>
          <bgColor rgb="FF8DB4E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  <protection locked="1" hidden="1"/>
    </dxf>
    <dxf>
      <font>
        <b/>
        <color rgb="FF000000"/>
        <name val="Calibri"/>
        <family val="2"/>
        <charset val="1"/>
        <scheme val="none"/>
      </font>
      <numFmt numFmtId="184" formatCode="#&quot; year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color rgb="FF000000"/>
        <name val="Calibri"/>
        <family val="2"/>
        <charset val="1"/>
        <scheme val="none"/>
      </font>
      <numFmt numFmtId="177" formatCode="0&quot; years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color rgb="FF000000"/>
        <name val="Calibri"/>
        <family val="2"/>
        <charset val="1"/>
        <scheme val="none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color auto="1"/>
        <name val="Calibri"/>
        <family val="2"/>
        <charset val="1"/>
        <scheme val="none"/>
      </font>
      <numFmt numFmtId="179" formatCode="&quot;VND &quot;0,000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color rgb="FF000000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auto="1"/>
        </top>
        <bottom style="thin">
          <color auto="1"/>
        </bottom>
      </border>
      <protection locked="0" hidden="0"/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protection locked="0" hidden="0"/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fill>
        <patternFill patternType="solid">
          <fgColor rgb="FF9DC3E6"/>
          <bgColor rgb="FF8DB4E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  <protection locked="1" hidden="1"/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  <dxf>
      <fill>
        <patternFill patternType="solid">
          <fgColor indexed="64"/>
          <bgColor theme="2" tint="-9.9978637043366805E-2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border>
        <top style="thin">
          <color auto="1"/>
        </top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protection locked="0" hidden="0"/>
    </dxf>
    <dxf>
      <border>
        <bottom style="thin">
          <color auto="1"/>
        </bottom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Relationship Id="rId22" Type="http://schemas.openxmlformats.org/officeDocument/2006/relationships/customXml" Target="../customXml/item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105956</xdr:colOff>
      <xdr:row>0</xdr:row>
      <xdr:rowOff>64479</xdr:rowOff>
    </xdr:from>
    <xdr:to>
      <xdr:col>11</xdr:col>
      <xdr:colOff>1454727</xdr:colOff>
      <xdr:row>2</xdr:row>
      <xdr:rowOff>172839</xdr:rowOff>
    </xdr:to>
    <xdr:sp macro="" textlink="version">
      <xdr:nvSpPr>
        <xdr:cNvPr id="2" name="shpVersionDisplay">
          <a:extLst>
            <a:ext uri="{FF2B5EF4-FFF2-40B4-BE49-F238E27FC236}">
              <a16:creationId xmlns:a16="http://schemas.microsoft.com/office/drawing/2014/main" id="{F8ED1232-BD82-4729-A5B4-86277320249F}"/>
            </a:ext>
          </a:extLst>
        </xdr:cNvPr>
        <xdr:cNvSpPr/>
      </xdr:nvSpPr>
      <xdr:spPr>
        <a:xfrm>
          <a:off x="105956" y="64479"/>
          <a:ext cx="1348771" cy="489360"/>
        </a:xfrm>
        <a:prstGeom prst="roundRect">
          <a:avLst>
            <a:gd name="adj" fmla="val 16667"/>
          </a:avLst>
        </a:prstGeom>
        <a:solidFill>
          <a:srgbClr val="00B050"/>
        </a:solidFill>
        <a:ln w="12700">
          <a:solidFill>
            <a:srgbClr val="43729D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</a:pPr>
          <a:fld id="{0F5F4200-AC53-4B19-89C0-A9CD43D13742}" type="TxLink">
            <a:rPr lang="en-US" sz="2000" b="0" i="0" u="none" strike="noStrike">
              <a:solidFill>
                <a:srgbClr val="000000"/>
              </a:solidFill>
              <a:effectLst/>
              <a:uFillTx/>
              <a:latin typeface="Calibri"/>
              <a:ea typeface="Calibri"/>
              <a:cs typeface="Calibri"/>
            </a:rPr>
            <a:pPr algn="ctr">
              <a:lnSpc>
                <a:spcPct val="100000"/>
              </a:lnSpc>
            </a:pPr>
            <a:t>v1.00.00</a:t>
          </a:fld>
          <a:endParaRPr lang="en-US" sz="2000" b="0" u="none" strike="noStrike">
            <a:effectLst/>
            <a:uFillTx/>
            <a:latin typeface="Times New Roman"/>
          </a:endParaRPr>
        </a:p>
      </xdr:txBody>
    </xdr:sp>
    <xdr:clientData/>
  </xdr:twoCellAnchor>
  <xdr:twoCellAnchor editAs="oneCell">
    <xdr:from>
      <xdr:col>11</xdr:col>
      <xdr:colOff>1059721</xdr:colOff>
      <xdr:row>3</xdr:row>
      <xdr:rowOff>155862</xdr:rowOff>
    </xdr:from>
    <xdr:to>
      <xdr:col>11</xdr:col>
      <xdr:colOff>1452121</xdr:colOff>
      <xdr:row>6</xdr:row>
      <xdr:rowOff>7182</xdr:rowOff>
    </xdr:to>
    <xdr:pic>
      <xdr:nvPicPr>
        <xdr:cNvPr id="4" name="shpInfo" descr="Click for developer guide line">
          <a:extLst>
            <a:ext uri="{FF2B5EF4-FFF2-40B4-BE49-F238E27FC236}">
              <a16:creationId xmlns:a16="http://schemas.microsoft.com/office/drawing/2014/main" id="{2EB96FE4-76AC-4C90-8104-8BCE2016B20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/>
      </xdr:blipFill>
      <xdr:spPr>
        <a:xfrm>
          <a:off x="1059721" y="727362"/>
          <a:ext cx="392400" cy="42282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14</xdr:col>
      <xdr:colOff>1802823</xdr:colOff>
      <xdr:row>3</xdr:row>
      <xdr:rowOff>190499</xdr:rowOff>
    </xdr:from>
    <xdr:to>
      <xdr:col>16</xdr:col>
      <xdr:colOff>173182</xdr:colOff>
      <xdr:row>6</xdr:row>
      <xdr:rowOff>259772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807EDDFF-F165-4DB4-BADE-A5A49FDAA3E6}"/>
            </a:ext>
            <a:ext uri="{6ECC49D1-AA05-4338-93AA-15A1B29DFB0A}">
              <asl:scriptLink xmlns:asl="http://schemas.microsoft.com/office/drawing/2021/scriptlink" val="{&quot;shareId&quot;:&quot;ms-officescript%3A%2F%2Fonedrive_business_sharinglink%2Fu!aHR0cHM6Ly9sZWFybmNvcnBkZXYtbXkuc2hhcmVwb2ludC5jb20vOnU6L2cvcGVyc29uYWwvaGlldV9uZ3V5ZW5fbGVhcm5jb3JwX2Rldi9FZklhQkxQd29IQkZnNENoQ280aTlVTUI2dnoyTE0ydk8xWG9mM2RKWWlMQkx3&quot;}"/>
            </a:ext>
          </a:extLst>
        </xdr:cNvPr>
        <xdr:cNvSpPr/>
      </xdr:nvSpPr>
      <xdr:spPr>
        <a:xfrm>
          <a:off x="8972550" y="761999"/>
          <a:ext cx="1695450" cy="640773"/>
        </a:xfrm>
        <a:prstGeom prst="roundRect">
          <a:avLst/>
        </a:prstGeom>
        <a:solidFill>
          <a:schemeClr val="accent1"/>
        </a:solidFill>
        <a:ln w="12700" cap="flat" cmpd="sng" algn="ctr">
          <a:noFill/>
          <a:prstDash val="solid"/>
          <a:miter lim="800000"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Run cashflow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590052</xdr:colOff>
      <xdr:row>5</xdr:row>
      <xdr:rowOff>77714</xdr:rowOff>
    </xdr:from>
    <xdr:to>
      <xdr:col>15</xdr:col>
      <xdr:colOff>895597</xdr:colOff>
      <xdr:row>12</xdr:row>
      <xdr:rowOff>121227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D06B6DB-872E-487C-9FE9-1B4D44BFDB68}"/>
            </a:ext>
          </a:extLst>
        </xdr:cNvPr>
        <xdr:cNvSpPr txBox="1"/>
      </xdr:nvSpPr>
      <xdr:spPr>
        <a:xfrm>
          <a:off x="17717734" y="1289987"/>
          <a:ext cx="3907727" cy="1377013"/>
        </a:xfrm>
        <a:prstGeom prst="rect">
          <a:avLst/>
        </a:prstGeom>
        <a:ln/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- Excel</a:t>
          </a:r>
          <a:r>
            <a:rPr lang="en-US" sz="1100" baseline="0"/>
            <a:t> table is used instead of range so that each column can be read as a variable in coding with a unique name. This is to increase fluidity in traslation to code base.</a:t>
          </a:r>
        </a:p>
        <a:p>
          <a:endParaRPr lang="en-US" sz="1100" baseline="0"/>
        </a:p>
        <a:p>
          <a:r>
            <a:rPr lang="en-US" sz="1100"/>
            <a:t>- Table</a:t>
          </a:r>
          <a:r>
            <a:rPr lang="en-US" sz="1100" baseline="0"/>
            <a:t> header is CamelCase to reduce double [] in table formula (eg: [@[Header_Name]] vs [@HeaderName] . This is to increase the formula readability. </a:t>
          </a:r>
        </a:p>
        <a:p>
          <a:endParaRPr lang="en-US" sz="1100" baseline="0"/>
        </a:p>
        <a:p>
          <a:r>
            <a:rPr lang="en-US" sz="1100" baseline="0"/>
            <a:t>So feel free to change if you find other way more effective.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56</xdr:col>
      <xdr:colOff>503465</xdr:colOff>
      <xdr:row>21</xdr:row>
      <xdr:rowOff>136072</xdr:rowOff>
    </xdr:from>
    <xdr:to>
      <xdr:col>57</xdr:col>
      <xdr:colOff>689881</xdr:colOff>
      <xdr:row>26</xdr:row>
      <xdr:rowOff>80199</xdr:rowOff>
    </xdr:to>
    <xdr:sp macro="" textlink="">
      <xdr:nvSpPr>
        <xdr:cNvPr id="2" name="Arrow: Right 12">
          <a:extLst>
            <a:ext uri="{FF2B5EF4-FFF2-40B4-BE49-F238E27FC236}">
              <a16:creationId xmlns:a16="http://schemas.microsoft.com/office/drawing/2014/main" id="{A1E2D125-31C8-4B7D-9734-94AB9A5F7FF6}"/>
            </a:ext>
          </a:extLst>
        </xdr:cNvPr>
        <xdr:cNvSpPr/>
      </xdr:nvSpPr>
      <xdr:spPr>
        <a:xfrm>
          <a:off x="79970540" y="4250872"/>
          <a:ext cx="1453241" cy="896627"/>
        </a:xfrm>
        <a:prstGeom prst="rightArrow">
          <a:avLst>
            <a:gd name="adj1" fmla="val 50000"/>
            <a:gd name="adj2" fmla="val 50000"/>
          </a:avLst>
        </a:prstGeom>
        <a:solidFill>
          <a:srgbClr val="5B9BD5"/>
        </a:solidFill>
        <a:ln w="12700">
          <a:solidFill>
            <a:srgbClr val="43729D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</a:pPr>
          <a:r>
            <a:rPr lang="en-US" sz="1100" b="1" u="none" strike="noStrike">
              <a:solidFill>
                <a:schemeClr val="lt1"/>
              </a:solidFill>
              <a:effectLst/>
              <a:uFillTx/>
              <a:latin typeface="Calibri"/>
            </a:rPr>
            <a:t>Consolidate scenarios</a:t>
          </a:r>
          <a:endParaRPr lang="en-US" sz="1100" b="0" u="none" strike="noStrike">
            <a:effectLst/>
            <a:uFillTx/>
            <a:latin typeface="Times New Roman"/>
          </a:endParaRPr>
        </a:p>
      </xdr:txBody>
    </xdr:sp>
    <xdr:clientData/>
  </xdr:twoCellAnchor>
  <xdr:twoCellAnchor editAs="oneCell">
    <xdr:from>
      <xdr:col>41</xdr:col>
      <xdr:colOff>149678</xdr:colOff>
      <xdr:row>21</xdr:row>
      <xdr:rowOff>81643</xdr:rowOff>
    </xdr:from>
    <xdr:to>
      <xdr:col>43</xdr:col>
      <xdr:colOff>376372</xdr:colOff>
      <xdr:row>26</xdr:row>
      <xdr:rowOff>33390</xdr:rowOff>
    </xdr:to>
    <xdr:sp macro="" textlink="">
      <xdr:nvSpPr>
        <xdr:cNvPr id="3" name="Arrow: Right 12">
          <a:extLst>
            <a:ext uri="{FF2B5EF4-FFF2-40B4-BE49-F238E27FC236}">
              <a16:creationId xmlns:a16="http://schemas.microsoft.com/office/drawing/2014/main" id="{F5E1F439-09BC-4202-B114-87E9C273780B}"/>
            </a:ext>
          </a:extLst>
        </xdr:cNvPr>
        <xdr:cNvSpPr/>
      </xdr:nvSpPr>
      <xdr:spPr>
        <a:xfrm>
          <a:off x="59576153" y="4196443"/>
          <a:ext cx="1464944" cy="904247"/>
        </a:xfrm>
        <a:prstGeom prst="rightArrow">
          <a:avLst>
            <a:gd name="adj1" fmla="val 50000"/>
            <a:gd name="adj2" fmla="val 50000"/>
          </a:avLst>
        </a:prstGeom>
        <a:solidFill>
          <a:srgbClr val="5B9BD5"/>
        </a:solidFill>
        <a:ln w="12700">
          <a:solidFill>
            <a:srgbClr val="43729D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vertOverflow="clip" horzOverflow="clip" lIns="90000" tIns="45000" rIns="90000" bIns="45000" anchor="ctr">
          <a:noAutofit/>
        </a:bodyPr>
        <a:lstStyle/>
        <a:p>
          <a:pPr algn="ctr">
            <a:lnSpc>
              <a:spcPct val="100000"/>
            </a:lnSpc>
          </a:pPr>
          <a:r>
            <a:rPr lang="en-US" sz="1100" b="1" u="none" strike="noStrike">
              <a:solidFill>
                <a:schemeClr val="lt1"/>
              </a:solidFill>
              <a:effectLst/>
              <a:uFillTx/>
              <a:latin typeface="Calibri"/>
            </a:rPr>
            <a:t>Summary values</a:t>
          </a:r>
          <a:endParaRPr lang="en-US" sz="1100" b="0" u="none" strike="noStrike">
            <a:effectLst/>
            <a:uFillTx/>
            <a:latin typeface="Times New Roman"/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Trung-Hieu Nguyen" id="{D2A12E4F-9865-457E-B58E-A58F46C62A40}" userId="S::hieu.nguyen@learncorp.dev::8bc8cd34-f141-4081-b7fb-26ebe8a0fa27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14D158-9387-4DD2-82ED-E78819ECEE3A}" name="tblWithdrawal" displayName="tblWithdrawal" ref="M77:O97" totalsRowShown="0" headerRowDxfId="435" dataDxfId="433" headerRowBorderDxfId="434" tableBorderDxfId="432" totalsRowBorderDxfId="431">
  <autoFilter ref="M77:O97" xr:uid="{00000000-0009-0000-0100-000019000000}"/>
  <tableColumns count="3">
    <tableColumn id="1" xr3:uid="{D0A2F4A0-C1F6-40FA-BCCD-A8ED9D34B645}" name="From" dataDxfId="430"/>
    <tableColumn id="2" xr3:uid="{543D44E5-C076-44B9-BA4C-126772CD180B}" name="To" dataDxfId="429"/>
    <tableColumn id="3" xr3:uid="{52AE22CB-ECF3-4C19-ABAC-EBAF06565B92}" name="Amount" dataDxfId="428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239F0A8-1719-48C1-8281-841A89514695}" name="tblWithdrawal_Output" displayName="tblWithdrawal_Output" ref="B77:C88" totalsRowShown="0" headerRowDxfId="427" headerRowBorderDxfId="426" tableBorderDxfId="425" totalsRowBorderDxfId="424">
  <autoFilter ref="B77:C88" xr:uid="{00000000-0009-0000-0100-00001A000000}"/>
  <tableColumns count="2">
    <tableColumn id="1" xr3:uid="{F7F8D2A9-9DCF-4989-B98B-25E2A9E3E54D}" name="Year"/>
    <tableColumn id="2" xr3:uid="{F949304A-1EE4-47EA-988E-8AEDDFE5FB85}" name="Amount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6A58ACB-997C-4E4F-8280-5A141256DA0F}" name="tblRider" displayName="tblRider" ref="M102:T126" totalsRowShown="0" headerRowDxfId="423" dataDxfId="421" headerRowBorderDxfId="422" tableBorderDxfId="420" totalsRowBorderDxfId="419" headerRowCellStyle="Normal 3" dataCellStyle="Normal 3">
  <autoFilter ref="M102:T126" xr:uid="{82836140-5FCB-4BA8-90CA-40BC596E1043}"/>
  <tableColumns count="8">
    <tableColumn id="1" xr3:uid="{A0FB6EE9-5699-4E97-BE6F-EDD14DCC13D8}" name="Rider" dataDxfId="418" dataCellStyle="Normal 3"/>
    <tableColumn id="2" xr3:uid="{2AD5DCA5-3058-4C5C-834B-B32B8E607482}" name="Insured" dataDxfId="417" dataCellStyle="Normal 3"/>
    <tableColumn id="3" xr3:uid="{FEA90CA7-645F-4EC9-9C20-ABE7CC71D726}" name="SI" dataDxfId="416" dataCellStyle="Comma 3"/>
    <tableColumn id="8" xr3:uid="{0B29D7EB-05EE-49AA-88FD-E881AA52E648}" name="Option" dataDxfId="415" dataCellStyle="Normal 3"/>
    <tableColumn id="4" xr3:uid="{418EC708-E480-40FD-ADE1-A1E63EEB9236}" name="Prem load" dataDxfId="414" dataCellStyle="Normal 3"/>
    <tableColumn id="5" xr3:uid="{376004C0-D27F-4BD3-BB20-04271CF6416D}" name="Prem load term" dataDxfId="413" dataCellStyle="Normal 3"/>
    <tableColumn id="6" xr3:uid="{C6E90F22-DF1D-42D3-96BF-0C622833BCEA}" name="Permille load" dataDxfId="412" dataCellStyle="Normal 3"/>
    <tableColumn id="7" xr3:uid="{4CDF582A-67A9-4648-8470-6846A0EA1AD0}" name="Permille load term" dataDxfId="411" dataCellStyle="Normal 3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35E9672-337A-4F78-B33B-7EF260EB1350}" name="tblFundAlloc" displayName="tblFundAlloc" ref="M62:O73" totalsRowShown="0" headerRowDxfId="410" dataDxfId="408" headerRowBorderDxfId="409" tableBorderDxfId="407" totalsRowBorderDxfId="406" headerRowCellStyle="Normal 3" dataCellStyle="Normal 3">
  <autoFilter ref="M62:O73" xr:uid="{EFDE99BE-E5E5-4290-9640-DDA6F61E30CE}"/>
  <tableColumns count="3">
    <tableColumn id="1" xr3:uid="{AC8487B7-38BA-48A8-973F-66A7388A6E4D}" name="Fund" dataDxfId="405" dataCellStyle="Normal 3"/>
    <tableColumn id="2" xr3:uid="{532BAD07-2AD4-456A-9762-FEAA99E001DB}" name="TP%" dataDxfId="404" dataCellStyle="Normal 3"/>
    <tableColumn id="3" xr3:uid="{D86C8D41-4F00-458C-8BC3-441D31E02017}" name="EP%" dataDxfId="403" dataCellStyle="Normal 3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8B5131-7171-4F65-B7C8-2A123978F9BA}" name="tblBaseCF" displayName="tblBaseCF" ref="B19:DO120" totalsRowShown="0" headerRowDxfId="402" dataDxfId="401">
  <tableColumns count="118">
    <tableColumn id="1" xr3:uid="{9688D34F-C848-4B14-8EE2-085A2EB77632}" name="Year" dataDxfId="400">
      <calculatedColumnFormula>OFFSET(tblBaseCF[[#This Row],[Year]],-1,0)+1</calculatedColumnFormula>
    </tableColumn>
    <tableColumn id="2" xr3:uid="{BCC93AAB-A07A-4ED8-9978-FD3A921D3570}" name="PolTermFlag" dataDxfId="399">
      <calculatedColumnFormula>(tblBaseCF[[#This Row],[Year]]&lt;=term)*1</calculatedColumnFormula>
    </tableColumn>
    <tableColumn id="3" xr3:uid="{36662AA6-BDC1-47B4-A225-A30BE01789B9}" name="CalYear" dataDxfId="398">
      <calculatedColumnFormula>(YEAR(rcd)+tblBaseCF[[#This Row],[Year]]-1)
*tblBaseCF[[#This Row],[PolTermFlag]]</calculatedColumnFormula>
    </tableColumn>
    <tableColumn id="4" xr3:uid="{4E93BA39-45E5-42CE-8643-5052FC832966}" name="Age" dataDxfId="397">
      <calculatedColumnFormula>(mainLI_entry_age+tblBaseCF[[#This Row],[Year]]-1)
*tblBaseCF[[#This Row],[PolTermFlag]]</calculatedColumnFormula>
    </tableColumn>
    <tableColumn id="5" xr3:uid="{9711BC4F-F77C-4F7D-ACB2-79107086EBD1}" name="ContFlag" dataDxfId="396">
      <calculatedColumnFormula>IF(tblBaseCF[[#This Row],[Year]]=1,1,OFFSET(tblBaseCF[[#This Row],[DeductFlag]],-1,0))
*tblBaseCF[[#This Row],[PolTermFlag]]</calculatedColumnFormula>
    </tableColumn>
    <tableColumn id="6" xr3:uid="{27A8F751-41E3-42DA-B9C3-0B2E06F082DB}" name="ContLog" dataDxfId="395">
      <calculatedColumnFormula>IF(tblBaseCF[[#This Row],[Year]]=1,"First year - Guaranteed to continue.",
IF(tblBaseCF[[#This Row],[PolTermFlag]]=1,IF(tblBaseCF[[#This Row],[ContFlag]]=0,"Insufficient PAV for deduction - Discontinue.","Continue."),"End of policy term."))</calculatedColumnFormula>
    </tableColumn>
    <tableColumn id="7" xr3:uid="{F35BA0A8-329A-4780-87F5-18FEE789BE66}" name="AccBenTermFlag" dataDxfId="394">
      <calculatedColumnFormula>(tblBaseCF[[#This Row],[Year]]&lt;=acc_ben_term)
*tblBaseCF[[#This Row],[ContFlag]]</calculatedColumnFormula>
    </tableColumn>
    <tableColumn id="8" xr3:uid="{70C7B4DA-A4D2-44BE-9B1A-47A06F384DD2}" name="TPTermFlag" dataDxfId="393">
      <calculatedColumnFormula>(tblBaseCF[[#This Row],[Year]]&lt;=tp_term)
*tblBaseCF[[#This Row],[ContFlag]]</calculatedColumnFormula>
    </tableColumn>
    <tableColumn id="9" xr3:uid="{88EA273B-1EB7-4A6A-B32D-796008F0A019}" name="EPTermFlag" dataDxfId="392">
      <calculatedColumnFormula>(tblBaseCF[[#This Row],[Year]]&lt;=ep_term)
*tblBaseCF[[#This Row],[ContFlag]]</calculatedColumnFormula>
    </tableColumn>
    <tableColumn id="11" xr3:uid="{1E4DA569-8721-4D39-BE42-4A97345432D4}" name="EMLoadTermFlag" dataDxfId="391">
      <calculatedColumnFormula>(tblBaseCF[[#This Row],[Year]]&lt;=em_load_term)*1</calculatedColumnFormula>
    </tableColumn>
    <tableColumn id="12" xr3:uid="{2C2E9679-996C-4ACC-B02D-7CA0D6AADD2C}" name="PMLoadTermFlag" dataDxfId="390">
      <calculatedColumnFormula>(tblBaseCF[[#This Row],[Year]]&lt;=pm_load_term)*1</calculatedColumnFormula>
    </tableColumn>
    <tableColumn id="13" xr3:uid="{0842847B-A2B0-4014-88B8-4C0DFA737DCA}" name="StartSI" dataDxfId="389" dataCellStyle="Comma">
      <calculatedColumnFormula>IF(tblBaseCF[[#This Row],[Year]]=1,si,OFFSET(tblBaseCF[[#This Row],[EndSI]],-1,0))
*tblBaseCF[[#This Row],[ContFlag]]</calculatedColumnFormula>
    </tableColumn>
    <tableColumn id="91" xr3:uid="{2CDBD74F-A560-47F7-8956-AF5E0FD06BB1}" name="StartTAV" dataDxfId="388" dataCellStyle="Comma">
      <calculatedColumnFormula>OFFSET(tblBaseCF[[#This Row],[EndTAV]],-1,0)
*tblBaseCF[[#This Row],[ContFlag]]</calculatedColumnFormula>
    </tableColumn>
    <tableColumn id="14" xr3:uid="{82C9A922-9085-4F90-BC91-95A217BC9A76}" name="StartEAV" dataDxfId="387" dataCellStyle="Comma">
      <calculatedColumnFormula>OFFSET(tblBaseCF[[#This Row],[EndEAV]],-1,0)
*tblBaseCF[[#This Row],[ContFlag]]</calculatedColumnFormula>
    </tableColumn>
    <tableColumn id="16" xr3:uid="{7536A4CB-24D8-4550-BFF2-2D076E2F427A}" name="StartPAV" dataDxfId="386" dataCellStyle="Comma">
      <calculatedColumnFormula>tblBaseCF[[#This Row],[StartEAV]]+tblBaseCF[[#This Row],[StartTAV]]</calculatedColumnFormula>
    </tableColumn>
    <tableColumn id="17" xr3:uid="{CA357798-4D40-42D6-B3BF-D9290E43D053}" name="JuvenileLienRate" dataDxfId="385" dataCellStyle="Percent">
      <calculatedColumnFormula>IFERROR(INDEX(tblJuvenileLienRate[Rate],MATCH(tblBaseCF[[#This Row],[Age]],tblJuvenileLienRate[Age],0)),1)
*tblBaseCF[[#This Row],[ContFlag]]</calculatedColumnFormula>
    </tableColumn>
    <tableColumn id="18" xr3:uid="{1A16FC81-D278-4D04-B50D-4F1BC9EE102C}" name="Ben" dataDxfId="384" dataCellStyle="Comma">
      <calculatedColumnFormula>IF(death_tpd_option="A",MAX(tblBaseCF[[#This Row],[StartPAV]],tblBaseCF[[#This Row],[StartSI]]),tblBaseCF[[#This Row],[StartSI]]+tblBaseCF[[#This Row],[StartPAV]])
*tblBaseCF[[#This Row],[JuvenileLienRate]]</calculatedColumnFormula>
    </tableColumn>
    <tableColumn id="19" xr3:uid="{E9528FA3-E756-4627-B8D9-1AA27E3ECE84}" name="AccBen" dataDxfId="383" dataCellStyle="Comma">
      <calculatedColumnFormula>tblBaseCF[[#This Row],[StartSI]]*acc_ben_coeff*tblBaseCF[[#This Row],[JuvenileLienRate]]
*tblBaseCF[[#This Row],[AccBenTermFlag]]</calculatedColumnFormula>
    </tableColumn>
    <tableColumn id="20" xr3:uid="{BA577049-DC60-4E21-9345-AB1F6365D476}" name="SrrChrgRate" dataDxfId="382" dataCellStyle="Percent">
      <calculatedColumnFormula>(IFERROR(INDEX(tblSurrChrgRate[Rate],MATCH(tblBaseCF[[#This Row],[Year]],tblSurrChrgRate[Year],0)),0)
*tblBaseCF[[#This Row],[ContFlag]])</calculatedColumnFormula>
    </tableColumn>
    <tableColumn id="21" xr3:uid="{ECED9136-B4A1-4ABF-A2B4-B1C19562A653}" name="SVChrg" dataDxfId="381" dataCellStyle="Comma">
      <calculatedColumnFormula>tp*tblBaseCF[[#This Row],[SrrChrgRate]]</calculatedColumnFormula>
    </tableColumn>
    <tableColumn id="22" xr3:uid="{D7CE0105-A58F-4083-8D0D-BC61650B3C8E}" name="SV" dataDxfId="380" dataCellStyle="Comma">
      <calculatedColumnFormula>MAX(tblBaseCF[[#This Row],[StartTAV]]-tblBaseCF[[#This Row],[SVChrg]],0)+tblBaseCF[[#This Row],[StartEAV]]</calculatedColumnFormula>
    </tableColumn>
    <tableColumn id="23" xr3:uid="{09542E38-85FD-4202-A644-9AF6D5CA1E9E}" name="WithdrawalInput" dataDxfId="379" dataCellStyle="Comma">
      <calculatedColumnFormula>IFERROR(INDEX(tblWithdrawal_Output[Amount],MATCH(tblBaseCF[[#This Row],[Year]],tblWithdrawal_Output[Year],0)),0)
*tblBaseCF[[#This Row],[ContFlag]]</calculatedColumnFormula>
    </tableColumn>
    <tableColumn id="132" xr3:uid="{68141C17-28B7-4678-9BF4-6A8500495F24}" name="1stCheckProceed" dataDxfId="378" dataCellStyle="Comma">
      <calculatedColumnFormula>tblBaseCF[[#This Row],[WithdrawalInput]]&gt;0</calculatedColumnFormula>
    </tableColumn>
    <tableColumn id="131" xr3:uid="{487AA1CF-E29B-4C0C-B579-1422199C02BA}" name="2ndCheckAmount" dataDxfId="377" dataCellStyle="Comma">
      <calculatedColumnFormula>AND(tblBaseCF[[#This Row],[1stCheckProceed]],tblBaseCF[[#This Row],[WithdrawalInput]]&lt;=tblBaseCF[[#This Row],[StartPAV]])</calculatedColumnFormula>
    </tableColumn>
    <tableColumn id="130" xr3:uid="{ABC18CC5-A4B3-435D-9D5B-BE34649DCBF9}" name="3rdCheckPAV" dataDxfId="376" dataCellStyle="Comma">
      <calculatedColumnFormula>AND(tblBaseCF[[#This Row],[2ndCheckAmount]],(tblBaseCF[[#This Row],[StartPAV]]-tblBaseCF[[#This Row],[WithdrawalInput]])&gt;=min_pav_after_withdrawal)</calculatedColumnFormula>
    </tableColumn>
    <tableColumn id="133" xr3:uid="{10308B10-C003-45B2-AF84-44502F3CE2EB}" name="endSITest" dataDxfId="375" dataCellStyle="Comma">
      <calculatedColumnFormula>IF(death_tpd_option="A",tblBaseCF[[#This Row],[StartSI]], MAX(tblBaseCF[[#This Row],[StartPAV]],tblBaseCF[[#This Row],[StartSI]])-tblBaseCF[[#This Row],[WithdrawalInput]])
*tblBaseCF[[#This Row],[3rdCheckPAV]]</calculatedColumnFormula>
    </tableColumn>
    <tableColumn id="129" xr3:uid="{3F43C43F-B19A-41D1-9C01-904189FDC7EC}" name="4thCheckSI" dataDxfId="374" dataCellStyle="Comma">
      <calculatedColumnFormula>AND(tblBaseCF[[#This Row],[3rdCheckPAV]],tblBaseCF[[#This Row],[endSITest]]&gt;=min_base_si)</calculatedColumnFormula>
    </tableColumn>
    <tableColumn id="24" xr3:uid="{68C26C47-C932-404D-89D8-89C981084B8C}" name="Withdrawal" dataDxfId="373" dataCellStyle="Comma">
      <calculatedColumnFormula>tblBaseCF[[#This Row],[WithdrawalInput]]*tblBaseCF[[#This Row],[4thCheckSI]]</calculatedColumnFormula>
    </tableColumn>
    <tableColumn id="25" xr3:uid="{02083B53-CBA6-46AE-B087-DFF789639877}" name="EAVWithdrawal" dataDxfId="372" dataCellStyle="Comma">
      <calculatedColumnFormula>MIN(tblBaseCF[[#This Row],[Withdrawal]],tblBaseCF[[#This Row],[StartEAV]])</calculatedColumnFormula>
    </tableColumn>
    <tableColumn id="26" xr3:uid="{CE070B65-E46E-4713-B1D7-DC6F8CB5A627}" name="TAVWithdrawal" dataDxfId="371" dataCellStyle="Comma">
      <calculatedColumnFormula>tblBaseCF[[#This Row],[Withdrawal]]-tblBaseCF[[#This Row],[EAVWithdrawal]]</calculatedColumnFormula>
    </tableColumn>
    <tableColumn id="27" xr3:uid="{3720CAFD-8558-4838-B6E1-C627D186F3B5}" name="EndSI" dataDxfId="370" dataCellStyle="Comma">
      <calculatedColumnFormula>IF(tblBaseCF[[#This Row],[4thCheckSI]],tblBaseCF[[#This Row],[endSITest]],tblBaseCF[[#This Row],[StartSI]])</calculatedColumnFormula>
    </tableColumn>
    <tableColumn id="28" xr3:uid="{10FF3ACF-768D-401B-A3C2-4B45F6E0AD8D}" name="WithdrawalLog" dataDxfId="369" dataCellStyle="Comma">
      <calculatedColumnFormula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calculatedColumnFormula>
    </tableColumn>
    <tableColumn id="30" xr3:uid="{D054E05E-536D-4C56-9622-EC22AE7898E5}" name="TPAllocChrgRate" dataDxfId="368" dataCellStyle="Percent">
      <calculatedColumnFormula>IFERROR(INDEX(tblTPAllocChrgRate[Rate],MATCH(tblBaseCF[[#This Row],[Year]],tblTPAllocChrgRate[Year],0)),0)</calculatedColumnFormula>
    </tableColumn>
    <tableColumn id="31" xr3:uid="{58045635-F316-4420-8018-D7C597821A75}" name="TP" dataDxfId="367" dataCellStyle="Comma">
      <calculatedColumnFormula>(tp+big_case_bonus_tp*(tblBaseCF[[#This Row],[Year]]=1))
*tblBaseCF[[#This Row],[TPTermFlag]]</calculatedColumnFormula>
    </tableColumn>
    <tableColumn id="32" xr3:uid="{04EA05A7-E520-4BD3-863E-F5163A810A63}" name="TPAllocChrg" dataDxfId="366" dataCellStyle="Comma">
      <calculatedColumnFormula>tblBaseCF[[#This Row],[TP]]*tblBaseCF[[#This Row],[TPAllocChrgRate]]</calculatedColumnFormula>
    </tableColumn>
    <tableColumn id="33" xr3:uid="{A842F082-C9AF-469B-A50E-94ADD2D87004}" name="TPAlloc" dataDxfId="365" dataCellStyle="Comma">
      <calculatedColumnFormula>tblBaseCF[[#This Row],[TP]]-tblBaseCF[[#This Row],[TPAllocChrg]]</calculatedColumnFormula>
    </tableColumn>
    <tableColumn id="34" xr3:uid="{00BF3778-A083-41CA-919D-452E383CE523}" name="EPAllocChrgRate" dataDxfId="364" dataCellStyle="Percent">
      <calculatedColumnFormula>IFERROR(INDEX(tblEPAllocChrgRate[Rate],MATCH(tblBaseCF[[#This Row],[Year]],tblEPAllocChrgRate[Year],0)),0)</calculatedColumnFormula>
    </tableColumn>
    <tableColumn id="35" xr3:uid="{DAD043D1-BD11-4512-9023-E937A1BCE397}" name="EP" dataDxfId="363" dataCellStyle="Comma">
      <calculatedColumnFormula>ep*tblBaseCF[[#This Row],[EPTermFlag]]</calculatedColumnFormula>
    </tableColumn>
    <tableColumn id="36" xr3:uid="{12C5DDCF-BA1D-4F80-A9D7-1E0099DCD26D}" name="EPAllocChrg" dataDxfId="362" dataCellStyle="Comma">
      <calculatedColumnFormula>tblBaseCF[[#This Row],[EP]]*tblBaseCF[[#This Row],[EPAllocChrgRate]]</calculatedColumnFormula>
    </tableColumn>
    <tableColumn id="37" xr3:uid="{A94C1758-5C8B-4049-8E07-4C1BD574AD37}" name="EPAlloc" dataDxfId="361" dataCellStyle="Comma">
      <calculatedColumnFormula>tblBaseCF[[#This Row],[EP]]-tblBaseCF[[#This Row],[EPAllocChrg]]</calculatedColumnFormula>
    </tableColumn>
    <tableColumn id="38" xr3:uid="{8ADD7671-FF25-42E7-BDBF-B62D228E86ED}" name="UnroundedEMLoad" dataDxfId="360" dataCellStyle="Comma">
      <calculatedColumnFormula>tblBaseCF[[#This Row],[Ben]]*extra_prem_rate*em_load/1000/(1-tblBaseCF[[#This Row],[EPAllocChrgRate]])
*tblBaseCF[[#This Row],[EMLoadTermFlag]]</calculatedColumnFormula>
    </tableColumn>
    <tableColumn id="39" xr3:uid="{344B1CF7-27E9-41A1-80FC-DC956FDE91A4}" name="UnroundedPMLoad" dataDxfId="359" dataCellStyle="Comma">
      <calculatedColumnFormula>tblBaseCF[[#This Row],[Ben]]*pm_load/1000/(1-tblBaseCF[[#This Row],[EPAllocChrgRate]])
*tblBaseCF[[#This Row],[PMLoadTermFlag]]</calculatedColumnFormula>
    </tableColumn>
    <tableColumn id="40" xr3:uid="{6EFDB1C2-8C3E-41AC-BD50-ED44814FF296}" name="EMLoad" dataDxfId="358" dataCellStyle="Comma">
      <calculatedColumnFormula>ROUNDUP(tblBaseCF[[#This Row],[UnroundedEMLoad]],-3)</calculatedColumnFormula>
    </tableColumn>
    <tableColumn id="41" xr3:uid="{B703B102-E234-4AB3-966E-A5683AB1C6BD}" name="PMLoad" dataDxfId="357" dataCellStyle="Comma">
      <calculatedColumnFormula>ROUNDUP(tblBaseCF[[#This Row],[Ben]]*pm_load/1000/(1-tblBaseCF[[#This Row],[EPAllocChrgRate]]),-3)
*tblBaseCF[[#This Row],[PMLoadTermFlag]]</calculatedColumnFormula>
    </tableColumn>
    <tableColumn id="42" xr3:uid="{386F33F9-77A3-4826-B848-86EEA8B602EB}" name="Load" dataDxfId="356" dataCellStyle="Comma">
      <calculatedColumnFormula>tblBaseCF[[#This Row],[EMLoad]]+tblBaseCF[[#This Row],[PMLoad]]</calculatedColumnFormula>
    </tableColumn>
    <tableColumn id="43" xr3:uid="{86A089C1-7BDA-4738-A268-232BAF545016}" name="LoadAllocChrg" dataDxfId="355" dataCellStyle="Comma">
      <calculatedColumnFormula>tblBaseCF[[#This Row],[Load]]*tblBaseCF[[#This Row],[EPAllocChrgRate]]</calculatedColumnFormula>
    </tableColumn>
    <tableColumn id="44" xr3:uid="{A5AEBDA6-DD7A-47EC-B1D0-D2DA045264D1}" name="LoadAlloc" dataDxfId="354" dataCellStyle="Comma">
      <calculatedColumnFormula>tblBaseCF[[#This Row],[Load]]-tblBaseCF[[#This Row],[LoadAllocChrg]]</calculatedColumnFormula>
    </tableColumn>
    <tableColumn id="46" xr3:uid="{E68EB465-09FB-43C3-A1F3-08599EB53A02}" name="TotalPrem" dataDxfId="353" dataCellStyle="Comma">
      <calculatedColumnFormula>tblBaseCF[[#This Row],[TP]]+tblBaseCF[[#This Row],[EP]]+tblBaseCF[[#This Row],[Load]]</calculatedColumnFormula>
    </tableColumn>
    <tableColumn id="29" xr3:uid="{4BDEABAD-391B-41F3-B662-2F669F12D0C8}" name="AllocChrg" dataDxfId="352" dataCellStyle="Comma">
      <calculatedColumnFormula>tblBaseCF[[#This Row],[TPAllocChrg]]+tblBaseCF[[#This Row],[EPAllocChrg]]+tblBaseCF[[#This Row],[LoadAllocChrg]]</calculatedColumnFormula>
    </tableColumn>
    <tableColumn id="15" xr3:uid="{33F841D8-721C-4C2C-88AF-FF0C610CBE5E}" name="Alloc" dataDxfId="351" dataCellStyle="Comma">
      <calculatedColumnFormula>tblBaseCF[[#This Row],[TPAlloc]]+tblBaseCF[[#This Row],[EPAlloc]]+tblBaseCF[[#This Row],[LoadAlloc]]</calculatedColumnFormula>
    </tableColumn>
    <tableColumn id="76" xr3:uid="{7E05628C-B528-4109-9074-AC25030498A9}" name="AccumTotalPrem" dataDxfId="350" dataCellStyle="Comma">
      <calculatedColumnFormula>(OFFSET(tblBaseCF[[#This Row],[AccumTotalPrem]],-1,0)+tblBaseCF[[#This Row],[TotalPrem]])*tblBaseCF[[#This Row],[TPTermFlag]]</calculatedColumnFormula>
    </tableColumn>
    <tableColumn id="92" xr3:uid="{35692CA4-33FD-44A1-9134-E7E51256C7E4}" name="TAVAfterWdrlAlloc" dataDxfId="349" dataCellStyle="Comma">
      <calculatedColumnFormula>(tblBaseCF[[#This Row],[StartTAV]]-tblBaseCF[[#This Row],[TAVWithdrawal]]+tblBaseCF[[#This Row],[TPAlloc]])
*tblBaseCF[[#This Row],[ContFlag]]</calculatedColumnFormula>
    </tableColumn>
    <tableColumn id="45" xr3:uid="{1E6B3158-22AB-4120-9611-DE44801F2445}" name="EAVAfterWdrlAlloc" dataDxfId="348" dataCellStyle="Comma">
      <calculatedColumnFormula>(tblBaseCF[[#This Row],[StartEAV]]-tblBaseCF[[#This Row],[EAVWithdrawal]]+tblBaseCF[[#This Row],[EPAlloc]]+tblBaseCF[[#This Row],[LoadAlloc]])
*tblBaseCF[[#This Row],[ContFlag]]</calculatedColumnFormula>
    </tableColumn>
    <tableColumn id="121" xr3:uid="{BD30C287-EF4C-4727-9515-D27086CDD8D5}" name="PAVAfterWdrlAlloc" dataDxfId="347" dataCellStyle="Comma">
      <calculatedColumnFormula>tblBaseCF[[#This Row],[TAVAfterWdrlAlloc]]+tblBaseCF[[#This Row],[EAVAfterWdrlAlloc]]</calculatedColumnFormula>
    </tableColumn>
    <tableColumn id="86" xr3:uid="{DB93EBE8-9B46-4E91-8EBD-7769645935F7}" name="AnnualIntRate" dataDxfId="346" dataCellStyle="Comma">
      <calculatedColumnFormula>int_rate</calculatedColumnFormula>
    </tableColumn>
    <tableColumn id="85" xr3:uid="{14C64ECA-7479-4809-90F4-A5F048398E1C}" name="MonthlyIntRate" dataDxfId="345" dataCellStyle="Comma">
      <calculatedColumnFormula>(1+tblBaseCF[[#This Row],[AnnualIntRate]])^(1/12)-1</calculatedColumnFormula>
    </tableColumn>
    <tableColumn id="83" xr3:uid="{9309132C-A5E1-4F58-826B-B0506AA9B52E}" name="Duean1m12" dataDxfId="344" dataCellStyle="Comma">
      <calculatedColumnFormula>IFERROR(((1+tblBaseCF[[#This Row],[MonthlyIntRate]])^12-1)/12/(1-1/(1+tblBaseCF[[#This Row],[MonthlyIntRate]])),1)/(1+tblBaseCF[[#This Row],[AnnualIntRate]])</calculatedColumnFormula>
    </tableColumn>
    <tableColumn id="88" xr3:uid="{285D807B-B961-48F1-A971-80EDFF442572}" name="ExcelFV" dataDxfId="343" dataCellStyle="Comma">
      <calculatedColumnFormula>PV(tblBaseCF[[#This Row],[MonthlyIntRate]],12,-1/12,,1)</calculatedColumnFormula>
    </tableColumn>
    <tableColumn id="48" xr3:uid="{A10F76BC-FA99-4D85-8F57-EEDDD6324FAE}" name="SAR" dataDxfId="342" dataCellStyle="Comma">
      <calculatedColumnFormula>MAX(IF(death_tpd_option="A",tblBaseCF[[#This Row],[Ben]]-tblBaseCF[[#This Row],[StartPAV]],tblBaseCF[[#This Row],[Ben]]),0)</calculatedColumnFormula>
    </tableColumn>
    <tableColumn id="49" xr3:uid="{A5BD7F74-1D50-48A8-A663-54C8AAC882DD}" name="COIRate" dataDxfId="341" dataCellStyle="Percent">
      <calculatedColumnFormula>IFERROR(INDEX(tblBaseCOIRate[Rate],MATCH(tblBaseCF[[#This Row],[Age]],tblBaseCOIRate[Age],0)),0)</calculatedColumnFormula>
    </tableColumn>
    <tableColumn id="50" xr3:uid="{5278AB52-AF4B-4882-AA7D-1852989E5797}" name="pStandardCOI" dataDxfId="340" dataCellStyle="Comma">
      <calculatedColumnFormula>tblBaseCF[[#This Row],[SAR]]*tblBaseCF[[#This Row],[COIRate]]</calculatedColumnFormula>
    </tableColumn>
    <tableColumn id="51" xr3:uid="{EBBFBA7C-5761-4630-BB45-60A603FAC1A8}" name="pEMLoadCOI" dataDxfId="339" dataCellStyle="Comma">
      <calculatedColumnFormula>em_load*tblBaseCF[[#This Row],[pStandardCOI]]
*tblBaseCF[[#This Row],[EMLoadTermFlag]]</calculatedColumnFormula>
    </tableColumn>
    <tableColumn id="52" xr3:uid="{067194F7-CABC-43DD-803A-F7A783C09EBF}" name="pPMLoadCOI" dataDxfId="338" dataCellStyle="Comma">
      <calculatedColumnFormula>pm_load/1000*tblBaseCF[[#This Row],[SAR]]
*tblBaseCF[[#This Row],[PMLoadTermFlag]]</calculatedColumnFormula>
    </tableColumn>
    <tableColumn id="53" xr3:uid="{D4927E29-F431-4A99-800C-D84B8C032675}" name="pAccCOI" dataDxfId="337" dataCellStyle="Comma">
      <calculatedColumnFormula>tblBaseCF[[#This Row],[AccBen]]*monthly_acc_coi*12</calculatedColumnFormula>
    </tableColumn>
    <tableColumn id="54" xr3:uid="{C92A9A8A-A91E-4C38-971A-1FB656CB8ED2}" name="pCOI" dataDxfId="336" dataCellStyle="Comma">
      <calculatedColumnFormula>tblBaseCF[[#This Row],[pStandardCOI]]+tblBaseCF[[#This Row],[pEMLoadCOI]]+tblBaseCF[[#This Row],[pPMLoadCOI]]+tblBaseCF[[#This Row],[pAccCOI]]</calculatedColumnFormula>
    </tableColumn>
    <tableColumn id="55" xr3:uid="{18FF1C7F-E458-4998-B353-0E5C342473E0}" name="pMonthlyAdminChrg" dataDxfId="335" dataCellStyle="Comma">
      <calculatedColumnFormula>IFERROR(INDEX(tblAdminChrg[Amount],MATCH(tblBaseCF[[#This Row],[CalYear]],tblAdminChrg[Cal_Year],0)),0)
*tblBaseCF[[#This Row],[ContFlag]]</calculatedColumnFormula>
    </tableColumn>
    <tableColumn id="56" xr3:uid="{D71364EC-698D-415D-9101-D31D4B8569A4}" name="pAdminChrg" dataDxfId="334" dataCellStyle="Comma">
      <calculatedColumnFormula>tblBaseCF[[#This Row],[pMonthlyAdminChrg]]*12</calculatedColumnFormula>
    </tableColumn>
    <tableColumn id="57" xr3:uid="{C18096DF-9FBF-4785-BCDD-CD5C0049596C}" name="pNomDeduct" dataDxfId="333" dataCellStyle="Comma">
      <calculatedColumnFormula>tblBaseCF[[#This Row],[pCOI]]+tblBaseCF[[#This Row],[pAdminChrg]]</calculatedColumnFormula>
    </tableColumn>
    <tableColumn id="89" xr3:uid="{282D7C69-CA4C-4228-AE97-94B4D980D542}" name="pDeduct" dataDxfId="332" dataCellStyle="Comma">
      <calculatedColumnFormula>tblBaseCF[[#This Row],[pNomDeduct]]*tblBaseCF[[#This Row],[Duean1m12]]</calculatedColumnFormula>
    </tableColumn>
    <tableColumn id="58" xr3:uid="{557EC690-4674-4284-AF39-9EFF805A404E}" name="DeductFlag" dataDxfId="331">
      <calculatedColumnFormula>(tblBaseCF[[#This Row],[PAVAfterWdrlAlloc]]&gt;=tblBaseCF[[#This Row],[pNomDeduct]])
*tblBaseCF[[#This Row],[ContFlag]]</calculatedColumnFormula>
    </tableColumn>
    <tableColumn id="59" xr3:uid="{1ABEFF17-BF11-4B68-B6F9-B86F2FD54D00}" name="StandardCOI" dataDxfId="330" dataCellStyle="Comma">
      <calculatedColumnFormula>tblBaseCF[[#This Row],[pStandardCOI]]*tblBaseCF[[#This Row],[DeductFlag]]</calculatedColumnFormula>
    </tableColumn>
    <tableColumn id="60" xr3:uid="{91386745-1E31-4790-B565-AEF0AF9ADD6D}" name="EMLoadCOI" dataDxfId="329" dataCellStyle="Comma">
      <calculatedColumnFormula>tblBaseCF[[#This Row],[pEMLoadCOI]]*tblBaseCF[[#This Row],[DeductFlag]]</calculatedColumnFormula>
    </tableColumn>
    <tableColumn id="61" xr3:uid="{5DF54091-4D14-4721-9606-0DFD08627AA0}" name="PMLoadCOI" dataDxfId="328" dataCellStyle="Comma">
      <calculatedColumnFormula>tblBaseCF[[#This Row],[pPMLoadCOI]]*tblBaseCF[[#This Row],[DeductFlag]]</calculatedColumnFormula>
    </tableColumn>
    <tableColumn id="62" xr3:uid="{23181224-5DF1-4557-935D-487A16FE9CB1}" name="AccCOI" dataDxfId="327" dataCellStyle="Comma">
      <calculatedColumnFormula>tblBaseCF[[#This Row],[pAccCOI]]*tblBaseCF[[#This Row],[DeductFlag]]</calculatedColumnFormula>
    </tableColumn>
    <tableColumn id="63" xr3:uid="{DC70BDC2-C266-4D65-B0D2-327709B282FF}" name="COI" dataDxfId="326" dataCellStyle="Comma">
      <calculatedColumnFormula>tblBaseCF[[#This Row],[pCOI]]*tblBaseCF[[#This Row],[DeductFlag]]</calculatedColumnFormula>
    </tableColumn>
    <tableColumn id="64" xr3:uid="{561BB076-4189-4B7A-BA9E-4AB99C6005F4}" name="MonthlyAdminChrg" dataDxfId="325" dataCellStyle="Comma">
      <calculatedColumnFormula>tblBaseCF[[#This Row],[pMonthlyAdminChrg]]*tblBaseCF[[#This Row],[DeductFlag]]</calculatedColumnFormula>
    </tableColumn>
    <tableColumn id="65" xr3:uid="{927D1D34-64A8-497B-A2F7-76F6C4BF5B56}" name="AdminChrg" dataDxfId="324" dataCellStyle="Comma">
      <calculatedColumnFormula>tblBaseCF[[#This Row],[pAdminChrg]]*tblBaseCF[[#This Row],[DeductFlag]]</calculatedColumnFormula>
    </tableColumn>
    <tableColumn id="90" xr3:uid="{4844031E-73BB-43F8-931C-E5AA29410AD5}" name="NomDeduct" dataDxfId="323" dataCellStyle="Comma">
      <calculatedColumnFormula>tblBaseCF[[#This Row],[pNomDeduct]]*tblBaseCF[[#This Row],[DeductFlag]]</calculatedColumnFormula>
    </tableColumn>
    <tableColumn id="66" xr3:uid="{C68F877E-7147-4794-8E05-5B0F358B2C98}" name="Deduct" dataDxfId="322" dataCellStyle="Comma">
      <calculatedColumnFormula>tblBaseCF[[#This Row],[pDeduct]]*tblBaseCF[[#This Row],[DeductFlag]]</calculatedColumnFormula>
    </tableColumn>
    <tableColumn id="67" xr3:uid="{A4BE9344-B1F4-4035-ACBB-1B8F21D0E583}" name="TAVDeduct" dataDxfId="321" dataCellStyle="Comma">
      <calculatedColumnFormula>MIN(tblBaseCF[[#This Row],[TAVAfterWdrlAlloc]],tblBaseCF[[#This Row],[Deduct]])</calculatedColumnFormula>
    </tableColumn>
    <tableColumn id="68" xr3:uid="{2949CCB4-315E-4349-B177-80A9FCE9701E}" name="EAVDeduct" dataDxfId="320" dataCellStyle="Comma">
      <calculatedColumnFormula>tblBaseCF[[#This Row],[Deduct]]-tblBaseCF[[#This Row],[TAVDeduct]]</calculatedColumnFormula>
    </tableColumn>
    <tableColumn id="120" xr3:uid="{858DAD02-8479-4291-8409-4CDD9382EF71}" name="TAVInt" dataDxfId="319" dataCellStyle="Comma">
      <calculatedColumnFormula>(tblBaseCF[[#This Row],[TAVAfterWdrlAlloc]]-tblBaseCF[[#This Row],[TAVDeduct]])*tblBaseCF[[#This Row],[AnnualIntRate]]
*tblBaseCF[[#This Row],[DeductFlag]]</calculatedColumnFormula>
    </tableColumn>
    <tableColumn id="119" xr3:uid="{0E59D4AC-7B03-4998-A832-F1413756F4C8}" name="EAVInt" dataDxfId="318" dataCellStyle="Comma">
      <calculatedColumnFormula>(tblBaseCF[[#This Row],[EAVAfterWdrlAlloc]]-tblBaseCF[[#This Row],[EAVDeduct]])*tblBaseCF[[#This Row],[AnnualIntRate]]
*tblBaseCF[[#This Row],[DeductFlag]]</calculatedColumnFormula>
    </tableColumn>
    <tableColumn id="10" xr3:uid="{0198BBF6-6A1B-482F-8927-9A7C23C9A078}" name="Int" dataDxfId="317" dataCellStyle="Comma">
      <calculatedColumnFormula>tblBaseCF[[#This Row],[TAVInt]]+tblBaseCF[[#This Row],[EAVInt]]</calculatedColumnFormula>
    </tableColumn>
    <tableColumn id="69" xr3:uid="{A4459709-48F8-42C7-B0AE-396E4033E248}" name="LBRate" dataDxfId="316" dataCellStyle="Comma">
      <calculatedColumnFormula>IFERROR(INDEX(tblLBRate[Rate],MATCH(tblBaseCF[[#This Row],[Year]],tblLBRate[Year],0)),0)
*tblBaseCF[[#This Row],[DeductFlag]]</calculatedColumnFormula>
    </tableColumn>
    <tableColumn id="70" xr3:uid="{1CF6794E-4300-4361-869D-C227B890BA2C}" name="LBTAVWithdrawal" dataDxfId="315" dataCellStyle="Comma">
      <calculatedColumnFormula>IFERROR(SUM(OFFSET(tblBaseCF[[#This Row],[TAVWithdrawal]],0,0,-lb_review_period,1)),0)
*(tblBaseCF[[#This Row],[LBRate]]&gt;0)</calculatedColumnFormula>
    </tableColumn>
    <tableColumn id="71" xr3:uid="{123B2582-98D5-4CA9-AC18-FB3D6C8534CA}" name="LBFlag" dataDxfId="314" dataCellStyle="Comma">
      <calculatedColumnFormula>(tblBaseCF[[#This Row],[LBRate]]&gt;0)*(tblBaseCF[[#This Row],[LBTAVWithdrawal]]=0)</calculatedColumnFormula>
    </tableColumn>
    <tableColumn id="93" xr3:uid="{E5E738CB-4138-43BB-BFDB-A2A74F6C9A3E}" name="LBBasis" dataDxfId="313" dataCellStyle="Comma">
      <calculatedColumnFormula array="1">IF(tblBaseCF[[#This Row],[LBFlag]],
_xlfn.SWITCH(base,
"ILP1",AVERAGE(OFFSET(tblBaseCF[TP],0,0,-lb_review_period,1)),tp),0)
*tblBaseCF[[#This Row],[LBFlag]]</calculatedColumnFormula>
    </tableColumn>
    <tableColumn id="115" xr3:uid="{C8586DC3-9353-4CC4-A8A5-5E2CCD41A84B}" name="LB" dataDxfId="312" dataCellStyle="Comma">
      <calculatedColumnFormula>tblBaseCF[[#This Row],[LBBasis]]*tblBaseCF[[#This Row],[LBRate]]</calculatedColumnFormula>
    </tableColumn>
    <tableColumn id="77" xr3:uid="{4CDCFBB2-3520-431A-B374-41016BD67126}" name="SBCode" dataDxfId="311">
      <calculatedColumnFormula array="1">_xlfn.SWITCH(base,
"ILP1",0,($AF120&lt;500000000)*1
+($AF120&gt;=500000000)*($AF120&lt;1000000000)*2
+($AF120&gt;=1000000000)*3)
*tblBaseCF[[#This Row],[DeductFlag]]</calculatedColumnFormula>
    </tableColumn>
    <tableColumn id="78" xr3:uid="{B6248AD5-3678-4259-9981-72A49CCFC34A}" name="SBIndex" dataDxfId="310">
      <calculatedColumnFormula>IF(tblBaseCF[[#This Row],[DeductFlag]],base&amp;"_"&amp;tblBaseCF[[#This Row],[SBCode]]&amp;"_"&amp;tblBaseCF[[#This Row],[Year]],"")</calculatedColumnFormula>
    </tableColumn>
    <tableColumn id="79" xr3:uid="{A18BC24E-787A-4C95-B812-C4E9DD23CB07}" name="SBRate" dataDxfId="309">
      <calculatedColumnFormula>IFERROR(INDEX(tblSBRate[Index],MATCH(tblBaseCF[[#This Row],[SBIndex]],tblSBRate[Rate],0)),0)</calculatedColumnFormula>
    </tableColumn>
    <tableColumn id="80" xr3:uid="{817D250C-2E8D-4CA4-9782-27E7357DB917}" name="SBTAVWithdrawal" dataDxfId="308" dataCellStyle="Comma">
      <calculatedColumnFormula>IFERROR(SUM(OFFSET(tblBaseCF[[#This Row],[TAVWithdrawal]],0,0,-sb_review_period,1)),0)
*(tblBaseCF[[#This Row],[SBRate]]&gt;0)</calculatedColumnFormula>
    </tableColumn>
    <tableColumn id="81" xr3:uid="{D51C7229-FAD4-4824-B67A-4DD30C076459}" name="SBFlag" dataDxfId="307" dataCellStyle="Comma">
      <calculatedColumnFormula>(tblBaseCF[[#This Row],[SBRate]]&gt;0)*(tblBaseCF[[#This Row],[SBTAVWithdrawal]]=0)</calculatedColumnFormula>
    </tableColumn>
    <tableColumn id="116" xr3:uid="{606283DF-9483-4563-8537-30DD52A720AE}" name="SBBasis" dataDxfId="306" dataCellStyle="Comma">
      <calculatedColumnFormula array="1">IF(tblBaseCF[[#This Row],[LBFlag]],
_xlfn.SWITCH(base,
"ILP1",0,tp),0)*tblBaseCF[[#This Row],[SBFlag]]</calculatedColumnFormula>
    </tableColumn>
    <tableColumn id="117" xr3:uid="{E7D9C891-97F2-4217-93BE-ACC901CEC4FE}" name="SB" dataDxfId="305" dataCellStyle="Comma">
      <calculatedColumnFormula>tblBaseCF[[#This Row],[SBBasis]]*tblBaseCF[[#This Row],[SBRate]]</calculatedColumnFormula>
    </tableColumn>
    <tableColumn id="75" xr3:uid="{B5C7933D-0F45-4933-A9FD-466B78067C21}" name="Bonus" dataDxfId="304" dataCellStyle="Comma">
      <calculatedColumnFormula>tblBaseCF[[#This Row],[LB]]+tblBaseCF[[#This Row],[SB]]</calculatedColumnFormula>
    </tableColumn>
    <tableColumn id="94" xr3:uid="{DD8B24A4-6572-4A76-A6A3-B9365DCA2F0C}" name="EndTAV" dataDxfId="303" dataCellStyle="Comma">
      <calculatedColumnFormula>tblBaseCF[[#This Row],[TAVAfterWdrlAlloc]]-tblBaseCF[[#This Row],[TAVDeduct]]+tblBaseCF[[#This Row],[TAVInt]]+tblBaseCF[[#This Row],[Bonus]]</calculatedColumnFormula>
    </tableColumn>
    <tableColumn id="95" xr3:uid="{F159B534-3AB9-4B2D-BB56-F4525A083998}" name="EndEAV" dataDxfId="302" dataCellStyle="Comma">
      <calculatedColumnFormula>tblBaseCF[[#This Row],[EAVAfterWdrlAlloc]]-tblBaseCF[[#This Row],[EAVDeduct]]+tblBaseCF[[#This Row],[EAVInt]]</calculatedColumnFormula>
    </tableColumn>
    <tableColumn id="96" xr3:uid="{E29331FD-BC5F-45DF-80FA-16AD55B20C33}" name="EndPAV" dataDxfId="301" dataCellStyle="Comma">
      <calculatedColumnFormula>tblBaseCF[[#This Row],[EndTAV]]+tblBaseCF[[#This Row],[EndEAV]]</calculatedColumnFormula>
    </tableColumn>
    <tableColumn id="97" xr3:uid="{E8741995-DA8D-4062-A1DC-D5378A6758E5}" name="SemiAnnualTP" dataDxfId="300" dataCellStyle="Comma">
      <calculatedColumnFormula>INDEX(tblPlanPrem[TP],2)
*tblBaseCF[[#This Row],[TPTermFlag]]</calculatedColumnFormula>
    </tableColumn>
    <tableColumn id="98" xr3:uid="{55D27211-203B-4C30-8997-06222F1037F7}" name="SemiAnnualEP" dataDxfId="299" dataCellStyle="Comma">
      <calculatedColumnFormula>INDEX(tblPlanPrem[EP],2)
*tblBaseCF[[#This Row],[TPTermFlag]]</calculatedColumnFormula>
    </tableColumn>
    <tableColumn id="99" xr3:uid="{F38EC981-7D55-438B-93F8-43D0985162DD}" name="SemiAnnualEMLoad" dataDxfId="298" dataCellStyle="Comma">
      <calculatedColumnFormula>ROUNDUP(tblBaseCF[[#This Row],[UnroundedEMLoad]]*INDEX(tblPlanPrem[Factor],2),-3)</calculatedColumnFormula>
    </tableColumn>
    <tableColumn id="100" xr3:uid="{5BD16D7E-9294-417B-87EB-78599D6D5D59}" name="SemiAnnualPMLoad" dataDxfId="297" dataCellStyle="Comma">
      <calculatedColumnFormula>ROUNDUP(tblBaseCF[[#This Row],[UnroundedPMLoad]]*INDEX(tblPlanPrem[Factor],2),-3)</calculatedColumnFormula>
    </tableColumn>
    <tableColumn id="101" xr3:uid="{67135540-C1D9-4AD7-A4A5-FF32624DF57C}" name="SemiAnnualLoad" dataDxfId="296" dataCellStyle="Comma">
      <calculatedColumnFormula>tblBaseCF[[#This Row],[SemiAnnualEMLoad]]+tblBaseCF[[#This Row],[SemiAnnualPMLoad]]</calculatedColumnFormula>
    </tableColumn>
    <tableColumn id="102" xr3:uid="{5B96B8F9-89A5-47F3-BCB1-17CB9A943DB3}" name="SemiAnnualTotalPrem" dataDxfId="295" dataCellStyle="Comma">
      <calculatedColumnFormula>tblBaseCF[[#This Row],[SemiAnnualTP]]+tblBaseCF[[#This Row],[SemiAnnualEP]]+tblBaseCF[[#This Row],[SemiAnnualLoad]]</calculatedColumnFormula>
    </tableColumn>
    <tableColumn id="103" xr3:uid="{93F19BF1-A49E-4527-9FE3-2FC393ABC1E7}" name="QuarterlyTP" dataDxfId="294" dataCellStyle="Comma">
      <calculatedColumnFormula>INDEX(tblPlanPrem[TP],3)
*tblBaseCF[[#This Row],[TPTermFlag]]</calculatedColumnFormula>
    </tableColumn>
    <tableColumn id="104" xr3:uid="{1BB1299E-C4AE-40E3-9970-3EDA3B105FEA}" name="QuarterlyEP" dataDxfId="293" dataCellStyle="Comma">
      <calculatedColumnFormula>INDEX(tblPlanPrem[EP],3)
*tblBaseCF[[#This Row],[TPTermFlag]]</calculatedColumnFormula>
    </tableColumn>
    <tableColumn id="105" xr3:uid="{EE53807F-EE4E-4E78-A8A1-E05B27B15E0F}" name="QuarterlyEMLoad" dataDxfId="292" dataCellStyle="Comma">
      <calculatedColumnFormula>ROUNDUP(tblBaseCF[[#This Row],[UnroundedEMLoad]]*INDEX(tblPlanPrem[Factor],3),-3)</calculatedColumnFormula>
    </tableColumn>
    <tableColumn id="106" xr3:uid="{8A526A86-4FDE-4770-A734-CAE34B95C13F}" name="QuarterlyPMLoad" dataDxfId="291" dataCellStyle="Comma">
      <calculatedColumnFormula>ROUNDUP(tblBaseCF[[#This Row],[UnroundedPMLoad]]*INDEX(tblPlanPrem[Factor],3),-3)</calculatedColumnFormula>
    </tableColumn>
    <tableColumn id="107" xr3:uid="{E8ABE115-C58A-4833-A063-B23175CD0CEA}" name="QuarterlyLoad" dataDxfId="290" dataCellStyle="Comma">
      <calculatedColumnFormula>tblBaseCF[[#This Row],[QuarterlyEMLoad]]+tblBaseCF[[#This Row],[QuarterlyPMLoad]]</calculatedColumnFormula>
    </tableColumn>
    <tableColumn id="108" xr3:uid="{796C6395-1ADC-4274-9B81-C933B3B62F71}" name="QuarterlyTotalPrem" dataDxfId="289" dataCellStyle="Comma">
      <calculatedColumnFormula>tblBaseCF[[#This Row],[QuarterlyTP]]+tblBaseCF[[#This Row],[QuarterlyEP]]+tblBaseCF[[#This Row],[QuarterlyLoad]]</calculatedColumnFormula>
    </tableColumn>
    <tableColumn id="109" xr3:uid="{DB124F1A-A978-40ED-8943-5BFBE2298A2E}" name="MonthlyTP" dataDxfId="288" dataCellStyle="Comma">
      <calculatedColumnFormula>INDEX(tblPlanPrem[TP],4)
*tblBaseCF[[#This Row],[TPTermFlag]]</calculatedColumnFormula>
    </tableColumn>
    <tableColumn id="110" xr3:uid="{8846E119-94E2-4260-9FDF-678418E2B836}" name="MonthlyEP" dataDxfId="287" dataCellStyle="Comma">
      <calculatedColumnFormula>INDEX(tblPlanPrem[EP],4)
*tblBaseCF[[#This Row],[TPTermFlag]]</calculatedColumnFormula>
    </tableColumn>
    <tableColumn id="111" xr3:uid="{7D2DD86F-F43E-4244-83FD-C30CEB3E6FAB}" name="MonthlyEMLoad" dataDxfId="286" dataCellStyle="Comma">
      <calculatedColumnFormula>ROUNDUP(tblBaseCF[[#This Row],[UnroundedEMLoad]]*INDEX(tblPlanPrem[Factor],4),-3)</calculatedColumnFormula>
    </tableColumn>
    <tableColumn id="112" xr3:uid="{D43ADB97-8AD6-4061-850E-D0D191B4A1C0}" name="MonthlyPMLoad" dataDxfId="285" dataCellStyle="Comma">
      <calculatedColumnFormula>ROUNDUP(tblBaseCF[[#This Row],[UnroundedPMLoad]]*INDEX(tblPlanPrem[Factor],4),-3)</calculatedColumnFormula>
    </tableColumn>
    <tableColumn id="113" xr3:uid="{378070B5-5CE5-485B-B5F7-0902CD4C484F}" name="MonthlyLoad" dataDxfId="284" dataCellStyle="Comma">
      <calculatedColumnFormula>tblBaseCF[[#This Row],[MonthlyEMLoad]]+tblBaseCF[[#This Row],[MonthlyPMLoad]]</calculatedColumnFormula>
    </tableColumn>
    <tableColumn id="114" xr3:uid="{A8CDA116-4ED0-426F-B75D-9CAC706A69B9}" name="MonthlyTotalPrem" dataDxfId="283" dataCellStyle="Comma">
      <calculatedColumnFormula>tblBaseCF[[#This Row],[MonthlyTP]]+tblBaseCF[[#This Row],[MonthlyEP]]+tblBaseCF[[#This Row],[MonthlyLoad]]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5D8EC1F-B6E1-47C8-BD09-EE6A88D55E91}" name="tblBaseCFSummary" displayName="tblBaseCFSummary" ref="DS20:GL120" totalsRowShown="0" headerRowDxfId="282">
  <tableColumns count="72">
    <tableColumn id="1" xr3:uid="{52F4D296-D32E-46B7-87A1-14244C475626}" name="IntRateScenario" dataDxfId="281">
      <calculatedColumnFormula>int_rate_scenario</calculatedColumnFormula>
    </tableColumn>
    <tableColumn id="2" xr3:uid="{68E7B141-C14E-437A-91E6-9331764C26D6}" name="Risk" dataDxfId="280">
      <calculatedColumnFormula>risk_scenario</calculatedColumnFormula>
    </tableColumn>
    <tableColumn id="3" xr3:uid="{504FEE35-B9FC-43B9-AC5D-0204C2869686}" name="PremTermScenario" dataDxfId="279">
      <calculatedColumnFormula>prem_term_scenario</calculatedColumnFormula>
    </tableColumn>
    <tableColumn id="4" xr3:uid="{0C937420-781A-47BE-8DDB-D0F107098C6B}" name="Year">
      <calculatedColumnFormula>tblBaseCF[[#This Row],[Year]]</calculatedColumnFormula>
    </tableColumn>
    <tableColumn id="5" xr3:uid="{86EF4693-6034-4161-9782-B4045EE6FCF5}" name="Age">
      <calculatedColumnFormula>tblBaseCF[[#This Row],[Age]]</calculatedColumnFormula>
    </tableColumn>
    <tableColumn id="6" xr3:uid="{F273A085-6A48-48BC-96A9-6DDD0F08B4A7}" name="ContFlag">
      <calculatedColumnFormula>tblBaseCF[[#This Row],[ContFlag]]</calculatedColumnFormula>
    </tableColumn>
    <tableColumn id="7" xr3:uid="{72E75F4F-1F42-48CF-97CF-D4CAC528FA83}" name="ContLog">
      <calculatedColumnFormula>tblBaseCF[[#This Row],[ContLog]]</calculatedColumnFormula>
    </tableColumn>
    <tableColumn id="8" xr3:uid="{01E34E51-E46E-468C-9027-A460630E1782}" name="StartTAV">
      <calculatedColumnFormula>tblBaseCF[[#This Row],[StartTAV]]</calculatedColumnFormula>
    </tableColumn>
    <tableColumn id="9" xr3:uid="{5D82A512-9083-4161-81C4-BCB9D2D4D9AC}" name="StartEAV">
      <calculatedColumnFormula>tblBaseCF[[#This Row],[StartEAV]]</calculatedColumnFormula>
    </tableColumn>
    <tableColumn id="10" xr3:uid="{6F784328-6B1D-44AD-8B5D-B73E5B47776A}" name="StartPAV">
      <calculatedColumnFormula>tblBaseCF[[#This Row],[StartPAV]]</calculatedColumnFormula>
    </tableColumn>
    <tableColumn id="11" xr3:uid="{E69B6BE3-FE37-4E6B-98B0-5F72474B79BE}" name="SVChrg">
      <calculatedColumnFormula>tblBaseCF[[#This Row],[SVChrg]]</calculatedColumnFormula>
    </tableColumn>
    <tableColumn id="12" xr3:uid="{8ED87182-B131-4624-A63F-880C2C10ABEE}" name="SV">
      <calculatedColumnFormula>tblBaseCF[[#This Row],[SV]]</calculatedColumnFormula>
    </tableColumn>
    <tableColumn id="13" xr3:uid="{1803A16E-B0D6-4C0D-87C4-E571E4CFEF89}" name="Ben">
      <calculatedColumnFormula>tblBaseCF[[#This Row],[Ben]]</calculatedColumnFormula>
    </tableColumn>
    <tableColumn id="14" xr3:uid="{DA341D72-E2CC-4162-A156-3C1569264128}" name="AccBen">
      <calculatedColumnFormula>tblBaseCF[[#This Row],[AccBen]]</calculatedColumnFormula>
    </tableColumn>
    <tableColumn id="15" xr3:uid="{F0D470D0-F998-4647-9A2D-709E8313E639}" name="WithdrawalInput">
      <calculatedColumnFormula>tblBaseCF[[#This Row],[WithdrawalInput]]</calculatedColumnFormula>
    </tableColumn>
    <tableColumn id="16" xr3:uid="{17CA38A9-9A0E-4370-AC42-AC3B19BF171A}" name="WithdrawalLog">
      <calculatedColumnFormula>tblBaseCF[[#This Row],[WithdrawalLog]]</calculatedColumnFormula>
    </tableColumn>
    <tableColumn id="17" xr3:uid="{8241C6A9-E5CB-461C-8C7A-7E558A84D02C}" name="TAVWithdrawal">
      <calculatedColumnFormula>tblBaseCF[[#This Row],[TAVWithdrawal]]</calculatedColumnFormula>
    </tableColumn>
    <tableColumn id="18" xr3:uid="{5C8D3E0C-C926-4BBB-9D51-41C32014BCEC}" name="EAVWithdrawal">
      <calculatedColumnFormula>tblBaseCF[[#This Row],[EAVWithdrawal]]</calculatedColumnFormula>
    </tableColumn>
    <tableColumn id="19" xr3:uid="{71D4EEAF-C01F-402E-978D-479E465FBFFD}" name="Withdrawal">
      <calculatedColumnFormula>tblBaseCF[[#This Row],[Withdrawal]]</calculatedColumnFormula>
    </tableColumn>
    <tableColumn id="20" xr3:uid="{BF3EB3F7-3A70-4686-9162-EB7006C8C8B3}" name="TP">
      <calculatedColumnFormula>tblBaseCF[[#This Row],[TP]]</calculatedColumnFormula>
    </tableColumn>
    <tableColumn id="21" xr3:uid="{86A14C36-DC02-4768-B6C4-6E2C2D29F08C}" name="TPAllocChrg">
      <calculatedColumnFormula>tblBaseCF[[#This Row],[TPAllocChrg]]</calculatedColumnFormula>
    </tableColumn>
    <tableColumn id="22" xr3:uid="{640281E3-B135-4C59-9539-A9A9888971C5}" name="TPAlloc">
      <calculatedColumnFormula>tblBaseCF[[#This Row],[TPAlloc]]</calculatedColumnFormula>
    </tableColumn>
    <tableColumn id="23" xr3:uid="{FEB7FCF5-3453-4F24-AAE9-F32D6BA7421D}" name="EP">
      <calculatedColumnFormula>tblBaseCF[[#This Row],[EP]]</calculatedColumnFormula>
    </tableColumn>
    <tableColumn id="24" xr3:uid="{B84F9C31-F575-43C7-ADD2-8461B35E8B58}" name="EPAllocChrg">
      <calculatedColumnFormula>tblBaseCF[[#This Row],[EPAllocChrg]]</calculatedColumnFormula>
    </tableColumn>
    <tableColumn id="25" xr3:uid="{3FAC64C8-F090-4531-8A79-32701DCB4873}" name="EPAlloc">
      <calculatedColumnFormula>tblBaseCF[[#This Row],[EPAlloc]]</calculatedColumnFormula>
    </tableColumn>
    <tableColumn id="26" xr3:uid="{F50C6D72-86CC-492D-912B-168B508ABBAE}" name="EMLoad">
      <calculatedColumnFormula>tblBaseCF[[#This Row],[EMLoad]]</calculatedColumnFormula>
    </tableColumn>
    <tableColumn id="27" xr3:uid="{AAB79C54-5B06-4DD0-87E8-7786950289D0}" name="PMLoad">
      <calculatedColumnFormula>tblBaseCF[[#This Row],[PMLoad]]</calculatedColumnFormula>
    </tableColumn>
    <tableColumn id="28" xr3:uid="{5AD11588-10A6-4B18-A0AC-C9B2FB6B3273}" name="Load">
      <calculatedColumnFormula>tblBaseCF[[#This Row],[Load]]</calculatedColumnFormula>
    </tableColumn>
    <tableColumn id="29" xr3:uid="{A6BFC28D-3350-4C2C-B1FC-438AAFDE5A74}" name="LoadAllocChrg">
      <calculatedColumnFormula>tblBaseCF[[#This Row],[LoadAllocChrg]]</calculatedColumnFormula>
    </tableColumn>
    <tableColumn id="30" xr3:uid="{2669249B-73FB-442B-A4E8-AA8241690651}" name="LoadAlloc">
      <calculatedColumnFormula>tblBaseCF[[#This Row],[LoadAlloc]]</calculatedColumnFormula>
    </tableColumn>
    <tableColumn id="31" xr3:uid="{211307E0-D249-4271-A5F0-7D20FAF2CFC8}" name="TotalPrem">
      <calculatedColumnFormula>tblBaseCF[[#This Row],[TotalPrem]]</calculatedColumnFormula>
    </tableColumn>
    <tableColumn id="32" xr3:uid="{C9250272-E641-4350-8C8B-461B27CCF69E}" name="AllocChrg">
      <calculatedColumnFormula>tblBaseCF[[#This Row],[AllocChrg]]</calculatedColumnFormula>
    </tableColumn>
    <tableColumn id="33" xr3:uid="{1497729F-DC46-41A3-81BB-9087817E311D}" name="Alloc">
      <calculatedColumnFormula>tblBaseCF[[#This Row],[Alloc]]</calculatedColumnFormula>
    </tableColumn>
    <tableColumn id="36" xr3:uid="{55D4F4F9-E8A6-4DFD-B9CA-4C1AB67780D4}" name="AccumTotalPrem">
      <calculatedColumnFormula>tblBaseCF[[#This Row],[AccumTotalPrem]]</calculatedColumnFormula>
    </tableColumn>
    <tableColumn id="51" xr3:uid="{0979C252-9D24-45F9-8E51-58F79330C3B0}" name="AnnualIntRate" dataDxfId="278">
      <calculatedColumnFormula>tblBaseCF[[#This Row],[AnnualIntRate]]</calculatedColumnFormula>
    </tableColumn>
    <tableColumn id="50" xr3:uid="{D498548D-9A14-4131-9DC5-B8366C0AA44F}" name="Duesn1m12" dataDxfId="277">
      <calculatedColumnFormula>tblBaseCF[[#This Row],[Duean1m12]]</calculatedColumnFormula>
    </tableColumn>
    <tableColumn id="37" xr3:uid="{D26DC279-2A9D-4CD2-BA96-80614AD12A9B}" name="DeductFlag">
      <calculatedColumnFormula>tblBaseCF[[#This Row],[DeductFlag]]</calculatedColumnFormula>
    </tableColumn>
    <tableColumn id="38" xr3:uid="{2E58DAE2-5686-4D3C-9CEF-8FEDC1C48F0C}" name="AdminChrg">
      <calculatedColumnFormula>tblBaseCF[[#This Row],[AdminChrg]]</calculatedColumnFormula>
    </tableColumn>
    <tableColumn id="39" xr3:uid="{9C4601F9-7B44-4C39-9876-32453A9C9047}" name="StandardCOI">
      <calculatedColumnFormula>tblBaseCF[[#This Row],[StandardCOI]]</calculatedColumnFormula>
    </tableColumn>
    <tableColumn id="40" xr3:uid="{BC0B9E8F-C63F-4596-A4A7-2CB87EE55B9A}" name="EMLoadCOI">
      <calculatedColumnFormula>tblBaseCF[[#This Row],[EMLoadCOI]]</calculatedColumnFormula>
    </tableColumn>
    <tableColumn id="41" xr3:uid="{D3F4923C-E07B-4654-9304-62792B71AC1C}" name="PMLoadCOI">
      <calculatedColumnFormula>tblBaseCF[[#This Row],[PMLoadCOI]]</calculatedColumnFormula>
    </tableColumn>
    <tableColumn id="42" xr3:uid="{C8231404-6E32-4176-9E01-3BB6981E563D}" name="COI">
      <calculatedColumnFormula>tblBaseCF[[#This Row],[COI]]</calculatedColumnFormula>
    </tableColumn>
    <tableColumn id="34" xr3:uid="{483DD56B-0914-48BD-BE58-8E78CA6BF0AD}" name="NomDeduct" dataDxfId="276">
      <calculatedColumnFormula>tblBaseCF[[#This Row],[NomDeduct]]</calculatedColumnFormula>
    </tableColumn>
    <tableColumn id="43" xr3:uid="{D02C655E-BB24-4AFF-92E1-8F0AF135CCF5}" name="EffDeduct">
      <calculatedColumnFormula>tblBaseCF[[#This Row],[Deduct]]</calculatedColumnFormula>
    </tableColumn>
    <tableColumn id="44" xr3:uid="{807D8B9C-B6CC-492F-8D8F-BA1029DB0904}" name="TAVDeduct">
      <calculatedColumnFormula>tblBaseCF[[#This Row],[TAVDeduct]]</calculatedColumnFormula>
    </tableColumn>
    <tableColumn id="45" xr3:uid="{BD563C2B-7A52-4316-8DB5-B5D99DCE9D99}" name="EAVDeduct">
      <calculatedColumnFormula>tblBaseCF[[#This Row],[EAVDeduct]]</calculatedColumnFormula>
    </tableColumn>
    <tableColumn id="46" xr3:uid="{9E3D2AE8-8ECE-40F0-8C45-61AC421C8D32}" name="TAVInt" dataDxfId="275">
      <calculatedColumnFormula>tblBaseCF[[#This Row],[TAVInt]]</calculatedColumnFormula>
    </tableColumn>
    <tableColumn id="49" xr3:uid="{652B98F1-BABF-4414-B8C1-6D533E3E9655}" name="EAVInt">
      <calculatedColumnFormula>tblBaseCF[[#This Row],[EAVInt]]</calculatedColumnFormula>
    </tableColumn>
    <tableColumn id="54" xr3:uid="{FACAFEA9-0AE0-4293-BF52-7EB43784A3AB}" name="LB" dataDxfId="274">
      <calculatedColumnFormula>tblBaseCF[[#This Row],[LB]]</calculatedColumnFormula>
    </tableColumn>
    <tableColumn id="55" xr3:uid="{C3AC222E-3209-41BB-889B-5FDFFD22A492}" name="SB">
      <calculatedColumnFormula>tblBaseCF[[#This Row],[SB]]</calculatedColumnFormula>
    </tableColumn>
    <tableColumn id="60" xr3:uid="{78096A31-9632-4DA4-AA4A-A209FFFEB3E9}" name="Bonus">
      <calculatedColumnFormula>tblBaseCF[[#This Row],[Bonus]]</calculatedColumnFormula>
    </tableColumn>
    <tableColumn id="61" xr3:uid="{06DB011D-A6CF-4E03-B77E-7D5E3D9DCDCF}" name="EndTAV">
      <calculatedColumnFormula>tblBaseCF[[#This Row],[EndTAV]]</calculatedColumnFormula>
    </tableColumn>
    <tableColumn id="62" xr3:uid="{B60F4FA8-984E-44C3-ADD8-6C1CD40F2D52}" name="EndEAV">
      <calculatedColumnFormula>tblBaseCF[[#This Row],[EndEAV]]</calculatedColumnFormula>
    </tableColumn>
    <tableColumn id="63" xr3:uid="{E1BCA62F-9D96-4AD7-897F-10163080805F}" name="EndPAV">
      <calculatedColumnFormula>tblBaseCF[[#This Row],[EndPAV]]</calculatedColumnFormula>
    </tableColumn>
    <tableColumn id="64" xr3:uid="{B0F0ADBF-B424-4C01-B6A9-0C9C4F4B5216}" name="SemiAnnualTP">
      <calculatedColumnFormula>tblBaseCF[[#This Row],[SemiAnnualTP]]</calculatedColumnFormula>
    </tableColumn>
    <tableColumn id="65" xr3:uid="{E3999CA7-0828-42AA-98E7-67CF18317A03}" name="SemiAnnualEP">
      <calculatedColumnFormula>tblBaseCF[[#This Row],[SemiAnnualEP]]</calculatedColumnFormula>
    </tableColumn>
    <tableColumn id="66" xr3:uid="{8CDABD44-D39C-444C-A37A-41AFBCCC5D81}" name="SemiAnnualEMLoad">
      <calculatedColumnFormula>tblBaseCF[[#This Row],[SemiAnnualEMLoad]]</calculatedColumnFormula>
    </tableColumn>
    <tableColumn id="67" xr3:uid="{CFAC2356-97B4-430B-9DB8-453274769253}" name="SemiAnnualPMLoad">
      <calculatedColumnFormula>tblBaseCF[[#This Row],[SemiAnnualPMLoad]]</calculatedColumnFormula>
    </tableColumn>
    <tableColumn id="68" xr3:uid="{2E3567C1-22B4-49A0-8C92-DE8D335DE9B3}" name="SemiAnnualLoad">
      <calculatedColumnFormula>tblBaseCF[[#This Row],[SemiAnnualLoad]]</calculatedColumnFormula>
    </tableColumn>
    <tableColumn id="69" xr3:uid="{C66897A8-FE08-4A37-B157-257ABFC77021}" name="SemiAnnualTotalPrem">
      <calculatedColumnFormula>tblBaseCF[[#This Row],[SemiAnnualTotalPrem]]</calculatedColumnFormula>
    </tableColumn>
    <tableColumn id="70" xr3:uid="{05B9DFDE-7A55-4FB6-8FA6-D82D161C3962}" name="QuarterlyTP">
      <calculatedColumnFormula>tblBaseCF[[#This Row],[QuarterlyTP]]</calculatedColumnFormula>
    </tableColumn>
    <tableColumn id="71" xr3:uid="{EAEC94D2-FFF1-4205-99CD-0D753FF746AD}" name="QuarterlyEP">
      <calculatedColumnFormula>tblBaseCF[[#This Row],[QuarterlyEP]]</calculatedColumnFormula>
    </tableColumn>
    <tableColumn id="72" xr3:uid="{9DB88BF9-11FC-443E-BEFE-3804588DFA19}" name="QuarterlyEMLoad">
      <calculatedColumnFormula>tblBaseCF[[#This Row],[QuarterlyEMLoad]]</calculatedColumnFormula>
    </tableColumn>
    <tableColumn id="73" xr3:uid="{7DF900FE-E536-4467-BD03-E781A4665B42}" name="QuarterlyPMLoad">
      <calculatedColumnFormula>tblBaseCF[[#This Row],[QuarterlyPMLoad]]</calculatedColumnFormula>
    </tableColumn>
    <tableColumn id="74" xr3:uid="{19EFD81E-0EFA-47B0-9022-295D8B6C1D8B}" name="QuarterlyLoad">
      <calculatedColumnFormula>tblBaseCF[[#This Row],[QuarterlyLoad]]</calculatedColumnFormula>
    </tableColumn>
    <tableColumn id="75" xr3:uid="{50BEEF82-897A-434D-9686-7851C2881F1E}" name="QuarterlyTotalPrem">
      <calculatedColumnFormula>tblBaseCF[[#This Row],[QuarterlyTotalPrem]]</calculatedColumnFormula>
    </tableColumn>
    <tableColumn id="76" xr3:uid="{1E18E4EE-5ED4-4325-8A55-9000D278AABD}" name="MonthlyTP">
      <calculatedColumnFormula>tblBaseCF[[#This Row],[MonthlyTP]]</calculatedColumnFormula>
    </tableColumn>
    <tableColumn id="77" xr3:uid="{E4EAE58C-0DF6-42C3-9518-0C13E32A17CE}" name="MonthlyEP">
      <calculatedColumnFormula>tblBaseCF[[#This Row],[MonthlyEP]]</calculatedColumnFormula>
    </tableColumn>
    <tableColumn id="78" xr3:uid="{C4F15997-6536-444D-AEFF-6F6F0801C597}" name="MonthlyEMLoad">
      <calculatedColumnFormula>tblBaseCF[[#This Row],[MonthlyEMLoad]]</calculatedColumnFormula>
    </tableColumn>
    <tableColumn id="79" xr3:uid="{C542E816-533B-43DA-A86D-7727F3E32476}" name="MonthlyPMLoad">
      <calculatedColumnFormula>tblBaseCF[[#This Row],[MonthlyPMLoad]]</calculatedColumnFormula>
    </tableColumn>
    <tableColumn id="80" xr3:uid="{C04F490C-099D-4913-B1D7-2BD2E45AA853}" name="MonthlyLoad">
      <calculatedColumnFormula>tblBaseCF[[#This Row],[MonthlyLoad]]</calculatedColumnFormula>
    </tableColumn>
    <tableColumn id="81" xr3:uid="{7ABC2E16-9EB0-4128-9407-98184F065F8D}" name="MonthlyTotalPrem">
      <calculatedColumnFormula>tblBaseCF[[#This Row],[MonthlyTotalPrem]]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E5EB2B1-76B2-45C6-8A7C-198F02DB5496}" name="tblBaseCFResult" displayName="tblBaseCFResult" ref="GO20:JH1220" totalsRowShown="0" headerRowDxfId="273">
  <tableColumns count="72">
    <tableColumn id="1" xr3:uid="{29A4F13F-AFC0-433B-B1AD-818D55EA1F21}" name="IntRateScenario"/>
    <tableColumn id="2" xr3:uid="{82B4685A-4A8C-467D-9D44-45F0D64B08CF}" name="Risk"/>
    <tableColumn id="3" xr3:uid="{C89B3404-86F1-495C-ABC7-3F9B880844E1}" name="PremTermScenario"/>
    <tableColumn id="5" xr3:uid="{458CAB9F-7035-4BF4-B669-7A2AE4799F1C}" name="Year"/>
    <tableColumn id="6" xr3:uid="{A699D1AE-7D7E-4668-A880-53273DB226A9}" name="Age"/>
    <tableColumn id="7" xr3:uid="{4A1E7383-243D-464E-A556-E0C320C14FAA}" name="ContFlag"/>
    <tableColumn id="8" xr3:uid="{C45FE55F-7186-493D-82F9-C9FC8ECD3181}" name="ContLog"/>
    <tableColumn id="9" xr3:uid="{7DE12BE5-5F84-41D3-A0FD-17201C23C169}" name="StartTAV"/>
    <tableColumn id="10" xr3:uid="{1B481353-F12C-4275-8FBE-5E0594F6F5BE}" name="StartEAV"/>
    <tableColumn id="11" xr3:uid="{916F8504-8DDA-4CA2-A3F5-9C9DF17E912C}" name="StartPAV"/>
    <tableColumn id="12" xr3:uid="{20789CF4-34C3-4784-8948-8A252ACF1E5A}" name="SVChrg"/>
    <tableColumn id="13" xr3:uid="{BDEC6843-DA09-4BAD-9D66-A16410EB1D24}" name="SV"/>
    <tableColumn id="14" xr3:uid="{AE7DFA72-6EDD-414E-B7E1-2F50DCE521FB}" name="Ben"/>
    <tableColumn id="15" xr3:uid="{A36ABEC1-F05B-4BCF-A9CE-5693843755DC}" name="AccBen"/>
    <tableColumn id="16" xr3:uid="{CEB59841-3B7E-4412-81DE-E38DDDF5C1A9}" name="WithdrawalInput"/>
    <tableColumn id="17" xr3:uid="{02FA954C-2DB1-4389-8245-3F042CC4C621}" name="WithdrawalLog"/>
    <tableColumn id="18" xr3:uid="{0E5B0DC8-81E1-4B94-96C8-FDB709440958}" name="TAVWithdrawal"/>
    <tableColumn id="19" xr3:uid="{1ED6743F-4119-4647-B40B-F87FEB1820CF}" name="EAVWithdrawal"/>
    <tableColumn id="20" xr3:uid="{43FC2EBA-00AE-4AB8-8A7C-6240A839E69F}" name="Withdrawal"/>
    <tableColumn id="21" xr3:uid="{ABF56F50-3783-44EF-AC9F-E3A99431D352}" name="TP"/>
    <tableColumn id="22" xr3:uid="{882A58AA-B92A-4DCA-9BD3-C8FF730A877D}" name="TPAllocChrg"/>
    <tableColumn id="23" xr3:uid="{7738CAA5-8AC9-4894-8E90-855CCE0E58B2}" name="TPAlloc"/>
    <tableColumn id="24" xr3:uid="{B644B013-000D-457F-B77C-B54D166B9BC3}" name="EP"/>
    <tableColumn id="25" xr3:uid="{79C252F7-EB9A-4E5C-91FE-AE170031821F}" name="EPAllocChrg"/>
    <tableColumn id="26" xr3:uid="{4A3830E7-0B33-440E-9B85-B311CCDBB6AA}" name="EPAlloc"/>
    <tableColumn id="27" xr3:uid="{82EF8540-3E4A-4059-8398-99C3EAF6CFE1}" name="EMLoad"/>
    <tableColumn id="28" xr3:uid="{5638853D-EA2E-4E8C-B554-0CC5194A8E45}" name="PMLoad"/>
    <tableColumn id="29" xr3:uid="{EFCF9E3A-51BE-4804-8289-8CC007087A8E}" name="Load"/>
    <tableColumn id="30" xr3:uid="{DB283E6C-5F7A-487A-AD6F-D54EC9AD0981}" name="LoadAllocChrg"/>
    <tableColumn id="31" xr3:uid="{530A0391-8247-4622-8EF4-20523926E57F}" name="LoadAlloc"/>
    <tableColumn id="32" xr3:uid="{188B729F-4986-4EF9-82BD-E864A6E29963}" name="TotalPrem"/>
    <tableColumn id="33" xr3:uid="{1BF3ECB3-8653-4BBF-9E5E-5E074A4A8F84}" name="AllocChrg"/>
    <tableColumn id="34" xr3:uid="{4EA4E296-B7B4-4BF4-AA9D-2623D3AD3DA7}" name="Alloc"/>
    <tableColumn id="134" xr3:uid="{98CB4012-3DF3-4838-9BCF-3CE00CDD7216}" name="AccumTotalPrem"/>
    <tableColumn id="35" xr3:uid="{4DC4A2F3-EA2D-4E89-8417-78FE0F9BACC7}" name="AnnualIntRate"/>
    <tableColumn id="36" xr3:uid="{FA1EC478-51C8-4CC6-9782-2EE15256F337}" name="Duesn1m12"/>
    <tableColumn id="37" xr3:uid="{D6247DE3-0B7E-40B7-9E7D-D342CC5677FE}" name="DeductFlag"/>
    <tableColumn id="38" xr3:uid="{67A89994-6595-4998-B903-8B6C0E9C13FB}" name="AdminChrg"/>
    <tableColumn id="39" xr3:uid="{B202B869-2CFF-449E-8D0F-7BC3B20977DC}" name="StandardCOI"/>
    <tableColumn id="40" xr3:uid="{FAB40452-D77B-4B8B-9237-6F92F1F9E89F}" name="EMLoadCOI"/>
    <tableColumn id="41" xr3:uid="{276126C3-BA18-4752-8032-828C1E78957D}" name="PMLoadCOI"/>
    <tableColumn id="42" xr3:uid="{AE824178-D710-476C-9322-31222FAECFBD}" name="COI"/>
    <tableColumn id="43" xr3:uid="{01A260D4-BDA9-4A65-A744-0B3BCBC385C8}" name="NomDeduct"/>
    <tableColumn id="44" xr3:uid="{F44C110F-7092-4105-9E5F-8A0218493684}" name="EffDeduct"/>
    <tableColumn id="45" xr3:uid="{AF8A52D8-CB3B-4CAA-AF2F-B96B85955E5B}" name="TAVDeduct"/>
    <tableColumn id="46" xr3:uid="{202EB4E3-647E-4707-88E3-6FEFE7094183}" name="EAVDeduct"/>
    <tableColumn id="47" xr3:uid="{46BFF6DD-A7AF-46C1-987B-9DA0D519D209}" name="TAVInt"/>
    <tableColumn id="48" xr3:uid="{19A54567-5C35-4D88-A55D-2B2F2D3DA967}" name="EAVInt"/>
    <tableColumn id="49" xr3:uid="{CBA043E4-0504-470A-941D-85A3DA3526FA}" name="LB"/>
    <tableColumn id="50" xr3:uid="{8CE5CEB6-1506-436E-9BA5-5E04CB3BB777}" name="SB"/>
    <tableColumn id="51" xr3:uid="{2738F61D-F724-44D8-BE8B-6F8708EB37EF}" name="Bonus"/>
    <tableColumn id="52" xr3:uid="{41265038-3FDD-43E0-9BCB-2CDEB55D8D84}" name="EndTAV"/>
    <tableColumn id="53" xr3:uid="{32A9B4C8-19CA-49F7-91B1-CF4CEDC6AD96}" name="EndEAV"/>
    <tableColumn id="54" xr3:uid="{702070E7-D568-40AE-A131-3B78D36186A7}" name="EndPAV"/>
    <tableColumn id="55" xr3:uid="{F27CCD31-C82A-473C-8529-1749936833EB}" name="SemiAnnualTP"/>
    <tableColumn id="56" xr3:uid="{B2943064-C84F-4EBD-8A5A-FEC80617A6F0}" name="SemiAnnualEP"/>
    <tableColumn id="57" xr3:uid="{37518A1D-BBC2-4426-B672-A3E9C42AA3DB}" name="SemiAnnualEMLoad"/>
    <tableColumn id="58" xr3:uid="{4FA93364-2F66-4235-B0CD-0F80AC90B739}" name="SemiAnnualPMLoad"/>
    <tableColumn id="59" xr3:uid="{90533725-9956-455B-ABD4-8E7DD5AC2299}" name="SemiAnnualLoad"/>
    <tableColumn id="60" xr3:uid="{2B6B90EE-68B2-4E24-95D8-64EDDAB55909}" name="SemiAnnualTotalPrem"/>
    <tableColumn id="61" xr3:uid="{4A458E75-566E-42DC-94EE-1ED859A70391}" name="QuarterlyTP"/>
    <tableColumn id="62" xr3:uid="{40B3D5D5-210C-453C-8474-72B2CBFEE37A}" name="QuarterlyEP"/>
    <tableColumn id="63" xr3:uid="{978AD134-95B0-48A0-B89B-009183D9AF9F}" name="QuarterlyEMLoad"/>
    <tableColumn id="64" xr3:uid="{B16F06F1-F740-4722-938B-75AB5F5A23A8}" name="QuarterlyPMLoad"/>
    <tableColumn id="65" xr3:uid="{1BC7150B-575D-4E1A-94E1-A1F743738068}" name="QuarterlyLoad"/>
    <tableColumn id="66" xr3:uid="{33D54BF7-DCBB-447A-9A0F-C9D60CC1B1E0}" name="QuarterlyTotalPrem"/>
    <tableColumn id="67" xr3:uid="{A50380E7-36F4-47C4-824B-725D54034ED8}" name="MonthlyTP"/>
    <tableColumn id="68" xr3:uid="{0364C397-93BB-4FB7-B791-69CC84E3B10F}" name="MonthlyEP"/>
    <tableColumn id="69" xr3:uid="{9C4B07BC-95B7-47B4-8C09-6D9238D14EFD}" name="MonthlyEMLoad"/>
    <tableColumn id="70" xr3:uid="{BA124D21-D010-4719-AF38-281FB398CA93}" name="MonthlyPMLoad"/>
    <tableColumn id="71" xr3:uid="{629FE073-3F3F-4BBA-9B3B-936040225EC9}" name="MonthlyLoad"/>
    <tableColumn id="72" xr3:uid="{834D40B3-E3E7-430D-A4C4-F71150092E4A}" name="MonthlyTotalPrem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DB32A0C-0992-4195-9694-3D927F633004}" name="tblPlanPrem" displayName="tblPlanPrem" ref="I7:L11" totalsRowShown="0" headerRowDxfId="272" dataDxfId="270" headerRowBorderDxfId="271" tableBorderDxfId="269" totalsRowBorderDxfId="268" headerRowCellStyle="Normal 3" dataCellStyle="Normal 3">
  <tableColumns count="4">
    <tableColumn id="1" xr3:uid="{5AD3072D-61A3-4710-B723-3C10A20ACE46}" name="Mode" dataDxfId="267" dataCellStyle="Normal 3"/>
    <tableColumn id="2" xr3:uid="{1AA318A5-1ADD-4E5B-873B-756FEDC7052D}" name="TP" dataDxfId="266" dataCellStyle="Excel Built-in Output">
      <calculatedColumnFormula>ROUNDUP(tblPlanPrem[[#This Row],[Factor]]*tp_rate*si/1000,-3)</calculatedColumnFormula>
    </tableColumn>
    <tableColumn id="3" xr3:uid="{170775B1-3A4E-4CB7-BD4D-21EE47AB0F71}" name="EP" dataDxfId="265" dataCellStyle="Excel Built-in Output">
      <calculatedColumnFormula>ROUNDUP(ep*tblPlanPrem[[#This Row],[Factor]],-3)</calculatedColumnFormula>
    </tableColumn>
    <tableColumn id="4" xr3:uid="{D1ABE33A-8000-441F-B31A-728121685A13}" name="Factor" dataDxfId="264" dataCellStyle="Excel Built-in Output">
      <calculatedColumnFormula>INDEX(tblModalFactor[#Data],
MATCH(base,tblModalFactor[Product],0),
MATCH(tblPlanPrem[[#This Row],[Mode]],tblModalFactor[#Headers],0))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9071C70-0552-40D4-BB93-84FF473DCBC2}" name="tblRiderCF" displayName="tblRiderCF" ref="B12:AO113" totalsRowShown="0" headerRowDxfId="263">
  <tableColumns count="40">
    <tableColumn id="1" xr3:uid="{8873ED4F-0CB3-47F1-B536-FFFF2774E121}" name="Year" dataDxfId="262">
      <calculatedColumnFormula>OFFSET(tblRiderCF[[#This Row],[Year]],-1,0)+1</calculatedColumnFormula>
    </tableColumn>
    <tableColumn id="2" xr3:uid="{29A86BA6-6B6B-48C4-91DB-743E3971A72C}" name="RiderTermFlag" dataDxfId="261">
      <calculatedColumnFormula>(tblRiderCF[[#This Row],[Year]]&lt;=term)*1</calculatedColumnFormula>
    </tableColumn>
    <tableColumn id="3" xr3:uid="{0452FD34-DCD9-432B-A4C7-B02969F754EF}" name="Age" dataDxfId="260">
      <calculatedColumnFormula>(entry_age+tblRiderCF[[#This Row],[Year]]-1)
*tblRiderCF[[#This Row],[RiderTermFlag]]</calculatedColumnFormula>
    </tableColumn>
    <tableColumn id="4" xr3:uid="{595584F9-7D09-4DEC-85FB-ED090228F7AE}" name="SubStandardFlag" dataDxfId="259">
      <calculatedColumnFormula>(risk="Sub-standard")
*tblRiderCF[[#This Row],[RiderTermFlag]]</calculatedColumnFormula>
    </tableColumn>
    <tableColumn id="5" xr3:uid="{11710E7A-7E83-4803-AB57-8E9797874450}" name="EMLoadTermFlag" dataDxfId="258">
      <calculatedColumnFormula>(tblRiderCF[[#This Row],[Year]]&lt;=prem_load_term)
*tblRiderCF[[#This Row],[SubStandardFlag]]</calculatedColumnFormula>
    </tableColumn>
    <tableColumn id="6" xr3:uid="{1BC1D6CE-F19E-4BCD-8FAA-A2DEE8AAFE21}" name="PMLoadTermFlag" dataDxfId="257">
      <calculatedColumnFormula>(tblRiderCF[[#This Row],[Year]]&lt;=pm_load_term)
*tblRiderCF[[#This Row],[SubStandardFlag]]</calculatedColumnFormula>
    </tableColumn>
    <tableColumn id="31" xr3:uid="{5B044F84-5FCF-4EBF-B341-F28F0FF062A1}" name="WOPSIPart1" dataDxfId="256">
      <calculatedColumnFormula>SUMIFS(tblRiderCFResult[TotalPrem],
tblRiderCFResult[Risk],risk,
tblRiderCFResult[IsWaiver],0,
tblRiderCFResult[Product],"&lt;&gt;SUP1",
tblRiderCFResult[Insured],"MainLI",
tblRiderCFResult[Year],tblRiderCF[[#This Row],[Year]])
*is_waiver</calculatedColumnFormula>
    </tableColumn>
    <tableColumn id="32" xr3:uid="{6C908735-324E-49ED-8D92-19C756FAA20D}" name="WOPSIPart2" dataDxfId="255">
      <calculatedColumnFormula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calculatedColumnFormula>
    </tableColumn>
    <tableColumn id="7" xr3:uid="{59A74CAA-F116-4C29-A6D1-E5737E3137B9}" name="SI" dataDxfId="254" dataCellStyle="Comma">
      <calculatedColumnFormula array="1">IF(is_waiver,tp+tblRiderCF[[#This Row],[WOPSIPart1]]-tblRiderCF[[#This Row],[WOPSIPart2]],
_xlfn.SWITCH(rider,
"SUP1",10000000,
"HOP2",INDEX(tblHOP2Rate[SA],MATCH(hop2_option,tblHOP2Rate[Option],0)),
si))
*tblRiderCF[[#This Row],[RiderTermFlag]]</calculatedColumnFormula>
    </tableColumn>
    <tableColumn id="39" xr3:uid="{9EA64D1F-A8F8-4E34-B23E-C73EB687F52F}" name="ADD1UnroundedPrem" dataDxfId="253" dataCellStyle="Comma">
      <calculatedColumnFormula>add_rate*tblRiderCF[[#This Row],[SI]]*(rider=K$11)</calculatedColumnFormula>
    </tableColumn>
    <tableColumn id="38" xr3:uid="{5483186C-F06C-4F91-B980-032A1A4EE914}" name="PDD1UnroundedPrem" dataDxfId="252" dataCellStyle="Comma">
      <calculatedColumnFormula>INDEX(tblPPDRate[Annualized GPR],MATCH(tblRiderCF[[#This Row],[Age]],tblPPDRate[Min age],1))*tblRiderCF[[#This Row],[SI]]
*(rider=L$11)</calculatedColumnFormula>
    </tableColumn>
    <tableColumn id="37" xr3:uid="{E06CE7FF-6D21-41B6-BE17-78B69238F974}" name="CIR1UnroundedPrem" dataDxfId="251" dataCellStyle="Comma">
      <calculatedColumnFormula>INDEX(IF(gender="Male",tblCIR1Rate[Male],tblCIR1Rate[Female]),MATCH(tblRiderCF[[#This Row],[Age]],tblCIR1Rate[Age],0))/1000*tblRiderCF[[#This Row],[SI]]
*(rider=M$11)</calculatedColumnFormula>
    </tableColumn>
    <tableColumn id="36" xr3:uid="{9044475D-3333-427B-A370-E9960D55EE9A}" name="CIR2UnroundedPrem" dataDxfId="250" dataCellStyle="Comma">
      <calculatedColumnFormula>INDEX(IF(gender="Male",tblCIR2Rate[Male],tblCIR2Rate[Female]),MATCH(tblRiderCF[[#This Row],[Age]],tblCIR2Rate[Age],0))/1000*tblRiderCF[[#This Row],[SI]]
*(rider=N$11)</calculatedColumnFormula>
    </tableColumn>
    <tableColumn id="35" xr3:uid="{2D881DCB-7A4A-493A-AF88-A35F403AC59D}" name="HOP2UnroundedPrem" dataDxfId="249" dataCellStyle="Comma">
      <calculatedColumnFormula>INDEX(tblHOP2Rate[Premium],MATCH(hop2_option,tblHOP2Rate[Option],0))
*(rider=O$11)</calculatedColumnFormula>
    </tableColumn>
    <tableColumn id="41" xr3:uid="{ADBFDA93-1CD9-4A45-8FDF-33C3E3A76990}" name="SUP1UnroundedPrem" dataDxfId="248" dataCellStyle="Comma">
      <calculatedColumnFormula>INDEX(Tariff!$CC$5:$CS$44,
MATCH(tblRiderCF[[#This Row],[Age]],Tariff!$CB$5:$CB$44,0),
MATCH(term+1-tblRiderCF[[#This Row],[Year]],Tariff!$CC$4:$CS$4,0))
*(rider=P$11)</calculatedColumnFormula>
    </tableColumn>
    <tableColumn id="40" xr3:uid="{FC0D2FD8-A418-4EC1-BD22-A7A7F3AD85BE}" name="WOP1UnroundedPrem" dataDxfId="247" dataCellStyle="Comma">
      <calculatedColumnFormula>INDEX(IF(gender="Male",Tariff!$AI$55:$BY$97,Tariff!$AI$5:$BY$47),
MATCH(entry_age,Tariff!$AH$5:$AH$47,0),
MATCH(term,Tariff!$AI$4:$BY$4,0))*(term-tblRiderCF[[#This Row],[Year]]+1)*tblRiderCF[[#This Row],[SI]]/1000
*(rider=Q$11)</calculatedColumnFormula>
    </tableColumn>
    <tableColumn id="34" xr3:uid="{6326BF73-FBBD-4793-B512-677FF06DF3B9}" name="WOP2UnroundedPrem" dataDxfId="246" dataCellStyle="Comma">
      <calculatedColumnFormula>VLOOKUP(tblRiderCF[[#This Row],[Age]],tblWOP2Rate[],IF(gender="Male",2,3),FALSE)
*VLOOKUP(term-tblRiderCF[[#This Row],[Year]],tblWOP2DiscountFactor[],2,FALSE)
*tblRiderCF[[#This Row],[SI]]/1000
*(rider=R$11)</calculatedColumnFormula>
    </tableColumn>
    <tableColumn id="8" xr3:uid="{5FD1EC78-AC1E-4B48-88C6-A808B17371D7}" name="UnroundedPrem" dataDxfId="245" dataCellStyle="Comma">
      <calculatedColumnFormula>INDEX(tblRiderCF[[#This Row],[ADD1UnroundedPrem]:[WOP2UnroundedPrem]],MATCH(rider,$K$11:$R$11,0))
*tblRiderCF[[#This Row],[RiderTermFlag]]</calculatedColumnFormula>
    </tableColumn>
    <tableColumn id="14" xr3:uid="{2485BFB1-3D39-4B47-B1F4-CE02F44EDDB8}" name="UnroundedPremLoad" dataDxfId="244" dataCellStyle="Comma">
      <calculatedColumnFormula>tblRiderCF[[#This Row],[UnroundedPrem]]*prem_load</calculatedColumnFormula>
    </tableColumn>
    <tableColumn id="13" xr3:uid="{65B109EA-62F2-4AB2-A060-1281C35535F0}" name="UnroundedPMLoad" dataDxfId="243" dataCellStyle="Comma">
      <calculatedColumnFormula>pm_load/1000*tblRiderCF[[#This Row],[SI]]
*tblRiderCF[[#This Row],[RiderTermFlag]]</calculatedColumnFormula>
    </tableColumn>
    <tableColumn id="9" xr3:uid="{F9E7B1E8-2256-4D8E-82F0-CCFB504F535A}" name="Prem" dataDxfId="242">
      <calculatedColumnFormula>ROUND(tblRiderCF[[#This Row],[UnroundedPrem]]*V$10,-3)</calculatedColumnFormula>
    </tableColumn>
    <tableColumn id="10" xr3:uid="{1F19647E-B95D-4478-BB93-94076517DE77}" name="PremLoad" dataDxfId="241">
      <calculatedColumnFormula>ROUND(tblRiderCF[[#This Row],[UnroundedPremLoad]]*W$10,-3)</calculatedColumnFormula>
    </tableColumn>
    <tableColumn id="11" xr3:uid="{C8FFFD3B-15E8-47B1-8B13-603B4AC3BFCD}" name="PMLoad" dataDxfId="240">
      <calculatedColumnFormula>ROUND(tblRiderCF[[#This Row],[UnroundedPMLoad]]*X$10,-3)</calculatedColumnFormula>
    </tableColumn>
    <tableColumn id="24" xr3:uid="{369D4D12-7ABB-4FB3-8E32-468694395849}" name="Load" dataDxfId="239">
      <calculatedColumnFormula>tblRiderCF[[#This Row],[PremLoad]]+tblRiderCF[[#This Row],[PMLoad]]</calculatedColumnFormula>
    </tableColumn>
    <tableColumn id="23" xr3:uid="{E2AFF0FD-7C77-4DB1-A65C-46468149791F}" name="TotalPrem" dataDxfId="238">
      <calculatedColumnFormula>tblRiderCF[[#This Row],[Prem]]+tblRiderCF[[#This Row],[Load]]</calculatedColumnFormula>
    </tableColumn>
    <tableColumn id="12" xr3:uid="{9DD4741A-4EB6-4C3C-AFF5-0CF6355D5C93}" name="SemiAnnualPrem" dataDxfId="237">
      <calculatedColumnFormula>ROUND(tblRiderCF[[#This Row],[UnroundedPrem]]*AA$10,-3)</calculatedColumnFormula>
    </tableColumn>
    <tableColumn id="15" xr3:uid="{C32F657D-8396-4880-8905-E027B1E932E8}" name="SemiAnnualPremLoad" dataDxfId="236">
      <calculatedColumnFormula>ROUND(tblRiderCF[[#This Row],[UnroundedPremLoad]]*AB$10,-3)</calculatedColumnFormula>
    </tableColumn>
    <tableColumn id="16" xr3:uid="{7198E419-28F4-4F8D-A5A8-CAE98DC4D375}" name="SemiAnnualPMLoad" dataDxfId="235">
      <calculatedColumnFormula>ROUND(tblRiderCF[[#This Row],[UnroundedPMLoad]]*AC$10,-3)</calculatedColumnFormula>
    </tableColumn>
    <tableColumn id="26" xr3:uid="{B205FAC4-E474-4D94-A07E-C6CCA09A94C9}" name="SemiAnnualLoad" dataDxfId="234">
      <calculatedColumnFormula>tblRiderCF[[#This Row],[SemiAnnualPremLoad]]+tblRiderCF[[#This Row],[SemiAnnualPMLoad]]</calculatedColumnFormula>
    </tableColumn>
    <tableColumn id="25" xr3:uid="{A1444217-45E5-498D-A4F2-6896B2C0F368}" name="SemiAnnualTotalPrem" dataDxfId="233">
      <calculatedColumnFormula>tblRiderCF[[#This Row],[SemiAnnualPrem]]+tblRiderCF[[#This Row],[SemiAnnualLoad]]</calculatedColumnFormula>
    </tableColumn>
    <tableColumn id="17" xr3:uid="{025D0733-1CDF-4BDF-9D79-ECAACEAA67CB}" name="QuarterlyPrem" dataDxfId="232">
      <calculatedColumnFormula>ROUND(tblRiderCF[[#This Row],[UnroundedPrem]]*AF$10,-3)</calculatedColumnFormula>
    </tableColumn>
    <tableColumn id="18" xr3:uid="{850F6246-B687-47FA-9B0A-83FC5BF28A0E}" name="QuarterlyPremLoad" dataDxfId="231">
      <calculatedColumnFormula>ROUND(tblRiderCF[[#This Row],[UnroundedPremLoad]]*AG$10,-3)</calculatedColumnFormula>
    </tableColumn>
    <tableColumn id="19" xr3:uid="{C305D6FE-887D-4810-8244-94C2DA205D73}" name="QuarterlyPMLoad" dataDxfId="230">
      <calculatedColumnFormula>ROUND(tblRiderCF[[#This Row],[UnroundedPMLoad]]*AH$10,-3)</calculatedColumnFormula>
    </tableColumn>
    <tableColumn id="28" xr3:uid="{F81BFF58-F996-48AF-B403-28F643BF4A86}" name="QuarterlyLoad" dataDxfId="229">
      <calculatedColumnFormula>tblRiderCF[[#This Row],[QuarterlyPremLoad]]+tblRiderCF[[#This Row],[QuarterlyPMLoad]]</calculatedColumnFormula>
    </tableColumn>
    <tableColumn id="27" xr3:uid="{36905602-6092-491E-B2E9-461A7F571D77}" name="QuarterlyTotalPrem" dataDxfId="228">
      <calculatedColumnFormula>tblRiderCF[[#This Row],[QuarterlyPrem]]+tblRiderCF[[#This Row],[QuarterlyLoad]]</calculatedColumnFormula>
    </tableColumn>
    <tableColumn id="20" xr3:uid="{E3C09E01-E6FD-42BC-903C-AF29E59C658D}" name="MonthlyPrem" dataDxfId="227">
      <calculatedColumnFormula>ROUND(tblRiderCF[[#This Row],[UnroundedPrem]]*AK$10,-3)</calculatedColumnFormula>
    </tableColumn>
    <tableColumn id="21" xr3:uid="{4D3AB7D0-75E9-4A27-B3E8-355C479BE86D}" name="MonthlyPremLoad" dataDxfId="226">
      <calculatedColumnFormula>ROUND(tblRiderCF[[#This Row],[UnroundedPremLoad]]*AL$10,-3)</calculatedColumnFormula>
    </tableColumn>
    <tableColumn id="22" xr3:uid="{B5916D5B-FC3C-4CFD-B4AF-3D532ADBD80C}" name="MonthlyPMLoad" dataDxfId="225">
      <calculatedColumnFormula>ROUND(tblRiderCF[[#This Row],[UnroundedPMLoad]]*AM$10,-3)</calculatedColumnFormula>
    </tableColumn>
    <tableColumn id="29" xr3:uid="{3C6C0545-F320-4566-AF0E-A440120E8A2E}" name="MonthlyLoad" dataDxfId="224">
      <calculatedColumnFormula>tblRiderCF[[#This Row],[MonthlyPremLoad]]+tblRiderCF[[#This Row],[MonthlyPMLoad]]</calculatedColumnFormula>
    </tableColumn>
    <tableColumn id="30" xr3:uid="{94C1D9AF-2013-41C6-A277-7AA7CCB723C8}" name="MonthlyTotalPrem" dataDxfId="223">
      <calculatedColumnFormula>tblRiderCF[[#This Row],[MonthlyPrem]]+tblRiderCF[[#This Row],[MonthlyLoad]]</calculatedColumnFormula>
    </tableColumn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9E88529-6726-4C53-8368-6994219D995E}" name="tblRiderCFSummary" displayName="tblRiderCFSummary" ref="AS13:BD113" totalsRowShown="0" headerRowDxfId="222">
  <tableColumns count="12">
    <tableColumn id="1" xr3:uid="{A72080AC-2A9C-4C8C-94CB-766A3470D5AE}" name="Risk" dataDxfId="221">
      <calculatedColumnFormula>risk</calculatedColumnFormula>
    </tableColumn>
    <tableColumn id="23" xr3:uid="{4164C264-BAC5-4548-97B2-B78D0ADB278E}" name="Insured" dataDxfId="220">
      <calculatedColumnFormula>insured</calculatedColumnFormula>
    </tableColumn>
    <tableColumn id="2" xr3:uid="{2A6FF448-660D-4759-9250-147FAC4FD573}" name="Year">
      <calculatedColumnFormula>tblRiderCF[[#This Row],[Year]]</calculatedColumnFormula>
    </tableColumn>
    <tableColumn id="3" xr3:uid="{E5443036-0D51-4E2E-9721-4EE1D4D3A9B0}" name="Age">
      <calculatedColumnFormula>tblRiderCF[[#This Row],[Age]]</calculatedColumnFormula>
    </tableColumn>
    <tableColumn id="4" xr3:uid="{B6D3D8A9-0BDE-43AE-8055-C13D6673E177}" name="Product">
      <calculatedColumnFormula>rider</calculatedColumnFormula>
    </tableColumn>
    <tableColumn id="11" xr3:uid="{2FFBEA24-E4DD-4658-9F20-6F02EC5D9946}" name="Term" dataDxfId="219">
      <calculatedColumnFormula>term</calculatedColumnFormula>
    </tableColumn>
    <tableColumn id="24" xr3:uid="{B943D114-F999-4661-B9A2-3FEA9B4C482D}" name="IsWaiver" dataDxfId="218">
      <calculatedColumnFormula>is_waiver*1</calculatedColumnFormula>
    </tableColumn>
    <tableColumn id="5" xr3:uid="{E92176F8-D233-44DB-982E-72E7F7E30115}" name="SI" dataDxfId="217">
      <calculatedColumnFormula>tblRiderCF[[#This Row],[SI]]</calculatedColumnFormula>
    </tableColumn>
    <tableColumn id="8" xr3:uid="{8A2E92CE-A29B-4842-9F8A-FA969C786D2C}" name="TotalPrem" dataDxfId="216">
      <calculatedColumnFormula>tblRiderCF[[#This Row],[TotalPrem]]</calculatedColumnFormula>
    </tableColumn>
    <tableColumn id="6" xr3:uid="{11A41133-A553-4A29-BB2D-31461EA15D8E}" name="SemiAnnualTotalPrem" dataDxfId="215">
      <calculatedColumnFormula>tblRiderCF[[#This Row],[SemiAnnualTotalPrem]]</calculatedColumnFormula>
    </tableColumn>
    <tableColumn id="7" xr3:uid="{5245D9A6-13BE-476D-A7BE-7C41F716C52B}" name="QuarterlyTotalPrem" dataDxfId="214">
      <calculatedColumnFormula>tblRiderCF[[#This Row],[QuarterlyTotalPrem]]</calculatedColumnFormula>
    </tableColumn>
    <tableColumn id="9" xr3:uid="{B1AC3C79-1C49-4BC9-AFB1-1B344178ED19}" name="MonthlyTotalPrem" dataDxfId="213">
      <calculatedColumnFormula>tblRiderCF[[#This Row],[MonthlyTotalPrem]]</calculatedColumnFormula>
    </tableColumn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14D0219-90D2-4111-AD9D-4D1D633FC618}" name="tblRiderCFResult" displayName="tblRiderCFResult" ref="BG13:BR691" totalsRowShown="0" headerRowDxfId="212">
  <tableColumns count="12">
    <tableColumn id="1" xr3:uid="{8BDFC09C-387C-4DD5-B6EB-EE950173B3A6}" name="Risk"/>
    <tableColumn id="23" xr3:uid="{9E60B8EB-5BE0-4E33-97A5-A1523D353287}" name="Insured"/>
    <tableColumn id="2" xr3:uid="{6188ABDB-6197-4ADE-AB8D-4D22A5621331}" name="Year"/>
    <tableColumn id="3" xr3:uid="{12FAA257-EAF3-44C9-81FA-AFCCC2DB11B8}" name="Age"/>
    <tableColumn id="4" xr3:uid="{01D11B0D-58BB-4AF8-B751-681EBA4599AB}" name="Product"/>
    <tableColumn id="11" xr3:uid="{EA1AE445-4F83-431E-9EDF-8848D1ECECCA}" name="Term"/>
    <tableColumn id="24" xr3:uid="{2A6282C5-0BBC-4EC4-B43D-B443DF71C646}" name="IsWaiver"/>
    <tableColumn id="5" xr3:uid="{9AD9ECC5-3CDB-4AF9-9617-A19B5CEF2015}" name="SI"/>
    <tableColumn id="6" xr3:uid="{81589B00-D32B-49F4-91CC-15B8C2072708}" name="TotalPrem"/>
    <tableColumn id="7" xr3:uid="{EC4707A7-BE44-4228-8C7A-78F028BDEE38}" name="SemiAnnualTotalPrem"/>
    <tableColumn id="8" xr3:uid="{2667D1A0-8327-40D7-9909-B91B40460552}" name="QuarterlyTotalPrem"/>
    <tableColumn id="9" xr3:uid="{212270A7-5004-4F84-80AD-71ACF695D170}" name="MonthlyTotalPrem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83FACDC-FB4E-470F-B700-7D84F84FC831}" name="tblAgeValidation" displayName="tblAgeValidation" ref="DH2:DK14" totalsRowShown="0" headerRowDxfId="211" dataDxfId="209" headerRowBorderDxfId="210" tableBorderDxfId="208" totalsRowBorderDxfId="207">
  <autoFilter ref="DH2:DK14" xr:uid="{B15B9984-2E31-4C1D-AA08-955E1D7F21D9}"/>
  <tableColumns count="4">
    <tableColumn id="1" xr3:uid="{4DB1EA24-B7A0-4E86-893B-3950AE1BBCAC}" name="Product" dataDxfId="206"/>
    <tableColumn id="2" xr3:uid="{4CD60750-8CEA-4AC4-A92B-769C2B4EE228}" name="Min" dataDxfId="33"/>
    <tableColumn id="3" xr3:uid="{47BBC468-A520-4568-AB73-103CB680B45D}" name="Max" dataDxfId="32"/>
    <tableColumn id="4" xr3:uid="{210F7340-485F-4F71-8F37-8B5BD3DC531F}" name="Maturity" dataDxfId="31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10405D2-F666-4EF3-B950-87B4616248A9}" name="tblBaseCOIRate" displayName="tblBaseCOIRate" ref="N2:W102" totalsRowShown="0" headerRowDxfId="205" dataDxfId="203" headerRowBorderDxfId="204" tableBorderDxfId="202" totalsRowBorderDxfId="201">
  <tableColumns count="10">
    <tableColumn id="1" xr3:uid="{E0AB759F-60F2-4459-B180-B291A4DC6F34}" name="Age" dataDxfId="200"/>
    <tableColumn id="2" xr3:uid="{660CD335-AA81-402E-AA4F-138623395C17}" name="Rate" dataDxfId="199">
      <calculatedColumnFormula>OFFSET(tblBaseCOIRate[[#This Row],[UVL01_Male]],0,MATCH(base&amp;"_"&amp;mainLI_gender,tblBaseCOIRate[#Headers],0)-3)</calculatedColumnFormula>
    </tableColumn>
    <tableColumn id="3" xr3:uid="{107D9763-B298-44CD-A4CB-45133EB5E22E}" name="UVL01_Male" dataDxfId="198"/>
    <tableColumn id="4" xr3:uid="{1223FE1E-C85E-42ED-BFA5-EC415EB6FAE4}" name="UVL01_Female" dataDxfId="197"/>
    <tableColumn id="5" xr3:uid="{0DF7FCBB-AFE6-47EC-9B25-9AAFE21FE794}" name="UVL02_Male" dataDxfId="196"/>
    <tableColumn id="6" xr3:uid="{F68CB1EF-302C-4918-95F7-6169F77694D9}" name="UVL02_Female" dataDxfId="195"/>
    <tableColumn id="10" xr3:uid="{9FD19513-5A98-4431-873E-1F5EDC72804C}" name="UVL03_Male" dataDxfId="194" dataCellStyle="Percent"/>
    <tableColumn id="9" xr3:uid="{F90AB4DD-E2E1-48BC-AF5E-62D8B1CFA8DD}" name="UVL03_Female" dataDxfId="193" dataCellStyle="Percent"/>
    <tableColumn id="7" xr3:uid="{963FF5B5-24EC-4BB3-8656-6D8E1C8223CC}" name="ILP01_Male" dataDxfId="192">
      <calculatedColumnFormula>tblBaseCOIRate[[#This Row],[UVL01_Male]]</calculatedColumnFormula>
    </tableColumn>
    <tableColumn id="8" xr3:uid="{A73C039B-7328-4AD5-9EAA-06C9FA0845A5}" name="ILP01_Female" dataDxfId="191">
      <calculatedColumnFormula>tblBaseCOIRate[[#This Row],[UVL01_Female]]</calculatedColumnFormula>
    </tableColumn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F16EFDD-26B6-479E-91B4-B38AAA4B2A45}" name="tblJuvenileLienRate" displayName="tblJuvenileLienRate" ref="CK2:CP7" totalsRowShown="0" headerRowDxfId="190" dataDxfId="188" headerRowBorderDxfId="189" tableBorderDxfId="187" totalsRowBorderDxfId="186">
  <autoFilter ref="CK2:CP7" xr:uid="{2528C84B-07A8-4FA4-8C32-2D040D60D6AD}"/>
  <tableColumns count="6">
    <tableColumn id="1" xr3:uid="{BEDC063C-B6B3-49C8-97B8-DD465BFF848C}" name="Age" dataDxfId="185"/>
    <tableColumn id="2" xr3:uid="{26BAB30A-CC58-4F72-A567-A38929ED5764}" name="Rate" dataDxfId="184">
      <calculatedColumnFormula>OFFSET(tblJuvenileLienRate[[#This Row],[UVL01]],0,MATCH(base,tblJuvenileLienRate[#Headers],0)-3)</calculatedColumnFormula>
    </tableColumn>
    <tableColumn id="3" xr3:uid="{AC3A0958-5168-4820-9F99-A6FF67E0F4EA}" name="UVL01" dataDxfId="183"/>
    <tableColumn id="4" xr3:uid="{CA37539C-8880-40DC-B379-76791888305B}" name="UVL02" dataDxfId="182"/>
    <tableColumn id="6" xr3:uid="{F80CFAFC-A4E5-47CA-B1E7-8B4318C84F5C}" name="UVL03" dataDxfId="181"/>
    <tableColumn id="5" xr3:uid="{919A229E-A070-4D39-80BF-A7B5DC53AB89}" name="ILP01" dataDxfId="180">
      <calculatedColumnFormula>tblJuvenileLienRate[[#This Row],[UVL02]]</calculatedColumnFormula>
    </tableColumn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5294094-DF62-4083-8C9C-A98AB11B51A1}" name="tblEPAllocChrgRate" displayName="tblEPAllocChrgRate" ref="AO2:AT102" totalsRowShown="0" headerRowDxfId="179" dataDxfId="177" headerRowBorderDxfId="178" tableBorderDxfId="176" totalsRowBorderDxfId="175">
  <tableColumns count="6">
    <tableColumn id="1" xr3:uid="{5A924C25-AE82-464D-9100-0E596B8242B8}" name="Year" dataDxfId="174"/>
    <tableColumn id="2" xr3:uid="{5A11842E-543C-4117-B040-65E32B5B4D03}" name="Rate" dataDxfId="173">
      <calculatedColumnFormula>OFFSET(tblEPAllocChrgRate[[#This Row],[UVL01]],0,MATCH(base,tblEPAllocChrgRate[#Headers],0)-3)</calculatedColumnFormula>
    </tableColumn>
    <tableColumn id="3" xr3:uid="{B3349B49-984C-467F-8B1B-EC83EBD09539}" name="UVL01" dataDxfId="172"/>
    <tableColumn id="4" xr3:uid="{F477CA01-295A-4A31-B4A5-AAC939C4BEB0}" name="UVL02" dataDxfId="171"/>
    <tableColumn id="6" xr3:uid="{2D8BACC8-B8B8-484C-874E-C5C7F61ABB24}" name="UVL03" dataDxfId="170"/>
    <tableColumn id="5" xr3:uid="{413DD9ED-97B4-4095-A507-4AEC7F9D7D10}" name="ILP01" dataDxfId="169">
      <calculatedColumnFormula>tblEPAllocChrgRate[[#This Row],[UVL01]]</calculatedColumnFormula>
    </tableColumn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6BE4A63-33D5-4C2B-A1E0-5B2465A25B3D}" name="tblLBRate" displayName="tblLBRate" ref="BE2:BJ22" totalsRowShown="0" headerRowDxfId="168" dataDxfId="166" headerRowBorderDxfId="167" tableBorderDxfId="165" totalsRowBorderDxfId="164">
  <tableColumns count="6">
    <tableColumn id="1" xr3:uid="{5AAF6BD0-896B-4399-B785-A6B7B15D987E}" name="Year" dataDxfId="163"/>
    <tableColumn id="2" xr3:uid="{AD32460A-3C4D-4878-A1E1-D32F6A7EB426}" name="Rate" dataDxfId="4">
      <calculatedColumnFormula>OFFSET(tblLBRate[[#This Row],[UVL01]],0,MATCH(base,tblLBRate[#Headers],0)-3)</calculatedColumnFormula>
    </tableColumn>
    <tableColumn id="3" xr3:uid="{024C2103-17A9-424D-80D3-D9AD8AED08A4}" name="UVL01" dataDxfId="3"/>
    <tableColumn id="4" xr3:uid="{432A6420-4D0D-4454-A211-888749EE35E3}" name="UVL02" dataDxfId="2"/>
    <tableColumn id="6" xr3:uid="{67F67421-4B05-414F-A00C-B3F0C0B9C7F7}" name="UVL03" dataDxfId="1" dataCellStyle="Percent"/>
    <tableColumn id="5" xr3:uid="{61464D3D-8D06-4CC6-92B8-683AF4C6E686}" name="ILP01" dataDxfId="0">
      <calculatedColumnFormula>tblLBRate[[#This Row],[UVL01]]</calculatedColumnFormula>
    </tableColumn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6E58554-95F4-4D2F-AF66-2F3B22412803}" name="tblAdminChrg" displayName="tblAdminChrg" ref="BU2:BZ109" totalsRowShown="0" headerRowDxfId="162" dataDxfId="160" headerRowBorderDxfId="161" tableBorderDxfId="159" totalsRowBorderDxfId="158">
  <autoFilter ref="BU2:BZ109" xr:uid="{89A521BB-4577-482A-9D63-092D856FF5A2}"/>
  <tableColumns count="6">
    <tableColumn id="1" xr3:uid="{222B7EF6-8141-4ECC-9840-100DBEBE54E0}" name="Cal_Year" dataDxfId="157"/>
    <tableColumn id="2" xr3:uid="{E07ABEEA-A54A-44B9-9145-13DA8203F1C3}" name="Amount" dataDxfId="156">
      <calculatedColumnFormula>OFFSET(tblAdminChrg[[#This Row],[UVL01]],0,MATCH(base,tblAdminChrg[#Headers],0)-3)</calculatedColumnFormula>
    </tableColumn>
    <tableColumn id="3" xr3:uid="{CAD588ED-5E78-4512-9B12-3A01524CAFEC}" name="UVL01" dataDxfId="155"/>
    <tableColumn id="4" xr3:uid="{F05B522E-D966-401A-9F6E-B5556E889F9F}" name="UVL02" dataDxfId="154"/>
    <tableColumn id="6" xr3:uid="{ADBA33ED-8769-4488-96A7-19B96FEBC20C}" name="UVL03" dataDxfId="153" dataCellStyle="Comma"/>
    <tableColumn id="5" xr3:uid="{F33201FC-D9D8-4286-BA09-68DE63E2800D}" name="ILP01" dataDxfId="152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8796D533-768E-446D-9AF0-CE5A4A25E479}" name="tblModalFactor" displayName="tblModalFactor" ref="DA2:DE14" totalsRowShown="0" headerRowDxfId="151" dataDxfId="149" headerRowBorderDxfId="150" tableBorderDxfId="148" totalsRowBorderDxfId="147">
  <tableColumns count="5">
    <tableColumn id="1" xr3:uid="{30A95647-93A0-4693-938B-7BB70904E95B}" name="Product" dataDxfId="146"/>
    <tableColumn id="2" xr3:uid="{9944C58E-C444-4C86-81E6-72C8E74139B1}" name="Annual" dataDxfId="30"/>
    <tableColumn id="3" xr3:uid="{DA7EFEC7-4E45-412D-B3F2-8EE19D6A5168}" name="Semi-annual" dataDxfId="145"/>
    <tableColumn id="4" xr3:uid="{0CDB9BCC-1887-415F-8D94-93C95F53D140}" name="Quarterly" dataDxfId="144"/>
    <tableColumn id="5" xr3:uid="{A03FEF76-797F-4A03-81D4-B57A8EC0A528}" name="Monthly" dataDxfId="143"/>
  </tableColumns>
  <tableStyleInfo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EB4CB29-C24D-4FF6-A06F-40C5DB26F2D1}" name="tblOtherSetting" displayName="tblOtherSetting" ref="CS2:CX12" totalsRowShown="0" headerRowDxfId="142" dataDxfId="140" headerRowBorderDxfId="141" tableBorderDxfId="139" totalsRowBorderDxfId="138">
  <autoFilter ref="CS2:CX12" xr:uid="{3D2D1521-8F42-47AC-960E-E0490FF391B5}"/>
  <tableColumns count="6">
    <tableColumn id="1" xr3:uid="{8D6051B5-2EBB-4B98-94DD-5BAD18743B4E}" name="Variable" dataDxfId="137"/>
    <tableColumn id="2" xr3:uid="{249010A7-9512-42A8-8E93-3A74E76B2180}" name="Value" dataDxfId="136">
      <calculatedColumnFormula>OFFSET(tblOtherSetting[[#This Row],[UVL01]],0,MATCH(base,tblOtherSetting[#Headers],0)-3)</calculatedColumnFormula>
    </tableColumn>
    <tableColumn id="3" xr3:uid="{CD1C71F2-9B4A-4B5A-934C-1C8082BC8717}" name="UVL01" dataDxfId="135"/>
    <tableColumn id="4" xr3:uid="{FA115C22-76CC-4814-A8C6-551FF82F9CF7}" name="UVL02" dataDxfId="134" dataCellStyle="Comma"/>
    <tableColumn id="6" xr3:uid="{09469500-2459-4A99-8E53-DD0276DAAB29}" name="UVL03" dataDxfId="133" dataCellStyle="Comma"/>
    <tableColumn id="5" xr3:uid="{D66F6DC0-B1FB-435D-9AC7-F48184078081}" name="ILP01" dataDxfId="132" dataCellStyle="Comma"/>
  </tableColumns>
  <tableStyleInfo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0D91411-1259-4228-8938-9A32E4726CC0}" name="tblSurrChrgRate" displayName="tblSurrChrgRate" ref="AW2:BB102" totalsRowShown="0" headerRowDxfId="131" dataDxfId="129" headerRowBorderDxfId="130" tableBorderDxfId="128" totalsRowBorderDxfId="127">
  <tableColumns count="6">
    <tableColumn id="1" xr3:uid="{0F7908D9-BB9A-4573-9763-09FBB2B61833}" name="Year" dataDxfId="126"/>
    <tableColumn id="2" xr3:uid="{BDB752E8-D460-48DB-9803-02C364DAD77E}" name="Rate" dataDxfId="125">
      <calculatedColumnFormula>OFFSET(tblSurrChrgRate[[#This Row],[UVL01]],0,MATCH(base,tblSurrChrgRate[#Headers],0)-3)</calculatedColumnFormula>
    </tableColumn>
    <tableColumn id="3" xr3:uid="{DBC4844B-ED77-45E9-BC1E-FD8CD847048F}" name="UVL01" dataDxfId="124"/>
    <tableColumn id="4" xr3:uid="{750859D1-4A87-407F-BE7E-1EB9F21DCCC5}" name="UVL02" dataDxfId="123"/>
    <tableColumn id="6" xr3:uid="{A552F71A-6C65-4DD8-A0A3-71ECE3F98A49}" name="UVL03" dataDxfId="122" dataCellStyle="Percent"/>
    <tableColumn id="5" xr3:uid="{AEC82EF0-35AF-4FE6-BA52-447AAD45AE8F}" name="ILP01" dataDxfId="121">
      <calculatedColumnFormula>tblSurrChrgRate[[#This Row],[UVL01]]</calculatedColumnFormula>
    </tableColumn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3C2E46E-0C4B-479E-A48F-AC6239CBEFF4}" name="tblTPAllocChrgRate" displayName="tblTPAllocChrgRate" ref="AG2:AL102" totalsRowShown="0" headerRowDxfId="120" dataDxfId="118" headerRowBorderDxfId="119" tableBorderDxfId="117" totalsRowBorderDxfId="116">
  <tableColumns count="6">
    <tableColumn id="1" xr3:uid="{E9B1F6A0-30F5-4164-99F0-43E1D2595C48}" name="Year" dataDxfId="115"/>
    <tableColumn id="2" xr3:uid="{4739EBB7-ABCE-46DD-9D09-5BCD05681C51}" name="Rate" dataDxfId="114">
      <calculatedColumnFormula>OFFSET(tblTPAllocChrgRate[[#This Row],[UVL01]],0,MATCH(base,tblTPAllocChrgRate[#Headers],0)-3)</calculatedColumnFormula>
    </tableColumn>
    <tableColumn id="3" xr3:uid="{6D5D590A-FB57-47B5-BB68-2E12DBF46D50}" name="UVL01" dataDxfId="113"/>
    <tableColumn id="4" xr3:uid="{6734006B-DBB5-46F4-8E71-77F0132DD9B6}" name="UVL02" dataDxfId="112"/>
    <tableColumn id="6" xr3:uid="{15C477FE-4125-4A92-B9A0-4EFC6BCD0DE4}" name="UVL03" dataDxfId="111"/>
    <tableColumn id="5" xr3:uid="{7E0098D7-8316-4133-BC3B-114F66646D65}" name="ILP01" dataDxfId="110">
      <calculatedColumnFormula>tblTPAllocChrgRate[[#This Row],[UVL01]]</calculatedColumnFormula>
    </tableColumn>
  </tableColumns>
  <tableStyleInfo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C2C5D48B-3FB6-42C5-808E-A8B3694238DA}" name="tblSBRate" displayName="tblSBRate" ref="BM2:BR20" totalsRowShown="0" headerRowDxfId="109" dataDxfId="107" headerRowBorderDxfId="108" tableBorderDxfId="106" totalsRowBorderDxfId="105">
  <autoFilter ref="BM2:BR20" xr:uid="{4F455199-691C-48A5-9552-095DC03C4D8C}"/>
  <tableColumns count="6">
    <tableColumn id="1" xr3:uid="{ED2F0280-26BF-45CC-8206-773F1EBD4E47}" name="Product" dataDxfId="104"/>
    <tableColumn id="2" xr3:uid="{5DC3BF9D-0ACF-467F-A342-89F50A3C9B98}" name="Description" dataDxfId="103" dataCellStyle="Comma"/>
    <tableColumn id="3" xr3:uid="{9C88D2B9-B1E2-41A3-8A74-9BB39B7E234D}" name="Case" dataDxfId="102"/>
    <tableColumn id="4" xr3:uid="{8D575AB0-3050-46B3-8C5E-8DCFE0F6BD27}" name="Year" dataDxfId="101"/>
    <tableColumn id="5" xr3:uid="{2F09198F-4805-4833-A4A2-303376F679E9}" name="Index" dataDxfId="100">
      <calculatedColumnFormula>tblSBRate[[#This Row],[Product]]&amp;"_"&amp;tblSBRate[[#This Row],[Case]]&amp;"_"&amp;tblSBRate[[#This Row],[Year]]</calculatedColumnFormula>
    </tableColumn>
    <tableColumn id="6" xr3:uid="{2C4C0005-2B7D-4BC7-8167-F589E45735DB}" name="Rate" dataDxfId="99"/>
  </tableColumns>
  <tableStyleInfo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D95525A2-35A0-4F62-A292-1366BC975AF7}" name="tblTPRate" displayName="tblTPRate" ref="B2:K68" totalsRowShown="0" headerRowDxfId="98" headerRowBorderDxfId="97" tableBorderDxfId="96" totalsRowBorderDxfId="95">
  <autoFilter ref="B2:K68" xr:uid="{5BF63A5F-D8D2-4BA7-84BD-303D16953339}"/>
  <tableColumns count="10">
    <tableColumn id="1" xr3:uid="{C29078CB-CDC3-4A4B-A1B6-2C0FF2814780}" name="Age" dataDxfId="94"/>
    <tableColumn id="2" xr3:uid="{25F52617-E1A0-46B7-BCAC-91539903B791}" name="Rate" dataDxfId="93" dataCellStyle="Comma">
      <calculatedColumnFormula>OFFSET(tblTPRate[[#This Row],[UVL01_Male]],0,MATCH(base&amp;"_"&amp;mainLI_gender,tblTPRate[#Headers],0)-3)</calculatedColumnFormula>
    </tableColumn>
    <tableColumn id="3" xr3:uid="{92515A86-15AA-4DFD-AA5B-CF459BB9AEC7}" name="UVL01_Male" dataDxfId="92"/>
    <tableColumn id="4" xr3:uid="{D34DBE71-2CEF-452A-A4B4-598F27C6AE60}" name="UVL01_Female" dataDxfId="91"/>
    <tableColumn id="5" xr3:uid="{CC660CC9-1151-423D-B170-75E6F45E9C52}" name="UVL02_Male" dataDxfId="90"/>
    <tableColumn id="6" xr3:uid="{423CAEE3-F9D6-48B5-BFB2-EBA750896532}" name="UVL02_Female" dataDxfId="89"/>
    <tableColumn id="10" xr3:uid="{4A9A8ADE-1242-4347-8B60-F78C610D04A2}" name="UVL03_Male" dataDxfId="88"/>
    <tableColumn id="9" xr3:uid="{7D96CD12-EBF4-4E68-BF55-7389E6C2985D}" name="UVL03_Female" dataDxfId="87"/>
    <tableColumn id="7" xr3:uid="{BD7E57E1-1DD6-455E-AFE2-3F6AF69B5640}" name="ILP01_Male" dataDxfId="86"/>
    <tableColumn id="8" xr3:uid="{43F0AD57-A45A-4BA7-A137-7C7284F1D79C}" name="ILP01_Female" dataDxfId="85"/>
  </tableColumns>
  <tableStyleInfo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2380BDF-0C93-4EB7-A296-B1A983C69E7F}" name="tblIntRate" displayName="tblIntRate" ref="CC2:CH5" totalsRowShown="0" headerRowDxfId="84" headerRowBorderDxfId="83" tableBorderDxfId="82" totalsRowBorderDxfId="81">
  <autoFilter ref="CC2:CH5" xr:uid="{21F42D43-8250-4B85-8038-A538598510F1}"/>
  <tableColumns count="6">
    <tableColumn id="1" xr3:uid="{400AEFAB-DEFD-48AB-AC68-B4EF03E5855F}" name="Type" dataDxfId="36"/>
    <tableColumn id="8" xr3:uid="{E238C8B1-B8F0-438A-8E66-76F083D260B4}" name="Rate" dataDxfId="34">
      <calculatedColumnFormula>OFFSET(tblIntRate[[#This Row],[UVL01]],0,MATCH(base,tblIntRate[#Headers],0)-3)</calculatedColumnFormula>
    </tableColumn>
    <tableColumn id="7" xr3:uid="{D100C18D-2623-480A-BB5F-A1C2E62C91D7}" name="UVL01" dataDxfId="35"/>
    <tableColumn id="6" xr3:uid="{2DC90066-2601-471C-8128-11DCC92F8AFC}" name="UVL02" dataDxfId="38"/>
    <tableColumn id="5" xr3:uid="{52A494C3-D76A-480C-9304-A9A708F15DBE}" name="UVL03" dataDxfId="37"/>
    <tableColumn id="3" xr3:uid="{3C5EC00D-C21D-43C5-84DB-CA96332AC1EA}" name="ILP01" dataDxfId="80"/>
  </tableColumns>
  <tableStyleInfo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FD5646DC-66EE-43D9-A8BC-B8B560E48333}" name="tblCIR1Rate" displayName="tblCIR1Rate" ref="J2:L66" totalsRowShown="0" headerRowDxfId="79" headerRowBorderDxfId="78" tableBorderDxfId="77" totalsRowBorderDxfId="76">
  <autoFilter ref="J2:L66" xr:uid="{49C082B7-AB78-4633-B921-7847FE8A66E8}"/>
  <tableColumns count="3">
    <tableColumn id="1" xr3:uid="{A1B27C40-F61E-4CDC-8D17-E859FC2A88FE}" name="Age" dataDxfId="75"/>
    <tableColumn id="2" xr3:uid="{7648B186-1CB0-4282-8702-7AABBEB9F9A6}" name="Male" dataDxfId="74"/>
    <tableColumn id="3" xr3:uid="{84B87294-4478-4FCB-9437-B9DF19A81448}" name="Female" dataDxfId="73"/>
  </tableColumns>
  <tableStyleInfo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3463780-13C6-4892-B770-1E9799E61ED7}" name="tblCIR2Rate" displayName="tblCIR2Rate" ref="O2:Q76" totalsRowShown="0" headerRowDxfId="72" headerRowBorderDxfId="71" tableBorderDxfId="70" totalsRowBorderDxfId="69">
  <autoFilter ref="O2:Q76" xr:uid="{A271123A-0D9F-42A8-85D1-B1F1B60BD7F7}"/>
  <tableColumns count="3">
    <tableColumn id="1" xr3:uid="{D1F2040A-1F79-4481-9C77-D6990B09BA30}" name="Age" dataDxfId="68"/>
    <tableColumn id="2" xr3:uid="{E5566ED8-6B69-4A6B-8E7F-7215816D7B9D}" name="Male" dataDxfId="67"/>
    <tableColumn id="3" xr3:uid="{3C0E5859-6085-44A5-9422-E7DC9FB8F2DB}" name="Female" dataDxfId="66"/>
  </tableColumns>
  <tableStyleInfo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4954BF00-C44F-4282-8607-970C9541B094}" name="tblHOP2Rate" displayName="tblHOP2Rate" ref="T2:V10" totalsRowShown="0" headerRowDxfId="65" headerRowBorderDxfId="64" tableBorderDxfId="63" totalsRowBorderDxfId="62">
  <autoFilter ref="T2:V10" xr:uid="{7FB06FA0-BF37-4E75-821D-853056997609}"/>
  <tableColumns count="3">
    <tableColumn id="1" xr3:uid="{DA99433E-360D-4C4D-9382-A2269701CF63}" name="Option" dataDxfId="61"/>
    <tableColumn id="2" xr3:uid="{E9BEE83D-5596-4810-8AF0-7608B47983EE}" name="SA" dataDxfId="60"/>
    <tableColumn id="3" xr3:uid="{4E45BF26-B86C-47AF-9FE4-D63903E16C91}" name="Premium" dataDxfId="59"/>
  </tableColumns>
  <tableStyleInfo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342A592F-9390-4C0D-BBB4-5AA06D1391DE}" name="tblPPDRate" displayName="tblPPDRate" ref="E2:G5" totalsRowShown="0" headerRowDxfId="58" headerRowBorderDxfId="57" tableBorderDxfId="56" totalsRowBorderDxfId="55">
  <autoFilter ref="E2:G5" xr:uid="{91794BC6-5A73-43C8-99A3-2A4986B93CF5}"/>
  <tableColumns count="3">
    <tableColumn id="1" xr3:uid="{91D866FE-5249-484C-B8E8-F1F86409E7A0}" name="Min age" dataDxfId="54"/>
    <tableColumn id="2" xr3:uid="{4991F896-3E31-4909-9B4B-D0EBA409C888}" name="Max age" dataDxfId="53"/>
    <tableColumn id="3" xr3:uid="{F96A3AC1-16A9-496F-91D5-0933EA051C24}" name="Annualized GPR" dataDxfId="52"/>
  </tableColumns>
  <tableStyleInfo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EB3E4A1E-945B-4C1A-A1EC-56BE4410F2B4}" name="tblWOP2DiscountFactor" displayName="tblWOP2DiscountFactor" ref="AD2:AE49" totalsRowShown="0" headerRowDxfId="51" headerRowBorderDxfId="50" tableBorderDxfId="49" totalsRowBorderDxfId="48">
  <autoFilter ref="AD2:AE49" xr:uid="{48965FA6-BBA0-4AF8-9ECB-D8AA938F7AFD}"/>
  <tableColumns count="2">
    <tableColumn id="1" xr3:uid="{3C55C629-45CB-433D-BF6E-F53F7BC08EBA}" name="k" dataDxfId="47"/>
    <tableColumn id="2" xr3:uid="{B176D476-193B-43F5-9596-A7006F04381B}" name="f(k)" dataDxfId="46"/>
  </tableColumns>
  <tableStyleInfo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240393D-3526-4EA5-831B-316CC5317094}" name="tblWOP2Rate" displayName="tblWOP2Rate" ref="Y2:AA49" totalsRowShown="0" headerRowDxfId="45" headerRowBorderDxfId="44" tableBorderDxfId="43" totalsRowBorderDxfId="42">
  <autoFilter ref="Y2:AA49" xr:uid="{41B68CC7-3F0A-4A30-8C78-04546552D84B}"/>
  <tableColumns count="3">
    <tableColumn id="1" xr3:uid="{E21EE074-9359-4DB4-A66C-175E32530714}" name="Age " dataDxfId="41"/>
    <tableColumn id="2" xr3:uid="{73AD9B06-9C70-40F3-8616-DAE569E8EBD1}" name="Male" dataDxfId="40"/>
    <tableColumn id="3" xr3:uid="{1E099B91-07EA-480B-977D-A0F56CF5F0D2}" name="Female" dataDxfId="39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H1" dT="2025-06-28T21:21:46.32" personId="{D2A12E4F-9865-457E-B58E-A58F46C62A40}" id="{13F4375F-4949-47DB-925F-5836147DC525}">
    <text>-1 means require manual validation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drawing" Target="../drawings/drawing3.xml"/><Relationship Id="rId4" Type="http://schemas.openxmlformats.org/officeDocument/2006/relationships/table" Target="../tables/table1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13" Type="http://schemas.openxmlformats.org/officeDocument/2006/relationships/table" Target="../tables/table23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12" Type="http://schemas.openxmlformats.org/officeDocument/2006/relationships/table" Target="../tables/table22.xml"/><Relationship Id="rId2" Type="http://schemas.openxmlformats.org/officeDocument/2006/relationships/table" Target="../tables/table12.xml"/><Relationship Id="rId16" Type="http://schemas.microsoft.com/office/2017/10/relationships/threadedComment" Target="../threadedComments/threadedComment1.xml"/><Relationship Id="rId1" Type="http://schemas.openxmlformats.org/officeDocument/2006/relationships/vmlDrawing" Target="../drawings/vmlDrawing1.vml"/><Relationship Id="rId6" Type="http://schemas.openxmlformats.org/officeDocument/2006/relationships/table" Target="../tables/table16.xml"/><Relationship Id="rId11" Type="http://schemas.openxmlformats.org/officeDocument/2006/relationships/table" Target="../tables/table21.xml"/><Relationship Id="rId5" Type="http://schemas.openxmlformats.org/officeDocument/2006/relationships/table" Target="../tables/table15.xml"/><Relationship Id="rId15" Type="http://schemas.openxmlformats.org/officeDocument/2006/relationships/comments" Target="../comments1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Relationship Id="rId14" Type="http://schemas.openxmlformats.org/officeDocument/2006/relationships/table" Target="../tables/table2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table" Target="../tables/table25.xml"/><Relationship Id="rId6" Type="http://schemas.openxmlformats.org/officeDocument/2006/relationships/table" Target="../tables/table30.xml"/><Relationship Id="rId5" Type="http://schemas.openxmlformats.org/officeDocument/2006/relationships/table" Target="../tables/table29.xml"/><Relationship Id="rId4" Type="http://schemas.openxmlformats.org/officeDocument/2006/relationships/table" Target="../tables/table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39E8-0EE3-47F4-B77C-7A4996D75914}">
  <sheetPr codeName="Sheet2">
    <tabColor rgb="FF00B050"/>
  </sheetPr>
  <dimension ref="A1:W126"/>
  <sheetViews>
    <sheetView tabSelected="1" topLeftCell="L1" zoomScale="55" zoomScaleNormal="55" workbookViewId="0">
      <selection activeCell="Q69" sqref="Q69"/>
    </sheetView>
  </sheetViews>
  <sheetFormatPr defaultColWidth="9.140625" defaultRowHeight="15" customHeight="1" x14ac:dyDescent="0.25"/>
  <cols>
    <col min="1" max="1" width="9.140625" style="72" hidden="1" customWidth="1"/>
    <col min="2" max="2" width="15.85546875" style="72" hidden="1" customWidth="1"/>
    <col min="3" max="3" width="16.5703125" style="72" hidden="1" customWidth="1"/>
    <col min="4" max="4" width="9.140625" style="72" hidden="1" customWidth="1"/>
    <col min="5" max="5" width="6.85546875" style="72" hidden="1" customWidth="1"/>
    <col min="6" max="6" width="14.7109375" style="72" hidden="1" customWidth="1"/>
    <col min="7" max="7" width="21" style="72" hidden="1" customWidth="1"/>
    <col min="8" max="8" width="19.42578125" style="72" hidden="1" customWidth="1"/>
    <col min="9" max="9" width="47" style="72" hidden="1" customWidth="1"/>
    <col min="10" max="10" width="29.28515625" style="72" hidden="1" customWidth="1"/>
    <col min="11" max="11" width="37.85546875" style="72" hidden="1" customWidth="1"/>
    <col min="12" max="12" width="22.85546875" style="72" customWidth="1"/>
    <col min="13" max="13" width="60.28515625" style="72" customWidth="1"/>
    <col min="14" max="14" width="24.28515625" style="72" customWidth="1"/>
    <col min="15" max="15" width="27.140625" style="72" customWidth="1"/>
    <col min="16" max="16" width="22.5703125" style="72" bestFit="1" customWidth="1"/>
    <col min="17" max="17" width="25.140625" style="72" customWidth="1"/>
    <col min="18" max="18" width="19.5703125" style="72" bestFit="1" customWidth="1"/>
    <col min="19" max="19" width="30.42578125" style="72" bestFit="1" customWidth="1"/>
    <col min="20" max="20" width="22.42578125" style="72" bestFit="1" customWidth="1"/>
    <col min="21" max="21" width="15.7109375" style="72" bestFit="1" customWidth="1"/>
    <col min="22" max="22" width="60.42578125" style="72" bestFit="1" customWidth="1"/>
    <col min="23" max="23" width="52.42578125" style="72" bestFit="1" customWidth="1"/>
    <col min="24" max="16384" width="9.140625" style="72"/>
  </cols>
  <sheetData>
    <row r="1" spans="1:19" ht="15" customHeight="1" x14ac:dyDescent="0.25">
      <c r="M1" s="1" t="s">
        <v>511</v>
      </c>
    </row>
    <row r="2" spans="1:19" x14ac:dyDescent="0.25">
      <c r="J2" s="362" t="s">
        <v>153</v>
      </c>
      <c r="K2" s="101" t="s">
        <v>491</v>
      </c>
      <c r="M2" s="1" t="s">
        <v>512</v>
      </c>
    </row>
    <row r="3" spans="1:19" x14ac:dyDescent="0.25">
      <c r="J3" s="362" t="s">
        <v>489</v>
      </c>
      <c r="K3" s="101" t="b">
        <f>AND($N$23="",$N$60="",$N$100="")</f>
        <v>1</v>
      </c>
      <c r="M3" s="1" t="s">
        <v>514</v>
      </c>
    </row>
    <row r="4" spans="1:19" x14ac:dyDescent="0.25"/>
    <row r="5" spans="1:19" x14ac:dyDescent="0.25"/>
    <row r="6" spans="1:19" x14ac:dyDescent="0.25"/>
    <row r="7" spans="1:19" ht="26.25" x14ac:dyDescent="0.25">
      <c r="A7" s="366"/>
      <c r="B7" s="366"/>
      <c r="C7" s="366"/>
      <c r="D7" s="366"/>
      <c r="E7" s="366"/>
      <c r="F7" s="366"/>
      <c r="G7" s="366"/>
      <c r="H7" s="366"/>
      <c r="I7" s="366"/>
      <c r="J7" s="366"/>
      <c r="K7" s="366"/>
      <c r="M7" s="73" t="s">
        <v>154</v>
      </c>
      <c r="N7" s="73"/>
    </row>
    <row r="8" spans="1:19" ht="23.25" customHeight="1" x14ac:dyDescent="0.25">
      <c r="I8" s="102" t="s">
        <v>462</v>
      </c>
      <c r="M8" s="74" t="s">
        <v>155</v>
      </c>
      <c r="N8" s="74" t="s">
        <v>156</v>
      </c>
      <c r="O8" s="73"/>
      <c r="Q8" s="73"/>
      <c r="R8" s="73"/>
      <c r="S8" s="73"/>
    </row>
    <row r="9" spans="1:19" x14ac:dyDescent="0.25">
      <c r="M9" s="75" t="s">
        <v>157</v>
      </c>
      <c r="N9" s="76"/>
    </row>
    <row r="10" spans="1:19" x14ac:dyDescent="0.25">
      <c r="M10" s="75" t="s">
        <v>158</v>
      </c>
      <c r="N10" s="76" t="s">
        <v>159</v>
      </c>
    </row>
    <row r="11" spans="1:19" x14ac:dyDescent="0.25">
      <c r="I11" s="72" t="s">
        <v>162</v>
      </c>
      <c r="M11" s="75" t="s">
        <v>160</v>
      </c>
      <c r="N11" s="76" t="s">
        <v>358</v>
      </c>
    </row>
    <row r="12" spans="1:19" x14ac:dyDescent="0.25">
      <c r="I12" s="72" t="s">
        <v>165</v>
      </c>
      <c r="M12" s="75" t="s">
        <v>163</v>
      </c>
      <c r="N12" s="76" t="s">
        <v>164</v>
      </c>
    </row>
    <row r="13" spans="1:19" x14ac:dyDescent="0.25">
      <c r="I13" s="72" t="s">
        <v>167</v>
      </c>
      <c r="M13" s="77" t="s">
        <v>166</v>
      </c>
      <c r="N13" s="78">
        <v>45711</v>
      </c>
      <c r="Q13" s="79"/>
    </row>
    <row r="14" spans="1:19" x14ac:dyDescent="0.25"/>
    <row r="15" spans="1:19" ht="26.25" x14ac:dyDescent="0.25">
      <c r="A15" s="366"/>
      <c r="B15" s="366"/>
      <c r="C15" s="366"/>
      <c r="D15" s="366"/>
      <c r="E15" s="366"/>
      <c r="F15" s="366"/>
      <c r="G15" s="366"/>
      <c r="H15" s="366"/>
      <c r="I15" s="366"/>
      <c r="J15" s="366"/>
      <c r="K15" s="366"/>
      <c r="M15" s="73" t="s">
        <v>168</v>
      </c>
      <c r="N15" s="73"/>
      <c r="O15" s="73"/>
      <c r="P15" s="73"/>
      <c r="Q15" s="73"/>
      <c r="R15" s="73"/>
      <c r="S15" s="73"/>
    </row>
    <row r="16" spans="1:19" ht="18.75" x14ac:dyDescent="0.25">
      <c r="M16" s="80" t="s">
        <v>169</v>
      </c>
      <c r="N16" s="80"/>
      <c r="O16" s="80"/>
      <c r="P16" s="80"/>
      <c r="Q16" s="80"/>
      <c r="R16" s="80"/>
      <c r="S16" s="80"/>
    </row>
    <row r="17" spans="8:21" ht="18.75" x14ac:dyDescent="0.25">
      <c r="M17" s="80"/>
      <c r="N17" s="80"/>
      <c r="O17" s="80"/>
      <c r="P17" s="80"/>
      <c r="Q17" s="80"/>
      <c r="R17" s="80"/>
      <c r="S17" s="80"/>
    </row>
    <row r="18" spans="8:21" hidden="1" x14ac:dyDescent="0.25">
      <c r="N18" s="74" t="s">
        <v>170</v>
      </c>
      <c r="O18" s="81"/>
      <c r="P18" s="81"/>
      <c r="Q18" s="81"/>
      <c r="R18" s="82"/>
      <c r="S18" s="83"/>
    </row>
    <row r="19" spans="8:21" s="87" customFormat="1" hidden="1" x14ac:dyDescent="0.25">
      <c r="M19" s="84" t="s">
        <v>171</v>
      </c>
      <c r="N19" s="85"/>
      <c r="O19" s="86"/>
      <c r="Q19" s="86"/>
      <c r="R19" s="88"/>
      <c r="S19" s="89"/>
    </row>
    <row r="20" spans="8:21" s="87" customFormat="1" x14ac:dyDescent="0.25">
      <c r="K20" s="340" t="s">
        <v>475</v>
      </c>
      <c r="M20" s="90"/>
      <c r="N20" s="74" t="s">
        <v>170</v>
      </c>
      <c r="O20" s="74" t="s">
        <v>172</v>
      </c>
      <c r="P20" s="74" t="s">
        <v>173</v>
      </c>
      <c r="Q20" s="74" t="s">
        <v>174</v>
      </c>
      <c r="R20" s="74" t="s">
        <v>175</v>
      </c>
      <c r="S20" s="74" t="s">
        <v>176</v>
      </c>
      <c r="T20" s="91"/>
      <c r="U20" s="92"/>
    </row>
    <row r="21" spans="8:21" ht="24" customHeight="1" x14ac:dyDescent="0.25">
      <c r="K21" s="72" t="b">
        <f>$R$21&gt;=18</f>
        <v>1</v>
      </c>
      <c r="M21" s="84" t="s">
        <v>177</v>
      </c>
      <c r="N21" s="93" t="s">
        <v>471</v>
      </c>
      <c r="O21" s="93" t="s">
        <v>429</v>
      </c>
      <c r="P21" s="94">
        <v>32464</v>
      </c>
      <c r="Q21" s="407" t="s">
        <v>180</v>
      </c>
      <c r="R21" s="95">
        <f>(YEAR(rcd)-YEAR($P21)-(EDATE($P21,(YEAR(rcd)-YEAR($P21))*12)&gt;rcd))
*NOT(ISBLANK($P21))</f>
        <v>36</v>
      </c>
      <c r="S21" s="326">
        <f>IF(AND(NOT(ISBLANK($P21)),$R21=0),DATEDIF($P21, rcd, "m"),0)</f>
        <v>0</v>
      </c>
      <c r="U21" s="79"/>
    </row>
    <row r="22" spans="8:21" ht="18.75" customHeight="1" x14ac:dyDescent="0.25">
      <c r="M22" s="73"/>
      <c r="N22" s="81"/>
      <c r="O22" s="81"/>
      <c r="P22" s="81"/>
      <c r="Q22" s="81"/>
      <c r="R22" s="96"/>
      <c r="S22" s="97"/>
    </row>
    <row r="23" spans="8:21" ht="18.75" customHeight="1" x14ac:dyDescent="0.25">
      <c r="M23" s="80" t="s">
        <v>181</v>
      </c>
      <c r="N23" s="121" t="str">
        <f>IF(NOT(AND(J26:K36)),"---&gt; Insured validation failed!","")</f>
        <v/>
      </c>
      <c r="O23" s="121"/>
      <c r="P23" s="121"/>
      <c r="Q23" s="121" t="str">
        <f>IF(AND($J$26:$J$36),"","Self cannot be refered to more than once and Self must match with PO.")</f>
        <v/>
      </c>
      <c r="R23" s="337"/>
      <c r="S23" s="338"/>
      <c r="T23" s="121"/>
      <c r="U23" s="121"/>
    </row>
    <row r="24" spans="8:21" ht="18.75" x14ac:dyDescent="0.25">
      <c r="I24" s="72">
        <f>COUNTIFS($I$26:$I$36,TRUE)</f>
        <v>2</v>
      </c>
      <c r="M24" s="80"/>
      <c r="N24" s="80"/>
      <c r="O24" s="80"/>
      <c r="P24" s="80"/>
      <c r="Q24" s="80"/>
      <c r="R24" s="321"/>
      <c r="S24" s="322"/>
      <c r="T24" s="371" t="s">
        <v>182</v>
      </c>
      <c r="U24" s="371"/>
    </row>
    <row r="25" spans="8:21" x14ac:dyDescent="0.25">
      <c r="H25" s="102"/>
      <c r="I25" s="363" t="s">
        <v>478</v>
      </c>
      <c r="J25" s="363" t="s">
        <v>477</v>
      </c>
      <c r="K25" s="364" t="s">
        <v>476</v>
      </c>
      <c r="M25" s="98" t="s">
        <v>183</v>
      </c>
      <c r="N25" s="74" t="s">
        <v>170</v>
      </c>
      <c r="O25" s="74" t="s">
        <v>172</v>
      </c>
      <c r="P25" s="74" t="s">
        <v>173</v>
      </c>
      <c r="Q25" s="74" t="s">
        <v>174</v>
      </c>
      <c r="R25" s="99" t="s">
        <v>175</v>
      </c>
      <c r="S25" s="333" t="s">
        <v>176</v>
      </c>
      <c r="T25" s="74" t="s">
        <v>184</v>
      </c>
      <c r="U25" s="74" t="s">
        <v>185</v>
      </c>
    </row>
    <row r="26" spans="8:21" ht="21.75" customHeight="1" x14ac:dyDescent="0.25">
      <c r="I26" s="72" t="b" cm="1">
        <f t="array" ref="I26">AND(NOT(ISBLANK($N26:$Q26)))</f>
        <v>1</v>
      </c>
      <c r="J26" s="72" t="b" cm="1">
        <f t="array" ref="J26">IF(ISBLANK($Q26),TRUE,
AND(COUNTIFS($Q$26:$Q26,"Self")&lt;=1,IF($Q26="Self",AND($N26:$P26=$N$21:$P$21),TRUE)))</f>
        <v>1</v>
      </c>
      <c r="K26" s="72" t="b">
        <f>IF(R$26&lt;1,IF(S$26&lt;6,FALSE,TRUE),TRUE)</f>
        <v>1</v>
      </c>
      <c r="M26" s="327" t="s">
        <v>186</v>
      </c>
      <c r="N26" s="328" t="s">
        <v>178</v>
      </c>
      <c r="O26" s="328" t="s">
        <v>179</v>
      </c>
      <c r="P26" s="329">
        <v>45435</v>
      </c>
      <c r="Q26" s="330" t="s">
        <v>187</v>
      </c>
      <c r="R26" s="331">
        <f t="shared" ref="R26:R36" si="0">(YEAR(rcd)-YEAR($P26)-(EDATE($P26,(YEAR(rcd)-YEAR($P26))*12)&gt;rcd))
*NOT(ISBLANK($P26))</f>
        <v>0</v>
      </c>
      <c r="S26" s="332">
        <f t="shared" ref="S26:S36" si="1">IF($R26=0,DATEDIF($P26,rcd,"m"),0)
*NOT(ISBLANK($P26))</f>
        <v>9</v>
      </c>
      <c r="T26" s="345"/>
      <c r="U26" s="345"/>
    </row>
    <row r="27" spans="8:21" ht="21.75" customHeight="1" x14ac:dyDescent="0.25">
      <c r="I27" s="72" t="b" cm="1">
        <f t="array" ref="I27">AND(NOT(ISBLANK($N27:$Q27)))</f>
        <v>1</v>
      </c>
      <c r="J27" s="72" t="b" cm="1">
        <f t="array" ref="J27">IF(ISBLANK($Q27),TRUE,
AND(COUNTIFS($Q$26:$Q27,"Self")&lt;=1,IF($Q27="Self",AND($N27:$P27=$N$21:$P$21),TRUE)))</f>
        <v>1</v>
      </c>
      <c r="K27" s="72" t="b">
        <f t="shared" ref="K27:K36" si="2">IF(R$26=0,S$26&gt;=6,TRUE)</f>
        <v>1</v>
      </c>
      <c r="M27" s="84" t="s">
        <v>188</v>
      </c>
      <c r="N27" s="93" t="s">
        <v>189</v>
      </c>
      <c r="O27" s="93" t="s">
        <v>179</v>
      </c>
      <c r="P27" s="94">
        <v>34328</v>
      </c>
      <c r="Q27" s="100" t="s">
        <v>187</v>
      </c>
      <c r="R27" s="95">
        <f t="shared" si="0"/>
        <v>31</v>
      </c>
      <c r="S27" s="325">
        <f t="shared" si="1"/>
        <v>0</v>
      </c>
      <c r="T27" s="346"/>
      <c r="U27" s="346"/>
    </row>
    <row r="28" spans="8:21" ht="21.75" customHeight="1" x14ac:dyDescent="0.25">
      <c r="I28" s="72" t="b" cm="1">
        <f t="array" ref="I28">AND(NOT(ISBLANK($N28:$Q28)))</f>
        <v>0</v>
      </c>
      <c r="J28" s="72" t="b" cm="1">
        <f t="array" ref="J28">IF(ISBLANK($Q28),TRUE,
AND(COUNTIFS($Q$26:$Q28,"Self")&lt;=1,IF($Q28="Self",AND($N28:$P28=$N$21:$P$21),TRUE)))</f>
        <v>1</v>
      </c>
      <c r="K28" s="72" t="b">
        <f t="shared" si="2"/>
        <v>1</v>
      </c>
      <c r="M28" s="84" t="s">
        <v>190</v>
      </c>
      <c r="N28" s="93"/>
      <c r="O28" s="93"/>
      <c r="P28" s="94"/>
      <c r="Q28" s="100"/>
      <c r="R28" s="95">
        <f t="shared" si="0"/>
        <v>0</v>
      </c>
      <c r="S28" s="325">
        <f t="shared" si="1"/>
        <v>0</v>
      </c>
      <c r="T28" s="346"/>
      <c r="U28" s="346"/>
    </row>
    <row r="29" spans="8:21" ht="21.75" customHeight="1" x14ac:dyDescent="0.25">
      <c r="I29" s="72" t="b" cm="1">
        <f t="array" ref="I29">AND(NOT(ISBLANK($N29:$Q29)))</f>
        <v>0</v>
      </c>
      <c r="J29" s="72" t="b" cm="1">
        <f t="array" ref="J29">IF(ISBLANK($Q29),TRUE,
AND(COUNTIFS($Q$26:$Q29,"Self")&lt;=1,IF($Q29="Self",AND($N29:$P29=$N$21:$P$21),TRUE)))</f>
        <v>1</v>
      </c>
      <c r="K29" s="72" t="b">
        <f t="shared" si="2"/>
        <v>1</v>
      </c>
      <c r="M29" s="84" t="s">
        <v>191</v>
      </c>
      <c r="N29" s="93"/>
      <c r="O29" s="93"/>
      <c r="P29" s="94"/>
      <c r="Q29" s="100"/>
      <c r="R29" s="95">
        <f t="shared" si="0"/>
        <v>0</v>
      </c>
      <c r="S29" s="325">
        <f t="shared" si="1"/>
        <v>0</v>
      </c>
      <c r="T29" s="346"/>
      <c r="U29" s="346"/>
    </row>
    <row r="30" spans="8:21" ht="21.75" customHeight="1" x14ac:dyDescent="0.25">
      <c r="I30" s="72" t="b" cm="1">
        <f t="array" ref="I30">AND(NOT(ISBLANK($N30:$Q30)))</f>
        <v>0</v>
      </c>
      <c r="J30" s="72" t="b" cm="1">
        <f t="array" ref="J30">IF(ISBLANK($Q30),TRUE,
AND(COUNTIFS($Q$26:$Q30,"Self")&lt;=1,IF($Q30="Self",AND($N30:$P30=$N$21:$P$21),TRUE)))</f>
        <v>1</v>
      </c>
      <c r="K30" s="72" t="b">
        <f t="shared" si="2"/>
        <v>1</v>
      </c>
      <c r="M30" s="84" t="s">
        <v>192</v>
      </c>
      <c r="N30" s="93"/>
      <c r="O30" s="93"/>
      <c r="P30" s="94"/>
      <c r="Q30" s="100"/>
      <c r="R30" s="95">
        <f t="shared" si="0"/>
        <v>0</v>
      </c>
      <c r="S30" s="325">
        <f t="shared" si="1"/>
        <v>0</v>
      </c>
      <c r="T30" s="346"/>
      <c r="U30" s="346"/>
    </row>
    <row r="31" spans="8:21" ht="21.75" customHeight="1" x14ac:dyDescent="0.25">
      <c r="I31" s="72" t="b" cm="1">
        <f t="array" ref="I31">AND(NOT(ISBLANK($N31:$Q31)))</f>
        <v>0</v>
      </c>
      <c r="J31" s="72" t="b" cm="1">
        <f t="array" ref="J31">IF(ISBLANK($Q31),TRUE,
AND(COUNTIFS($Q$26:$Q31,"Self")&lt;=1,IF($Q31="Self",AND($N31:$P31=$N$21:$P$21),TRUE)))</f>
        <v>1</v>
      </c>
      <c r="K31" s="72" t="b">
        <f t="shared" si="2"/>
        <v>1</v>
      </c>
      <c r="M31" s="84" t="s">
        <v>193</v>
      </c>
      <c r="N31" s="93"/>
      <c r="O31" s="93"/>
      <c r="P31" s="94"/>
      <c r="Q31" s="100"/>
      <c r="R31" s="95">
        <f t="shared" si="0"/>
        <v>0</v>
      </c>
      <c r="S31" s="325">
        <f t="shared" si="1"/>
        <v>0</v>
      </c>
      <c r="T31" s="346"/>
      <c r="U31" s="346"/>
    </row>
    <row r="32" spans="8:21" ht="21.75" customHeight="1" x14ac:dyDescent="0.25">
      <c r="I32" s="72" t="b" cm="1">
        <f t="array" ref="I32">AND(NOT(ISBLANK($N32:$Q32)))</f>
        <v>0</v>
      </c>
      <c r="J32" s="72" t="b" cm="1">
        <f t="array" ref="J32">IF(ISBLANK($Q32),TRUE,
AND(COUNTIFS($Q$26:$Q32,"Self")&lt;=1,IF($Q32="Self",AND($N32:$P32=$N$21:$P$21),TRUE)))</f>
        <v>1</v>
      </c>
      <c r="K32" s="72" t="b">
        <f t="shared" si="2"/>
        <v>1</v>
      </c>
      <c r="M32" s="84" t="s">
        <v>194</v>
      </c>
      <c r="N32" s="93"/>
      <c r="O32" s="93"/>
      <c r="P32" s="94"/>
      <c r="Q32" s="100"/>
      <c r="R32" s="95">
        <f t="shared" si="0"/>
        <v>0</v>
      </c>
      <c r="S32" s="325">
        <f t="shared" si="1"/>
        <v>0</v>
      </c>
      <c r="T32" s="346"/>
      <c r="U32" s="346"/>
    </row>
    <row r="33" spans="1:21" ht="21.75" customHeight="1" x14ac:dyDescent="0.25">
      <c r="I33" s="72" t="b" cm="1">
        <f t="array" ref="I33">AND(NOT(ISBLANK($N33:$Q33)))</f>
        <v>0</v>
      </c>
      <c r="J33" s="72" t="b" cm="1">
        <f t="array" ref="J33">IF(ISBLANK($Q33),TRUE,
AND(COUNTIFS($Q$26:$Q33,"Self")&lt;=1,IF($Q33="Self",AND($N33:$P33=$N$21:$P$21),TRUE)))</f>
        <v>1</v>
      </c>
      <c r="K33" s="72" t="b">
        <f t="shared" si="2"/>
        <v>1</v>
      </c>
      <c r="M33" s="84" t="s">
        <v>195</v>
      </c>
      <c r="N33" s="93"/>
      <c r="O33" s="93"/>
      <c r="P33" s="94"/>
      <c r="Q33" s="100"/>
      <c r="R33" s="95">
        <f t="shared" si="0"/>
        <v>0</v>
      </c>
      <c r="S33" s="325">
        <f t="shared" si="1"/>
        <v>0</v>
      </c>
      <c r="T33" s="346"/>
      <c r="U33" s="346"/>
    </row>
    <row r="34" spans="1:21" ht="21.75" customHeight="1" x14ac:dyDescent="0.25">
      <c r="I34" s="72" t="b" cm="1">
        <f t="array" ref="I34">AND(NOT(ISBLANK($N34:$Q34)))</f>
        <v>0</v>
      </c>
      <c r="J34" s="72" t="b" cm="1">
        <f t="array" ref="J34">IF(ISBLANK($Q34),TRUE,
AND(COUNTIFS($Q$26:$Q34,"Self")&lt;=1,IF($Q34="Self",AND($N34:$P34=$N$21:$P$21),TRUE)))</f>
        <v>1</v>
      </c>
      <c r="K34" s="72" t="b">
        <f t="shared" si="2"/>
        <v>1</v>
      </c>
      <c r="M34" s="84" t="s">
        <v>196</v>
      </c>
      <c r="N34" s="93"/>
      <c r="O34" s="93"/>
      <c r="P34" s="94"/>
      <c r="Q34" s="100"/>
      <c r="R34" s="95">
        <f t="shared" si="0"/>
        <v>0</v>
      </c>
      <c r="S34" s="325">
        <f t="shared" si="1"/>
        <v>0</v>
      </c>
      <c r="T34" s="346"/>
      <c r="U34" s="346"/>
    </row>
    <row r="35" spans="1:21" ht="21.75" customHeight="1" x14ac:dyDescent="0.25">
      <c r="I35" s="72" t="b" cm="1">
        <f t="array" ref="I35">AND(NOT(ISBLANK($N35:$Q35)))</f>
        <v>0</v>
      </c>
      <c r="J35" s="72" t="b" cm="1">
        <f t="array" ref="J35">IF(ISBLANK($Q35),TRUE,
AND(COUNTIFS($Q$26:$Q35,"Self")&lt;=1,IF($Q35="Self",AND($N35:$P35=$N$21:$P$21),TRUE)))</f>
        <v>1</v>
      </c>
      <c r="K35" s="72" t="b">
        <f t="shared" si="2"/>
        <v>1</v>
      </c>
      <c r="M35" s="84" t="s">
        <v>197</v>
      </c>
      <c r="N35" s="93"/>
      <c r="O35" s="93"/>
      <c r="P35" s="94"/>
      <c r="Q35" s="100"/>
      <c r="R35" s="95">
        <f t="shared" si="0"/>
        <v>0</v>
      </c>
      <c r="S35" s="325">
        <f t="shared" si="1"/>
        <v>0</v>
      </c>
      <c r="T35" s="346"/>
      <c r="U35" s="346"/>
    </row>
    <row r="36" spans="1:21" ht="21.75" customHeight="1" x14ac:dyDescent="0.25">
      <c r="I36" s="72" t="b" cm="1">
        <f t="array" ref="I36">AND(NOT(ISBLANK($N36:$Q36)))</f>
        <v>0</v>
      </c>
      <c r="J36" s="72" t="b" cm="1">
        <f t="array" ref="J36">IF(ISBLANK($Q36),TRUE,
AND(COUNTIFS($Q$26:$Q36,"Self")&lt;=1,IF($Q36="Self",AND($N36:$P36=$N$21:$P$21),TRUE)))</f>
        <v>1</v>
      </c>
      <c r="K36" s="72" t="b">
        <f t="shared" si="2"/>
        <v>1</v>
      </c>
      <c r="M36" s="84" t="s">
        <v>198</v>
      </c>
      <c r="N36" s="93"/>
      <c r="O36" s="93"/>
      <c r="P36" s="94"/>
      <c r="Q36" s="100"/>
      <c r="R36" s="95">
        <f t="shared" si="0"/>
        <v>0</v>
      </c>
      <c r="S36" s="325">
        <f t="shared" si="1"/>
        <v>0</v>
      </c>
      <c r="T36" s="346"/>
      <c r="U36" s="346"/>
    </row>
    <row r="37" spans="1:21" x14ac:dyDescent="0.25"/>
    <row r="38" spans="1:21" ht="26.25" x14ac:dyDescent="0.25">
      <c r="A38" s="366"/>
      <c r="B38" s="366"/>
      <c r="C38" s="366"/>
      <c r="D38" s="366"/>
      <c r="E38" s="366"/>
      <c r="F38" s="366"/>
      <c r="G38" s="366"/>
      <c r="H38" s="366"/>
      <c r="I38" s="366"/>
      <c r="J38" s="366"/>
      <c r="K38" s="366"/>
      <c r="M38" s="73" t="s">
        <v>199</v>
      </c>
      <c r="N38" s="73"/>
      <c r="O38" s="73"/>
      <c r="Q38" s="73"/>
      <c r="R38" s="73"/>
      <c r="S38" s="73"/>
    </row>
    <row r="39" spans="1:21" ht="18.75" x14ac:dyDescent="0.25">
      <c r="I39" s="334" t="s">
        <v>467</v>
      </c>
      <c r="J39" s="80"/>
      <c r="K39" s="80"/>
      <c r="M39" s="80" t="s">
        <v>200</v>
      </c>
      <c r="N39" s="320"/>
      <c r="O39" s="80"/>
      <c r="S39" s="80"/>
    </row>
    <row r="40" spans="1:21" ht="18.75" x14ac:dyDescent="0.25">
      <c r="J40" s="80"/>
      <c r="K40" s="80"/>
      <c r="M40" s="80"/>
      <c r="N40" s="80"/>
      <c r="O40" s="80"/>
      <c r="S40" s="80"/>
    </row>
    <row r="41" spans="1:21" x14ac:dyDescent="0.25">
      <c r="I41" s="364" t="s">
        <v>462</v>
      </c>
      <c r="J41" s="364" t="s">
        <v>363</v>
      </c>
      <c r="K41" s="364" t="s">
        <v>466</v>
      </c>
      <c r="M41" s="74" t="s">
        <v>201</v>
      </c>
      <c r="N41" s="74" t="s">
        <v>202</v>
      </c>
    </row>
    <row r="42" spans="1:21" x14ac:dyDescent="0.25">
      <c r="I42" s="72" t="s">
        <v>206</v>
      </c>
      <c r="J42" s="72" t="s">
        <v>463</v>
      </c>
      <c r="K42" s="324"/>
      <c r="M42" s="103" t="s">
        <v>204</v>
      </c>
      <c r="N42" s="104" t="s">
        <v>205</v>
      </c>
    </row>
    <row r="43" spans="1:21" x14ac:dyDescent="0.25">
      <c r="I43" s="72" t="s">
        <v>209</v>
      </c>
      <c r="J43" s="72" t="s">
        <v>463</v>
      </c>
      <c r="K43" s="324"/>
      <c r="M43" s="103" t="s">
        <v>208</v>
      </c>
      <c r="N43" s="107">
        <v>1</v>
      </c>
    </row>
    <row r="44" spans="1:21" x14ac:dyDescent="0.25">
      <c r="I44" s="324"/>
      <c r="J44" s="324"/>
      <c r="K44" s="324"/>
      <c r="M44" s="103" t="s">
        <v>468</v>
      </c>
      <c r="N44" s="335">
        <f>IF(maturity_option=1,100,66)-mainLI_entry_age</f>
        <v>100</v>
      </c>
    </row>
    <row r="45" spans="1:21" x14ac:dyDescent="0.25">
      <c r="I45" s="72" t="str">
        <f ca="1" xml:space="preserve"> "Between must pay period and policy term. (" &amp; must_pay_period &amp; "-" &amp; opted_tp_term &amp;")"</f>
        <v>Between must pay period and policy term. (4-35)</v>
      </c>
      <c r="J45" s="72" t="s">
        <v>464</v>
      </c>
      <c r="K45" s="324"/>
      <c r="M45" s="103" t="s">
        <v>210</v>
      </c>
      <c r="N45" s="108">
        <v>35</v>
      </c>
    </row>
    <row r="46" spans="1:21" x14ac:dyDescent="0.25">
      <c r="I46" s="72" t="str">
        <f ca="1">"Multiple of 100k and Min: "&amp;TEXT(min_base_si,"#,###")</f>
        <v>Multiple of 100k and Min: 100,000,000</v>
      </c>
      <c r="J46" s="72" t="s">
        <v>465</v>
      </c>
      <c r="K46" s="72" t="b">
        <f ca="1">AND(MOD($N$46,100000)=0,$N$46&gt;=min_base_si)</f>
        <v>1</v>
      </c>
      <c r="M46" s="103" t="s">
        <v>212</v>
      </c>
      <c r="N46" s="110">
        <v>101000000</v>
      </c>
    </row>
    <row r="47" spans="1:21" x14ac:dyDescent="0.25">
      <c r="I47" s="72" t="s">
        <v>215</v>
      </c>
      <c r="J47" s="72" t="s">
        <v>463</v>
      </c>
      <c r="K47" s="324"/>
      <c r="M47" s="103" t="s">
        <v>214</v>
      </c>
      <c r="N47" s="111">
        <v>3</v>
      </c>
    </row>
    <row r="48" spans="1:21" x14ac:dyDescent="0.25">
      <c r="I48" s="72" t="str">
        <f ca="1">"Mutiple of 100k and Min: " &amp; TEXT(min_ep,"#,###") &amp; "-Max: " &amp; TEXT(max_ep,"#,###")</f>
        <v>Mutiple of 100k and Min: 1,000,000-Max: 5,360,000</v>
      </c>
      <c r="J48" s="72" t="s">
        <v>465</v>
      </c>
      <c r="K48" s="72" t="b">
        <f ca="1">AND(MOD($N$48,100000)=0,$N$48&gt;=min_ep,$N$48&lt;=max_ep)</f>
        <v>1</v>
      </c>
      <c r="M48" s="103" t="s">
        <v>216</v>
      </c>
      <c r="N48" s="110">
        <v>5200000</v>
      </c>
    </row>
    <row r="49" spans="9:18" x14ac:dyDescent="0.25">
      <c r="I49" s="72" t="str">
        <f ca="1" xml:space="preserve"> "Between must pay period and opted TP term. (" &amp; must_pay_period &amp; "-" &amp; opted_tp_term &amp;")"</f>
        <v>Between must pay period and opted TP term. (4-35)</v>
      </c>
      <c r="J49" s="72" t="s">
        <v>464</v>
      </c>
      <c r="K49" s="324"/>
      <c r="M49" s="103" t="s">
        <v>219</v>
      </c>
      <c r="N49" s="108">
        <v>24</v>
      </c>
    </row>
    <row r="50" spans="9:18" x14ac:dyDescent="0.25">
      <c r="I50" s="72" t="s">
        <v>222</v>
      </c>
      <c r="J50" s="72" t="s">
        <v>463</v>
      </c>
      <c r="K50" s="324"/>
      <c r="M50" s="103" t="s">
        <v>221</v>
      </c>
      <c r="N50" s="344" t="s">
        <v>220</v>
      </c>
    </row>
    <row r="51" spans="9:18" x14ac:dyDescent="0.25">
      <c r="I51" s="105"/>
    </row>
    <row r="52" spans="9:18" ht="18.75" x14ac:dyDescent="0.25">
      <c r="I52" s="105"/>
      <c r="M52" s="80" t="s">
        <v>226</v>
      </c>
      <c r="N52" s="320"/>
      <c r="O52" s="80"/>
    </row>
    <row r="54" spans="9:18" x14ac:dyDescent="0.25">
      <c r="I54" s="364" t="s">
        <v>462</v>
      </c>
      <c r="J54" s="364" t="s">
        <v>363</v>
      </c>
      <c r="K54" s="364" t="s">
        <v>466</v>
      </c>
      <c r="M54" s="74" t="s">
        <v>201</v>
      </c>
      <c r="N54" s="74" t="s">
        <v>202</v>
      </c>
    </row>
    <row r="55" spans="9:18" x14ac:dyDescent="0.25">
      <c r="I55" s="105" t="s">
        <v>228</v>
      </c>
      <c r="J55" s="72" t="s">
        <v>463</v>
      </c>
      <c r="K55" s="324"/>
      <c r="M55" s="116" t="s">
        <v>227</v>
      </c>
      <c r="N55" s="117">
        <v>0.75</v>
      </c>
    </row>
    <row r="56" spans="9:18" x14ac:dyDescent="0.25">
      <c r="I56" s="72" t="str">
        <f ca="1" xml:space="preserve"> "Between must pay period and policy term. (" &amp; must_pay_period &amp; "-" &amp; opted_tp_term &amp;")"</f>
        <v>Between must pay period and policy term. (4-35)</v>
      </c>
      <c r="J56" s="72" t="s">
        <v>464</v>
      </c>
      <c r="K56" s="324"/>
      <c r="M56" s="116" t="s">
        <v>230</v>
      </c>
      <c r="N56" s="118">
        <v>20</v>
      </c>
    </row>
    <row r="57" spans="9:18" x14ac:dyDescent="0.25">
      <c r="I57" s="105" t="s">
        <v>232</v>
      </c>
      <c r="J57" s="72" t="s">
        <v>463</v>
      </c>
      <c r="K57" s="324"/>
      <c r="M57" s="116" t="s">
        <v>231</v>
      </c>
      <c r="N57" s="119">
        <v>2</v>
      </c>
    </row>
    <row r="58" spans="9:18" ht="15" customHeight="1" x14ac:dyDescent="0.25">
      <c r="I58" s="72" t="str">
        <f ca="1" xml:space="preserve"> "Between must pay period and policy term. (" &amp; must_pay_period &amp; "-" &amp; opted_tp_term &amp;")"</f>
        <v>Between must pay period and policy term. (4-35)</v>
      </c>
      <c r="J58" s="72" t="s">
        <v>464</v>
      </c>
      <c r="K58" s="324"/>
      <c r="M58" s="116" t="s">
        <v>233</v>
      </c>
      <c r="N58" s="118">
        <v>20</v>
      </c>
    </row>
    <row r="60" spans="9:18" ht="15" customHeight="1" x14ac:dyDescent="0.25">
      <c r="M60" s="80" t="s">
        <v>234</v>
      </c>
      <c r="N60" s="121" t="str" cm="1">
        <f t="array" ref="N60">IF(AND($N$61:$O$61="",$Q$63=""),"","---&gt; Fund allocation validation failed!")</f>
        <v/>
      </c>
    </row>
    <row r="61" spans="9:18" x14ac:dyDescent="0.25">
      <c r="J61" s="336"/>
      <c r="K61" s="336"/>
      <c r="N61" s="341" t="str">
        <f>IF(SUM(tblFundAlloc[TP%])&lt;&gt;1,"Sum of TP% must be 100%.","")</f>
        <v/>
      </c>
      <c r="O61" s="341" t="str">
        <f>IF(SUM(tblFundAlloc[EP%])&lt;&gt;1,"Sum of EP% must be 100%.","")</f>
        <v/>
      </c>
    </row>
    <row r="62" spans="9:18" ht="15" customHeight="1" x14ac:dyDescent="0.25">
      <c r="J62" s="364" t="s">
        <v>469</v>
      </c>
      <c r="K62" s="364" t="s">
        <v>470</v>
      </c>
      <c r="M62" s="112" t="s">
        <v>2</v>
      </c>
      <c r="N62" s="113" t="s">
        <v>235</v>
      </c>
      <c r="O62" s="120" t="s">
        <v>236</v>
      </c>
    </row>
    <row r="63" spans="9:18" ht="15" customHeight="1" x14ac:dyDescent="0.25">
      <c r="J63" s="72" t="b">
        <f>AND(SUM(N$63:N63)&lt;=1,NOT(ISBLANK(tblFundAlloc[[#This Row],[TP%]])))</f>
        <v>1</v>
      </c>
      <c r="K63" s="72" t="b">
        <f>AND(SUM(O$63:O63)&lt;=1,NOT(ISBLANK(tblFundAlloc[[#This Row],[EP%]])))</f>
        <v>1</v>
      </c>
      <c r="M63" s="116" t="s">
        <v>138</v>
      </c>
      <c r="N63" s="342">
        <v>1</v>
      </c>
      <c r="O63" s="343">
        <v>1</v>
      </c>
      <c r="Q63" s="121" t="str">
        <f>IF(OR(ISBLANK(tblFundAlloc[[#This Row],[TP%]]),ISBLANK(tblFundAlloc[[#This Row],[EP%]])),"F000 is default. Cannot leave blank!","")</f>
        <v/>
      </c>
      <c r="R63" s="121"/>
    </row>
    <row r="64" spans="9:18" ht="15" customHeight="1" x14ac:dyDescent="0.25">
      <c r="J64" s="72" t="b">
        <f>SUM(N$63:N64)&lt;=1</f>
        <v>1</v>
      </c>
      <c r="K64" s="72" t="b">
        <f>SUM(O$63:O64)&lt;=1</f>
        <v>1</v>
      </c>
      <c r="M64" s="116" t="s">
        <v>142</v>
      </c>
      <c r="N64" s="342"/>
      <c r="O64" s="343"/>
    </row>
    <row r="65" spans="1:19" ht="15" customHeight="1" x14ac:dyDescent="0.25">
      <c r="J65" s="72" t="b">
        <f>SUM(N$63:N65)&lt;=1</f>
        <v>1</v>
      </c>
      <c r="K65" s="72" t="b">
        <f>SUM(O$63:O65)&lt;=1</f>
        <v>1</v>
      </c>
      <c r="M65" s="116" t="s">
        <v>143</v>
      </c>
      <c r="N65" s="342"/>
      <c r="O65" s="343"/>
    </row>
    <row r="66" spans="1:19" ht="15" customHeight="1" x14ac:dyDescent="0.25">
      <c r="J66" s="72" t="b">
        <f>SUM(N$63:N66)&lt;=1</f>
        <v>1</v>
      </c>
      <c r="K66" s="72" t="b">
        <f>SUM(O$63:O66)&lt;=1</f>
        <v>1</v>
      </c>
      <c r="M66" s="116" t="s">
        <v>145</v>
      </c>
      <c r="N66" s="342"/>
      <c r="O66" s="343"/>
    </row>
    <row r="67" spans="1:19" ht="15" customHeight="1" x14ac:dyDescent="0.25">
      <c r="J67" s="72" t="b">
        <f>SUM(N$63:N67)&lt;=1</f>
        <v>1</v>
      </c>
      <c r="K67" s="72" t="b">
        <f>SUM(O$63:O67)&lt;=1</f>
        <v>1</v>
      </c>
      <c r="M67" s="116" t="s">
        <v>146</v>
      </c>
      <c r="N67" s="342"/>
      <c r="O67" s="343"/>
    </row>
    <row r="68" spans="1:19" ht="15" customHeight="1" x14ac:dyDescent="0.25">
      <c r="J68" s="72" t="b">
        <f>SUM(N$63:N68)&lt;=1</f>
        <v>1</v>
      </c>
      <c r="K68" s="72" t="b">
        <f>SUM(O$63:O68)&lt;=1</f>
        <v>1</v>
      </c>
      <c r="M68" s="116" t="s">
        <v>147</v>
      </c>
      <c r="N68" s="342"/>
      <c r="O68" s="343"/>
    </row>
    <row r="69" spans="1:19" ht="15" customHeight="1" x14ac:dyDescent="0.25">
      <c r="J69" s="72" t="b">
        <f>SUM(N$63:N69)&lt;=1</f>
        <v>1</v>
      </c>
      <c r="K69" s="72" t="b">
        <f>SUM(O$63:O69)&lt;=1</f>
        <v>1</v>
      </c>
      <c r="M69" s="116" t="s">
        <v>148</v>
      </c>
      <c r="N69" s="342"/>
      <c r="O69" s="343"/>
    </row>
    <row r="70" spans="1:19" ht="15" customHeight="1" x14ac:dyDescent="0.25">
      <c r="J70" s="72" t="b">
        <f>SUM(N$63:N70)&lt;=1</f>
        <v>1</v>
      </c>
      <c r="K70" s="72" t="b">
        <f>SUM(O$63:O70)&lt;=1</f>
        <v>1</v>
      </c>
      <c r="M70" s="116" t="s">
        <v>149</v>
      </c>
      <c r="N70" s="342"/>
      <c r="O70" s="343"/>
    </row>
    <row r="71" spans="1:19" ht="15" customHeight="1" x14ac:dyDescent="0.25">
      <c r="J71" s="72" t="b">
        <f>SUM(N$63:N71)&lt;=1</f>
        <v>1</v>
      </c>
      <c r="K71" s="72" t="b">
        <f>SUM(O$63:O71)&lt;=1</f>
        <v>1</v>
      </c>
      <c r="M71" s="116" t="s">
        <v>150</v>
      </c>
      <c r="N71" s="342"/>
      <c r="O71" s="343"/>
    </row>
    <row r="72" spans="1:19" ht="15" customHeight="1" x14ac:dyDescent="0.25">
      <c r="J72" s="72" t="b">
        <f>SUM(N$63:N72)&lt;=1</f>
        <v>1</v>
      </c>
      <c r="K72" s="72" t="b">
        <f>SUM(O$63:O72)&lt;=1</f>
        <v>1</v>
      </c>
      <c r="M72" s="116" t="s">
        <v>151</v>
      </c>
      <c r="N72" s="342"/>
      <c r="O72" s="343"/>
    </row>
    <row r="73" spans="1:19" ht="15" customHeight="1" x14ac:dyDescent="0.25">
      <c r="J73" s="72" t="b">
        <f>SUM(N$63:N73)&lt;=1</f>
        <v>1</v>
      </c>
      <c r="K73" s="72" t="b">
        <f>SUM(O$63:O73)&lt;=1</f>
        <v>1</v>
      </c>
      <c r="M73" s="116" t="s">
        <v>152</v>
      </c>
      <c r="N73" s="342"/>
      <c r="O73" s="343"/>
    </row>
    <row r="74" spans="1:19" ht="15" customHeight="1" x14ac:dyDescent="0.25">
      <c r="P74" s="80"/>
    </row>
    <row r="75" spans="1:19" ht="18.75" x14ac:dyDescent="0.25">
      <c r="A75" s="366"/>
      <c r="B75" s="366"/>
      <c r="C75" s="366"/>
      <c r="D75" s="366"/>
      <c r="E75" s="366"/>
      <c r="F75" s="366"/>
      <c r="G75" s="366"/>
      <c r="H75" s="366"/>
      <c r="I75" s="366"/>
      <c r="J75" s="366"/>
      <c r="K75" s="366"/>
      <c r="M75" s="80" t="s">
        <v>238</v>
      </c>
      <c r="N75" s="320"/>
      <c r="O75" s="80"/>
      <c r="Q75" s="80"/>
    </row>
    <row r="76" spans="1:19" x14ac:dyDescent="0.25">
      <c r="B76" s="121" t="s">
        <v>237</v>
      </c>
      <c r="M76" s="122"/>
      <c r="N76" s="122"/>
      <c r="O76" s="122"/>
      <c r="P76" s="121"/>
      <c r="Q76" s="102"/>
    </row>
    <row r="77" spans="1:19" x14ac:dyDescent="0.25">
      <c r="B77" s="123" t="s">
        <v>17</v>
      </c>
      <c r="C77" s="124" t="s">
        <v>241</v>
      </c>
      <c r="I77" s="364" t="s">
        <v>472</v>
      </c>
      <c r="J77" s="364" t="s">
        <v>473</v>
      </c>
      <c r="K77" s="364" t="s">
        <v>474</v>
      </c>
      <c r="M77" s="125" t="s">
        <v>239</v>
      </c>
      <c r="N77" s="126" t="s">
        <v>240</v>
      </c>
      <c r="O77" s="127" t="s">
        <v>241</v>
      </c>
      <c r="Q77" s="102"/>
      <c r="R77" s="102"/>
      <c r="S77" s="102"/>
    </row>
    <row r="78" spans="1:19" x14ac:dyDescent="0.25">
      <c r="B78">
        <v>5</v>
      </c>
      <c r="C78">
        <v>1000000</v>
      </c>
      <c r="I78" s="339" t="b">
        <f ca="1">IF(ISBLANK(tblWithdrawal[[#This Row],[From]]),TRUE,
AND(tblWithdrawal[[#This Row],[From]]&gt;=withdrawal_start_year,tblWithdrawal[[#This Row],[From]]&lt;=base_term))</f>
        <v>1</v>
      </c>
      <c r="J78" s="72" t="b">
        <f ca="1">IF(ISBLANK(tblWithdrawal[[#This Row],[To]]),TRUE,
AND(tblWithdrawal[[#This Row],[To]]&gt;=MAX(tblWithdrawal[[#This Row],[From]],OFFSET(tblWithdrawal[[#This Row],[To]],-1,0))))</f>
        <v>1</v>
      </c>
      <c r="K78" s="72" t="b">
        <f ca="1">IF(ISBLANK(tblWithdrawal[[#This Row],[To]]),TRUE,
AND(MOD(tblWithdrawal[[#This Row],[Amount]],100000)=0,tblWithdrawal[[#This Row],[Amount]]&gt;=min_withdrawal_amount))</f>
        <v>1</v>
      </c>
      <c r="M78" s="128">
        <v>5</v>
      </c>
      <c r="N78" s="129">
        <v>7</v>
      </c>
      <c r="O78" s="130">
        <v>1000000</v>
      </c>
    </row>
    <row r="79" spans="1:19" x14ac:dyDescent="0.25">
      <c r="B79">
        <v>6</v>
      </c>
      <c r="C79">
        <v>1000000</v>
      </c>
      <c r="I79" s="72" t="b">
        <f ca="1">IF(ISBLANK(tblWithdrawal[[#This Row],[From]]),TRUE,
AND(tblWithdrawal[[#This Row],[From]]&gt;OFFSET(tblWithdrawal[[#This Row],[To]],-1,0)))</f>
        <v>1</v>
      </c>
      <c r="J79" s="72" t="b">
        <f ca="1">IF(ISBLANK(tblWithdrawal[[#This Row],[To]]),TRUE,
AND(tblWithdrawal[[#This Row],[To]]&gt;=MAX(tblWithdrawal[[#This Row],[From]],OFFSET(tblWithdrawal[[#This Row],[To]],-1,0))))</f>
        <v>1</v>
      </c>
      <c r="K79" s="72" t="b">
        <f ca="1">IF(ISBLANK(tblWithdrawal[[#This Row],[To]]),TRUE,
AND(MOD(tblWithdrawal[[#This Row],[Amount]],100000)=0,tblWithdrawal[[#This Row],[Amount]]&gt;=min_withdrawal_amount))</f>
        <v>1</v>
      </c>
      <c r="M79" s="128">
        <v>12</v>
      </c>
      <c r="N79" s="129">
        <v>15</v>
      </c>
      <c r="O79" s="130">
        <v>5000000</v>
      </c>
      <c r="Q79" s="131"/>
    </row>
    <row r="80" spans="1:19" x14ac:dyDescent="0.25">
      <c r="B80">
        <v>7</v>
      </c>
      <c r="C80">
        <v>1000000</v>
      </c>
      <c r="I80" s="72" t="b">
        <f ca="1">IF(ISBLANK(tblWithdrawal[[#This Row],[From]]),TRUE,
AND(tblWithdrawal[[#This Row],[From]]&gt;OFFSET(tblWithdrawal[[#This Row],[To]],-1,0)))</f>
        <v>1</v>
      </c>
      <c r="J80" s="72" t="b">
        <f ca="1">IF(ISBLANK(tblWithdrawal[[#This Row],[To]]),TRUE,
AND(tblWithdrawal[[#This Row],[To]]&gt;=MAX(tblWithdrawal[[#This Row],[From]],OFFSET(tblWithdrawal[[#This Row],[To]],-1,0))))</f>
        <v>1</v>
      </c>
      <c r="K80" s="72" t="b">
        <f ca="1">IF(ISBLANK(tblWithdrawal[[#This Row],[To]]),TRUE,
AND(MOD(tblWithdrawal[[#This Row],[Amount]],100000)=0,tblWithdrawal[[#This Row],[Amount]]&gt;=min_withdrawal_amount))</f>
        <v>1</v>
      </c>
      <c r="M80" s="128">
        <v>20</v>
      </c>
      <c r="N80" s="129">
        <v>23</v>
      </c>
      <c r="O80" s="130">
        <v>10000000</v>
      </c>
      <c r="Q80" s="131"/>
    </row>
    <row r="81" spans="2:17" x14ac:dyDescent="0.25">
      <c r="B81">
        <v>12</v>
      </c>
      <c r="C81">
        <v>5000000</v>
      </c>
      <c r="I81" s="72" t="b">
        <f ca="1">IF(ISBLANK(tblWithdrawal[[#This Row],[From]]),TRUE,
AND(tblWithdrawal[[#This Row],[From]]&gt;OFFSET(tblWithdrawal[[#This Row],[To]],-1,0)))</f>
        <v>1</v>
      </c>
      <c r="J81" s="72" t="b">
        <f ca="1">IF(ISBLANK(tblWithdrawal[[#This Row],[To]]),TRUE,
AND(tblWithdrawal[[#This Row],[To]]&gt;=MAX(tblWithdrawal[[#This Row],[From]],OFFSET(tblWithdrawal[[#This Row],[To]],-1,0))))</f>
        <v>1</v>
      </c>
      <c r="K81" s="72" t="b">
        <f>IF(ISBLANK(tblWithdrawal[[#This Row],[To]]),TRUE,
AND(MOD(tblWithdrawal[[#This Row],[Amount]],100000)=0,tblWithdrawal[[#This Row],[Amount]]&gt;=min_withdrawal_amount))</f>
        <v>1</v>
      </c>
      <c r="M81" s="128"/>
      <c r="N81" s="129"/>
      <c r="O81" s="130"/>
      <c r="Q81" s="131"/>
    </row>
    <row r="82" spans="2:17" x14ac:dyDescent="0.25">
      <c r="B82">
        <v>13</v>
      </c>
      <c r="C82">
        <v>5000000</v>
      </c>
      <c r="I82" s="72" t="b">
        <f ca="1">IF(ISBLANK(tblWithdrawal[[#This Row],[From]]),TRUE,
AND(tblWithdrawal[[#This Row],[From]]&gt;OFFSET(tblWithdrawal[[#This Row],[To]],-1,0)))</f>
        <v>1</v>
      </c>
      <c r="J82" s="72" t="b">
        <f ca="1">IF(ISBLANK(tblWithdrawal[[#This Row],[To]]),TRUE,
AND(tblWithdrawal[[#This Row],[To]]&gt;=MAX(tblWithdrawal[[#This Row],[From]],OFFSET(tblWithdrawal[[#This Row],[To]],-1,0))))</f>
        <v>1</v>
      </c>
      <c r="K82" s="72" t="b">
        <f>IF(ISBLANK(tblWithdrawal[[#This Row],[To]]),TRUE,
AND(MOD(tblWithdrawal[[#This Row],[Amount]],100000)=0,tblWithdrawal[[#This Row],[Amount]]&gt;=min_withdrawal_amount))</f>
        <v>1</v>
      </c>
      <c r="M82" s="347"/>
      <c r="N82" s="129"/>
      <c r="O82" s="130"/>
      <c r="Q82" s="131"/>
    </row>
    <row r="83" spans="2:17" x14ac:dyDescent="0.25">
      <c r="B83">
        <v>14</v>
      </c>
      <c r="C83">
        <v>5000000</v>
      </c>
      <c r="I83" s="72" t="b">
        <f ca="1">IF(ISBLANK(tblWithdrawal[[#This Row],[From]]),TRUE,
AND(tblWithdrawal[[#This Row],[From]]&gt;OFFSET(tblWithdrawal[[#This Row],[To]],-1,0)))</f>
        <v>1</v>
      </c>
      <c r="J83" s="72" t="b">
        <f ca="1">IF(ISBLANK(tblWithdrawal[[#This Row],[To]]),TRUE,
AND(tblWithdrawal[[#This Row],[To]]&gt;=MAX(tblWithdrawal[[#This Row],[From]],OFFSET(tblWithdrawal[[#This Row],[To]],-1,0))))</f>
        <v>1</v>
      </c>
      <c r="K83" s="72" t="b">
        <f>IF(ISBLANK(tblWithdrawal[[#This Row],[To]]),TRUE,
AND(MOD(tblWithdrawal[[#This Row],[Amount]],100000)=0,tblWithdrawal[[#This Row],[Amount]]&gt;=min_withdrawal_amount))</f>
        <v>1</v>
      </c>
      <c r="M83" s="128"/>
      <c r="N83" s="129"/>
      <c r="O83" s="130"/>
      <c r="Q83" s="131"/>
    </row>
    <row r="84" spans="2:17" x14ac:dyDescent="0.25">
      <c r="B84">
        <v>15</v>
      </c>
      <c r="C84">
        <v>5000000</v>
      </c>
      <c r="I84" s="72" t="b">
        <f ca="1">IF(ISBLANK(tblWithdrawal[[#This Row],[From]]),TRUE,
AND(tblWithdrawal[[#This Row],[From]]&gt;OFFSET(tblWithdrawal[[#This Row],[To]],-1,0)))</f>
        <v>1</v>
      </c>
      <c r="J84" s="72" t="b">
        <f ca="1">IF(ISBLANK(tblWithdrawal[[#This Row],[To]]),TRUE,
AND(tblWithdrawal[[#This Row],[To]]&gt;=MAX(tblWithdrawal[[#This Row],[From]],OFFSET(tblWithdrawal[[#This Row],[To]],-1,0))))</f>
        <v>1</v>
      </c>
      <c r="K84" s="72" t="b">
        <f>IF(ISBLANK(tblWithdrawal[[#This Row],[To]]),TRUE,
AND(MOD(tblWithdrawal[[#This Row],[Amount]],100000)=0,tblWithdrawal[[#This Row],[Amount]]&gt;=min_withdrawal_amount))</f>
        <v>1</v>
      </c>
      <c r="M84" s="128"/>
      <c r="N84" s="129"/>
      <c r="O84" s="130"/>
      <c r="Q84" s="131"/>
    </row>
    <row r="85" spans="2:17" x14ac:dyDescent="0.25">
      <c r="B85">
        <v>20</v>
      </c>
      <c r="C85">
        <v>10000000</v>
      </c>
      <c r="I85" s="72" t="b">
        <f ca="1">IF(ISBLANK(tblWithdrawal[[#This Row],[From]]),TRUE,
AND(tblWithdrawal[[#This Row],[From]]&gt;OFFSET(tblWithdrawal[[#This Row],[To]],-1,0)))</f>
        <v>1</v>
      </c>
      <c r="J85" s="72" t="b">
        <f ca="1">IF(ISBLANK(tblWithdrawal[[#This Row],[To]]),TRUE,
AND(tblWithdrawal[[#This Row],[To]]&gt;=MAX(tblWithdrawal[[#This Row],[From]],OFFSET(tblWithdrawal[[#This Row],[To]],-1,0))))</f>
        <v>1</v>
      </c>
      <c r="K85" s="72" t="b">
        <f>IF(ISBLANK(tblWithdrawal[[#This Row],[To]]),TRUE,
AND(MOD(tblWithdrawal[[#This Row],[Amount]],100000)=0,tblWithdrawal[[#This Row],[Amount]]&gt;=min_withdrawal_amount))</f>
        <v>1</v>
      </c>
      <c r="M85" s="128"/>
      <c r="N85" s="129"/>
      <c r="O85" s="130"/>
      <c r="Q85" s="131"/>
    </row>
    <row r="86" spans="2:17" x14ac:dyDescent="0.25">
      <c r="B86">
        <v>21</v>
      </c>
      <c r="C86">
        <v>10000000</v>
      </c>
      <c r="I86" s="72" t="b">
        <f ca="1">IF(ISBLANK(tblWithdrawal[[#This Row],[From]]),TRUE,
AND(tblWithdrawal[[#This Row],[From]]&gt;OFFSET(tblWithdrawal[[#This Row],[To]],-1,0)))</f>
        <v>1</v>
      </c>
      <c r="J86" s="72" t="b">
        <f ca="1">IF(ISBLANK(tblWithdrawal[[#This Row],[To]]),TRUE,
AND(tblWithdrawal[[#This Row],[To]]&gt;=MAX(tblWithdrawal[[#This Row],[From]],OFFSET(tblWithdrawal[[#This Row],[To]],-1,0))))</f>
        <v>1</v>
      </c>
      <c r="K86" s="72" t="b">
        <f>IF(ISBLANK(tblWithdrawal[[#This Row],[To]]),TRUE,
AND(MOD(tblWithdrawal[[#This Row],[Amount]],100000)=0,tblWithdrawal[[#This Row],[Amount]]&gt;=min_withdrawal_amount))</f>
        <v>1</v>
      </c>
      <c r="M86" s="128"/>
      <c r="N86" s="129"/>
      <c r="O86" s="130"/>
    </row>
    <row r="87" spans="2:17" x14ac:dyDescent="0.25">
      <c r="B87">
        <v>22</v>
      </c>
      <c r="C87">
        <v>10000000</v>
      </c>
      <c r="I87" s="72" t="b">
        <f ca="1">IF(ISBLANK(tblWithdrawal[[#This Row],[From]]),TRUE,
AND(tblWithdrawal[[#This Row],[From]]&gt;OFFSET(tblWithdrawal[[#This Row],[To]],-1,0)))</f>
        <v>1</v>
      </c>
      <c r="J87" s="72" t="b">
        <f ca="1">IF(ISBLANK(tblWithdrawal[[#This Row],[To]]),TRUE,
AND(tblWithdrawal[[#This Row],[To]]&gt;=MAX(tblWithdrawal[[#This Row],[From]],OFFSET(tblWithdrawal[[#This Row],[To]],-1,0))))</f>
        <v>1</v>
      </c>
      <c r="K87" s="72" t="b">
        <f>IF(ISBLANK(tblWithdrawal[[#This Row],[To]]),TRUE,
AND(MOD(tblWithdrawal[[#This Row],[Amount]],100000)=0,tblWithdrawal[[#This Row],[Amount]]&gt;=min_withdrawal_amount))</f>
        <v>1</v>
      </c>
      <c r="M87" s="128"/>
      <c r="N87" s="129"/>
      <c r="O87" s="130"/>
    </row>
    <row r="88" spans="2:17" x14ac:dyDescent="0.25">
      <c r="B88">
        <v>23</v>
      </c>
      <c r="C88">
        <v>10000000</v>
      </c>
      <c r="I88" s="72" t="b">
        <f ca="1">IF(ISBLANK(tblWithdrawal[[#This Row],[From]]),TRUE,
AND(tblWithdrawal[[#This Row],[From]]&gt;OFFSET(tblWithdrawal[[#This Row],[To]],-1,0)))</f>
        <v>1</v>
      </c>
      <c r="J88" s="72" t="b">
        <f ca="1">IF(ISBLANK(tblWithdrawal[[#This Row],[To]]),TRUE,
AND(tblWithdrawal[[#This Row],[To]]&gt;=MAX(tblWithdrawal[[#This Row],[From]],OFFSET(tblWithdrawal[[#This Row],[To]],-1,0))))</f>
        <v>1</v>
      </c>
      <c r="K88" s="72" t="b">
        <f>IF(ISBLANK(tblWithdrawal[[#This Row],[To]]),TRUE,
AND(MOD(tblWithdrawal[[#This Row],[Amount]],100000)=0,tblWithdrawal[[#This Row],[Amount]]&gt;=min_withdrawal_amount))</f>
        <v>1</v>
      </c>
      <c r="M88" s="128"/>
      <c r="N88" s="129"/>
      <c r="O88" s="130"/>
    </row>
    <row r="89" spans="2:17" x14ac:dyDescent="0.25">
      <c r="I89" s="72" t="b">
        <f ca="1">IF(ISBLANK(tblWithdrawal[[#This Row],[From]]),TRUE,
AND(tblWithdrawal[[#This Row],[From]]&gt;OFFSET(tblWithdrawal[[#This Row],[To]],-1,0)))</f>
        <v>1</v>
      </c>
      <c r="J89" s="72" t="b">
        <f ca="1">IF(ISBLANK(tblWithdrawal[[#This Row],[To]]),TRUE,
AND(tblWithdrawal[[#This Row],[To]]&gt;=MAX(tblWithdrawal[[#This Row],[From]],OFFSET(tblWithdrawal[[#This Row],[To]],-1,0))))</f>
        <v>1</v>
      </c>
      <c r="K89" s="72" t="b">
        <f>IF(ISBLANK(tblWithdrawal[[#This Row],[To]]),TRUE,
AND(MOD(tblWithdrawal[[#This Row],[Amount]],100000)=0,tblWithdrawal[[#This Row],[Amount]]&gt;=min_withdrawal_amount))</f>
        <v>1</v>
      </c>
      <c r="M89" s="128"/>
      <c r="N89" s="129"/>
      <c r="O89" s="130"/>
    </row>
    <row r="90" spans="2:17" x14ac:dyDescent="0.25">
      <c r="I90" s="72" t="b">
        <f ca="1">IF(ISBLANK(tblWithdrawal[[#This Row],[From]]),TRUE,
AND(tblWithdrawal[[#This Row],[From]]&gt;OFFSET(tblWithdrawal[[#This Row],[To]],-1,0)))</f>
        <v>1</v>
      </c>
      <c r="J90" s="72" t="b">
        <f ca="1">IF(ISBLANK(tblWithdrawal[[#This Row],[To]]),TRUE,
AND(tblWithdrawal[[#This Row],[To]]&gt;=MAX(tblWithdrawal[[#This Row],[From]],OFFSET(tblWithdrawal[[#This Row],[To]],-1,0))))</f>
        <v>1</v>
      </c>
      <c r="K90" s="72" t="b">
        <f>IF(ISBLANK(tblWithdrawal[[#This Row],[To]]),TRUE,
AND(MOD(tblWithdrawal[[#This Row],[Amount]],100000)=0,tblWithdrawal[[#This Row],[Amount]]&gt;=min_withdrawal_amount))</f>
        <v>1</v>
      </c>
      <c r="M90" s="128"/>
      <c r="N90" s="129"/>
      <c r="O90" s="130"/>
    </row>
    <row r="91" spans="2:17" x14ac:dyDescent="0.25">
      <c r="I91" s="72" t="b">
        <f ca="1">IF(ISBLANK(tblWithdrawal[[#This Row],[From]]),TRUE,
AND(tblWithdrawal[[#This Row],[From]]&gt;OFFSET(tblWithdrawal[[#This Row],[To]],-1,0)))</f>
        <v>1</v>
      </c>
      <c r="J91" s="72" t="b">
        <f ca="1">IF(ISBLANK(tblWithdrawal[[#This Row],[To]]),TRUE,
AND(tblWithdrawal[[#This Row],[To]]&gt;=MAX(tblWithdrawal[[#This Row],[From]],OFFSET(tblWithdrawal[[#This Row],[To]],-1,0))))</f>
        <v>1</v>
      </c>
      <c r="K91" s="72" t="b">
        <f>IF(ISBLANK(tblWithdrawal[[#This Row],[To]]),TRUE,
AND(MOD(tblWithdrawal[[#This Row],[Amount]],100000)=0,tblWithdrawal[[#This Row],[Amount]]&gt;=min_withdrawal_amount))</f>
        <v>1</v>
      </c>
      <c r="M91" s="128"/>
      <c r="N91" s="129"/>
      <c r="O91" s="130"/>
    </row>
    <row r="92" spans="2:17" x14ac:dyDescent="0.25">
      <c r="I92" s="72" t="b">
        <f ca="1">IF(ISBLANK(tblWithdrawal[[#This Row],[From]]),TRUE,
AND(tblWithdrawal[[#This Row],[From]]&gt;OFFSET(tblWithdrawal[[#This Row],[To]],-1,0)))</f>
        <v>1</v>
      </c>
      <c r="J92" s="72" t="b">
        <f ca="1">IF(ISBLANK(tblWithdrawal[[#This Row],[To]]),TRUE,
AND(tblWithdrawal[[#This Row],[To]]&gt;=MAX(tblWithdrawal[[#This Row],[From]],OFFSET(tblWithdrawal[[#This Row],[To]],-1,0))))</f>
        <v>1</v>
      </c>
      <c r="K92" s="72" t="b">
        <f>IF(ISBLANK(tblWithdrawal[[#This Row],[To]]),TRUE,
AND(MOD(tblWithdrawal[[#This Row],[Amount]],100000)=0,tblWithdrawal[[#This Row],[Amount]]&gt;=min_withdrawal_amount))</f>
        <v>1</v>
      </c>
      <c r="M92" s="128"/>
      <c r="N92" s="129"/>
      <c r="O92" s="130"/>
    </row>
    <row r="93" spans="2:17" x14ac:dyDescent="0.25">
      <c r="I93" s="72" t="b">
        <f ca="1">IF(ISBLANK(tblWithdrawal[[#This Row],[From]]),TRUE,
AND(tblWithdrawal[[#This Row],[From]]&gt;OFFSET(tblWithdrawal[[#This Row],[To]],-1,0)))</f>
        <v>1</v>
      </c>
      <c r="J93" s="72" t="b">
        <f ca="1">IF(ISBLANK(tblWithdrawal[[#This Row],[To]]),TRUE,
AND(tblWithdrawal[[#This Row],[To]]&gt;=MAX(tblWithdrawal[[#This Row],[From]],OFFSET(tblWithdrawal[[#This Row],[To]],-1,0))))</f>
        <v>1</v>
      </c>
      <c r="K93" s="72" t="b">
        <f>IF(ISBLANK(tblWithdrawal[[#This Row],[To]]),TRUE,
AND(MOD(tblWithdrawal[[#This Row],[Amount]],100000)=0,tblWithdrawal[[#This Row],[Amount]]&gt;=min_withdrawal_amount))</f>
        <v>1</v>
      </c>
      <c r="M93" s="128"/>
      <c r="N93" s="129"/>
      <c r="O93" s="130"/>
    </row>
    <row r="94" spans="2:17" x14ac:dyDescent="0.25">
      <c r="I94" s="72" t="b">
        <f ca="1">IF(ISBLANK(tblWithdrawal[[#This Row],[From]]),TRUE,
AND(tblWithdrawal[[#This Row],[From]]&gt;OFFSET(tblWithdrawal[[#This Row],[To]],-1,0)))</f>
        <v>1</v>
      </c>
      <c r="J94" s="72" t="b">
        <f ca="1">IF(ISBLANK(tblWithdrawal[[#This Row],[To]]),TRUE,
AND(tblWithdrawal[[#This Row],[To]]&gt;=MAX(tblWithdrawal[[#This Row],[From]],OFFSET(tblWithdrawal[[#This Row],[To]],-1,0))))</f>
        <v>1</v>
      </c>
      <c r="K94" s="72" t="b">
        <f>IF(ISBLANK(tblWithdrawal[[#This Row],[To]]),TRUE,
AND(MOD(tblWithdrawal[[#This Row],[Amount]],100000)=0,tblWithdrawal[[#This Row],[Amount]]&gt;=min_withdrawal_amount))</f>
        <v>1</v>
      </c>
      <c r="M94" s="128"/>
      <c r="N94" s="129"/>
      <c r="O94" s="130"/>
    </row>
    <row r="95" spans="2:17" x14ac:dyDescent="0.25">
      <c r="I95" s="72" t="b">
        <f ca="1">IF(ISBLANK(tblWithdrawal[[#This Row],[From]]),TRUE,
AND(tblWithdrawal[[#This Row],[From]]&gt;OFFSET(tblWithdrawal[[#This Row],[To]],-1,0)))</f>
        <v>1</v>
      </c>
      <c r="J95" s="72" t="b">
        <f ca="1">IF(ISBLANK(tblWithdrawal[[#This Row],[To]]),TRUE,
AND(tblWithdrawal[[#This Row],[To]]&gt;=MAX(tblWithdrawal[[#This Row],[From]],OFFSET(tblWithdrawal[[#This Row],[To]],-1,0))))</f>
        <v>1</v>
      </c>
      <c r="K95" s="72" t="b">
        <f>IF(ISBLANK(tblWithdrawal[[#This Row],[To]]),TRUE,
AND(MOD(tblWithdrawal[[#This Row],[Amount]],100000)=0,tblWithdrawal[[#This Row],[Amount]]&gt;=min_withdrawal_amount))</f>
        <v>1</v>
      </c>
      <c r="M95" s="128"/>
      <c r="N95" s="129"/>
      <c r="O95" s="130"/>
    </row>
    <row r="96" spans="2:17" x14ac:dyDescent="0.25">
      <c r="I96" s="72" t="b">
        <f ca="1">IF(ISBLANK(tblWithdrawal[[#This Row],[From]]),TRUE,
AND(tblWithdrawal[[#This Row],[From]]&gt;OFFSET(tblWithdrawal[[#This Row],[To]],-1,0)))</f>
        <v>1</v>
      </c>
      <c r="J96" s="72" t="b">
        <f ca="1">IF(ISBLANK(tblWithdrawal[[#This Row],[To]]),TRUE,
AND(tblWithdrawal[[#This Row],[To]]&gt;=MAX(tblWithdrawal[[#This Row],[From]],OFFSET(tblWithdrawal[[#This Row],[To]],-1,0))))</f>
        <v>1</v>
      </c>
      <c r="K96" s="72" t="b">
        <f>IF(ISBLANK(tblWithdrawal[[#This Row],[To]]),TRUE,
AND(MOD(tblWithdrawal[[#This Row],[Amount]],100000)=0,tblWithdrawal[[#This Row],[Amount]]&gt;=min_withdrawal_amount))</f>
        <v>1</v>
      </c>
      <c r="M96" s="128"/>
      <c r="N96" s="129"/>
      <c r="O96" s="130"/>
    </row>
    <row r="97" spans="6:23" x14ac:dyDescent="0.25">
      <c r="I97" s="72" t="b">
        <f ca="1">IF(ISBLANK(tblWithdrawal[[#This Row],[From]]),TRUE,
AND(tblWithdrawal[[#This Row],[From]]&gt;OFFSET(tblWithdrawal[[#This Row],[To]],-1,0)))</f>
        <v>1</v>
      </c>
      <c r="J97" s="72" t="b">
        <f ca="1">IF(ISBLANK(tblWithdrawal[[#This Row],[To]]),TRUE,
AND(tblWithdrawal[[#This Row],[To]]&gt;=MAX(tblWithdrawal[[#This Row],[From]],OFFSET(tblWithdrawal[[#This Row],[To]],-1,0))))</f>
        <v>1</v>
      </c>
      <c r="K97" s="72" t="b">
        <f>IF(ISBLANK(tblWithdrawal[[#This Row],[To]]),TRUE,
AND(MOD(tblWithdrawal[[#This Row],[Amount]],100000)=0,tblWithdrawal[[#This Row],[Amount]]&gt;=min_withdrawal_amount))</f>
        <v>1</v>
      </c>
      <c r="M97" s="132"/>
      <c r="N97" s="133"/>
      <c r="O97" s="134"/>
    </row>
    <row r="100" spans="6:23" ht="15" customHeight="1" x14ac:dyDescent="0.25">
      <c r="M100" s="80" t="s">
        <v>242</v>
      </c>
      <c r="N100" s="121" t="str">
        <f>IF(AND($K$103:$K$126),"","---&gt; Fail rider validation!")</f>
        <v/>
      </c>
    </row>
    <row r="102" spans="6:23" ht="15" customHeight="1" x14ac:dyDescent="0.25">
      <c r="F102" s="365" t="s">
        <v>20</v>
      </c>
      <c r="G102" s="365" t="s">
        <v>366</v>
      </c>
      <c r="H102" s="365" t="s">
        <v>367</v>
      </c>
      <c r="I102" s="365" t="s">
        <v>368</v>
      </c>
      <c r="J102" s="365" t="s">
        <v>269</v>
      </c>
      <c r="K102" s="365" t="s">
        <v>479</v>
      </c>
      <c r="M102" s="125" t="s">
        <v>243</v>
      </c>
      <c r="N102" s="126" t="s">
        <v>244</v>
      </c>
      <c r="O102" s="126" t="s">
        <v>245</v>
      </c>
      <c r="P102" s="126" t="s">
        <v>246</v>
      </c>
      <c r="Q102" s="126" t="s">
        <v>247</v>
      </c>
      <c r="R102" s="126" t="s">
        <v>248</v>
      </c>
      <c r="S102" s="126" t="s">
        <v>249</v>
      </c>
      <c r="T102" s="127" t="s">
        <v>250</v>
      </c>
      <c r="V102" s="102" t="s">
        <v>488</v>
      </c>
      <c r="W102" s="102" t="s">
        <v>251</v>
      </c>
    </row>
    <row r="103" spans="6:23" ht="15" customHeight="1" x14ac:dyDescent="0.25">
      <c r="F103" s="72">
        <f>IFERROR(INDEX($R$26:$R$36,MATCH(tblRider[[#This Row],[Insured]],$M$26:$M$36,0)),0)</f>
        <v>31</v>
      </c>
      <c r="G103" s="72">
        <f>IFERROR(INDEX(tblAgeValidation[Min],MATCH(tblRider[[#This Row],[Rider]],tblAgeValidation[Product],0)),0)</f>
        <v>18</v>
      </c>
      <c r="H103" s="72">
        <f>IFERROR(INDEX(tblAgeValidation[Max],MATCH(tblRider[[#This Row],[Rider]],tblAgeValidation[Product],0)),0)</f>
        <v>60</v>
      </c>
      <c r="I103" s="72">
        <f>IFERROR(INDEX(tblAgeValidation[Maturity],MATCH(tblRider[[#This Row],[Rider]],tblAgeValidation[Product],0)),0)</f>
        <v>61</v>
      </c>
      <c r="J103" s="72" cm="1">
        <f t="array" ref="J103">_xlfn.SWITCH(tblRider[[#This Row],[Rider]],
"SUP1",MIN(base_term,$I103-$F103,17),
"WOP1",MIN(opted_tp_term,$I103-$F103),
"WOP2",MIN(opted_tp_term,$I103-$F103),
MIN(base_term,$I103-$F103))</f>
        <v>30</v>
      </c>
      <c r="K103" s="72" t="b" cm="1">
        <f t="array" ref="K103">IF(AND(NOT(ISBLANK(tblRider[[#This Row],[Rider]:[Insured]]))),
AND($F103&gt;=$G103,$F103&lt;=$H103),
TRUE)</f>
        <v>1</v>
      </c>
      <c r="M103" s="348" t="s">
        <v>480</v>
      </c>
      <c r="N103" s="349" t="s">
        <v>188</v>
      </c>
      <c r="O103" s="130">
        <v>120000000</v>
      </c>
      <c r="P103" s="350"/>
      <c r="Q103" s="351">
        <v>0.75</v>
      </c>
      <c r="R103" s="352">
        <v>20</v>
      </c>
      <c r="S103" s="350">
        <v>2</v>
      </c>
      <c r="T103" s="353">
        <v>20</v>
      </c>
      <c r="V103" s="121" t="str">
        <f>IF($K103,"",tblRider[[#This Row],[Rider]] &amp;" entry age is between " &amp; $G103 &amp; " and " &amp; $H103 &amp; " BUT " &amp; tblRider[[#This Row],[Insured]] &amp; " is " &amp; $F103 &amp; " years old.")</f>
        <v/>
      </c>
      <c r="W103" s="72" t="s">
        <v>252</v>
      </c>
    </row>
    <row r="104" spans="6:23" ht="15" customHeight="1" x14ac:dyDescent="0.25">
      <c r="F104" s="72">
        <f>IFERROR(INDEX($R$26:$R$36,MATCH(tblRider[[#This Row],[Insured]],$M$26:$M$36,0)),0)</f>
        <v>31</v>
      </c>
      <c r="G104" s="72">
        <f>IFERROR(INDEX(tblAgeValidation[Min],MATCH(tblRider[[#This Row],[Rider]],tblAgeValidation[Product],0)),0)</f>
        <v>18</v>
      </c>
      <c r="H104" s="72">
        <f>IFERROR(INDEX(tblAgeValidation[Max],MATCH(tblRider[[#This Row],[Rider]],tblAgeValidation[Product],0)),0)</f>
        <v>60</v>
      </c>
      <c r="I104" s="72">
        <f>IFERROR(INDEX(tblAgeValidation[Maturity],MATCH(tblRider[[#This Row],[Rider]],tblAgeValidation[Product],0)),0)</f>
        <v>65</v>
      </c>
      <c r="J104" s="72" cm="1">
        <f t="array" ref="J104">_xlfn.SWITCH(tblRider[[#This Row],[Rider]],
"SUP1",MIN(base_term,$I104-$F104,17),
"WOP1",MIN(opted_tp_term,$I104-$F104),
"WOP2",MIN(opted_tp_term,$I104-$F104),
MIN(Base_CF!term,$I104-$F104))</f>
        <v>34</v>
      </c>
      <c r="K104" s="72" t="b" cm="1">
        <f t="array" ref="K104">IF(AND(NOT(ISBLANK(tblRider[[#This Row],[Rider]:[Insured]]))),
AND($F104&gt;=$G104,$F104&lt;=$H104),
TRUE)</f>
        <v>1</v>
      </c>
      <c r="M104" s="348" t="s">
        <v>481</v>
      </c>
      <c r="N104" s="349" t="s">
        <v>188</v>
      </c>
      <c r="O104" s="130"/>
      <c r="P104" s="350"/>
      <c r="Q104" s="351">
        <v>0.25</v>
      </c>
      <c r="R104" s="352">
        <v>17</v>
      </c>
      <c r="S104" s="350">
        <v>1</v>
      </c>
      <c r="T104" s="353">
        <v>17</v>
      </c>
      <c r="V104" s="121" t="str">
        <f>IF($K104,"",tblRider[[#This Row],[Rider]] &amp;" entry age is between " &amp; $G104 &amp; " and " &amp; $H104 &amp; " BUT " &amp; tblRider[[#This Row],[Insured]] &amp; " is " &amp; $F104 &amp; " years old.")</f>
        <v/>
      </c>
      <c r="W104" s="135" t="s">
        <v>254</v>
      </c>
    </row>
    <row r="105" spans="6:23" ht="15" customHeight="1" x14ac:dyDescent="0.25">
      <c r="F105" s="72">
        <f>IFERROR(INDEX($R$26:$R$36,MATCH(tblRider[[#This Row],[Insured]],$M$26:$M$36,0)),0)</f>
        <v>31</v>
      </c>
      <c r="G105" s="72">
        <f>IFERROR(INDEX(tblAgeValidation[Min],MATCH(tblRider[[#This Row],[Rider]],tblAgeValidation[Product],0)),0)</f>
        <v>18</v>
      </c>
      <c r="H105" s="72">
        <f>IFERROR(INDEX(tblAgeValidation[Max],MATCH(tblRider[[#This Row],[Rider]],tblAgeValidation[Product],0)),0)</f>
        <v>60</v>
      </c>
      <c r="I105" s="72">
        <f>IFERROR(INDEX(tblAgeValidation[Maturity],MATCH(tblRider[[#This Row],[Rider]],tblAgeValidation[Product],0)),0)</f>
        <v>65</v>
      </c>
      <c r="J105" s="72" cm="1">
        <f t="array" ref="J105">_xlfn.SWITCH(tblRider[[#This Row],[Rider]],
"SUP1",MIN(base_term,$I105-$F105,17),
"WOP1",MIN(opted_tp_term,$I105-$F105),
"WOP2",MIN(opted_tp_term,$I105-$F105),
MIN(Base_CF!term,$I105-$F105))</f>
        <v>34</v>
      </c>
      <c r="K105" s="72" t="b" cm="1">
        <f t="array" ref="K105">IF(AND(NOT(ISBLANK(tblRider[[#This Row],[Rider]:[Insured]]))),
AND($F105&gt;=$G105,$F105&lt;=$H105),
TRUE)</f>
        <v>1</v>
      </c>
      <c r="M105" s="348" t="s">
        <v>482</v>
      </c>
      <c r="N105" s="349" t="s">
        <v>188</v>
      </c>
      <c r="O105" s="130"/>
      <c r="P105" s="350"/>
      <c r="Q105" s="351">
        <v>0.75</v>
      </c>
      <c r="R105" s="352">
        <v>20</v>
      </c>
      <c r="S105" s="350">
        <v>2</v>
      </c>
      <c r="T105" s="353">
        <v>20</v>
      </c>
      <c r="V105" s="121" t="str">
        <f>IF($K105,"",tblRider[[#This Row],[Rider]] &amp;" entry age is between " &amp; $G105 &amp; " and " &amp; $H105 &amp; " BUT " &amp; tblRider[[#This Row],[Insured]] &amp; " is " &amp; $F105 &amp; " years old.")</f>
        <v/>
      </c>
      <c r="W105" s="136" t="s">
        <v>256</v>
      </c>
    </row>
    <row r="106" spans="6:23" ht="15" customHeight="1" x14ac:dyDescent="0.25">
      <c r="F106" s="72">
        <f>IFERROR(INDEX($R$26:$R$36,MATCH(tblRider[[#This Row],[Insured]],$M$26:$M$36,0)),0)</f>
        <v>31</v>
      </c>
      <c r="G106" s="72">
        <f>IFERROR(INDEX(tblAgeValidation[Min],MATCH(tblRider[[#This Row],[Rider]],tblAgeValidation[Product],0)),0)</f>
        <v>1</v>
      </c>
      <c r="H106" s="72">
        <f>IFERROR(INDEX(tblAgeValidation[Max],MATCH(tblRider[[#This Row],[Rider]],tblAgeValidation[Product],0)),0)</f>
        <v>65</v>
      </c>
      <c r="I106" s="72">
        <f>IFERROR(INDEX(tblAgeValidation[Maturity],MATCH(tblRider[[#This Row],[Rider]],tblAgeValidation[Product],0)),0)</f>
        <v>75</v>
      </c>
      <c r="J106" s="72" cm="1">
        <f t="array" ref="J106">_xlfn.SWITCH(tblRider[[#This Row],[Rider]],
"SUP1",MIN(base_term,$I106-$F106,17),
"WOP1",MIN(opted_tp_term,$I106-$F106),
"WOP2",MIN(opted_tp_term,$I106-$F106),
MIN(Base_CF!term,$I106-$F106))</f>
        <v>44</v>
      </c>
      <c r="K106" s="72" t="b" cm="1">
        <f t="array" ref="K106">IF(AND(NOT(ISBLANK(tblRider[[#This Row],[Rider]:[Insured]]))),
AND($F106&gt;=$G106,$F106&lt;=$H106),
TRUE)</f>
        <v>1</v>
      </c>
      <c r="M106" s="348" t="s">
        <v>483</v>
      </c>
      <c r="N106" s="349" t="s">
        <v>188</v>
      </c>
      <c r="O106" s="130">
        <v>250000000</v>
      </c>
      <c r="P106" s="350"/>
      <c r="Q106" s="351">
        <v>0.75</v>
      </c>
      <c r="R106" s="352">
        <v>20</v>
      </c>
      <c r="S106" s="350">
        <v>2</v>
      </c>
      <c r="T106" s="353">
        <v>20</v>
      </c>
      <c r="V106" s="121" t="str">
        <f>IF($K106,"",tblRider[[#This Row],[Rider]] &amp;" entry age is between " &amp; $G106 &amp; " and " &amp; $H106 &amp; " BUT " &amp; tblRider[[#This Row],[Insured]] &amp; " is " &amp; $F106 &amp; " years old.")</f>
        <v/>
      </c>
      <c r="W106" s="135"/>
    </row>
    <row r="107" spans="6:23" ht="15" customHeight="1" x14ac:dyDescent="0.25">
      <c r="F107" s="72">
        <f>IFERROR(INDEX($R$26:$R$36,MATCH(tblRider[[#This Row],[Insured]],$M$26:$M$36,0)),0)</f>
        <v>31</v>
      </c>
      <c r="G107" s="72">
        <f>IFERROR(INDEX(tblAgeValidation[Min],MATCH(tblRider[[#This Row],[Rider]],tblAgeValidation[Product],0)),0)</f>
        <v>20</v>
      </c>
      <c r="H107" s="72">
        <f>IFERROR(INDEX(tblAgeValidation[Max],MATCH(tblRider[[#This Row],[Rider]],tblAgeValidation[Product],0)),0)</f>
        <v>59</v>
      </c>
      <c r="I107" s="72">
        <f>IFERROR(INDEX(tblAgeValidation[Maturity],MATCH(tblRider[[#This Row],[Rider]],tblAgeValidation[Product],0)),0)</f>
        <v>60</v>
      </c>
      <c r="J107" s="72" cm="1">
        <f t="array" ref="J107">_xlfn.SWITCH(tblRider[[#This Row],[Rider]],
"SUP1",MIN(base_term,$I107-$F107,17),
"WOP1",MIN(opted_tp_term,$I107-$F107),
"WOP2",MIN(opted_tp_term,$I107-$F107),
MIN(Base_CF!term,$I107-$F107))</f>
        <v>29</v>
      </c>
      <c r="K107" s="72" t="b" cm="1">
        <f t="array" ref="K107">IF(AND(NOT(ISBLANK(tblRider[[#This Row],[Rider]:[Insured]]))),
AND($F107&gt;=$G107,$F107&lt;=$H107),
TRUE)</f>
        <v>1</v>
      </c>
      <c r="M107" s="348" t="s">
        <v>484</v>
      </c>
      <c r="N107" s="349" t="s">
        <v>188</v>
      </c>
      <c r="O107" s="130"/>
      <c r="P107" s="350"/>
      <c r="Q107" s="351">
        <v>0.75</v>
      </c>
      <c r="R107" s="352">
        <v>20</v>
      </c>
      <c r="S107" s="350">
        <v>2</v>
      </c>
      <c r="T107" s="353">
        <v>20</v>
      </c>
      <c r="V107" s="121" t="str">
        <f>IF($K107,"",tblRider[[#This Row],[Rider]] &amp;" entry age is between " &amp; $G107 &amp; " and " &amp; $H107 &amp; " BUT " &amp; tblRider[[#This Row],[Insured]] &amp; " is " &amp; $F107 &amp; " years old.")</f>
        <v/>
      </c>
      <c r="W107" s="72" t="s">
        <v>259</v>
      </c>
    </row>
    <row r="108" spans="6:23" ht="15" customHeight="1" x14ac:dyDescent="0.25">
      <c r="F108" s="72">
        <f>IFERROR(INDEX($R$26:$R$36,MATCH(tblRider[[#This Row],[Insured]],$M$26:$M$36,0)),0)</f>
        <v>0</v>
      </c>
      <c r="G108" s="72">
        <f>IFERROR(INDEX(tblAgeValidation[Min],MATCH(tblRider[[#This Row],[Rider]],tblAgeValidation[Product],0)),0)</f>
        <v>-1</v>
      </c>
      <c r="H108" s="72">
        <f>IFERROR(INDEX(tblAgeValidation[Max],MATCH(tblRider[[#This Row],[Rider]],tblAgeValidation[Product],0)),0)</f>
        <v>70</v>
      </c>
      <c r="I108" s="72">
        <f>IFERROR(INDEX(tblAgeValidation[Maturity],MATCH(tblRider[[#This Row],[Rider]],tblAgeValidation[Product],0)),0)</f>
        <v>71</v>
      </c>
      <c r="J108" s="72" cm="1">
        <f t="array" ref="J108">_xlfn.SWITCH(tblRider[[#This Row],[Rider]],
"SUP1",MIN(base_term,$I108-$F108,17),
"WOP1",MIN(opted_tp_term,$I108-$F108),
"WOP2",MIN(opted_tp_term,$I108-$F108),
MIN(Base_CF!term,$I108-$F108))</f>
        <v>71</v>
      </c>
      <c r="K108" s="72" t="b" cm="1">
        <f t="array" ref="K108">IF(AND(NOT(ISBLANK(tblRider[[#This Row],[Rider]:[Insured]]))),
AND($F108&gt;=$G108,$F108&lt;=$H108),
TRUE)</f>
        <v>1</v>
      </c>
      <c r="M108" s="348" t="s">
        <v>485</v>
      </c>
      <c r="N108" s="349" t="s">
        <v>186</v>
      </c>
      <c r="O108" s="130">
        <v>120000000</v>
      </c>
      <c r="P108" s="350"/>
      <c r="Q108" s="351">
        <v>0.25</v>
      </c>
      <c r="R108" s="352">
        <v>17</v>
      </c>
      <c r="S108" s="350">
        <v>3</v>
      </c>
      <c r="T108" s="353">
        <v>17</v>
      </c>
      <c r="V108" s="121" t="str">
        <f>IF($K108,"",tblRider[[#This Row],[Rider]] &amp;" entry age is between " &amp; $G108 &amp; " and " &amp; $H108 &amp; " BUT " &amp; tblRider[[#This Row],[Insured]] &amp; " is " &amp; $F108 &amp; " years old.")</f>
        <v/>
      </c>
      <c r="W108" s="136" t="s">
        <v>260</v>
      </c>
    </row>
    <row r="109" spans="6:23" ht="15" customHeight="1" x14ac:dyDescent="0.25">
      <c r="F109" s="72">
        <f>IFERROR(INDEX($R$26:$R$36,MATCH(tblRider[[#This Row],[Insured]],$M$26:$M$36,0)),0)</f>
        <v>31</v>
      </c>
      <c r="G109" s="72">
        <f>IFERROR(INDEX(tblAgeValidation[Min],MATCH(tblRider[[#This Row],[Rider]],tblAgeValidation[Product],0)),0)</f>
        <v>2</v>
      </c>
      <c r="H109" s="72">
        <f>IFERROR(INDEX(tblAgeValidation[Max],MATCH(tblRider[[#This Row],[Rider]],tblAgeValidation[Product],0)),0)</f>
        <v>59</v>
      </c>
      <c r="I109" s="72">
        <f>IFERROR(INDEX(tblAgeValidation[Maturity],MATCH(tblRider[[#This Row],[Rider]],tblAgeValidation[Product],0)),0)</f>
        <v>60</v>
      </c>
      <c r="J109" s="72" cm="1">
        <f t="array" ref="J109">_xlfn.SWITCH(tblRider[[#This Row],[Rider]],
"SUP1",MIN(base_term,$I109-$F109,17),
"WOP1",MIN(opted_tp_term,$I109-$F109),
"WOP2",MIN(opted_tp_term,$I109-$F109),
MIN(Base_CF!term,$I109-$F109))</f>
        <v>29</v>
      </c>
      <c r="K109" s="72" t="b" cm="1">
        <f t="array" ref="K109">IF(AND(NOT(ISBLANK(tblRider[[#This Row],[Rider]:[Insured]]))),
AND($F109&gt;=$G109,$F109&lt;=$H109),
TRUE)</f>
        <v>1</v>
      </c>
      <c r="M109" s="348" t="s">
        <v>486</v>
      </c>
      <c r="N109" s="349" t="s">
        <v>188</v>
      </c>
      <c r="O109" s="130"/>
      <c r="P109" s="350">
        <v>4</v>
      </c>
      <c r="Q109" s="351">
        <v>0.75</v>
      </c>
      <c r="R109" s="352">
        <v>20</v>
      </c>
      <c r="S109" s="350">
        <v>2</v>
      </c>
      <c r="T109" s="353">
        <v>20</v>
      </c>
      <c r="V109" s="121" t="str">
        <f>IF($K109,"",tblRider[[#This Row],[Rider]] &amp;" entry age is between " &amp; $G109 &amp; " and " &amp; $H109 &amp; " BUT " &amp; tblRider[[#This Row],[Insured]] &amp; " is " &amp; $F109 &amp; " years old.")</f>
        <v/>
      </c>
    </row>
    <row r="110" spans="6:23" ht="15" customHeight="1" x14ac:dyDescent="0.25">
      <c r="F110" s="72">
        <f>IFERROR(INDEX($R$26:$R$36,MATCH(tblRider[[#This Row],[Insured]],$M$26:$M$36,0)),0)</f>
        <v>31</v>
      </c>
      <c r="G110" s="72">
        <f>IFERROR(INDEX(tblAgeValidation[Min],MATCH(tblRider[[#This Row],[Rider]],tblAgeValidation[Product],0)),0)</f>
        <v>1</v>
      </c>
      <c r="H110" s="72">
        <f>IFERROR(INDEX(tblAgeValidation[Max],MATCH(tblRider[[#This Row],[Rider]],tblAgeValidation[Product],0)),0)</f>
        <v>58</v>
      </c>
      <c r="I110" s="72">
        <f>IFERROR(INDEX(tblAgeValidation[Maturity],MATCH(tblRider[[#This Row],[Rider]],tblAgeValidation[Product],0)),0)</f>
        <v>65</v>
      </c>
      <c r="J110" s="72" cm="1">
        <f t="array" ref="J110">_xlfn.SWITCH(tblRider[[#This Row],[Rider]],
"SUP1",MIN(base_term,$I110-$F110,17),
"WOP1",MIN(opted_tp_term,$I110-$F110),
"WOP2",MIN(opted_tp_term,$I110-$F110),
MIN(Base_CF!term,$I110-$F110))</f>
        <v>34</v>
      </c>
      <c r="K110" s="72" t="b" cm="1">
        <f t="array" ref="K110">IF(AND(NOT(ISBLANK(tblRider[[#This Row],[Rider]:[Insured]]))),
AND($F110&gt;=$G110,$F110&lt;=$H110),
TRUE)</f>
        <v>1</v>
      </c>
      <c r="M110" s="348" t="s">
        <v>487</v>
      </c>
      <c r="N110" s="349" t="s">
        <v>188</v>
      </c>
      <c r="O110" s="130">
        <v>175000000</v>
      </c>
      <c r="P110" s="350"/>
      <c r="Q110" s="351">
        <v>0.75</v>
      </c>
      <c r="R110" s="352">
        <v>20</v>
      </c>
      <c r="S110" s="350">
        <v>2</v>
      </c>
      <c r="T110" s="353">
        <v>20</v>
      </c>
      <c r="V110" s="121" t="str">
        <f>IF($K110,"",tblRider[[#This Row],[Rider]] &amp;" entry age is between " &amp; $G110 &amp; " and " &amp; $H110 &amp; " BUT " &amp; tblRider[[#This Row],[Insured]] &amp; " is " &amp; $F110 &amp; " years old.")</f>
        <v/>
      </c>
      <c r="W110" s="72" t="s">
        <v>262</v>
      </c>
    </row>
    <row r="111" spans="6:23" ht="15" customHeight="1" x14ac:dyDescent="0.25">
      <c r="F111" s="72">
        <f>IFERROR(INDEX($R$26:$R$36,MATCH(tblRider[[#This Row],[Insured]],$M$26:$M$36,0)),0)</f>
        <v>0</v>
      </c>
      <c r="G111" s="72">
        <f>IFERROR(INDEX(tblAgeValidation[Min],MATCH(tblRider[[#This Row],[Rider]],tblAgeValidation[Product],0)),0)</f>
        <v>0</v>
      </c>
      <c r="H111" s="72">
        <f>IFERROR(INDEX(tblAgeValidation[Max],MATCH(tblRider[[#This Row],[Rider]],tblAgeValidation[Product],0)),0)</f>
        <v>0</v>
      </c>
      <c r="I111" s="72">
        <f>IFERROR(INDEX(tblAgeValidation[Maturity],MATCH(tblRider[[#This Row],[Rider]],tblAgeValidation[Product],0)),0)</f>
        <v>0</v>
      </c>
      <c r="J111" s="72" cm="1">
        <f t="array" ref="J111">_xlfn.SWITCH(tblRider[[#This Row],[Rider]],
"SUP1",MIN(base_term,$I111-$F111,17),
"WOP1",MIN(opted_tp_term,$I111-$F111),
"WOP2",MIN(opted_tp_term,$I111-$F111),
MIN(Base_CF!term,$I111-$F111))</f>
        <v>0</v>
      </c>
      <c r="K111" s="72" t="b" cm="1">
        <f t="array" ref="K111">IF(AND(NOT(ISBLANK(tblRider[[#This Row],[Rider]:[Insured]]))),
AND($F111&gt;=$G111,$F111&lt;=$H111),
TRUE)</f>
        <v>1</v>
      </c>
      <c r="M111" s="348"/>
      <c r="N111" s="349"/>
      <c r="O111" s="130"/>
      <c r="P111" s="350"/>
      <c r="Q111" s="351"/>
      <c r="R111" s="352"/>
      <c r="S111" s="350"/>
      <c r="T111" s="353"/>
      <c r="V111" s="121" t="str">
        <f>IF($K111,"",tblRider[[#This Row],[Rider]] &amp;" entry age is between " &amp; $G111 &amp; " and " &amp; $H111 &amp; " BUT " &amp; tblRider[[#This Row],[Insured]] &amp; " is " &amp; $F111 &amp; " years old.")</f>
        <v/>
      </c>
    </row>
    <row r="112" spans="6:23" ht="15" customHeight="1" x14ac:dyDescent="0.25">
      <c r="F112" s="72">
        <f>IFERROR(INDEX($R$26:$R$36,MATCH(tblRider[[#This Row],[Insured]],$M$26:$M$36,0)),0)</f>
        <v>0</v>
      </c>
      <c r="G112" s="72">
        <f>IFERROR(INDEX(tblAgeValidation[Min],MATCH(tblRider[[#This Row],[Rider]],tblAgeValidation[Product],0)),0)</f>
        <v>0</v>
      </c>
      <c r="H112" s="72">
        <f>IFERROR(INDEX(tblAgeValidation[Max],MATCH(tblRider[[#This Row],[Rider]],tblAgeValidation[Product],0)),0)</f>
        <v>0</v>
      </c>
      <c r="I112" s="72">
        <f>IFERROR(INDEX(tblAgeValidation[Maturity],MATCH(tblRider[[#This Row],[Rider]],tblAgeValidation[Product],0)),0)</f>
        <v>0</v>
      </c>
      <c r="J112" s="72" cm="1">
        <f t="array" ref="J112">_xlfn.SWITCH(tblRider[[#This Row],[Rider]],
"SUP1",MIN(base_term,$I112-$F112,17),
"WOP1",MIN(opted_tp_term,$I112-$F112),
"WOP2",MIN(opted_tp_term,$I112-$F112),
MIN(Base_CF!term,$I112-$F112))</f>
        <v>0</v>
      </c>
      <c r="K112" s="72" t="b" cm="1">
        <f t="array" ref="K112">IF(AND(NOT(ISBLANK(tblRider[[#This Row],[Rider]:[Insured]]))),
AND($F112&gt;=$G112,$F112&lt;=$H112),
TRUE)</f>
        <v>1</v>
      </c>
      <c r="M112" s="348"/>
      <c r="N112" s="349"/>
      <c r="O112" s="130"/>
      <c r="P112" s="350"/>
      <c r="Q112" s="351"/>
      <c r="R112" s="352"/>
      <c r="S112" s="350"/>
      <c r="T112" s="353"/>
      <c r="V112" s="121" t="str">
        <f>IF($K112,"",tblRider[[#This Row],[Rider]] &amp;" entry age is between " &amp; $G112 &amp; " and " &amp; $H112 &amp; " BUT " &amp; tblRider[[#This Row],[Insured]] &amp; " is " &amp; $F112 &amp; " years old.")</f>
        <v/>
      </c>
    </row>
    <row r="113" spans="6:22" ht="15" customHeight="1" x14ac:dyDescent="0.25">
      <c r="F113" s="72">
        <f>IFERROR(INDEX($R$26:$R$36,MATCH(tblRider[[#This Row],[Insured]],$M$26:$M$36,0)),0)</f>
        <v>0</v>
      </c>
      <c r="G113" s="72">
        <f>IFERROR(INDEX(tblAgeValidation[Min],MATCH(tblRider[[#This Row],[Rider]],tblAgeValidation[Product],0)),0)</f>
        <v>0</v>
      </c>
      <c r="H113" s="72">
        <f>IFERROR(INDEX(tblAgeValidation[Max],MATCH(tblRider[[#This Row],[Rider]],tblAgeValidation[Product],0)),0)</f>
        <v>0</v>
      </c>
      <c r="I113" s="72">
        <f>IFERROR(INDEX(tblAgeValidation[Maturity],MATCH(tblRider[[#This Row],[Rider]],tblAgeValidation[Product],0)),0)</f>
        <v>0</v>
      </c>
      <c r="J113" s="72" cm="1">
        <f t="array" ref="J113">_xlfn.SWITCH(tblRider[[#This Row],[Rider]],
"SUP1",MIN(base_term,$I113-$F113,17),
"WOP1",MIN(opted_tp_term,$I113-$F113),
"WOP2",MIN(opted_tp_term,$I113-$F113),
MIN(Base_CF!term,$I113-$F113))</f>
        <v>0</v>
      </c>
      <c r="K113" s="72" t="b" cm="1">
        <f t="array" ref="K113">IF(AND(NOT(ISBLANK(tblRider[[#This Row],[Rider]:[Insured]]))),
AND($F113&gt;=$G113,$F113&lt;=$H113),
TRUE)</f>
        <v>1</v>
      </c>
      <c r="M113" s="348"/>
      <c r="N113" s="349"/>
      <c r="O113" s="130"/>
      <c r="P113" s="350"/>
      <c r="Q113" s="351"/>
      <c r="R113" s="352"/>
      <c r="S113" s="350"/>
      <c r="T113" s="353"/>
      <c r="V113" s="121" t="str">
        <f>IF($K113,"",tblRider[[#This Row],[Rider]] &amp;" entry age is between " &amp; $G113 &amp; " and " &amp; $H113 &amp; " BUT " &amp; tblRider[[#This Row],[Insured]] &amp; " is " &amp; $F113 &amp; " years old.")</f>
        <v/>
      </c>
    </row>
    <row r="114" spans="6:22" ht="15" customHeight="1" x14ac:dyDescent="0.25">
      <c r="F114" s="72">
        <f>IFERROR(INDEX($R$26:$R$36,MATCH(tblRider[[#This Row],[Insured]],$M$26:$M$36,0)),0)</f>
        <v>0</v>
      </c>
      <c r="G114" s="72">
        <f>IFERROR(INDEX(tblAgeValidation[Min],MATCH(tblRider[[#This Row],[Rider]],tblAgeValidation[Product],0)),0)</f>
        <v>0</v>
      </c>
      <c r="H114" s="72">
        <f>IFERROR(INDEX(tblAgeValidation[Max],MATCH(tblRider[[#This Row],[Rider]],tblAgeValidation[Product],0)),0)</f>
        <v>0</v>
      </c>
      <c r="I114" s="72">
        <f>IFERROR(INDEX(tblAgeValidation[Maturity],MATCH(tblRider[[#This Row],[Rider]],tblAgeValidation[Product],0)),0)</f>
        <v>0</v>
      </c>
      <c r="J114" s="72" cm="1">
        <f t="array" ref="J114">_xlfn.SWITCH(tblRider[[#This Row],[Rider]],
"SUP1",MIN(base_term,$I114-$F114,17),
"WOP1",MIN(opted_tp_term,$I114-$F114),
"WOP2",MIN(opted_tp_term,$I114-$F114),
MIN(Base_CF!term,$I114-$F114))</f>
        <v>0</v>
      </c>
      <c r="K114" s="72" t="b" cm="1">
        <f t="array" ref="K114">IF(AND(NOT(ISBLANK(tblRider[[#This Row],[Rider]:[Insured]]))),
AND($F114&gt;=$G114,$F114&lt;=$H114),
TRUE)</f>
        <v>1</v>
      </c>
      <c r="M114" s="348"/>
      <c r="N114" s="349"/>
      <c r="O114" s="130"/>
      <c r="P114" s="350"/>
      <c r="Q114" s="351"/>
      <c r="R114" s="352"/>
      <c r="S114" s="350"/>
      <c r="T114" s="353"/>
      <c r="V114" s="121" t="str">
        <f>IF($K114,"",tblRider[[#This Row],[Rider]] &amp;" entry age is between " &amp; $G114 &amp; " and " &amp; $H114 &amp; " BUT " &amp; tblRider[[#This Row],[Insured]] &amp; " is " &amp; $F114 &amp; " years old.")</f>
        <v/>
      </c>
    </row>
    <row r="115" spans="6:22" ht="15" customHeight="1" x14ac:dyDescent="0.25">
      <c r="F115" s="72">
        <f>IFERROR(INDEX($R$26:$R$36,MATCH(tblRider[[#This Row],[Insured]],$M$26:$M$36,0)),0)</f>
        <v>0</v>
      </c>
      <c r="G115" s="72">
        <f>IFERROR(INDEX(tblAgeValidation[Min],MATCH(tblRider[[#This Row],[Rider]],tblAgeValidation[Product],0)),0)</f>
        <v>0</v>
      </c>
      <c r="H115" s="72">
        <f>IFERROR(INDEX(tblAgeValidation[Max],MATCH(tblRider[[#This Row],[Rider]],tblAgeValidation[Product],0)),0)</f>
        <v>0</v>
      </c>
      <c r="I115" s="72">
        <f>IFERROR(INDEX(tblAgeValidation[Maturity],MATCH(tblRider[[#This Row],[Rider]],tblAgeValidation[Product],0)),0)</f>
        <v>0</v>
      </c>
      <c r="J115" s="72" cm="1">
        <f t="array" ref="J115">_xlfn.SWITCH(tblRider[[#This Row],[Rider]],
"SUP1",MIN(base_term,$I115-$F115,17),
"WOP1",MIN(opted_tp_term,$I115-$F115),
"WOP2",MIN(opted_tp_term,$I115-$F115),
MIN(Base_CF!term,$I115-$F115))</f>
        <v>0</v>
      </c>
      <c r="K115" s="72" t="b" cm="1">
        <f t="array" ref="K115">IF(AND(NOT(ISBLANK(tblRider[[#This Row],[Rider]:[Insured]]))),
AND($F115&gt;=$G115,$F115&lt;=$H115),
TRUE)</f>
        <v>1</v>
      </c>
      <c r="M115" s="348"/>
      <c r="N115" s="349"/>
      <c r="O115" s="130"/>
      <c r="P115" s="350"/>
      <c r="Q115" s="351"/>
      <c r="R115" s="352"/>
      <c r="S115" s="350"/>
      <c r="T115" s="353"/>
      <c r="V115" s="121" t="str">
        <f>IF($K115,"",tblRider[[#This Row],[Rider]] &amp;" entry age is between " &amp; $G115 &amp; " and " &amp; $H115 &amp; " BUT " &amp; tblRider[[#This Row],[Insured]] &amp; " is " &amp; $F115 &amp; " years old.")</f>
        <v/>
      </c>
    </row>
    <row r="116" spans="6:22" ht="15" customHeight="1" x14ac:dyDescent="0.25">
      <c r="F116" s="72">
        <f>IFERROR(INDEX($R$26:$R$36,MATCH(tblRider[[#This Row],[Insured]],$M$26:$M$36,0)),0)</f>
        <v>0</v>
      </c>
      <c r="G116" s="72">
        <f>IFERROR(INDEX(tblAgeValidation[Min],MATCH(tblRider[[#This Row],[Rider]],tblAgeValidation[Product],0)),0)</f>
        <v>0</v>
      </c>
      <c r="H116" s="72">
        <f>IFERROR(INDEX(tblAgeValidation[Max],MATCH(tblRider[[#This Row],[Rider]],tblAgeValidation[Product],0)),0)</f>
        <v>0</v>
      </c>
      <c r="I116" s="72">
        <f>IFERROR(INDEX(tblAgeValidation[Maturity],MATCH(tblRider[[#This Row],[Rider]],tblAgeValidation[Product],0)),0)</f>
        <v>0</v>
      </c>
      <c r="J116" s="72" cm="1">
        <f t="array" ref="J116">_xlfn.SWITCH(tblRider[[#This Row],[Rider]],
"SUP1",MIN(base_term,$I116-$F116,17),
"WOP1",MIN(opted_tp_term,$I116-$F116),
"WOP2",MIN(opted_tp_term,$I116-$F116),
MIN(Base_CF!term,$I116-$F116))</f>
        <v>0</v>
      </c>
      <c r="K116" s="72" t="b" cm="1">
        <f t="array" ref="K116">IF(AND(NOT(ISBLANK(tblRider[[#This Row],[Rider]:[Insured]]))),
AND($F116&gt;=$G116,$F116&lt;=$H116),
TRUE)</f>
        <v>1</v>
      </c>
      <c r="M116" s="348"/>
      <c r="N116" s="349"/>
      <c r="O116" s="130"/>
      <c r="P116" s="350"/>
      <c r="Q116" s="351"/>
      <c r="R116" s="352"/>
      <c r="S116" s="350"/>
      <c r="T116" s="353"/>
      <c r="V116" s="121" t="str">
        <f>IF($K116,"",tblRider[[#This Row],[Rider]] &amp;" entry age is between " &amp; $G116 &amp; " and " &amp; $H116 &amp; " BUT " &amp; tblRider[[#This Row],[Insured]] &amp; " is " &amp; $F116 &amp; " years old.")</f>
        <v/>
      </c>
    </row>
    <row r="117" spans="6:22" ht="15" customHeight="1" x14ac:dyDescent="0.25">
      <c r="F117" s="72">
        <f>IFERROR(INDEX($R$26:$R$36,MATCH(tblRider[[#This Row],[Insured]],$M$26:$M$36,0)),0)</f>
        <v>0</v>
      </c>
      <c r="G117" s="72">
        <f>IFERROR(INDEX(tblAgeValidation[Min],MATCH(tblRider[[#This Row],[Rider]],tblAgeValidation[Product],0)),0)</f>
        <v>0</v>
      </c>
      <c r="H117" s="72">
        <f>IFERROR(INDEX(tblAgeValidation[Max],MATCH(tblRider[[#This Row],[Rider]],tblAgeValidation[Product],0)),0)</f>
        <v>0</v>
      </c>
      <c r="I117" s="72">
        <f>IFERROR(INDEX(tblAgeValidation[Maturity],MATCH(tblRider[[#This Row],[Rider]],tblAgeValidation[Product],0)),0)</f>
        <v>0</v>
      </c>
      <c r="J117" s="72" cm="1">
        <f t="array" ref="J117">_xlfn.SWITCH(tblRider[[#This Row],[Rider]],
"SUP1",MIN(base_term,$I117-$F117,17),
"WOP1",MIN(opted_tp_term,$I117-$F117),
"WOP2",MIN(opted_tp_term,$I117-$F117),
MIN(Base_CF!term,$I117-$F117))</f>
        <v>0</v>
      </c>
      <c r="K117" s="72" t="b" cm="1">
        <f t="array" ref="K117">IF(AND(NOT(ISBLANK(tblRider[[#This Row],[Rider]:[Insured]]))),
AND($F117&gt;=$G117,$F117&lt;=$H117),
TRUE)</f>
        <v>1</v>
      </c>
      <c r="M117" s="348"/>
      <c r="N117" s="349"/>
      <c r="O117" s="130"/>
      <c r="P117" s="350"/>
      <c r="Q117" s="351"/>
      <c r="R117" s="352"/>
      <c r="S117" s="350"/>
      <c r="T117" s="353"/>
      <c r="V117" s="121" t="str">
        <f>IF($K117,"",tblRider[[#This Row],[Rider]] &amp;" entry age is between " &amp; $G117 &amp; " and " &amp; $H117 &amp; " BUT " &amp; tblRider[[#This Row],[Insured]] &amp; " is " &amp; $F117 &amp; " years old.")</f>
        <v/>
      </c>
    </row>
    <row r="118" spans="6:22" ht="15" customHeight="1" x14ac:dyDescent="0.25">
      <c r="F118" s="72">
        <f>IFERROR(INDEX($R$26:$R$36,MATCH(tblRider[[#This Row],[Insured]],$M$26:$M$36,0)),0)</f>
        <v>0</v>
      </c>
      <c r="G118" s="72">
        <f>IFERROR(INDEX(tblAgeValidation[Min],MATCH(tblRider[[#This Row],[Rider]],tblAgeValidation[Product],0)),0)</f>
        <v>0</v>
      </c>
      <c r="H118" s="72">
        <f>IFERROR(INDEX(tblAgeValidation[Max],MATCH(tblRider[[#This Row],[Rider]],tblAgeValidation[Product],0)),0)</f>
        <v>0</v>
      </c>
      <c r="I118" s="72">
        <f>IFERROR(INDEX(tblAgeValidation[Maturity],MATCH(tblRider[[#This Row],[Rider]],tblAgeValidation[Product],0)),0)</f>
        <v>0</v>
      </c>
      <c r="J118" s="72" cm="1">
        <f t="array" ref="J118">_xlfn.SWITCH(tblRider[[#This Row],[Rider]],
"SUP1",MIN(base_term,$I118-$F118,17),
"WOP1",MIN(opted_tp_term,$I118-$F118),
"WOP2",MIN(opted_tp_term,$I118-$F118),
MIN(Base_CF!term,$I118-$F118))</f>
        <v>0</v>
      </c>
      <c r="K118" s="72" t="b" cm="1">
        <f t="array" ref="K118">IF(AND(NOT(ISBLANK(tblRider[[#This Row],[Rider]:[Insured]]))),
AND($F118&gt;=$G118,$F118&lt;=$H118),
TRUE)</f>
        <v>1</v>
      </c>
      <c r="M118" s="348"/>
      <c r="N118" s="349"/>
      <c r="O118" s="130"/>
      <c r="P118" s="350"/>
      <c r="Q118" s="351"/>
      <c r="R118" s="352"/>
      <c r="S118" s="350"/>
      <c r="T118" s="353"/>
      <c r="V118" s="121" t="str">
        <f>IF($K118,"",tblRider[[#This Row],[Rider]] &amp;" entry age is between " &amp; $G118 &amp; " and " &amp; $H118 &amp; " BUT " &amp; tblRider[[#This Row],[Insured]] &amp; " is " &amp; $F118 &amp; " years old.")</f>
        <v/>
      </c>
    </row>
    <row r="119" spans="6:22" ht="15" customHeight="1" x14ac:dyDescent="0.25">
      <c r="F119" s="72">
        <f>IFERROR(INDEX($R$26:$R$36,MATCH(tblRider[[#This Row],[Insured]],$M$26:$M$36,0)),0)</f>
        <v>0</v>
      </c>
      <c r="G119" s="72">
        <f>IFERROR(INDEX(tblAgeValidation[Min],MATCH(tblRider[[#This Row],[Rider]],tblAgeValidation[Product],0)),0)</f>
        <v>0</v>
      </c>
      <c r="H119" s="72">
        <f>IFERROR(INDEX(tblAgeValidation[Max],MATCH(tblRider[[#This Row],[Rider]],tblAgeValidation[Product],0)),0)</f>
        <v>0</v>
      </c>
      <c r="I119" s="72">
        <f>IFERROR(INDEX(tblAgeValidation[Maturity],MATCH(tblRider[[#This Row],[Rider]],tblAgeValidation[Product],0)),0)</f>
        <v>0</v>
      </c>
      <c r="J119" s="72" cm="1">
        <f t="array" ref="J119">_xlfn.SWITCH(tblRider[[#This Row],[Rider]],
"SUP1",MIN(base_term,$I119-$F119,17),
"WOP1",MIN(opted_tp_term,$I119-$F119),
"WOP2",MIN(opted_tp_term,$I119-$F119),
MIN(Base_CF!term,$I119-$F119))</f>
        <v>0</v>
      </c>
      <c r="K119" s="72" t="b" cm="1">
        <f t="array" ref="K119">IF(AND(NOT(ISBLANK(tblRider[[#This Row],[Rider]:[Insured]]))),
AND($F119&gt;=$G119,$F119&lt;=$H119),
TRUE)</f>
        <v>1</v>
      </c>
      <c r="M119" s="348"/>
      <c r="N119" s="349"/>
      <c r="O119" s="130"/>
      <c r="P119" s="350"/>
      <c r="Q119" s="351"/>
      <c r="R119" s="352"/>
      <c r="S119" s="350"/>
      <c r="T119" s="353"/>
      <c r="V119" s="121" t="str">
        <f>IF($K119,"",tblRider[[#This Row],[Rider]] &amp;" entry age is between " &amp; $G119 &amp; " and " &amp; $H119 &amp; " BUT " &amp; tblRider[[#This Row],[Insured]] &amp; " is " &amp; $F119 &amp; " years old.")</f>
        <v/>
      </c>
    </row>
    <row r="120" spans="6:22" ht="15" customHeight="1" x14ac:dyDescent="0.25">
      <c r="F120" s="72">
        <f>IFERROR(INDEX($R$26:$R$36,MATCH(tblRider[[#This Row],[Insured]],$M$26:$M$36,0)),0)</f>
        <v>0</v>
      </c>
      <c r="G120" s="72">
        <f>IFERROR(INDEX(tblAgeValidation[Min],MATCH(tblRider[[#This Row],[Rider]],tblAgeValidation[Product],0)),0)</f>
        <v>0</v>
      </c>
      <c r="H120" s="72">
        <f>IFERROR(INDEX(tblAgeValidation[Max],MATCH(tblRider[[#This Row],[Rider]],tblAgeValidation[Product],0)),0)</f>
        <v>0</v>
      </c>
      <c r="I120" s="72">
        <f>IFERROR(INDEX(tblAgeValidation[Maturity],MATCH(tblRider[[#This Row],[Rider]],tblAgeValidation[Product],0)),0)</f>
        <v>0</v>
      </c>
      <c r="J120" s="72" cm="1">
        <f t="array" ref="J120">_xlfn.SWITCH(tblRider[[#This Row],[Rider]],
"SUP1",MIN(base_term,$I120-$F120,17),
"WOP1",MIN(opted_tp_term,$I120-$F120),
"WOP2",MIN(opted_tp_term,$I120-$F120),
MIN(Base_CF!term,$I120-$F120))</f>
        <v>0</v>
      </c>
      <c r="K120" s="72" t="b" cm="1">
        <f t="array" ref="K120">IF(AND(NOT(ISBLANK(tblRider[[#This Row],[Rider]:[Insured]]))),
AND($F120&gt;=$G120,$F120&lt;=$H120),
TRUE)</f>
        <v>1</v>
      </c>
      <c r="M120" s="348"/>
      <c r="N120" s="349"/>
      <c r="O120" s="130"/>
      <c r="P120" s="350"/>
      <c r="Q120" s="351"/>
      <c r="R120" s="352"/>
      <c r="S120" s="350"/>
      <c r="T120" s="353"/>
      <c r="V120" s="121" t="str">
        <f>IF($K120,"",tblRider[[#This Row],[Rider]] &amp;" entry age is between " &amp; $G120 &amp; " and " &amp; $H120 &amp; " BUT " &amp; tblRider[[#This Row],[Insured]] &amp; " is " &amp; $F120 &amp; " years old.")</f>
        <v/>
      </c>
    </row>
    <row r="121" spans="6:22" ht="15" customHeight="1" x14ac:dyDescent="0.25">
      <c r="F121" s="72">
        <f>IFERROR(INDEX($R$26:$R$36,MATCH(tblRider[[#This Row],[Insured]],$M$26:$M$36,0)),0)</f>
        <v>0</v>
      </c>
      <c r="G121" s="72">
        <f>IFERROR(INDEX(tblAgeValidation[Min],MATCH(tblRider[[#This Row],[Rider]],tblAgeValidation[Product],0)),0)</f>
        <v>0</v>
      </c>
      <c r="H121" s="72">
        <f>IFERROR(INDEX(tblAgeValidation[Max],MATCH(tblRider[[#This Row],[Rider]],tblAgeValidation[Product],0)),0)</f>
        <v>0</v>
      </c>
      <c r="I121" s="72">
        <f>IFERROR(INDEX(tblAgeValidation[Maturity],MATCH(tblRider[[#This Row],[Rider]],tblAgeValidation[Product],0)),0)</f>
        <v>0</v>
      </c>
      <c r="J121" s="72" cm="1">
        <f t="array" ref="J121">_xlfn.SWITCH(tblRider[[#This Row],[Rider]],
"SUP1",MIN(base_term,$I121-$F121,17),
"WOP1",MIN(opted_tp_term,$I121-$F121),
"WOP2",MIN(opted_tp_term,$I121-$F121),
MIN(Base_CF!term,$I121-$F121))</f>
        <v>0</v>
      </c>
      <c r="K121" s="72" t="b" cm="1">
        <f t="array" ref="K121">IF(AND(NOT(ISBLANK(tblRider[[#This Row],[Rider]:[Insured]]))),
AND($F121&gt;=$G121,$F121&lt;=$H121),
TRUE)</f>
        <v>1</v>
      </c>
      <c r="M121" s="348"/>
      <c r="N121" s="349"/>
      <c r="O121" s="130"/>
      <c r="P121" s="350"/>
      <c r="Q121" s="351"/>
      <c r="R121" s="352"/>
      <c r="S121" s="350"/>
      <c r="T121" s="353"/>
      <c r="V121" s="121" t="str">
        <f>IF($K121,"",tblRider[[#This Row],[Rider]] &amp;" entry age is between " &amp; $G121 &amp; " and " &amp; $H121 &amp; " BUT " &amp; tblRider[[#This Row],[Insured]] &amp; " is " &amp; $F121 &amp; " years old.")</f>
        <v/>
      </c>
    </row>
    <row r="122" spans="6:22" ht="15" customHeight="1" x14ac:dyDescent="0.25">
      <c r="F122" s="72">
        <f>IFERROR(INDEX($R$26:$R$36,MATCH(tblRider[[#This Row],[Insured]],$M$26:$M$36,0)),0)</f>
        <v>0</v>
      </c>
      <c r="G122" s="72">
        <f>IFERROR(INDEX(tblAgeValidation[Min],MATCH(tblRider[[#This Row],[Rider]],tblAgeValidation[Product],0)),0)</f>
        <v>0</v>
      </c>
      <c r="H122" s="72">
        <f>IFERROR(INDEX(tblAgeValidation[Max],MATCH(tblRider[[#This Row],[Rider]],tblAgeValidation[Product],0)),0)</f>
        <v>0</v>
      </c>
      <c r="I122" s="72">
        <f>IFERROR(INDEX(tblAgeValidation[Maturity],MATCH(tblRider[[#This Row],[Rider]],tblAgeValidation[Product],0)),0)</f>
        <v>0</v>
      </c>
      <c r="J122" s="72" cm="1">
        <f t="array" ref="J122">_xlfn.SWITCH(tblRider[[#This Row],[Rider]],
"SUP1",MIN(base_term,$I122-$F122,17),
"WOP1",MIN(opted_tp_term,$I122-$F122),
"WOP2",MIN(opted_tp_term,$I122-$F122),
MIN(Base_CF!term,$I122-$F122))</f>
        <v>0</v>
      </c>
      <c r="K122" s="72" t="b" cm="1">
        <f t="array" ref="K122">IF(AND(NOT(ISBLANK(tblRider[[#This Row],[Rider]:[Insured]]))),
AND($F122&gt;=$G122,$F122&lt;=$H122),
TRUE)</f>
        <v>1</v>
      </c>
      <c r="M122" s="348"/>
      <c r="N122" s="349"/>
      <c r="O122" s="130"/>
      <c r="P122" s="350"/>
      <c r="Q122" s="351"/>
      <c r="R122" s="352"/>
      <c r="S122" s="350"/>
      <c r="T122" s="353"/>
      <c r="V122" s="121" t="str">
        <f>IF($K122,"",tblRider[[#This Row],[Rider]] &amp;" entry age is between " &amp; $G122 &amp; " and " &amp; $H122 &amp; " BUT " &amp; tblRider[[#This Row],[Insured]] &amp; " is " &amp; $F122 &amp; " years old.")</f>
        <v/>
      </c>
    </row>
    <row r="123" spans="6:22" ht="15" customHeight="1" x14ac:dyDescent="0.25">
      <c r="F123" s="72">
        <f>IFERROR(INDEX($R$26:$R$36,MATCH(tblRider[[#This Row],[Insured]],$M$26:$M$36,0)),0)</f>
        <v>0</v>
      </c>
      <c r="G123" s="72">
        <f>IFERROR(INDEX(tblAgeValidation[Min],MATCH(tblRider[[#This Row],[Rider]],tblAgeValidation[Product],0)),0)</f>
        <v>0</v>
      </c>
      <c r="H123" s="72">
        <f>IFERROR(INDEX(tblAgeValidation[Max],MATCH(tblRider[[#This Row],[Rider]],tblAgeValidation[Product],0)),0)</f>
        <v>0</v>
      </c>
      <c r="I123" s="72">
        <f>IFERROR(INDEX(tblAgeValidation[Maturity],MATCH(tblRider[[#This Row],[Rider]],tblAgeValidation[Product],0)),0)</f>
        <v>0</v>
      </c>
      <c r="J123" s="72" cm="1">
        <f t="array" ref="J123">_xlfn.SWITCH(tblRider[[#This Row],[Rider]],
"SUP1",MIN(base_term,$I123-$F123,17),
"WOP1",MIN(opted_tp_term,$I123-$F123),
"WOP2",MIN(opted_tp_term,$I123-$F123),
MIN(Base_CF!term,$I123-$F123))</f>
        <v>0</v>
      </c>
      <c r="K123" s="72" t="b" cm="1">
        <f t="array" ref="K123">IF(AND(NOT(ISBLANK(tblRider[[#This Row],[Rider]:[Insured]]))),
AND($F123&gt;=$G123,$F123&lt;=$H123),
TRUE)</f>
        <v>1</v>
      </c>
      <c r="M123" s="348"/>
      <c r="N123" s="349"/>
      <c r="O123" s="130"/>
      <c r="P123" s="350"/>
      <c r="Q123" s="351"/>
      <c r="R123" s="352"/>
      <c r="S123" s="350"/>
      <c r="T123" s="353"/>
      <c r="V123" s="121" t="str">
        <f>IF($K123,"",tblRider[[#This Row],[Rider]] &amp;" entry age is between " &amp; $G123 &amp; " and " &amp; $H123 &amp; " BUT " &amp; tblRider[[#This Row],[Insured]] &amp; " is " &amp; $F123 &amp; " years old.")</f>
        <v/>
      </c>
    </row>
    <row r="124" spans="6:22" ht="15" customHeight="1" x14ac:dyDescent="0.25">
      <c r="F124" s="72">
        <f>IFERROR(INDEX($R$26:$R$36,MATCH(tblRider[[#This Row],[Insured]],$M$26:$M$36,0)),0)</f>
        <v>0</v>
      </c>
      <c r="G124" s="72">
        <f>IFERROR(INDEX(tblAgeValidation[Min],MATCH(tblRider[[#This Row],[Rider]],tblAgeValidation[Product],0)),0)</f>
        <v>0</v>
      </c>
      <c r="H124" s="72">
        <f>IFERROR(INDEX(tblAgeValidation[Max],MATCH(tblRider[[#This Row],[Rider]],tblAgeValidation[Product],0)),0)</f>
        <v>0</v>
      </c>
      <c r="I124" s="72">
        <f>IFERROR(INDEX(tblAgeValidation[Maturity],MATCH(tblRider[[#This Row],[Rider]],tblAgeValidation[Product],0)),0)</f>
        <v>0</v>
      </c>
      <c r="J124" s="72" cm="1">
        <f t="array" ref="J124">_xlfn.SWITCH(tblRider[[#This Row],[Rider]],
"SUP1",MIN(base_term,$I124-$F124,17),
"WOP1",MIN(opted_tp_term,$I124-$F124),
"WOP2",MIN(opted_tp_term,$I124-$F124),
MIN(Base_CF!term,$I124-$F124))</f>
        <v>0</v>
      </c>
      <c r="K124" s="72" t="b" cm="1">
        <f t="array" ref="K124">IF(AND(NOT(ISBLANK(tblRider[[#This Row],[Rider]:[Insured]]))),
AND($F124&gt;=$G124,$F124&lt;=$H124),
TRUE)</f>
        <v>1</v>
      </c>
      <c r="M124" s="348"/>
      <c r="N124" s="349"/>
      <c r="O124" s="130"/>
      <c r="P124" s="350"/>
      <c r="Q124" s="351"/>
      <c r="R124" s="352"/>
      <c r="S124" s="350"/>
      <c r="T124" s="353"/>
      <c r="V124" s="121" t="str">
        <f>IF($K124,"",tblRider[[#This Row],[Rider]] &amp;" entry age is between " &amp; $G124 &amp; " and " &amp; $H124 &amp; " BUT " &amp; tblRider[[#This Row],[Insured]] &amp; " is " &amp; $F124 &amp; " years old.")</f>
        <v/>
      </c>
    </row>
    <row r="125" spans="6:22" ht="15" customHeight="1" x14ac:dyDescent="0.25">
      <c r="F125" s="72">
        <f>IFERROR(INDEX($R$26:$R$36,MATCH(tblRider[[#This Row],[Insured]],$M$26:$M$36,0)),0)</f>
        <v>0</v>
      </c>
      <c r="G125" s="72">
        <f>IFERROR(INDEX(tblAgeValidation[Min],MATCH(tblRider[[#This Row],[Rider]],tblAgeValidation[Product],0)),0)</f>
        <v>0</v>
      </c>
      <c r="H125" s="72">
        <f>IFERROR(INDEX(tblAgeValidation[Max],MATCH(tblRider[[#This Row],[Rider]],tblAgeValidation[Product],0)),0)</f>
        <v>0</v>
      </c>
      <c r="I125" s="72">
        <f>IFERROR(INDEX(tblAgeValidation[Maturity],MATCH(tblRider[[#This Row],[Rider]],tblAgeValidation[Product],0)),0)</f>
        <v>0</v>
      </c>
      <c r="J125" s="72" cm="1">
        <f t="array" ref="J125">_xlfn.SWITCH(tblRider[[#This Row],[Rider]],
"SUP1",MIN(base_term,$I125-$F125,17),
"WOP1",MIN(opted_tp_term,$I125-$F125),
"WOP2",MIN(opted_tp_term,$I125-$F125),
MIN(Base_CF!term,$I125-$F125))</f>
        <v>0</v>
      </c>
      <c r="K125" s="72" t="b" cm="1">
        <f t="array" ref="K125">IF(AND(NOT(ISBLANK(tblRider[[#This Row],[Rider]:[Insured]]))),
AND($F125&gt;=$G125,$F125&lt;=$H125),
TRUE)</f>
        <v>1</v>
      </c>
      <c r="M125" s="348"/>
      <c r="N125" s="349"/>
      <c r="O125" s="130"/>
      <c r="P125" s="350"/>
      <c r="Q125" s="351"/>
      <c r="R125" s="352"/>
      <c r="S125" s="350"/>
      <c r="T125" s="353"/>
      <c r="V125" s="121" t="str">
        <f>IF($K125,"",tblRider[[#This Row],[Rider]] &amp;" entry age is between " &amp; $G125 &amp; " and " &amp; $H125 &amp; " BUT " &amp; tblRider[[#This Row],[Insured]] &amp; " is " &amp; $F125 &amp; " years old.")</f>
        <v/>
      </c>
    </row>
    <row r="126" spans="6:22" ht="15" customHeight="1" x14ac:dyDescent="0.25">
      <c r="F126" s="72">
        <f>IFERROR(INDEX($R$26:$R$36,MATCH(tblRider[[#This Row],[Insured]],$M$26:$M$36,0)),0)</f>
        <v>0</v>
      </c>
      <c r="G126" s="72">
        <f>IFERROR(INDEX(tblAgeValidation[Min],MATCH(tblRider[[#This Row],[Rider]],tblAgeValidation[Product],0)),0)</f>
        <v>0</v>
      </c>
      <c r="H126" s="72">
        <f>IFERROR(INDEX(tblAgeValidation[Max],MATCH(tblRider[[#This Row],[Rider]],tblAgeValidation[Product],0)),0)</f>
        <v>0</v>
      </c>
      <c r="I126" s="72">
        <f>IFERROR(INDEX(tblAgeValidation[Maturity],MATCH(tblRider[[#This Row],[Rider]],tblAgeValidation[Product],0)),0)</f>
        <v>0</v>
      </c>
      <c r="J126" s="72" cm="1">
        <f t="array" ref="J126">_xlfn.SWITCH(tblRider[[#This Row],[Rider]],
"SUP1",MIN(base_term,$I126-$F126,17),
"WOP1",MIN(opted_tp_term,$I126-$F126),
"WOP2",MIN(opted_tp_term,$I126-$F126),
MIN(Base_CF!term,$I126-$F126))</f>
        <v>0</v>
      </c>
      <c r="K126" s="72" t="b" cm="1">
        <f t="array" ref="K126">IF(AND(NOT(ISBLANK(tblRider[[#This Row],[Rider]:[Insured]]))),
AND($F126&gt;=$G126,$F126&lt;=$H126),
TRUE)</f>
        <v>1</v>
      </c>
      <c r="M126" s="354"/>
      <c r="N126" s="349"/>
      <c r="O126" s="130"/>
      <c r="P126" s="355"/>
      <c r="Q126" s="351"/>
      <c r="R126" s="352"/>
      <c r="S126" s="350"/>
      <c r="T126" s="353"/>
      <c r="V126" s="121" t="str">
        <f>IF($K126,"",tblRider[[#This Row],[Rider]] &amp;" entry age is between " &amp; $G126 &amp; " and " &amp; $H126 &amp; " BUT " &amp; tblRider[[#This Row],[Insured]] &amp; " is " &amp; $F126 &amp; " years old.")</f>
        <v/>
      </c>
    </row>
  </sheetData>
  <mergeCells count="1">
    <mergeCell ref="T24:U24"/>
  </mergeCells>
  <conditionalFormatting sqref="N10:N13 N42:N47">
    <cfRule type="expression" dxfId="29" priority="3">
      <formula>ISBLANK(N10)</formula>
    </cfRule>
  </conditionalFormatting>
  <conditionalFormatting sqref="N19">
    <cfRule type="expression" dxfId="28" priority="15">
      <formula>ISBLANK(N19)*OR(customer_type="Doanh nghiệp",customer_type="Corporate")</formula>
    </cfRule>
  </conditionalFormatting>
  <conditionalFormatting sqref="N46">
    <cfRule type="expression" dxfId="27" priority="9">
      <formula>si&lt;min_base_si</formula>
    </cfRule>
  </conditionalFormatting>
  <conditionalFormatting sqref="N48">
    <cfRule type="expression" dxfId="26" priority="10">
      <formula>OR(ep&lt;100000,ep&gt;(5*oup_dbl_annualized_tp))*NOT(ISBLANK(ep))</formula>
    </cfRule>
    <cfRule type="expression" dxfId="25" priority="11">
      <formula>ISBLANK(ep)*NOT(ISBLANK(opted_ep_term))</formula>
    </cfRule>
  </conditionalFormatting>
  <conditionalFormatting sqref="N49">
    <cfRule type="expression" dxfId="24" priority="12">
      <formula>ISBLANK(opted_ep_term)*NOT(ISBLANK(ep))</formula>
    </cfRule>
    <cfRule type="expression" dxfId="23" priority="13">
      <formula>opted_ep_term&gt;opted_tp_term</formula>
    </cfRule>
  </conditionalFormatting>
  <conditionalFormatting sqref="N21:P21">
    <cfRule type="expression" dxfId="22" priority="14">
      <formula>ISBLANK(N21)*OR(customer_type="Cá nhân",customer_type="Individual")</formula>
    </cfRule>
  </conditionalFormatting>
  <conditionalFormatting sqref="O103:O126">
    <cfRule type="expression" dxfId="21" priority="1">
      <formula>OR($M103="HOP02",$M103="SUP01",,$M103="WOP01",$M103="WOP02")</formula>
    </cfRule>
  </conditionalFormatting>
  <conditionalFormatting sqref="P21">
    <cfRule type="expression" dxfId="20" priority="19">
      <formula>(oup_lng_Entry_Age_PO&lt;18)*NOT(ISBLANK(inp_dte_DOB_PO))</formula>
    </cfRule>
  </conditionalFormatting>
  <conditionalFormatting sqref="P103:P126">
    <cfRule type="expression" dxfId="19" priority="2">
      <formula>$M103&lt;&gt;"HOP02"</formula>
    </cfRule>
  </conditionalFormatting>
  <conditionalFormatting sqref="S57">
    <cfRule type="expression" dxfId="18" priority="23">
      <formula>NOT(ISBLANK(S57))*OR(S57&lt;must_pay_period,S57&gt;#REF!)</formula>
    </cfRule>
    <cfRule type="expression" dxfId="17" priority="24">
      <formula>ISBLANK($S57)*NOT(ISBLANK($K57))*#REF!</formula>
    </cfRule>
  </conditionalFormatting>
  <dataValidations count="24">
    <dataValidation type="list" allowBlank="1" showInputMessage="1" showErrorMessage="1" sqref="N11" xr:uid="{4E51B0CA-673D-4E42-9722-1C92A6F129FB}">
      <formula1>"UVL01,UVL02,UVL03,ILP01"</formula1>
    </dataValidation>
    <dataValidation type="list" allowBlank="1" showInputMessage="1" showErrorMessage="1" prompt="HOP2 options:_x000a_- 1: 70k/day,max 4 days_x000a_- 2: 140k/day,max 4 days_x000a_- 3: 280k/day,max 4 days_x000a_- 4: 400k/day,max 4 days_x000a_- 5: 70k/day,max 9 days_x000a_- 6: 140k/day,max 9 days_x000a_- 7: 280k/day,max 9 days_x000a_- 8:500k/day,max 9 days" sqref="P103" xr:uid="{9970A31A-A012-447A-A745-06C82AAE3AC5}">
      <formula1>"1,2,3,4,5,6,7,8"</formula1>
    </dataValidation>
    <dataValidation type="list" allowBlank="1" showInputMessage="1" showErrorMessage="1" prompt="- 1: 70k/day,max 4 days_x000a_- 2: 140k/day,max 4 days_x000a_- 3: 280k/day,max 4 days_x000a_- 4: 400k/day,max 4 days_x000a_- 5: 70k/day,max 9 days_x000a_- 6: 140k/day,max 9 days_x000a_- 7: 280k/day,max 9 days_x000a_- 8:500k/day,max 9 days" sqref="P104:P126" xr:uid="{BD27EFAB-6BDA-433E-9D53-7333DC68D618}">
      <formula1>"1,2,3,4,5,6,7,8"</formula1>
    </dataValidation>
    <dataValidation type="list" allowBlank="1" showInputMessage="1" showErrorMessage="1" sqref="N57 S103:S126" xr:uid="{34898086-6102-410D-A2CE-68A35D06FC83}">
      <formula1>"0,1,2,3,4,5,6,7,8,9,10,11,12,13,14,15"</formula1>
    </dataValidation>
    <dataValidation type="list" allowBlank="1" showInputMessage="1" showErrorMessage="1" sqref="N55 Q103:Q126" xr:uid="{DC89AFCA-3C84-40BB-BBDC-03DDE932C908}">
      <formula1>"0%,25%,50%,75%,100%,125%,150%,175%,200%,225%"</formula1>
    </dataValidation>
    <dataValidation type="list" allowBlank="1" showInputMessage="1" showErrorMessage="1" sqref="N47" xr:uid="{4AE6D46A-E5C1-459A-9470-E2FDEB8B0D4B}">
      <formula1>"0,1,2,3,4,5"</formula1>
      <formula2>0</formula2>
    </dataValidation>
    <dataValidation type="list" allowBlank="1" showInputMessage="1" showErrorMessage="1" prompt="- Plan A: The higher amount between Sum Insured and Total Account Value._x000a_- Plan B: The total sum of Sum Insured and Total Account Value." sqref="N42" xr:uid="{6D8B4EA3-780F-4A87-B28C-E9379C94377B}">
      <formula1>"A,B"</formula1>
      <formula2>0</formula2>
    </dataValidation>
    <dataValidation type="list" allowBlank="1" showInputMessage="1" showErrorMessage="1" prompt="- Option 1: Maturity age 100_x000a_- Option 2: Maturity age 66" sqref="N43" xr:uid="{F4406048-1E60-45C8-8454-F77294EB4082}">
      <formula1>"1,2"</formula1>
      <formula2>0</formula2>
    </dataValidation>
    <dataValidation type="whole" allowBlank="1" showInputMessage="1" showErrorMessage="1" sqref="N44" xr:uid="{3CCD6999-615A-4CA8-96EE-7740B8F7849A}">
      <formula1>0</formula1>
      <formula2>100</formula2>
    </dataValidation>
    <dataValidation type="list" allowBlank="1" showInputMessage="1" showErrorMessage="1" sqref="O21 O26:O36" xr:uid="{5CF9341E-5945-4139-B921-6CCC4E7C7A53}">
      <formula1>"Male,Female"</formula1>
      <formula2>0</formula2>
    </dataValidation>
    <dataValidation allowBlank="1" showInputMessage="1" showErrorMessage="1" prompt="- A folder directory to store the printed illustration and AL letter_x000a_- If not filled, the printed materials will stays in the same folder of this file._x000a_- Name of the file in the format : PO_Name_LA_Name_SI (or AL).pdf" sqref="N9:N10" xr:uid="{40D28E35-2EC1-4B58-822E-4D9683A7A242}">
      <formula1>0</formula1>
      <formula2>0</formula2>
    </dataValidation>
    <dataValidation type="list" allowBlank="1" showInputMessage="1" showErrorMessage="1" sqref="N12" xr:uid="{F2FAB4CB-C105-4A64-B00E-0F93D24AD8FD}">
      <formula1>IF(inp_str_language="English",#REF!,#REF!)</formula1>
      <formula2>0</formula2>
    </dataValidation>
    <dataValidation type="list" allowBlank="1" showInputMessage="1" showErrorMessage="1" prompt="- Must check if input between PO and LA is the same if select &quot;Self&quot;_x000a_- &quot;Self&quot; cannot appear more than once_x000a_- Important because it affect how riders are attachable" sqref="Q26:Q36" xr:uid="{16A22D78-1D84-4258-AFE5-81B87779C8C3}">
      <formula1>"Self,Other"</formula1>
      <formula2>0</formula2>
    </dataValidation>
    <dataValidation type="list" allowBlank="1" showInputMessage="1" showErrorMessage="1" sqref="N50" xr:uid="{F15DB5CE-ECA6-450C-B3C0-9AD2D86F56E0}">
      <formula1>"Annual, Semi-annual, Quarterly, Monthly"</formula1>
    </dataValidation>
    <dataValidation type="whole" allowBlank="1" showInputMessage="1" showErrorMessage="1" sqref="N49" xr:uid="{A1E8746D-EF29-4819-BA73-D00FDBCA9AB8}">
      <formula1>must_pay_period</formula1>
      <formula2>opted_tp_term</formula2>
    </dataValidation>
    <dataValidation type="whole" allowBlank="1" showInputMessage="1" showErrorMessage="1" sqref="N45" xr:uid="{CC8343AF-A801-4A55-924E-8F2AE6B7858B}">
      <formula1>must_pay_period</formula1>
      <formula2>base_term</formula2>
    </dataValidation>
    <dataValidation type="custom" allowBlank="1" showInputMessage="1" showErrorMessage="1" sqref="N46" xr:uid="{A640B78A-A10B-4407-8171-696B5FB051BD}">
      <formula1>$K$46</formula1>
    </dataValidation>
    <dataValidation type="custom" allowBlank="1" showInputMessage="1" showErrorMessage="1" sqref="N48" xr:uid="{B8B7FB8A-64FA-42D2-BF66-83012C8F8A92}">
      <formula1>$K$48</formula1>
    </dataValidation>
    <dataValidation type="custom" allowBlank="1" showInputMessage="1" showErrorMessage="1" sqref="N63:O73 M78:O97" xr:uid="{AA088803-283E-4AFD-91BB-AFE624A7A0E2}">
      <formula1>I63</formula1>
    </dataValidation>
    <dataValidation type="custom" allowBlank="1" showInputMessage="1" showErrorMessage="1" prompt="Min 18 years old" sqref="P21" xr:uid="{DBFEA9EF-2FFF-4D04-8F4E-D9C0794DE8BE}">
      <formula1>$K$21</formula1>
    </dataValidation>
    <dataValidation type="custom" allowBlank="1" showInputMessage="1" showErrorMessage="1" prompt="- Min 6 months old" sqref="P26:P36" xr:uid="{CAE4F09A-0984-4AB6-B5AF-75CD5C984209}">
      <formula1>$K26</formula1>
    </dataValidation>
    <dataValidation type="list" allowBlank="1" showInputMessage="1" showErrorMessage="1" sqref="N103:N126" xr:uid="{77D7016C-AC70-4892-850B-2F90E3AD2083}">
      <formula1>OFFSET($M$26,0,0,$I$24,1)</formula1>
    </dataValidation>
    <dataValidation type="list" allowBlank="1" showInputMessage="1" showErrorMessage="1" sqref="M103:M126" xr:uid="{3EAB1E78-ADF3-466D-BF05-B2BDF658A77D}">
      <formula1>"ADD01,PPD01,HOP02,CIR02,CIR01,SUP01,WOP01,WOP02"</formula1>
    </dataValidation>
    <dataValidation type="whole" allowBlank="1" showInputMessage="1" showErrorMessage="1" sqref="R103:R126 T103:T126" xr:uid="{79FE727C-49FD-42EE-80F9-891AD7786366}">
      <formula1>must_pay_period</formula1>
      <formula2>$J103</formula2>
    </dataValidation>
  </dataValidations>
  <pageMargins left="0.7" right="0.7" top="0.75" bottom="0.75" header="0.511811023622047" footer="0.511811023622047"/>
  <pageSetup paperSize="9" orientation="portrait" horizontalDpi="300" verticalDpi="300" r:id="rId1"/>
  <ignoredErrors>
    <ignoredError sqref="K81:K97 I81:J97 J28:J36 I28:I36 V103:V126 G110:J126 N61:O61 Q63 R28:S36 F110:F126" emptyCellReference="1"/>
    <ignoredError sqref="J64:K73" formulaRange="1" emptyCellReference="1"/>
  </ignoredErrors>
  <drawing r:id="rId2"/>
  <tableParts count="4"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EF5DE-3FDE-41F7-BC64-15AB753259A5}">
  <sheetPr codeName="Sheet3">
    <tabColor theme="7"/>
  </sheetPr>
  <dimension ref="B1:WYO620"/>
  <sheetViews>
    <sheetView zoomScale="55" zoomScaleNormal="55" workbookViewId="0">
      <selection activeCell="F16" sqref="F16"/>
    </sheetView>
  </sheetViews>
  <sheetFormatPr defaultColWidth="27.85546875" defaultRowHeight="15" x14ac:dyDescent="0.25"/>
  <cols>
    <col min="1" max="1" width="5.85546875" style="2" customWidth="1"/>
    <col min="2" max="2" width="34.28515625" style="2" customWidth="1"/>
    <col min="3" max="3" width="17" style="2" bestFit="1" customWidth="1"/>
    <col min="4" max="4" width="11.5703125" style="2" bestFit="1" customWidth="1"/>
    <col min="5" max="5" width="6.85546875" style="2" bestFit="1" customWidth="1"/>
    <col min="6" max="6" width="30" style="2" customWidth="1"/>
    <col min="7" max="7" width="44.28515625" style="2" customWidth="1"/>
    <col min="8" max="8" width="22.28515625" style="2" bestFit="1" customWidth="1"/>
    <col min="9" max="10" width="16.28515625" style="2" bestFit="1" customWidth="1"/>
    <col min="11" max="11" width="22.7109375" style="2" customWidth="1"/>
    <col min="12" max="12" width="23.28515625" style="2" bestFit="1" customWidth="1"/>
    <col min="13" max="13" width="18.28515625" style="3" bestFit="1" customWidth="1"/>
    <col min="14" max="14" width="17.5703125" style="3" bestFit="1" customWidth="1"/>
    <col min="15" max="15" width="18.28515625" style="3" bestFit="1" customWidth="1"/>
    <col min="16" max="16" width="19.42578125" style="2" bestFit="1" customWidth="1"/>
    <col min="17" max="17" width="22" style="2" bestFit="1" customWidth="1"/>
    <col min="18" max="18" width="18.85546875" style="2" bestFit="1" customWidth="1"/>
    <col min="19" max="19" width="20.7109375" style="2" bestFit="1" customWidth="1"/>
    <col min="20" max="20" width="17" style="2" bestFit="1" customWidth="1"/>
    <col min="21" max="21" width="16.5703125" style="2" bestFit="1" customWidth="1"/>
    <col min="22" max="22" width="19.42578125" style="3" bestFit="1" customWidth="1"/>
    <col min="23" max="23" width="17" style="3" bestFit="1" customWidth="1"/>
    <col min="24" max="24" width="22.42578125" style="3" bestFit="1" customWidth="1"/>
    <col min="25" max="25" width="22.7109375" style="3" bestFit="1" customWidth="1"/>
    <col min="26" max="26" width="18.85546875" style="3" bestFit="1" customWidth="1"/>
    <col min="27" max="27" width="18.28515625" style="3" customWidth="1"/>
    <col min="28" max="28" width="15.42578125" style="3" bestFit="1" customWidth="1"/>
    <col min="29" max="29" width="16.5703125" style="2" bestFit="1" customWidth="1"/>
    <col min="30" max="31" width="20.85546875" style="2" bestFit="1" customWidth="1"/>
    <col min="32" max="32" width="18.85546875" style="2" bestFit="1" customWidth="1"/>
    <col min="33" max="34" width="23.28515625" style="2" bestFit="1" customWidth="1"/>
    <col min="35" max="35" width="16" style="2" bestFit="1" customWidth="1"/>
    <col min="36" max="36" width="17.28515625" style="3" bestFit="1" customWidth="1"/>
    <col min="37" max="37" width="16.5703125" style="2" bestFit="1" customWidth="1"/>
    <col min="38" max="38" width="23.28515625" style="2" bestFit="1" customWidth="1"/>
    <col min="39" max="39" width="16.28515625" style="2" bestFit="1" customWidth="1"/>
    <col min="40" max="40" width="17.28515625" style="2" customWidth="1"/>
    <col min="41" max="41" width="16.5703125" style="3" bestFit="1" customWidth="1"/>
    <col min="42" max="43" width="25.140625" style="2" bestFit="1" customWidth="1"/>
    <col min="44" max="45" width="14.140625" style="2" bestFit="1" customWidth="1"/>
    <col min="46" max="46" width="14.7109375" style="2" bestFit="1" customWidth="1"/>
    <col min="47" max="47" width="20.140625" style="2" bestFit="1" customWidth="1"/>
    <col min="48" max="48" width="14.7109375" style="2" bestFit="1" customWidth="1"/>
    <col min="49" max="49" width="16.5703125" style="2" bestFit="1" customWidth="1"/>
    <col min="50" max="50" width="15.42578125" style="2" bestFit="1" customWidth="1"/>
    <col min="51" max="51" width="16.5703125" style="2" bestFit="1" customWidth="1"/>
    <col min="52" max="52" width="22" style="2" bestFit="1" customWidth="1"/>
    <col min="53" max="53" width="26.140625" style="2" bestFit="1" customWidth="1"/>
    <col min="54" max="54" width="26.140625" style="3" bestFit="1" customWidth="1"/>
    <col min="55" max="55" width="20.140625" style="3" bestFit="1" customWidth="1"/>
    <col min="56" max="56" width="18.85546875" style="3" bestFit="1" customWidth="1"/>
    <col min="57" max="57" width="20.7109375" style="3" bestFit="1" customWidth="1"/>
    <col min="58" max="58" width="14.7109375" style="3" bestFit="1" customWidth="1"/>
    <col min="59" max="59" width="11.85546875" style="3" bestFit="1" customWidth="1"/>
    <col min="60" max="60" width="18.85546875" style="2" bestFit="1" customWidth="1"/>
    <col min="61" max="61" width="12.140625" style="2" bestFit="1" customWidth="1"/>
    <col min="62" max="62" width="19.140625" style="2" bestFit="1" customWidth="1"/>
    <col min="63" max="64" width="18" style="2" bestFit="1" customWidth="1"/>
    <col min="65" max="65" width="16.28515625" style="2" bestFit="1" customWidth="1"/>
    <col min="66" max="66" width="16" style="2" bestFit="1" customWidth="1"/>
    <col min="67" max="67" width="26.85546875" style="2" bestFit="1" customWidth="1"/>
    <col min="68" max="68" width="16.7109375" style="2" bestFit="1" customWidth="1"/>
    <col min="69" max="69" width="17.28515625" style="2" bestFit="1" customWidth="1"/>
    <col min="70" max="70" width="16.5703125" style="2" bestFit="1" customWidth="1"/>
    <col min="71" max="71" width="15.7109375" style="2" bestFit="1" customWidth="1"/>
    <col min="72" max="72" width="17.28515625" style="2" bestFit="1" customWidth="1"/>
    <col min="73" max="74" width="16.28515625" style="2" bestFit="1" customWidth="1"/>
    <col min="75" max="75" width="14.42578125" style="2" bestFit="1" customWidth="1"/>
    <col min="76" max="76" width="14.140625" style="2" bestFit="1" customWidth="1"/>
    <col min="77" max="77" width="25.28515625" style="2" bestFit="1" customWidth="1"/>
    <col min="78" max="78" width="15.140625" style="2" bestFit="1" customWidth="1"/>
    <col min="79" max="82" width="15.7109375" style="2" bestFit="1" customWidth="1"/>
    <col min="83" max="83" width="21.42578125" style="2" bestFit="1" customWidth="1"/>
    <col min="84" max="84" width="23.5703125" style="2" bestFit="1" customWidth="1"/>
    <col min="85" max="85" width="23.7109375" style="2" bestFit="1" customWidth="1"/>
    <col min="86" max="86" width="10.85546875" style="2" bestFit="1" customWidth="1"/>
    <col min="87" max="87" width="24.28515625" style="2" bestFit="1" customWidth="1"/>
    <col min="88" max="88" width="19.140625" style="2" bestFit="1" customWidth="1"/>
    <col min="89" max="89" width="16" style="2" bestFit="1" customWidth="1"/>
    <col min="90" max="90" width="14.140625" style="2" bestFit="1" customWidth="1"/>
    <col min="91" max="91" width="11.85546875" style="2" bestFit="1" customWidth="1"/>
    <col min="92" max="92" width="13.85546875" style="2" bestFit="1" customWidth="1"/>
    <col min="93" max="93" width="11" style="3" bestFit="1" customWidth="1"/>
    <col min="94" max="94" width="24.5703125" style="3" bestFit="1" customWidth="1"/>
    <col min="95" max="95" width="19.42578125" style="3" bestFit="1" customWidth="1"/>
    <col min="96" max="96" width="12.140625" style="3" bestFit="1" customWidth="1"/>
    <col min="97" max="97" width="6.5703125" style="3" bestFit="1" customWidth="1"/>
    <col min="98" max="98" width="14.7109375" style="3" bestFit="1" customWidth="1"/>
    <col min="99" max="99" width="17.5703125" style="3" bestFit="1" customWidth="1"/>
    <col min="100" max="100" width="18.28515625" style="3" bestFit="1" customWidth="1"/>
    <col min="101" max="101" width="19.42578125" style="3" bestFit="1" customWidth="1"/>
    <col min="102" max="103" width="18.85546875" style="3" bestFit="1" customWidth="1"/>
    <col min="104" max="105" width="25.5703125" style="3" bestFit="1" customWidth="1"/>
    <col min="106" max="106" width="21.42578125" style="3" bestFit="1" customWidth="1"/>
    <col min="107" max="107" width="28" style="3" bestFit="1" customWidth="1"/>
    <col min="108" max="109" width="16.28515625" style="3" bestFit="1" customWidth="1"/>
    <col min="110" max="111" width="23.28515625" style="3" bestFit="1" customWidth="1"/>
    <col min="112" max="112" width="19.140625" style="2" bestFit="1" customWidth="1"/>
    <col min="113" max="113" width="25.5703125" style="2" bestFit="1" customWidth="1"/>
    <col min="114" max="115" width="15" style="3" bestFit="1" customWidth="1"/>
    <col min="116" max="117" width="21.7109375" style="2" bestFit="1" customWidth="1"/>
    <col min="118" max="118" width="17.85546875" style="2" bestFit="1" customWidth="1"/>
    <col min="119" max="119" width="24.28515625" style="3" bestFit="1" customWidth="1"/>
    <col min="120" max="120" width="17.85546875" style="3" bestFit="1" customWidth="1"/>
    <col min="122" max="122" width="59.42578125" bestFit="1" customWidth="1"/>
    <col min="123" max="123" width="93.7109375" bestFit="1" customWidth="1"/>
    <col min="124" max="124" width="15.7109375" bestFit="1" customWidth="1"/>
    <col min="125" max="125" width="32.5703125" bestFit="1" customWidth="1"/>
    <col min="126" max="126" width="21.7109375" bestFit="1" customWidth="1"/>
    <col min="127" max="127" width="21.140625" bestFit="1" customWidth="1"/>
    <col min="128" max="128" width="26.42578125" bestFit="1" customWidth="1"/>
    <col min="129" max="129" width="35.42578125" bestFit="1" customWidth="1"/>
    <col min="130" max="132" width="26.5703125" bestFit="1" customWidth="1"/>
    <col min="133" max="133" width="25.140625" bestFit="1" customWidth="1"/>
    <col min="134" max="134" width="20.140625" bestFit="1" customWidth="1"/>
    <col min="135" max="135" width="20.85546875" bestFit="1" customWidth="1"/>
    <col min="136" max="136" width="24.85546875" bestFit="1" customWidth="1"/>
    <col min="137" max="137" width="33.140625" bestFit="1" customWidth="1"/>
    <col min="138" max="138" width="32.140625" bestFit="1" customWidth="1"/>
    <col min="139" max="140" width="32.85546875" bestFit="1" customWidth="1"/>
    <col min="141" max="141" width="28.42578125" bestFit="1" customWidth="1"/>
    <col min="142" max="142" width="19.85546875" bestFit="1" customWidth="1"/>
    <col min="143" max="143" width="30" bestFit="1" customWidth="1"/>
    <col min="144" max="144" width="25.140625" bestFit="1" customWidth="1"/>
    <col min="145" max="145" width="19.85546875" bestFit="1" customWidth="1"/>
    <col min="146" max="146" width="30" bestFit="1" customWidth="1"/>
    <col min="147" max="147" width="25.140625" bestFit="1" customWidth="1"/>
    <col min="148" max="149" width="25.5703125" bestFit="1" customWidth="1"/>
    <col min="150" max="150" width="22" bestFit="1" customWidth="1"/>
    <col min="151" max="151" width="32.140625" bestFit="1" customWidth="1"/>
    <col min="152" max="154" width="27.140625" bestFit="1" customWidth="1"/>
    <col min="155" max="155" width="22.28515625" bestFit="1" customWidth="1"/>
    <col min="156" max="156" width="33.85546875" bestFit="1" customWidth="1"/>
    <col min="157" max="157" width="30.85546875" bestFit="1" customWidth="1"/>
    <col min="158" max="158" width="27.7109375" bestFit="1" customWidth="1"/>
    <col min="159" max="159" width="28.7109375" bestFit="1" customWidth="1"/>
    <col min="160" max="160" width="28.42578125" bestFit="1" customWidth="1"/>
    <col min="161" max="161" width="30" bestFit="1" customWidth="1"/>
    <col min="162" max="163" width="29.42578125" bestFit="1" customWidth="1"/>
    <col min="164" max="164" width="20.85546875" bestFit="1" customWidth="1"/>
    <col min="165" max="165" width="29" bestFit="1" customWidth="1"/>
    <col min="166" max="166" width="27.140625" bestFit="1" customWidth="1"/>
    <col min="167" max="168" width="29" bestFit="1" customWidth="1"/>
    <col min="169" max="170" width="24.28515625" bestFit="1" customWidth="1"/>
    <col min="171" max="171" width="19.85546875" bestFit="1" customWidth="1"/>
    <col min="172" max="172" width="20.140625" bestFit="1" customWidth="1"/>
    <col min="173" max="173" width="23.5703125" bestFit="1" customWidth="1"/>
    <col min="174" max="176" width="25.5703125" bestFit="1" customWidth="1"/>
    <col min="177" max="178" width="31" bestFit="1" customWidth="1"/>
    <col min="179" max="180" width="36.7109375" bestFit="1" customWidth="1"/>
    <col min="181" max="181" width="33.140625" bestFit="1" customWidth="1"/>
    <col min="182" max="182" width="38.28515625" bestFit="1" customWidth="1"/>
    <col min="183" max="184" width="29" bestFit="1" customWidth="1"/>
    <col min="185" max="186" width="34.7109375" bestFit="1" customWidth="1"/>
    <col min="187" max="187" width="31" bestFit="1" customWidth="1"/>
    <col min="188" max="188" width="36.28515625" bestFit="1" customWidth="1"/>
    <col min="189" max="190" width="28" bestFit="1" customWidth="1"/>
    <col min="191" max="192" width="33.85546875" bestFit="1" customWidth="1"/>
    <col min="193" max="193" width="30.28515625" bestFit="1" customWidth="1"/>
    <col min="194" max="194" width="35.42578125" bestFit="1" customWidth="1"/>
    <col min="197" max="197" width="25.42578125" customWidth="1"/>
    <col min="198" max="198" width="14.42578125" bestFit="1" customWidth="1"/>
    <col min="199" max="199" width="24.28515625" bestFit="1" customWidth="1"/>
    <col min="200" max="200" width="7.7109375" bestFit="1" customWidth="1"/>
    <col min="201" max="201" width="6.85546875" bestFit="1" customWidth="1"/>
    <col min="202" max="202" width="13.140625" bestFit="1" customWidth="1"/>
    <col min="203" max="203" width="35.42578125" bestFit="1" customWidth="1"/>
    <col min="204" max="206" width="13.42578125" bestFit="1" customWidth="1"/>
    <col min="207" max="207" width="11.28515625" bestFit="1" customWidth="1"/>
    <col min="208" max="210" width="13.42578125" bestFit="1" customWidth="1"/>
    <col min="211" max="211" width="21.7109375" bestFit="1" customWidth="1"/>
    <col min="212" max="212" width="49" bestFit="1" customWidth="1"/>
    <col min="213" max="214" width="20.85546875" bestFit="1" customWidth="1"/>
    <col min="215" max="215" width="15.42578125" bestFit="1" customWidth="1"/>
    <col min="216" max="216" width="10.85546875" bestFit="1" customWidth="1"/>
    <col min="217" max="217" width="17.28515625" bestFit="1" customWidth="1"/>
    <col min="218" max="218" width="11.5703125" bestFit="1" customWidth="1"/>
    <col min="219" max="219" width="10.85546875" bestFit="1" customWidth="1"/>
    <col min="220" max="220" width="17.28515625" bestFit="1" customWidth="1"/>
    <col min="221" max="221" width="11.5703125" bestFit="1" customWidth="1"/>
    <col min="222" max="223" width="11.85546875" bestFit="1" customWidth="1"/>
    <col min="224" max="224" width="9.42578125" bestFit="1" customWidth="1"/>
    <col min="225" max="225" width="20.140625" bestFit="1" customWidth="1"/>
    <col min="226" max="228" width="14.140625" bestFit="1" customWidth="1"/>
    <col min="229" max="229" width="10.85546875" bestFit="1" customWidth="1"/>
    <col min="230" max="230" width="22" bestFit="1" customWidth="1"/>
    <col min="231" max="231" width="18.85546875" bestFit="1" customWidth="1"/>
    <col min="232" max="232" width="14.7109375" bestFit="1" customWidth="1"/>
    <col min="233" max="233" width="15.7109375" bestFit="1" customWidth="1"/>
    <col min="234" max="234" width="15.140625" bestFit="1" customWidth="1"/>
    <col min="235" max="235" width="17.28515625" bestFit="1" customWidth="1"/>
    <col min="236" max="237" width="16.28515625" bestFit="1" customWidth="1"/>
    <col min="238" max="238" width="9.42578125" bestFit="1" customWidth="1"/>
    <col min="239" max="239" width="15.7109375" bestFit="1" customWidth="1"/>
    <col min="240" max="240" width="14.140625" bestFit="1" customWidth="1"/>
    <col min="241" max="242" width="15.7109375" bestFit="1" customWidth="1"/>
    <col min="243" max="244" width="10.5703125" bestFit="1" customWidth="1"/>
    <col min="245" max="245" width="9.42578125" bestFit="1" customWidth="1"/>
    <col min="246" max="246" width="5.5703125" bestFit="1" customWidth="1"/>
    <col min="247" max="247" width="9.42578125" bestFit="1" customWidth="1"/>
    <col min="248" max="248" width="12.140625" bestFit="1" customWidth="1"/>
    <col min="249" max="250" width="13.42578125" bestFit="1" customWidth="1"/>
    <col min="251" max="252" width="18.85546875" bestFit="1" customWidth="1"/>
    <col min="253" max="254" width="25.5703125" bestFit="1" customWidth="1"/>
    <col min="255" max="255" width="21.42578125" bestFit="1" customWidth="1"/>
    <col min="256" max="256" width="28" bestFit="1" customWidth="1"/>
    <col min="257" max="258" width="16.28515625" bestFit="1" customWidth="1"/>
    <col min="259" max="260" width="23.28515625" bestFit="1" customWidth="1"/>
    <col min="261" max="261" width="19.140625" bestFit="1" customWidth="1"/>
    <col min="262" max="262" width="25.5703125" bestFit="1" customWidth="1"/>
    <col min="263" max="264" width="15" bestFit="1" customWidth="1"/>
    <col min="265" max="266" width="21.7109375" bestFit="1" customWidth="1"/>
    <col min="267" max="267" width="17.85546875" bestFit="1" customWidth="1"/>
    <col min="268" max="268" width="24.28515625" bestFit="1" customWidth="1"/>
    <col min="274" max="275" width="27" bestFit="1" customWidth="1"/>
    <col min="276" max="277" width="18.85546875" bestFit="1" customWidth="1"/>
    <col min="278" max="279" width="19" bestFit="1" customWidth="1"/>
    <col min="280" max="281" width="20.140625" bestFit="1" customWidth="1"/>
    <col min="15999" max="16384" width="27.85546875" style="2"/>
  </cols>
  <sheetData>
    <row r="1" spans="2:273 15999:16213" x14ac:dyDescent="0.25">
      <c r="B1" s="1" t="s">
        <v>511</v>
      </c>
    </row>
    <row r="2" spans="2:273 15999:16213" x14ac:dyDescent="0.25">
      <c r="B2" s="1" t="s">
        <v>512</v>
      </c>
      <c r="M2" s="2"/>
      <c r="N2" s="2"/>
      <c r="O2" s="2"/>
      <c r="V2" s="2"/>
      <c r="W2" s="2"/>
      <c r="X2" s="2"/>
      <c r="Y2" s="2"/>
      <c r="Z2" s="2"/>
      <c r="AA2" s="2"/>
      <c r="AB2" s="2"/>
      <c r="AJ2" s="2"/>
      <c r="AO2" s="2"/>
      <c r="BB2" s="2"/>
      <c r="BC2" s="2"/>
      <c r="BD2" s="2"/>
      <c r="BE2" s="2"/>
      <c r="BF2" s="2"/>
      <c r="BG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J2" s="2"/>
      <c r="DK2" s="2"/>
      <c r="DN2" s="4"/>
      <c r="DO2" s="4"/>
      <c r="DP2" s="4"/>
    </row>
    <row r="3" spans="2:273 15999:16213" x14ac:dyDescent="0.25">
      <c r="B3" s="1" t="s">
        <v>513</v>
      </c>
      <c r="C3" s="5"/>
      <c r="M3" s="2"/>
      <c r="N3" s="2"/>
      <c r="O3" s="2"/>
      <c r="V3" s="2"/>
      <c r="W3" s="2"/>
      <c r="X3" s="2"/>
      <c r="Y3" s="2"/>
      <c r="Z3" s="2"/>
      <c r="AA3" s="2"/>
      <c r="AB3" s="2"/>
      <c r="AJ3" s="2"/>
      <c r="AO3" s="2"/>
      <c r="BB3" s="2"/>
      <c r="BC3" s="2"/>
      <c r="BD3" s="2"/>
      <c r="BE3" s="2"/>
      <c r="BF3" s="2"/>
      <c r="BG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J3" s="2"/>
      <c r="DK3" s="2"/>
      <c r="DN3" s="4"/>
      <c r="DO3" s="4"/>
      <c r="DP3" s="4"/>
    </row>
    <row r="4" spans="2:273 15999:16213" x14ac:dyDescent="0.25">
      <c r="B4" s="1"/>
      <c r="C4" s="5"/>
      <c r="M4" s="2"/>
      <c r="N4" s="2"/>
      <c r="O4" s="2"/>
      <c r="V4" s="2"/>
      <c r="W4" s="2"/>
      <c r="X4" s="2"/>
      <c r="Y4" s="2"/>
      <c r="Z4" s="2"/>
      <c r="AA4" s="2"/>
      <c r="AB4" s="2"/>
      <c r="AJ4" s="2"/>
      <c r="AO4" s="2"/>
      <c r="BB4" s="2"/>
      <c r="BC4" s="2"/>
      <c r="BD4" s="2"/>
      <c r="BE4" s="2"/>
      <c r="BF4" s="2"/>
      <c r="BG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J4" s="2"/>
      <c r="DK4" s="2"/>
      <c r="DN4" s="4"/>
      <c r="DO4" s="4"/>
      <c r="DP4" s="4"/>
    </row>
    <row r="5" spans="2:273 15999:16213" s="7" customFormat="1" ht="51" x14ac:dyDescent="0.75">
      <c r="B5" s="6" t="s">
        <v>0</v>
      </c>
      <c r="DA5" s="8"/>
      <c r="DB5" s="8"/>
      <c r="DC5" s="8"/>
      <c r="DD5" s="8"/>
      <c r="DE5" s="8"/>
      <c r="DN5" s="8"/>
      <c r="DO5" s="8"/>
      <c r="DP5" s="8"/>
      <c r="DQ5" s="9"/>
      <c r="DR5" s="9"/>
      <c r="DS5" s="6" t="s">
        <v>504</v>
      </c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6" t="s">
        <v>505</v>
      </c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</row>
    <row r="6" spans="2:273 15999:16213" x14ac:dyDescent="0.25">
      <c r="M6" s="2"/>
      <c r="N6" s="2"/>
      <c r="O6" s="2"/>
      <c r="V6" s="2"/>
      <c r="W6" s="2"/>
      <c r="X6" s="2"/>
      <c r="Y6" s="2"/>
      <c r="Z6" s="2"/>
      <c r="AA6" s="2"/>
      <c r="AB6" s="2"/>
      <c r="AJ6" s="2"/>
      <c r="AO6" s="2"/>
      <c r="BB6" s="2"/>
      <c r="BC6" s="2"/>
      <c r="BD6" s="2"/>
      <c r="BE6" s="2"/>
      <c r="BF6" s="2"/>
      <c r="BG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J6" s="2"/>
      <c r="DK6" s="2"/>
      <c r="DN6" s="4"/>
      <c r="DO6" s="4"/>
      <c r="DP6" s="4"/>
    </row>
    <row r="7" spans="2:273 15999:16213" x14ac:dyDescent="0.25">
      <c r="B7" s="10" t="s">
        <v>1</v>
      </c>
      <c r="C7" s="11"/>
      <c r="F7" s="74" t="s">
        <v>201</v>
      </c>
      <c r="G7" s="74" t="s">
        <v>203</v>
      </c>
      <c r="H7" s="72"/>
      <c r="I7" s="112" t="s">
        <v>217</v>
      </c>
      <c r="J7" s="113" t="s">
        <v>50</v>
      </c>
      <c r="K7" s="74" t="s">
        <v>54</v>
      </c>
      <c r="L7" s="74" t="s">
        <v>218</v>
      </c>
      <c r="M7" s="2"/>
      <c r="N7" s="2"/>
      <c r="O7" s="2"/>
      <c r="V7" s="2"/>
      <c r="W7" s="2"/>
      <c r="X7" s="2"/>
      <c r="Y7" s="2"/>
      <c r="Z7" s="2"/>
      <c r="AA7" s="2"/>
      <c r="AB7" s="2"/>
      <c r="AJ7" s="2"/>
      <c r="AO7" s="2"/>
      <c r="BB7" s="2"/>
      <c r="BC7" s="2"/>
      <c r="BD7" s="2"/>
      <c r="BE7" s="2"/>
      <c r="BF7" s="2"/>
      <c r="BG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J7" s="2"/>
      <c r="DK7" s="2"/>
      <c r="DN7" s="4"/>
      <c r="DO7" s="4"/>
      <c r="DP7" s="4"/>
    </row>
    <row r="8" spans="2:273 15999:16213" x14ac:dyDescent="0.25">
      <c r="B8" s="315" t="s">
        <v>461</v>
      </c>
      <c r="C8" s="323">
        <f>IFERROR(INDEX(tblIntRate[Rate],MATCH(int_rate_scenario,tblIntRate[Type],0)),0)</f>
        <v>0</v>
      </c>
      <c r="F8" s="356" t="s">
        <v>160</v>
      </c>
      <c r="G8" s="357" t="str">
        <f>Input!$N$11</f>
        <v>UVL01</v>
      </c>
      <c r="H8" s="72"/>
      <c r="I8" s="114" t="s">
        <v>220</v>
      </c>
      <c r="J8" s="361">
        <f ca="1">ROUNDUP(tblPlanPrem[[#This Row],[Factor]]*tp_rate*si/1000,-3)</f>
        <v>1072000</v>
      </c>
      <c r="K8" s="361">
        <f>ROUNDUP(ep*tblPlanPrem[[#This Row],[Factor]],-3)</f>
        <v>5200000</v>
      </c>
      <c r="L8" s="360">
        <f>INDEX(tblModalFactor[#Data],
MATCH(base,tblModalFactor[Product],0),
MATCH(tblPlanPrem[[#This Row],[Mode]],tblModalFactor[#Headers],0))</f>
        <v>1</v>
      </c>
      <c r="M8" s="2"/>
      <c r="N8" s="2"/>
      <c r="O8" s="2"/>
      <c r="V8" s="2"/>
      <c r="W8" s="2"/>
      <c r="X8" s="2"/>
      <c r="Y8" s="2"/>
      <c r="Z8" s="2"/>
      <c r="AA8" s="2"/>
      <c r="AB8" s="2"/>
      <c r="AJ8" s="2"/>
      <c r="AO8" s="2"/>
      <c r="BB8" s="2"/>
      <c r="BC8" s="2"/>
      <c r="BD8" s="2"/>
      <c r="BE8" s="2"/>
      <c r="BF8" s="2"/>
      <c r="BG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J8" s="2"/>
      <c r="DK8" s="2"/>
      <c r="DN8" s="4"/>
      <c r="DO8" s="4"/>
      <c r="DP8" s="4"/>
    </row>
    <row r="9" spans="2:273 15999:16213" x14ac:dyDescent="0.25">
      <c r="B9" s="10" t="s">
        <v>4</v>
      </c>
      <c r="C9" s="11"/>
      <c r="F9" s="356" t="s">
        <v>264</v>
      </c>
      <c r="G9" s="358">
        <f>Input!$N$46</f>
        <v>101000000</v>
      </c>
      <c r="H9" s="72"/>
      <c r="I9" s="114" t="s">
        <v>223</v>
      </c>
      <c r="J9" s="361">
        <f ca="1">ROUNDUP(tblPlanPrem[[#This Row],[Factor]]*tp_rate*si/1000,-3)</f>
        <v>536000</v>
      </c>
      <c r="K9" s="361">
        <f>ROUNDUP(ep*tblPlanPrem[[#This Row],[Factor]],-3)</f>
        <v>2600000</v>
      </c>
      <c r="L9" s="360">
        <f>INDEX(tblModalFactor[#Data],
MATCH(base,tblModalFactor[Product],0),
MATCH(tblPlanPrem[[#This Row],[Mode]],tblModalFactor[#Headers],0))</f>
        <v>0.5</v>
      </c>
      <c r="M9" s="2"/>
      <c r="N9" s="2"/>
      <c r="O9" s="2"/>
      <c r="V9" s="2"/>
      <c r="W9" s="2"/>
      <c r="X9" s="2"/>
      <c r="Y9" s="2"/>
      <c r="Z9" s="2"/>
      <c r="AA9" s="2"/>
      <c r="AB9" s="2"/>
      <c r="AJ9" s="2"/>
      <c r="AO9" s="2"/>
      <c r="BB9" s="2"/>
      <c r="BC9" s="2"/>
      <c r="BD9" s="2"/>
      <c r="BE9" s="2"/>
      <c r="BF9" s="2"/>
      <c r="BG9" s="2"/>
      <c r="BK9" s="1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J9" s="2"/>
      <c r="DK9" s="2"/>
      <c r="DN9" s="4"/>
      <c r="DO9" s="4"/>
      <c r="DP9" s="4"/>
    </row>
    <row r="10" spans="2:273 15999:16213" x14ac:dyDescent="0.25">
      <c r="B10" s="10" t="s">
        <v>5</v>
      </c>
      <c r="C10" s="316">
        <f ca="1">must_pay_period * (prem_term_scenario="Must-pay term")
+ opted_tp_term *( prem_term_scenario="Opted term")
+ term *( prem_term_scenario="Policy term")</f>
        <v>0</v>
      </c>
      <c r="F10" s="106" t="s">
        <v>456</v>
      </c>
      <c r="G10" s="359">
        <f>base_term</f>
        <v>100</v>
      </c>
      <c r="H10" s="72"/>
      <c r="I10" s="114" t="s">
        <v>224</v>
      </c>
      <c r="J10" s="361">
        <f ca="1">ROUNDUP(tblPlanPrem[[#This Row],[Factor]]*tp_rate*si/1000,-3)</f>
        <v>268000</v>
      </c>
      <c r="K10" s="361">
        <f>ROUNDUP(ep*tblPlanPrem[[#This Row],[Factor]],-3)</f>
        <v>1300000</v>
      </c>
      <c r="L10" s="360">
        <f>INDEX(tblModalFactor[#Data],
MATCH(base,tblModalFactor[Product],0),
MATCH(tblPlanPrem[[#This Row],[Mode]],tblModalFactor[#Headers],0))</f>
        <v>0.25</v>
      </c>
      <c r="M10" s="2"/>
      <c r="N10" s="2"/>
      <c r="O10" s="2"/>
      <c r="V10" s="2"/>
      <c r="W10" s="2"/>
      <c r="X10" s="2"/>
      <c r="Y10" s="2"/>
      <c r="Z10" s="2"/>
      <c r="AA10" s="2"/>
      <c r="AB10" s="2"/>
      <c r="AJ10" s="2"/>
      <c r="AO10" s="2"/>
      <c r="BB10" s="2"/>
      <c r="BC10" s="2"/>
      <c r="BD10" s="2"/>
      <c r="BE10" s="2"/>
      <c r="BF10" s="2"/>
      <c r="BG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J10" s="2"/>
      <c r="DK10" s="2"/>
      <c r="DN10" s="13"/>
      <c r="DO10" s="13"/>
      <c r="DP10" s="13"/>
    </row>
    <row r="11" spans="2:273 15999:16213" x14ac:dyDescent="0.25">
      <c r="B11" s="10" t="s">
        <v>6</v>
      </c>
      <c r="C11" s="316">
        <f ca="1">must_pay_period * (prem_term_scenario="Must-pay term")
+ opted_ep_term *( prem_term_scenario="Opted term")
+ term *( prem_term_scenario="Policy term")</f>
        <v>0</v>
      </c>
      <c r="F11" s="106" t="s">
        <v>207</v>
      </c>
      <c r="G11" s="359">
        <f>66-mainLI_entry_age</f>
        <v>66</v>
      </c>
      <c r="H11" s="72"/>
      <c r="I11" s="115" t="s">
        <v>225</v>
      </c>
      <c r="J11" s="361">
        <f ca="1">ROUNDUP(tblPlanPrem[[#This Row],[Factor]]*tp_rate*si/1000,-3)</f>
        <v>90000</v>
      </c>
      <c r="K11" s="361">
        <f>ROUNDUP(ep*tblPlanPrem[[#This Row],[Factor]],-3)</f>
        <v>434000</v>
      </c>
      <c r="L11" s="360">
        <f>INDEX(tblModalFactor[#Data],
MATCH(base,tblModalFactor[Product],0),
MATCH(tblPlanPrem[[#This Row],[Mode]],tblModalFactor[#Headers],0))</f>
        <v>8.3333333333333301E-2</v>
      </c>
    </row>
    <row r="12" spans="2:273 15999:16213" customFormat="1" x14ac:dyDescent="0.25">
      <c r="B12" s="10" t="s">
        <v>460</v>
      </c>
      <c r="C12" s="11"/>
      <c r="D12" s="2"/>
      <c r="E12" s="2"/>
      <c r="F12" s="106" t="s">
        <v>211</v>
      </c>
      <c r="G12" s="360">
        <f ca="1">IFERROR(INDEX(tblTPRate[Rate],MATCH(mainLI_entry_age,tblTPRate[Age],0)),0)</f>
        <v>10.6128</v>
      </c>
      <c r="H12" s="72"/>
      <c r="I12" s="2"/>
      <c r="J12" s="2"/>
      <c r="K12" s="2"/>
      <c r="L12" s="2"/>
      <c r="M12" s="3"/>
      <c r="N12" s="3"/>
      <c r="O12" s="3"/>
      <c r="P12" s="2"/>
      <c r="Q12" s="2"/>
      <c r="R12" s="2"/>
      <c r="S12" s="2"/>
      <c r="T12" s="2"/>
      <c r="U12" s="2"/>
      <c r="V12" s="3"/>
      <c r="W12" s="3"/>
      <c r="X12" s="3"/>
      <c r="Y12" s="3"/>
      <c r="Z12" s="3"/>
      <c r="AA12" s="3"/>
      <c r="AB12" s="3"/>
      <c r="AC12" s="2"/>
      <c r="AD12" s="2"/>
      <c r="AE12" s="2"/>
      <c r="AF12" s="2"/>
      <c r="AG12" s="2"/>
      <c r="AH12" s="2"/>
      <c r="AI12" s="2"/>
      <c r="AJ12" s="3"/>
      <c r="AK12" s="2"/>
      <c r="AL12" s="2"/>
      <c r="AM12" s="2"/>
      <c r="AN12" s="2"/>
      <c r="AO12" s="3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3"/>
      <c r="BC12" s="3"/>
      <c r="BD12" s="3"/>
      <c r="BE12" s="3"/>
      <c r="BF12" s="3"/>
      <c r="BG12" s="3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</row>
    <row r="13" spans="2:273 15999:16213" customFormat="1" x14ac:dyDescent="0.25">
      <c r="B13" s="315" t="s">
        <v>227</v>
      </c>
      <c r="C13" s="317">
        <f>Input!$N55*(risk_scenario="Subrisk")</f>
        <v>0</v>
      </c>
      <c r="D13" s="2"/>
      <c r="E13" s="2"/>
      <c r="F13" s="106" t="s">
        <v>213</v>
      </c>
      <c r="G13" s="361" cm="1">
        <f t="array" aca="1" ref="G13" ca="1">_xlfn.SWITCH(base,
"ILP01",_xlfn.SWITCH(tp&gt;=100000000,5%,tp&gt;=50000000,3%),0)*tp</f>
        <v>0</v>
      </c>
      <c r="H13" s="2"/>
      <c r="I13" s="2"/>
      <c r="J13" s="2"/>
      <c r="K13" s="2"/>
      <c r="L13" s="2"/>
      <c r="M13" s="3"/>
      <c r="N13" s="3"/>
      <c r="O13" s="3"/>
      <c r="P13" s="2"/>
      <c r="Q13" s="2"/>
      <c r="R13" s="2"/>
      <c r="S13" s="2"/>
      <c r="T13" s="2"/>
      <c r="U13" s="2"/>
      <c r="V13" s="3"/>
      <c r="W13" s="3"/>
      <c r="X13" s="3"/>
      <c r="Y13" s="3"/>
      <c r="Z13" s="3"/>
      <c r="AA13" s="3"/>
      <c r="AB13" s="3"/>
      <c r="AC13" s="2"/>
      <c r="AD13" s="2"/>
      <c r="AE13" s="2"/>
      <c r="AF13" s="2"/>
      <c r="AG13" s="2"/>
      <c r="AH13" s="2"/>
      <c r="AI13" s="2"/>
      <c r="AJ13" s="3"/>
      <c r="AK13" s="2"/>
      <c r="AL13" s="2"/>
      <c r="AM13" s="2"/>
      <c r="AN13" s="2"/>
      <c r="AO13" s="3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3"/>
      <c r="BC13" s="3"/>
      <c r="BD13" s="3"/>
      <c r="BE13" s="3"/>
      <c r="BF13" s="3"/>
      <c r="BG13" s="3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</row>
    <row r="14" spans="2:273 15999:16213" customFormat="1" ht="39.75" thickBot="1" x14ac:dyDescent="0.65">
      <c r="B14" s="315" t="s">
        <v>230</v>
      </c>
      <c r="C14" s="316">
        <f>Input!$N56*(risk_scenario="Subrisk")</f>
        <v>0</v>
      </c>
      <c r="D14" s="2"/>
      <c r="E14" s="2"/>
      <c r="F14" s="101" t="s">
        <v>229</v>
      </c>
      <c r="G14" s="367" cm="1">
        <f t="array" aca="1" ref="G14" ca="1">_xlfn.SWITCH(base,
"UVL01",OFFSET(IF(mainLI_gender = "Male", Extra_Prem_Rate!$D$8, Extra_Prem_Rate!$D$120),mainLI_entry_age, em_load_term-1),
"UVL02",0,
"UVL03",0,0)</f>
        <v>0</v>
      </c>
      <c r="H14" s="2"/>
      <c r="I14" s="2"/>
      <c r="J14" s="2"/>
      <c r="K14" s="2"/>
      <c r="L14" s="2"/>
      <c r="M14" s="3"/>
      <c r="N14" s="3"/>
      <c r="O14" s="3"/>
      <c r="P14" s="2"/>
      <c r="Q14" s="2"/>
      <c r="R14" s="2"/>
      <c r="S14" s="2"/>
      <c r="T14" s="2"/>
      <c r="U14" s="2"/>
      <c r="V14" s="3"/>
      <c r="W14" s="3"/>
      <c r="X14" s="3"/>
      <c r="Y14" s="3"/>
      <c r="Z14" s="3"/>
      <c r="AA14" s="3"/>
      <c r="AB14" s="3"/>
      <c r="AC14" s="2"/>
      <c r="AD14" s="2"/>
      <c r="AE14" s="2"/>
      <c r="AF14" s="2"/>
      <c r="AG14" s="2"/>
      <c r="AH14" s="2"/>
      <c r="AI14" s="2"/>
      <c r="AJ14" s="3"/>
      <c r="AK14" s="2"/>
      <c r="AL14" s="2"/>
      <c r="AM14" s="2"/>
      <c r="AN14" s="2"/>
      <c r="AO14" s="3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3"/>
      <c r="BC14" s="3"/>
      <c r="BD14" s="3"/>
      <c r="BE14" s="3"/>
      <c r="BF14" s="3"/>
      <c r="BG14" s="3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S14" s="14" t="s">
        <v>7</v>
      </c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O14" s="14" t="s">
        <v>8</v>
      </c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</row>
    <row r="15" spans="2:273 15999:16213" customFormat="1" ht="15.75" thickTop="1" x14ac:dyDescent="0.25">
      <c r="B15" s="315" t="s">
        <v>231</v>
      </c>
      <c r="C15" s="318">
        <f>Input!$N57*(risk_scenario="Subrisk")</f>
        <v>0</v>
      </c>
      <c r="D15" s="2"/>
      <c r="E15" s="2"/>
      <c r="F15" s="2"/>
      <c r="G15" s="2"/>
      <c r="H15" s="2"/>
      <c r="I15" s="2"/>
      <c r="J15" s="2"/>
      <c r="K15" s="2"/>
      <c r="L15" s="2"/>
      <c r="M15" s="3"/>
      <c r="N15" s="3"/>
      <c r="O15" s="3"/>
      <c r="P15" s="2"/>
      <c r="Q15" s="2"/>
      <c r="R15" s="2"/>
      <c r="S15" s="2"/>
      <c r="T15" s="2"/>
      <c r="U15" s="2"/>
      <c r="V15" s="3"/>
      <c r="W15" s="3"/>
      <c r="X15" s="3"/>
      <c r="Y15" s="3"/>
      <c r="Z15" s="3"/>
      <c r="AA15" s="3"/>
      <c r="AB15" s="3"/>
      <c r="AC15" s="2"/>
      <c r="AD15" s="2"/>
      <c r="AE15" s="2"/>
      <c r="AF15" s="2"/>
      <c r="AG15" s="2"/>
      <c r="AH15" s="2"/>
      <c r="AI15" s="2"/>
      <c r="AJ15" s="3"/>
      <c r="AK15" s="2"/>
      <c r="AL15" s="2"/>
      <c r="AM15" s="2"/>
      <c r="AN15" s="2"/>
      <c r="AO15" s="3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3"/>
      <c r="BC15" s="3"/>
      <c r="BD15" s="3"/>
      <c r="BE15" s="3"/>
      <c r="BF15" s="3"/>
      <c r="BG15" s="3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</row>
    <row r="16" spans="2:273 15999:16213" customFormat="1" x14ac:dyDescent="0.25">
      <c r="B16" s="315" t="s">
        <v>233</v>
      </c>
      <c r="C16" s="316">
        <f>Input!$N58*(risk_scenario="Subrisk")</f>
        <v>0</v>
      </c>
      <c r="D16" s="2"/>
      <c r="E16" s="2"/>
      <c r="F16" s="2"/>
      <c r="G16" s="2"/>
      <c r="H16" s="2"/>
      <c r="I16" s="2"/>
      <c r="J16" s="2"/>
      <c r="K16" s="2"/>
      <c r="L16" s="2"/>
      <c r="M16" s="3"/>
      <c r="N16" s="3"/>
      <c r="O16" s="3"/>
      <c r="P16" s="2"/>
      <c r="Q16" s="2"/>
      <c r="R16" s="2"/>
      <c r="S16" s="2"/>
      <c r="T16" s="2"/>
      <c r="U16" s="2"/>
      <c r="V16" s="3"/>
      <c r="W16" s="3"/>
      <c r="X16" s="3"/>
      <c r="Y16" s="3"/>
      <c r="Z16" s="3"/>
      <c r="AA16" s="3"/>
      <c r="AB16" s="3"/>
      <c r="AC16" s="2"/>
      <c r="AD16" s="2"/>
      <c r="AE16" s="2"/>
      <c r="AF16" s="2"/>
      <c r="AG16" s="2"/>
      <c r="AH16" s="2"/>
      <c r="AI16" s="2"/>
      <c r="AJ16" s="3"/>
      <c r="AK16" s="2"/>
      <c r="AL16" s="2"/>
      <c r="AM16" s="2"/>
      <c r="AN16" s="2"/>
      <c r="AO16" s="3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3"/>
      <c r="BC16" s="3"/>
      <c r="BD16" s="3"/>
      <c r="BE16" s="3"/>
      <c r="BF16" s="3"/>
      <c r="BG16" s="3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</row>
    <row r="17" spans="2:268" customFormat="1" x14ac:dyDescent="0.25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2"/>
      <c r="DP17" s="3"/>
      <c r="DR17" s="16" t="s">
        <v>9</v>
      </c>
    </row>
    <row r="18" spans="2:268" customFormat="1" x14ac:dyDescent="0.25">
      <c r="B18" s="2"/>
      <c r="C18" s="2"/>
      <c r="D18" s="2"/>
      <c r="E18" s="2"/>
      <c r="F18" s="19" t="s">
        <v>10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0">
        <v>0</v>
      </c>
      <c r="AD18" s="20">
        <v>1</v>
      </c>
      <c r="AE18" s="20">
        <v>2</v>
      </c>
      <c r="AF18" s="20">
        <v>3</v>
      </c>
      <c r="AG18" s="20">
        <v>4</v>
      </c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372" t="s">
        <v>11</v>
      </c>
      <c r="BK18" s="372"/>
      <c r="BL18" s="372"/>
      <c r="BM18" s="372"/>
      <c r="BN18" s="372"/>
      <c r="BO18" s="372"/>
      <c r="BP18" s="372"/>
      <c r="BQ18" s="372"/>
      <c r="BR18" s="21"/>
      <c r="BS18" s="2"/>
      <c r="BT18" s="372" t="s">
        <v>12</v>
      </c>
      <c r="BU18" s="372"/>
      <c r="BV18" s="372"/>
      <c r="BW18" s="372"/>
      <c r="BX18" s="372"/>
      <c r="BY18" s="372"/>
      <c r="BZ18" s="372"/>
      <c r="CA18" s="372"/>
      <c r="CB18" s="37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2"/>
      <c r="DP18" s="3"/>
      <c r="DR18" s="22" t="s">
        <v>13</v>
      </c>
      <c r="DS18" s="23" t="s">
        <v>14</v>
      </c>
      <c r="DT18" s="23" t="s">
        <v>15</v>
      </c>
      <c r="DU18" s="23" t="s">
        <v>16</v>
      </c>
      <c r="DV18" s="24" t="str">
        <f t="shared" ref="DV18:GG18" si="0">"#tblBaseCF[@"&amp;DV20&amp;"]"</f>
        <v>#tblBaseCF[@Year]</v>
      </c>
      <c r="DW18" s="24" t="str">
        <f t="shared" si="0"/>
        <v>#tblBaseCF[@Age]</v>
      </c>
      <c r="DX18" s="24" t="str">
        <f t="shared" si="0"/>
        <v>#tblBaseCF[@ContFlag]</v>
      </c>
      <c r="DY18" s="24" t="str">
        <f t="shared" si="0"/>
        <v>#tblBaseCF[@ContLog]</v>
      </c>
      <c r="DZ18" s="24" t="str">
        <f t="shared" si="0"/>
        <v>#tblBaseCF[@StartTAV]</v>
      </c>
      <c r="EA18" s="24" t="str">
        <f t="shared" si="0"/>
        <v>#tblBaseCF[@StartEAV]</v>
      </c>
      <c r="EB18" s="24" t="str">
        <f t="shared" si="0"/>
        <v>#tblBaseCF[@StartPAV]</v>
      </c>
      <c r="EC18" s="24" t="str">
        <f t="shared" si="0"/>
        <v>#tblBaseCF[@SVChrg]</v>
      </c>
      <c r="ED18" s="24" t="str">
        <f t="shared" si="0"/>
        <v>#tblBaseCF[@SV]</v>
      </c>
      <c r="EE18" s="24" t="str">
        <f t="shared" si="0"/>
        <v>#tblBaseCF[@Ben]</v>
      </c>
      <c r="EF18" s="24" t="str">
        <f t="shared" si="0"/>
        <v>#tblBaseCF[@AccBen]</v>
      </c>
      <c r="EG18" s="24" t="str">
        <f t="shared" si="0"/>
        <v>#tblBaseCF[@WithdrawalInput]</v>
      </c>
      <c r="EH18" s="24" t="str">
        <f t="shared" si="0"/>
        <v>#tblBaseCF[@WithdrawalLog]</v>
      </c>
      <c r="EI18" s="24" t="str">
        <f t="shared" si="0"/>
        <v>#tblBaseCF[@TAVWithdrawal]</v>
      </c>
      <c r="EJ18" s="24" t="str">
        <f t="shared" si="0"/>
        <v>#tblBaseCF[@EAVWithdrawal]</v>
      </c>
      <c r="EK18" s="24" t="str">
        <f t="shared" si="0"/>
        <v>#tblBaseCF[@Withdrawal]</v>
      </c>
      <c r="EL18" s="24" t="str">
        <f t="shared" si="0"/>
        <v>#tblBaseCF[@TP]</v>
      </c>
      <c r="EM18" s="24" t="str">
        <f t="shared" si="0"/>
        <v>#tblBaseCF[@TPAllocChrg]</v>
      </c>
      <c r="EN18" s="24" t="str">
        <f t="shared" si="0"/>
        <v>#tblBaseCF[@TPAlloc]</v>
      </c>
      <c r="EO18" s="24" t="str">
        <f t="shared" si="0"/>
        <v>#tblBaseCF[@EP]</v>
      </c>
      <c r="EP18" s="24" t="str">
        <f t="shared" si="0"/>
        <v>#tblBaseCF[@EPAllocChrg]</v>
      </c>
      <c r="EQ18" s="24" t="str">
        <f t="shared" si="0"/>
        <v>#tblBaseCF[@EPAlloc]</v>
      </c>
      <c r="ER18" s="24" t="str">
        <f t="shared" si="0"/>
        <v>#tblBaseCF[@EMLoad]</v>
      </c>
      <c r="ES18" s="24" t="str">
        <f t="shared" si="0"/>
        <v>#tblBaseCF[@PMLoad]</v>
      </c>
      <c r="ET18" s="24" t="str">
        <f t="shared" si="0"/>
        <v>#tblBaseCF[@Load]</v>
      </c>
      <c r="EU18" s="24" t="str">
        <f t="shared" si="0"/>
        <v>#tblBaseCF[@LoadAllocChrg]</v>
      </c>
      <c r="EV18" s="24" t="str">
        <f t="shared" si="0"/>
        <v>#tblBaseCF[@LoadAlloc]</v>
      </c>
      <c r="EW18" s="24" t="str">
        <f t="shared" si="0"/>
        <v>#tblBaseCF[@TotalPrem]</v>
      </c>
      <c r="EX18" s="24" t="str">
        <f t="shared" si="0"/>
        <v>#tblBaseCF[@AllocChrg]</v>
      </c>
      <c r="EY18" s="24" t="str">
        <f t="shared" si="0"/>
        <v>#tblBaseCF[@Alloc]</v>
      </c>
      <c r="EZ18" s="24" t="str">
        <f t="shared" si="0"/>
        <v>#tblBaseCF[@AccumTotalPrem]</v>
      </c>
      <c r="FA18" s="24" t="str">
        <f t="shared" si="0"/>
        <v>#tblBaseCF[@AnnualIntRate]</v>
      </c>
      <c r="FB18" s="24" t="str">
        <f t="shared" si="0"/>
        <v>#tblBaseCF[@Duesn1m12]</v>
      </c>
      <c r="FC18" s="24" t="str">
        <f t="shared" si="0"/>
        <v>#tblBaseCF[@DeductFlag]</v>
      </c>
      <c r="FD18" s="24" t="str">
        <f t="shared" si="0"/>
        <v>#tblBaseCF[@AdminChrg]</v>
      </c>
      <c r="FE18" s="24" t="str">
        <f t="shared" si="0"/>
        <v>#tblBaseCF[@StandardCOI]</v>
      </c>
      <c r="FF18" s="24" t="str">
        <f t="shared" si="0"/>
        <v>#tblBaseCF[@EMLoadCOI]</v>
      </c>
      <c r="FG18" s="24" t="str">
        <f t="shared" si="0"/>
        <v>#tblBaseCF[@PMLoadCOI]</v>
      </c>
      <c r="FH18" s="24" t="str">
        <f t="shared" si="0"/>
        <v>#tblBaseCF[@COI]</v>
      </c>
      <c r="FI18" s="24" t="str">
        <f t="shared" si="0"/>
        <v>#tblBaseCF[@NomDeduct]</v>
      </c>
      <c r="FJ18" s="24" t="str">
        <f t="shared" si="0"/>
        <v>#tblBaseCF[@EffDeduct]</v>
      </c>
      <c r="FK18" s="24" t="str">
        <f t="shared" si="0"/>
        <v>#tblBaseCF[@TAVDeduct]</v>
      </c>
      <c r="FL18" s="24" t="str">
        <f t="shared" si="0"/>
        <v>#tblBaseCF[@EAVDeduct]</v>
      </c>
      <c r="FM18" s="24" t="str">
        <f t="shared" si="0"/>
        <v>#tblBaseCF[@TAVInt]</v>
      </c>
      <c r="FN18" s="24" t="str">
        <f t="shared" si="0"/>
        <v>#tblBaseCF[@EAVInt]</v>
      </c>
      <c r="FO18" s="24" t="str">
        <f t="shared" si="0"/>
        <v>#tblBaseCF[@LB]</v>
      </c>
      <c r="FP18" s="24" t="str">
        <f t="shared" si="0"/>
        <v>#tblBaseCF[@SB]</v>
      </c>
      <c r="FQ18" s="24" t="str">
        <f t="shared" si="0"/>
        <v>#tblBaseCF[@Bonus]</v>
      </c>
      <c r="FR18" s="24" t="str">
        <f t="shared" si="0"/>
        <v>#tblBaseCF[@EndTAV]</v>
      </c>
      <c r="FS18" s="24" t="str">
        <f t="shared" si="0"/>
        <v>#tblBaseCF[@EndEAV]</v>
      </c>
      <c r="FT18" s="24" t="str">
        <f t="shared" si="0"/>
        <v>#tblBaseCF[@EndPAV]</v>
      </c>
      <c r="FU18" s="24" t="str">
        <f t="shared" si="0"/>
        <v>#tblBaseCF[@SemiAnnualTP]</v>
      </c>
      <c r="FV18" s="24" t="str">
        <f t="shared" si="0"/>
        <v>#tblBaseCF[@SemiAnnualEP]</v>
      </c>
      <c r="FW18" s="24" t="str">
        <f t="shared" si="0"/>
        <v>#tblBaseCF[@SemiAnnualEMLoad]</v>
      </c>
      <c r="FX18" s="24" t="str">
        <f t="shared" si="0"/>
        <v>#tblBaseCF[@SemiAnnualPMLoad]</v>
      </c>
      <c r="FY18" s="24" t="str">
        <f t="shared" si="0"/>
        <v>#tblBaseCF[@SemiAnnualLoad]</v>
      </c>
      <c r="FZ18" s="24" t="str">
        <f t="shared" si="0"/>
        <v>#tblBaseCF[@SemiAnnualTotalPrem]</v>
      </c>
      <c r="GA18" s="24" t="str">
        <f t="shared" si="0"/>
        <v>#tblBaseCF[@QuarterlyTP]</v>
      </c>
      <c r="GB18" s="24" t="str">
        <f t="shared" si="0"/>
        <v>#tblBaseCF[@QuarterlyEP]</v>
      </c>
      <c r="GC18" s="24" t="str">
        <f t="shared" si="0"/>
        <v>#tblBaseCF[@QuarterlyEMLoad]</v>
      </c>
      <c r="GD18" s="24" t="str">
        <f t="shared" si="0"/>
        <v>#tblBaseCF[@QuarterlyPMLoad]</v>
      </c>
      <c r="GE18" s="24" t="str">
        <f t="shared" si="0"/>
        <v>#tblBaseCF[@QuarterlyLoad]</v>
      </c>
      <c r="GF18" s="24" t="str">
        <f t="shared" si="0"/>
        <v>#tblBaseCF[@QuarterlyTotalPrem]</v>
      </c>
      <c r="GG18" s="24" t="str">
        <f t="shared" si="0"/>
        <v>#tblBaseCF[@MonthlyTP]</v>
      </c>
      <c r="GH18" s="24" t="str">
        <f t="shared" ref="GH18:GL18" si="1">"#tblBaseCF[@"&amp;GH20&amp;"]"</f>
        <v>#tblBaseCF[@MonthlyEP]</v>
      </c>
      <c r="GI18" s="24" t="str">
        <f t="shared" si="1"/>
        <v>#tblBaseCF[@MonthlyEMLoad]</v>
      </c>
      <c r="GJ18" s="24" t="str">
        <f t="shared" si="1"/>
        <v>#tblBaseCF[@MonthlyPMLoad]</v>
      </c>
      <c r="GK18" s="24" t="str">
        <f t="shared" si="1"/>
        <v>#tblBaseCF[@MonthlyLoad]</v>
      </c>
      <c r="GL18" s="24" t="str">
        <f t="shared" si="1"/>
        <v>#tblBaseCF[@MonthlyTotalPrem]</v>
      </c>
    </row>
    <row r="19" spans="2:268" customFormat="1" x14ac:dyDescent="0.25">
      <c r="B19" s="25" t="s">
        <v>17</v>
      </c>
      <c r="C19" s="25" t="s">
        <v>18</v>
      </c>
      <c r="D19" s="25" t="s">
        <v>19</v>
      </c>
      <c r="E19" s="25" t="s">
        <v>20</v>
      </c>
      <c r="F19" s="26" t="s">
        <v>21</v>
      </c>
      <c r="G19" s="26" t="s">
        <v>22</v>
      </c>
      <c r="H19" s="25" t="s">
        <v>23</v>
      </c>
      <c r="I19" s="25" t="s">
        <v>24</v>
      </c>
      <c r="J19" s="25" t="s">
        <v>25</v>
      </c>
      <c r="K19" s="25" t="s">
        <v>27</v>
      </c>
      <c r="L19" s="25" t="s">
        <v>28</v>
      </c>
      <c r="M19" s="27" t="s">
        <v>29</v>
      </c>
      <c r="N19" s="28" t="s">
        <v>30</v>
      </c>
      <c r="O19" s="29" t="s">
        <v>31</v>
      </c>
      <c r="P19" s="30" t="s">
        <v>32</v>
      </c>
      <c r="Q19" s="31" t="s">
        <v>500</v>
      </c>
      <c r="R19" s="31" t="s">
        <v>33</v>
      </c>
      <c r="S19" s="31" t="s">
        <v>34</v>
      </c>
      <c r="T19" s="32" t="s">
        <v>35</v>
      </c>
      <c r="U19" s="32" t="s">
        <v>36</v>
      </c>
      <c r="V19" s="32" t="s">
        <v>37</v>
      </c>
      <c r="W19" s="33" t="s">
        <v>38</v>
      </c>
      <c r="X19" s="34" t="s">
        <v>39</v>
      </c>
      <c r="Y19" s="34" t="s">
        <v>40</v>
      </c>
      <c r="Z19" s="34" t="s">
        <v>41</v>
      </c>
      <c r="AA19" s="34" t="s">
        <v>42</v>
      </c>
      <c r="AB19" s="34" t="s">
        <v>43</v>
      </c>
      <c r="AC19" s="35" t="s">
        <v>44</v>
      </c>
      <c r="AD19" s="36" t="s">
        <v>45</v>
      </c>
      <c r="AE19" s="37" t="s">
        <v>46</v>
      </c>
      <c r="AF19" s="27" t="s">
        <v>47</v>
      </c>
      <c r="AG19" s="38" t="s">
        <v>48</v>
      </c>
      <c r="AH19" s="37" t="s">
        <v>49</v>
      </c>
      <c r="AI19" s="37" t="s">
        <v>50</v>
      </c>
      <c r="AJ19" s="37" t="s">
        <v>51</v>
      </c>
      <c r="AK19" s="37" t="s">
        <v>52</v>
      </c>
      <c r="AL19" s="36" t="s">
        <v>53</v>
      </c>
      <c r="AM19" s="36" t="s">
        <v>54</v>
      </c>
      <c r="AN19" s="36" t="s">
        <v>55</v>
      </c>
      <c r="AO19" s="36" t="s">
        <v>56</v>
      </c>
      <c r="AP19" s="39" t="s">
        <v>57</v>
      </c>
      <c r="AQ19" s="39" t="s">
        <v>58</v>
      </c>
      <c r="AR19" s="39" t="s">
        <v>59</v>
      </c>
      <c r="AS19" s="39" t="s">
        <v>60</v>
      </c>
      <c r="AT19" s="39" t="s">
        <v>61</v>
      </c>
      <c r="AU19" s="39" t="s">
        <v>62</v>
      </c>
      <c r="AV19" s="39" t="s">
        <v>63</v>
      </c>
      <c r="AW19" s="40" t="s">
        <v>64</v>
      </c>
      <c r="AX19" s="40" t="s">
        <v>65</v>
      </c>
      <c r="AY19" s="40" t="s">
        <v>66</v>
      </c>
      <c r="AZ19" s="40" t="s">
        <v>67</v>
      </c>
      <c r="BA19" s="28" t="s">
        <v>68</v>
      </c>
      <c r="BB19" s="29" t="s">
        <v>69</v>
      </c>
      <c r="BC19" s="41" t="s">
        <v>494</v>
      </c>
      <c r="BD19" s="34" t="s">
        <v>70</v>
      </c>
      <c r="BE19" s="34" t="s">
        <v>71</v>
      </c>
      <c r="BF19" s="34" t="s">
        <v>72</v>
      </c>
      <c r="BG19" s="34" t="s">
        <v>73</v>
      </c>
      <c r="BH19" s="42" t="s">
        <v>74</v>
      </c>
      <c r="BI19" s="42" t="s">
        <v>75</v>
      </c>
      <c r="BJ19" s="42" t="s">
        <v>76</v>
      </c>
      <c r="BK19" s="42" t="s">
        <v>77</v>
      </c>
      <c r="BL19" s="42" t="s">
        <v>78</v>
      </c>
      <c r="BM19" s="42" t="s">
        <v>79</v>
      </c>
      <c r="BN19" s="42" t="s">
        <v>80</v>
      </c>
      <c r="BO19" s="42" t="s">
        <v>81</v>
      </c>
      <c r="BP19" s="42" t="s">
        <v>82</v>
      </c>
      <c r="BQ19" s="42" t="s">
        <v>83</v>
      </c>
      <c r="BR19" s="42" t="s">
        <v>495</v>
      </c>
      <c r="BS19" s="34" t="s">
        <v>84</v>
      </c>
      <c r="BT19" s="42" t="s">
        <v>85</v>
      </c>
      <c r="BU19" s="42" t="s">
        <v>86</v>
      </c>
      <c r="BV19" s="42" t="s">
        <v>87</v>
      </c>
      <c r="BW19" s="42" t="s">
        <v>88</v>
      </c>
      <c r="BX19" s="42" t="s">
        <v>89</v>
      </c>
      <c r="BY19" s="42" t="s">
        <v>90</v>
      </c>
      <c r="BZ19" s="42" t="s">
        <v>91</v>
      </c>
      <c r="CA19" s="42" t="s">
        <v>92</v>
      </c>
      <c r="CB19" s="42" t="s">
        <v>496</v>
      </c>
      <c r="CC19" s="37" t="s">
        <v>94</v>
      </c>
      <c r="CD19" s="36" t="s">
        <v>95</v>
      </c>
      <c r="CE19" s="37" t="s">
        <v>96</v>
      </c>
      <c r="CF19" s="36" t="s">
        <v>97</v>
      </c>
      <c r="CG19" s="36" t="s">
        <v>497</v>
      </c>
      <c r="CH19" s="27" t="s">
        <v>98</v>
      </c>
      <c r="CI19" s="27" t="s">
        <v>99</v>
      </c>
      <c r="CJ19" s="27" t="s">
        <v>498</v>
      </c>
      <c r="CK19" s="27" t="s">
        <v>100</v>
      </c>
      <c r="CL19" s="27" t="s">
        <v>101</v>
      </c>
      <c r="CM19" s="27" t="s">
        <v>102</v>
      </c>
      <c r="CN19" s="27" t="s">
        <v>103</v>
      </c>
      <c r="CO19" s="27" t="s">
        <v>104</v>
      </c>
      <c r="CP19" s="27" t="s">
        <v>105</v>
      </c>
      <c r="CQ19" s="27" t="s">
        <v>499</v>
      </c>
      <c r="CR19" s="27" t="s">
        <v>106</v>
      </c>
      <c r="CS19" s="27" t="s">
        <v>107</v>
      </c>
      <c r="CT19" s="43" t="s">
        <v>108</v>
      </c>
      <c r="CU19" s="28" t="s">
        <v>109</v>
      </c>
      <c r="CV19" s="29" t="s">
        <v>110</v>
      </c>
      <c r="CW19" s="30" t="s">
        <v>111</v>
      </c>
      <c r="CX19" s="44" t="s">
        <v>112</v>
      </c>
      <c r="CY19" s="44" t="s">
        <v>113</v>
      </c>
      <c r="CZ19" s="44" t="s">
        <v>114</v>
      </c>
      <c r="DA19" s="44" t="s">
        <v>115</v>
      </c>
      <c r="DB19" s="44" t="s">
        <v>116</v>
      </c>
      <c r="DC19" s="44" t="s">
        <v>117</v>
      </c>
      <c r="DD19" s="44" t="s">
        <v>118</v>
      </c>
      <c r="DE19" s="44" t="s">
        <v>119</v>
      </c>
      <c r="DF19" s="44" t="s">
        <v>120</v>
      </c>
      <c r="DG19" s="44" t="s">
        <v>121</v>
      </c>
      <c r="DH19" s="44" t="s">
        <v>122</v>
      </c>
      <c r="DI19" s="44" t="s">
        <v>123</v>
      </c>
      <c r="DJ19" s="44" t="s">
        <v>124</v>
      </c>
      <c r="DK19" s="44" t="s">
        <v>125</v>
      </c>
      <c r="DL19" s="44" t="s">
        <v>126</v>
      </c>
      <c r="DM19" s="44" t="s">
        <v>127</v>
      </c>
      <c r="DN19" s="44" t="s">
        <v>128</v>
      </c>
      <c r="DO19" s="44" t="s">
        <v>129</v>
      </c>
      <c r="DP19" s="3"/>
    </row>
    <row r="20" spans="2:268" customFormat="1" x14ac:dyDescent="0.25">
      <c r="G20" s="46"/>
      <c r="M20" s="47"/>
      <c r="N20" s="47"/>
      <c r="O20" s="47"/>
      <c r="P20" s="47"/>
      <c r="Q20" s="48"/>
      <c r="R20" s="47"/>
      <c r="S20" s="47"/>
      <c r="T20" s="48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H20" s="48"/>
      <c r="AI20" s="47"/>
      <c r="AJ20" s="47"/>
      <c r="AK20" s="47"/>
      <c r="AL20" s="48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9"/>
      <c r="BE20" s="49"/>
      <c r="BF20" s="50"/>
      <c r="BG20" s="51"/>
      <c r="BH20" s="47"/>
      <c r="BI20" s="52"/>
      <c r="BJ20" s="47"/>
      <c r="BK20" s="47"/>
      <c r="BL20" s="47"/>
      <c r="BM20" s="47"/>
      <c r="BN20" s="47"/>
      <c r="BO20" s="53"/>
      <c r="BP20" s="47"/>
      <c r="BQ20" s="47"/>
      <c r="BR20" s="47"/>
      <c r="BT20" s="47"/>
      <c r="BU20" s="47"/>
      <c r="BV20" s="47"/>
      <c r="BW20" s="47"/>
      <c r="BX20" s="47"/>
      <c r="BY20" s="47"/>
      <c r="BZ20" s="47"/>
      <c r="CA20" s="47"/>
      <c r="CB20" s="47"/>
      <c r="CC20" s="47"/>
      <c r="CD20" s="47"/>
      <c r="CE20" s="51"/>
      <c r="CF20" s="51"/>
      <c r="CG20" s="51"/>
      <c r="CH20" s="47"/>
      <c r="CI20" s="47"/>
      <c r="CJ20" s="47"/>
      <c r="CK20" s="47"/>
      <c r="CL20" s="47"/>
      <c r="CP20" s="47"/>
      <c r="CQ20" s="47"/>
      <c r="CR20" s="47"/>
      <c r="CS20" s="47"/>
      <c r="CT20" s="47"/>
      <c r="CU20" s="47"/>
      <c r="CV20" s="47"/>
      <c r="CW20" s="47"/>
      <c r="CX20" s="47"/>
      <c r="CY20" s="47"/>
      <c r="CZ20" s="47"/>
      <c r="DA20" s="47"/>
      <c r="DB20" s="47"/>
      <c r="DC20" s="47"/>
      <c r="DD20" s="47"/>
      <c r="DE20" s="47"/>
      <c r="DF20" s="47"/>
      <c r="DG20" s="47"/>
      <c r="DH20" s="47"/>
      <c r="DI20" s="47"/>
      <c r="DJ20" s="47"/>
      <c r="DK20" s="47"/>
      <c r="DL20" s="47"/>
      <c r="DM20" s="47"/>
      <c r="DN20" s="47"/>
      <c r="DO20" s="47"/>
      <c r="DP20" s="3"/>
      <c r="DS20" s="45" t="s">
        <v>130</v>
      </c>
      <c r="DT20" s="45" t="s">
        <v>131</v>
      </c>
      <c r="DU20" s="45" t="s">
        <v>132</v>
      </c>
      <c r="DV20" s="54" t="s">
        <v>17</v>
      </c>
      <c r="DW20" s="54" t="s">
        <v>20</v>
      </c>
      <c r="DX20" s="54" t="s">
        <v>21</v>
      </c>
      <c r="DY20" s="54" t="s">
        <v>22</v>
      </c>
      <c r="DZ20" s="54" t="s">
        <v>30</v>
      </c>
      <c r="EA20" s="54" t="s">
        <v>31</v>
      </c>
      <c r="EB20" s="54" t="s">
        <v>32</v>
      </c>
      <c r="EC20" s="54" t="s">
        <v>36</v>
      </c>
      <c r="ED20" s="54" t="s">
        <v>37</v>
      </c>
      <c r="EE20" s="54" t="s">
        <v>33</v>
      </c>
      <c r="EF20" s="54" t="s">
        <v>34</v>
      </c>
      <c r="EG20" s="54" t="s">
        <v>38</v>
      </c>
      <c r="EH20" s="54" t="s">
        <v>48</v>
      </c>
      <c r="EI20" s="54" t="s">
        <v>46</v>
      </c>
      <c r="EJ20" s="54" t="s">
        <v>45</v>
      </c>
      <c r="EK20" s="54" t="s">
        <v>44</v>
      </c>
      <c r="EL20" s="54" t="s">
        <v>50</v>
      </c>
      <c r="EM20" s="54" t="s">
        <v>51</v>
      </c>
      <c r="EN20" s="54" t="s">
        <v>52</v>
      </c>
      <c r="EO20" s="54" t="s">
        <v>54</v>
      </c>
      <c r="EP20" s="54" t="s">
        <v>55</v>
      </c>
      <c r="EQ20" s="54" t="s">
        <v>56</v>
      </c>
      <c r="ER20" s="54" t="s">
        <v>59</v>
      </c>
      <c r="ES20" s="54" t="s">
        <v>60</v>
      </c>
      <c r="ET20" s="54" t="s">
        <v>61</v>
      </c>
      <c r="EU20" s="54" t="s">
        <v>62</v>
      </c>
      <c r="EV20" s="54" t="s">
        <v>63</v>
      </c>
      <c r="EW20" s="54" t="s">
        <v>64</v>
      </c>
      <c r="EX20" s="54" t="s">
        <v>65</v>
      </c>
      <c r="EY20" s="54" t="s">
        <v>66</v>
      </c>
      <c r="EZ20" s="54" t="s">
        <v>67</v>
      </c>
      <c r="FA20" s="54" t="s">
        <v>70</v>
      </c>
      <c r="FB20" s="54" t="s">
        <v>133</v>
      </c>
      <c r="FC20" s="54" t="s">
        <v>84</v>
      </c>
      <c r="FD20" s="54" t="s">
        <v>91</v>
      </c>
      <c r="FE20" s="54" t="s">
        <v>85</v>
      </c>
      <c r="FF20" s="54" t="s">
        <v>86</v>
      </c>
      <c r="FG20" s="54" t="s">
        <v>87</v>
      </c>
      <c r="FH20" s="54" t="s">
        <v>89</v>
      </c>
      <c r="FI20" s="54" t="s">
        <v>92</v>
      </c>
      <c r="FJ20" s="54" t="s">
        <v>93</v>
      </c>
      <c r="FK20" s="54" t="s">
        <v>94</v>
      </c>
      <c r="FL20" s="54" t="s">
        <v>95</v>
      </c>
      <c r="FM20" s="54" t="s">
        <v>96</v>
      </c>
      <c r="FN20" s="54" t="s">
        <v>97</v>
      </c>
      <c r="FO20" s="54" t="s">
        <v>101</v>
      </c>
      <c r="FP20" s="54" t="s">
        <v>107</v>
      </c>
      <c r="FQ20" s="54" t="s">
        <v>108</v>
      </c>
      <c r="FR20" s="54" t="s">
        <v>109</v>
      </c>
      <c r="FS20" s="54" t="s">
        <v>110</v>
      </c>
      <c r="FT20" s="54" t="s">
        <v>111</v>
      </c>
      <c r="FU20" s="55" t="s">
        <v>112</v>
      </c>
      <c r="FV20" s="55" t="s">
        <v>113</v>
      </c>
      <c r="FW20" s="55" t="s">
        <v>114</v>
      </c>
      <c r="FX20" s="55" t="s">
        <v>115</v>
      </c>
      <c r="FY20" s="55" t="s">
        <v>116</v>
      </c>
      <c r="FZ20" s="55" t="s">
        <v>117</v>
      </c>
      <c r="GA20" s="55" t="s">
        <v>118</v>
      </c>
      <c r="GB20" s="55" t="s">
        <v>119</v>
      </c>
      <c r="GC20" s="55" t="s">
        <v>120</v>
      </c>
      <c r="GD20" s="55" t="s">
        <v>121</v>
      </c>
      <c r="GE20" s="55" t="s">
        <v>122</v>
      </c>
      <c r="GF20" s="55" t="s">
        <v>123</v>
      </c>
      <c r="GG20" s="55" t="s">
        <v>124</v>
      </c>
      <c r="GH20" s="55" t="s">
        <v>125</v>
      </c>
      <c r="GI20" s="55" t="s">
        <v>126</v>
      </c>
      <c r="GJ20" s="55" t="s">
        <v>127</v>
      </c>
      <c r="GK20" s="55" t="s">
        <v>128</v>
      </c>
      <c r="GL20" s="55" t="s">
        <v>129</v>
      </c>
      <c r="GO20" s="56" t="s">
        <v>130</v>
      </c>
      <c r="GP20" s="56" t="s">
        <v>131</v>
      </c>
      <c r="GQ20" s="56" t="s">
        <v>132</v>
      </c>
      <c r="GR20" s="56" t="s">
        <v>17</v>
      </c>
      <c r="GS20" s="56" t="s">
        <v>20</v>
      </c>
      <c r="GT20" s="56" t="s">
        <v>21</v>
      </c>
      <c r="GU20" s="56" t="s">
        <v>22</v>
      </c>
      <c r="GV20" s="56" t="s">
        <v>30</v>
      </c>
      <c r="GW20" s="56" t="s">
        <v>31</v>
      </c>
      <c r="GX20" s="56" t="s">
        <v>32</v>
      </c>
      <c r="GY20" s="56" t="s">
        <v>36</v>
      </c>
      <c r="GZ20" s="56" t="s">
        <v>37</v>
      </c>
      <c r="HA20" s="56" t="s">
        <v>33</v>
      </c>
      <c r="HB20" s="56" t="s">
        <v>34</v>
      </c>
      <c r="HC20" s="56" t="s">
        <v>38</v>
      </c>
      <c r="HD20" s="56" t="s">
        <v>48</v>
      </c>
      <c r="HE20" s="56" t="s">
        <v>46</v>
      </c>
      <c r="HF20" s="56" t="s">
        <v>45</v>
      </c>
      <c r="HG20" s="56" t="s">
        <v>44</v>
      </c>
      <c r="HH20" s="56" t="s">
        <v>50</v>
      </c>
      <c r="HI20" s="56" t="s">
        <v>51</v>
      </c>
      <c r="HJ20" s="56" t="s">
        <v>52</v>
      </c>
      <c r="HK20" s="56" t="s">
        <v>54</v>
      </c>
      <c r="HL20" s="56" t="s">
        <v>55</v>
      </c>
      <c r="HM20" s="56" t="s">
        <v>56</v>
      </c>
      <c r="HN20" s="56" t="s">
        <v>59</v>
      </c>
      <c r="HO20" s="56" t="s">
        <v>60</v>
      </c>
      <c r="HP20" s="56" t="s">
        <v>61</v>
      </c>
      <c r="HQ20" s="56" t="s">
        <v>62</v>
      </c>
      <c r="HR20" s="56" t="s">
        <v>63</v>
      </c>
      <c r="HS20" s="56" t="s">
        <v>64</v>
      </c>
      <c r="HT20" s="56" t="s">
        <v>65</v>
      </c>
      <c r="HU20" s="56" t="s">
        <v>66</v>
      </c>
      <c r="HV20" s="56" t="s">
        <v>67</v>
      </c>
      <c r="HW20" s="56" t="s">
        <v>70</v>
      </c>
      <c r="HX20" s="56" t="s">
        <v>133</v>
      </c>
      <c r="HY20" s="56" t="s">
        <v>84</v>
      </c>
      <c r="HZ20" s="56" t="s">
        <v>91</v>
      </c>
      <c r="IA20" s="56" t="s">
        <v>85</v>
      </c>
      <c r="IB20" s="56" t="s">
        <v>86</v>
      </c>
      <c r="IC20" s="56" t="s">
        <v>87</v>
      </c>
      <c r="ID20" s="56" t="s">
        <v>89</v>
      </c>
      <c r="IE20" s="56" t="s">
        <v>92</v>
      </c>
      <c r="IF20" s="56" t="s">
        <v>93</v>
      </c>
      <c r="IG20" s="56" t="s">
        <v>94</v>
      </c>
      <c r="IH20" s="56" t="s">
        <v>95</v>
      </c>
      <c r="II20" s="56" t="s">
        <v>96</v>
      </c>
      <c r="IJ20" s="56" t="s">
        <v>97</v>
      </c>
      <c r="IK20" s="56" t="s">
        <v>101</v>
      </c>
      <c r="IL20" s="56" t="s">
        <v>107</v>
      </c>
      <c r="IM20" s="56" t="s">
        <v>108</v>
      </c>
      <c r="IN20" s="56" t="s">
        <v>109</v>
      </c>
      <c r="IO20" s="56" t="s">
        <v>110</v>
      </c>
      <c r="IP20" s="56" t="s">
        <v>111</v>
      </c>
      <c r="IQ20" s="56" t="s">
        <v>112</v>
      </c>
      <c r="IR20" s="56" t="s">
        <v>113</v>
      </c>
      <c r="IS20" s="56" t="s">
        <v>114</v>
      </c>
      <c r="IT20" s="56" t="s">
        <v>115</v>
      </c>
      <c r="IU20" s="56" t="s">
        <v>116</v>
      </c>
      <c r="IV20" s="56" t="s">
        <v>117</v>
      </c>
      <c r="IW20" s="56" t="s">
        <v>118</v>
      </c>
      <c r="IX20" s="56" t="s">
        <v>119</v>
      </c>
      <c r="IY20" s="56" t="s">
        <v>120</v>
      </c>
      <c r="IZ20" s="56" t="s">
        <v>121</v>
      </c>
      <c r="JA20" s="56" t="s">
        <v>122</v>
      </c>
      <c r="JB20" s="56" t="s">
        <v>123</v>
      </c>
      <c r="JC20" s="56" t="s">
        <v>124</v>
      </c>
      <c r="JD20" s="56" t="s">
        <v>125</v>
      </c>
      <c r="JE20" s="56" t="s">
        <v>126</v>
      </c>
      <c r="JF20" s="56" t="s">
        <v>127</v>
      </c>
      <c r="JG20" s="56" t="s">
        <v>128</v>
      </c>
      <c r="JH20" s="56" t="s">
        <v>129</v>
      </c>
    </row>
    <row r="21" spans="2:268" customFormat="1" x14ac:dyDescent="0.25">
      <c r="B21" s="2">
        <f ca="1">OFFSET(tblBaseCF[[#This Row],[Year]],-1,0)+1</f>
        <v>1</v>
      </c>
      <c r="C21" s="2">
        <f ca="1">(tblBaseCF[[#This Row],[Year]]&lt;=term)*1</f>
        <v>1</v>
      </c>
      <c r="D21" s="57">
        <f ca="1">(YEAR(rcd)+tblBaseCF[[#This Row],[Year]]-1)
*tblBaseCF[[#This Row],[PolTermFlag]]</f>
        <v>2025</v>
      </c>
      <c r="E21" s="57">
        <f ca="1">(mainLI_entry_age+tblBaseCF[[#This Row],[Year]]-1)
*tblBaseCF[[#This Row],[PolTermFlag]]</f>
        <v>0</v>
      </c>
      <c r="F21" s="57">
        <f ca="1">IF(tblBaseCF[[#This Row],[Year]]=1,1,OFFSET(tblBaseCF[[#This Row],[DeductFlag]],-1,0))
*tblBaseCF[[#This Row],[PolTermFlag]]</f>
        <v>1</v>
      </c>
      <c r="G2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First year - Guaranteed to continue.</v>
      </c>
      <c r="H21" s="57">
        <f ca="1">(tblBaseCF[[#This Row],[Year]]&lt;=acc_ben_term)
*tblBaseCF[[#This Row],[ContFlag]]</f>
        <v>1</v>
      </c>
      <c r="I21" s="57">
        <f ca="1">(tblBaseCF[[#This Row],[Year]]&lt;=tp_term)
*tblBaseCF[[#This Row],[ContFlag]]</f>
        <v>0</v>
      </c>
      <c r="J21" s="57">
        <f ca="1">(tblBaseCF[[#This Row],[Year]]&lt;=ep_term)
*tblBaseCF[[#This Row],[ContFlag]]</f>
        <v>0</v>
      </c>
      <c r="K21" s="57">
        <f ca="1">(tblBaseCF[[#This Row],[Year]]&lt;=em_load_term)*1</f>
        <v>0</v>
      </c>
      <c r="L21" s="57">
        <f ca="1">(tblBaseCF[[#This Row],[Year]]&lt;=pm_load_term)*1</f>
        <v>0</v>
      </c>
      <c r="M21" s="59">
        <f ca="1">IF(tblBaseCF[[#This Row],[Year]]=1,si,OFFSET(tblBaseCF[[#This Row],[EndSI]],-1,0))
*tblBaseCF[[#This Row],[ContFlag]]</f>
        <v>101000000</v>
      </c>
      <c r="N21" s="59">
        <f ca="1">OFFSET(tblBaseCF[[#This Row],[EndTAV]],-1,0)
*tblBaseCF[[#This Row],[ContFlag]]</f>
        <v>0</v>
      </c>
      <c r="O21" s="59">
        <f ca="1">OFFSET(tblBaseCF[[#This Row],[EndEAV]],-1,0)
*tblBaseCF[[#This Row],[ContFlag]]</f>
        <v>0</v>
      </c>
      <c r="P21" s="60">
        <f ca="1">tblBaseCF[[#This Row],[StartEAV]]+tblBaseCF[[#This Row],[StartTAV]]</f>
        <v>0</v>
      </c>
      <c r="Q21" s="61">
        <f ca="1">IFERROR(INDEX(tblJuvenileLienRate[Rate],MATCH(tblBaseCF[[#This Row],[Age]],tblJuvenileLienRate[Age],0)),1)
*tblBaseCF[[#This Row],[ContFlag]]</f>
        <v>1</v>
      </c>
      <c r="R21" s="62">
        <f ca="1">IF(death_tpd_option="A",MAX(tblBaseCF[[#This Row],[StartPAV]],tblBaseCF[[#This Row],[StartSI]]),tblBaseCF[[#This Row],[StartSI]]+tblBaseCF[[#This Row],[StartPAV]])
*tblBaseCF[[#This Row],[JuvenileLienRate]]</f>
        <v>101000000</v>
      </c>
      <c r="S21" s="62">
        <f ca="1">tblBaseCF[[#This Row],[StartSI]]*acc_ben_coeff*tblBaseCF[[#This Row],[JuvenileLienRate]]
*tblBaseCF[[#This Row],[AccBenTermFlag]]</f>
        <v>303000000</v>
      </c>
      <c r="T21" s="61">
        <f ca="1">(IFERROR(INDEX(tblSurrChrgRate[Rate],MATCH(tblBaseCF[[#This Row],[Year]],tblSurrChrgRate[Year],0)),0)
*tblBaseCF[[#This Row],[ContFlag]])</f>
        <v>1</v>
      </c>
      <c r="U21" s="60">
        <f ca="1">tp*tblBaseCF[[#This Row],[SrrChrgRate]]</f>
        <v>1072000</v>
      </c>
      <c r="V21" s="63">
        <f ca="1">MAX(tblBaseCF[[#This Row],[StartTAV]]-tblBaseCF[[#This Row],[SVChrg]],0)+tblBaseCF[[#This Row],[StartEAV]]</f>
        <v>0</v>
      </c>
      <c r="W21" s="59">
        <f ca="1">IFERROR(INDEX(tblWithdrawal_Output[Amount],MATCH(tblBaseCF[[#This Row],[Year]],tblWithdrawal_Output[Year],0)),0)
*tblBaseCF[[#This Row],[ContFlag]]</f>
        <v>0</v>
      </c>
      <c r="X21" s="59" t="b">
        <f ca="1">tblBaseCF[[#This Row],[WithdrawalInput]]&gt;0</f>
        <v>0</v>
      </c>
      <c r="Y21" s="59" t="b">
        <f ca="1">AND(tblBaseCF[[#This Row],[1stCheckProceed]],tblBaseCF[[#This Row],[WithdrawalInput]]&lt;=tblBaseCF[[#This Row],[StartPAV]])</f>
        <v>0</v>
      </c>
      <c r="Z21" s="59" t="b">
        <f ca="1">AND(tblBaseCF[[#This Row],[2ndCheckAmount]],(tblBaseCF[[#This Row],[StartPAV]]-tblBaseCF[[#This Row],[WithdrawalInput]])&gt;=min_pav_after_withdrawal)</f>
        <v>0</v>
      </c>
      <c r="AA2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1" s="59" t="b">
        <f ca="1">AND(tblBaseCF[[#This Row],[3rdCheckPAV]],tblBaseCF[[#This Row],[endSITest]]&gt;=min_base_si)</f>
        <v>0</v>
      </c>
      <c r="AC21" s="60">
        <f ca="1">tblBaseCF[[#This Row],[WithdrawalInput]]*tblBaseCF[[#This Row],[4thCheckSI]]</f>
        <v>0</v>
      </c>
      <c r="AD21" s="60">
        <f ca="1">MIN(tblBaseCF[[#This Row],[Withdrawal]],tblBaseCF[[#This Row],[StartEAV]])</f>
        <v>0</v>
      </c>
      <c r="AE21" s="60">
        <f ca="1">tblBaseCF[[#This Row],[Withdrawal]]-tblBaseCF[[#This Row],[EAVWithdrawal]]</f>
        <v>0</v>
      </c>
      <c r="AF21" s="60">
        <f ca="1">IF(tblBaseCF[[#This Row],[4thCheckSI]],tblBaseCF[[#This Row],[endSITest]],tblBaseCF[[#This Row],[StartSI]])</f>
        <v>101000000</v>
      </c>
      <c r="AG21" s="64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1" s="65">
        <f ca="1">IFERROR(INDEX(tblTPAllocChrgRate[Rate],MATCH(tblBaseCF[[#This Row],[Year]],tblTPAllocChrgRate[Year],0)),0)</f>
        <v>0.55000000000000004</v>
      </c>
      <c r="AI21" s="62">
        <f ca="1">(tp+big_case_bonus_tp*(tblBaseCF[[#This Row],[Year]]=1))
*tblBaseCF[[#This Row],[TPTermFlag]]</f>
        <v>0</v>
      </c>
      <c r="AJ21" s="63">
        <f ca="1">tblBaseCF[[#This Row],[TP]]*tblBaseCF[[#This Row],[TPAllocChrgRate]]</f>
        <v>0</v>
      </c>
      <c r="AK21" s="60">
        <f ca="1">tblBaseCF[[#This Row],[TP]]-tblBaseCF[[#This Row],[TPAllocChrg]]</f>
        <v>0</v>
      </c>
      <c r="AL21" s="65">
        <f ca="1">IFERROR(INDEX(tblEPAllocChrgRate[Rate],MATCH(tblBaseCF[[#This Row],[Year]],tblEPAllocChrgRate[Year],0)),0)</f>
        <v>0.02</v>
      </c>
      <c r="AM21" s="60">
        <f ca="1">ep*tblBaseCF[[#This Row],[EPTermFlag]]</f>
        <v>0</v>
      </c>
      <c r="AN21" s="60">
        <f ca="1">tblBaseCF[[#This Row],[EP]]*tblBaseCF[[#This Row],[EPAllocChrgRate]]</f>
        <v>0</v>
      </c>
      <c r="AO21" s="63">
        <f ca="1">tblBaseCF[[#This Row],[EP]]-tblBaseCF[[#This Row],[EPAllocChrg]]</f>
        <v>0</v>
      </c>
      <c r="AP21" s="62">
        <f ca="1">tblBaseCF[[#This Row],[Ben]]*extra_prem_rate*em_load/1000/(1-tblBaseCF[[#This Row],[EPAllocChrgRate]])
*tblBaseCF[[#This Row],[EMLoadTermFlag]]</f>
        <v>0</v>
      </c>
      <c r="AQ21" s="62">
        <f ca="1">tblBaseCF[[#This Row],[Ben]]*pm_load/1000/(1-tblBaseCF[[#This Row],[EPAllocChrgRate]])
*tblBaseCF[[#This Row],[PMLoadTermFlag]]</f>
        <v>0</v>
      </c>
      <c r="AR21" s="60">
        <f ca="1">ROUNDUP(tblBaseCF[[#This Row],[UnroundedEMLoad]],-3)</f>
        <v>0</v>
      </c>
      <c r="AS21" s="62">
        <f ca="1">ROUNDUP(tblBaseCF[[#This Row],[Ben]]*pm_load/1000/(1-tblBaseCF[[#This Row],[EPAllocChrgRate]]),-3)
*tblBaseCF[[#This Row],[PMLoadTermFlag]]</f>
        <v>0</v>
      </c>
      <c r="AT21" s="60">
        <f ca="1">tblBaseCF[[#This Row],[EMLoad]]+tblBaseCF[[#This Row],[PMLoad]]</f>
        <v>0</v>
      </c>
      <c r="AU21" s="60">
        <f ca="1">tblBaseCF[[#This Row],[Load]]*tblBaseCF[[#This Row],[EPAllocChrgRate]]</f>
        <v>0</v>
      </c>
      <c r="AV21" s="60">
        <f ca="1">tblBaseCF[[#This Row],[Load]]-tblBaseCF[[#This Row],[LoadAllocChrg]]</f>
        <v>0</v>
      </c>
      <c r="AW21" s="60">
        <f ca="1">tblBaseCF[[#This Row],[TP]]+tblBaseCF[[#This Row],[EP]]+tblBaseCF[[#This Row],[Load]]</f>
        <v>0</v>
      </c>
      <c r="AX21" s="60">
        <f ca="1">tblBaseCF[[#This Row],[TPAllocChrg]]+tblBaseCF[[#This Row],[EPAllocChrg]]+tblBaseCF[[#This Row],[LoadAllocChrg]]</f>
        <v>0</v>
      </c>
      <c r="AY21" s="60">
        <f ca="1">tblBaseCF[[#This Row],[TPAlloc]]+tblBaseCF[[#This Row],[EPAlloc]]+tblBaseCF[[#This Row],[LoadAlloc]]</f>
        <v>0</v>
      </c>
      <c r="AZ21" s="60">
        <f ca="1">(OFFSET(tblBaseCF[[#This Row],[AccumTotalPrem]],-1,0)+tblBaseCF[[#This Row],[TotalPrem]])*tblBaseCF[[#This Row],[TPTermFlag]]</f>
        <v>0</v>
      </c>
      <c r="BA21" s="62">
        <f ca="1">(tblBaseCF[[#This Row],[StartTAV]]-tblBaseCF[[#This Row],[TAVWithdrawal]]+tblBaseCF[[#This Row],[TPAlloc]])
*tblBaseCF[[#This Row],[ContFlag]]</f>
        <v>0</v>
      </c>
      <c r="BB21" s="59">
        <f ca="1">(tblBaseCF[[#This Row],[StartEAV]]-tblBaseCF[[#This Row],[EAVWithdrawal]]+tblBaseCF[[#This Row],[EPAlloc]]+tblBaseCF[[#This Row],[LoadAlloc]])
*tblBaseCF[[#This Row],[ContFlag]]</f>
        <v>0</v>
      </c>
      <c r="BC21" s="59">
        <f ca="1">tblBaseCF[[#This Row],[TAVAfterWdrlAlloc]]+tblBaseCF[[#This Row],[EAVAfterWdrlAlloc]]</f>
        <v>0</v>
      </c>
      <c r="BD21" s="66">
        <f t="shared" ref="BD21:BD52" si="2">int_rate</f>
        <v>0</v>
      </c>
      <c r="BE21" s="67">
        <f>(1+tblBaseCF[[#This Row],[AnnualIntRate]])^(1/12)-1</f>
        <v>0</v>
      </c>
      <c r="BF21" s="68">
        <f>IFERROR(((1+tblBaseCF[[#This Row],[MonthlyIntRate]])^12-1)/12/(1-1/(1+tblBaseCF[[#This Row],[MonthlyIntRate]])),1)/(1+tblBaseCF[[#This Row],[AnnualIntRate]])</f>
        <v>1</v>
      </c>
      <c r="BG21" s="69">
        <f>PV(tblBaseCF[[#This Row],[MonthlyIntRate]],12,-1/12,,1)</f>
        <v>1</v>
      </c>
      <c r="BH21" s="60">
        <f ca="1">MAX(IF(death_tpd_option="A",tblBaseCF[[#This Row],[Ben]]-tblBaseCF[[#This Row],[StartPAV]],tblBaseCF[[#This Row],[Ben]]),0)</f>
        <v>101000000</v>
      </c>
      <c r="BI21" s="70">
        <f ca="1">IFERROR(INDEX(tblBaseCOIRate[Rate],MATCH(tblBaseCF[[#This Row],[Age]],tblBaseCOIRate[Age],0)),0)</f>
        <v>1.87999999999999E-3</v>
      </c>
      <c r="BJ21" s="60">
        <f ca="1">tblBaseCF[[#This Row],[SAR]]*tblBaseCF[[#This Row],[COIRate]]</f>
        <v>189879.99999999898</v>
      </c>
      <c r="BK21" s="62">
        <f ca="1">em_load*tblBaseCF[[#This Row],[pStandardCOI]]
*tblBaseCF[[#This Row],[EMLoadTermFlag]]</f>
        <v>0</v>
      </c>
      <c r="BL21" s="62">
        <f ca="1">pm_load/1000*tblBaseCF[[#This Row],[SAR]]
*tblBaseCF[[#This Row],[PMLoadTermFlag]]</f>
        <v>0</v>
      </c>
      <c r="BM21" s="60">
        <f ca="1">tblBaseCF[[#This Row],[AccBen]]*monthly_acc_coi*12</f>
        <v>272699.99999999994</v>
      </c>
      <c r="BN21" s="60">
        <f ca="1">tblBaseCF[[#This Row],[pStandardCOI]]+tblBaseCF[[#This Row],[pEMLoadCOI]]+tblBaseCF[[#This Row],[pPMLoadCOI]]+tblBaseCF[[#This Row],[pAccCOI]]</f>
        <v>462579.99999999895</v>
      </c>
      <c r="BO21" s="62">
        <f ca="1">IFERROR(INDEX(tblAdminChrg[Amount],MATCH(tblBaseCF[[#This Row],[CalYear]],tblAdminChrg[Cal_Year],0)),0)
*tblBaseCF[[#This Row],[ContFlag]]</f>
        <v>25000</v>
      </c>
      <c r="BP21" s="60">
        <f ca="1">tblBaseCF[[#This Row],[pMonthlyAdminChrg]]*12</f>
        <v>300000</v>
      </c>
      <c r="BQ21" s="60">
        <f ca="1">tblBaseCF[[#This Row],[pCOI]]+tblBaseCF[[#This Row],[pAdminChrg]]</f>
        <v>762579.99999999895</v>
      </c>
      <c r="BR21" s="60">
        <f ca="1">tblBaseCF[[#This Row],[pNomDeduct]]*tblBaseCF[[#This Row],[Duean1m12]]</f>
        <v>762579.99999999895</v>
      </c>
      <c r="BS21" s="57">
        <f ca="1">(tblBaseCF[[#This Row],[PAVAfterWdrlAlloc]]&gt;=tblBaseCF[[#This Row],[pNomDeduct]])
*tblBaseCF[[#This Row],[ContFlag]]</f>
        <v>0</v>
      </c>
      <c r="BT21" s="60">
        <f ca="1">tblBaseCF[[#This Row],[pStandardCOI]]*tblBaseCF[[#This Row],[DeductFlag]]</f>
        <v>0</v>
      </c>
      <c r="BU21" s="60">
        <f ca="1">tblBaseCF[[#This Row],[pEMLoadCOI]]*tblBaseCF[[#This Row],[DeductFlag]]</f>
        <v>0</v>
      </c>
      <c r="BV21" s="60">
        <f ca="1">tblBaseCF[[#This Row],[pPMLoadCOI]]*tblBaseCF[[#This Row],[DeductFlag]]</f>
        <v>0</v>
      </c>
      <c r="BW21" s="60">
        <f ca="1">tblBaseCF[[#This Row],[pAccCOI]]*tblBaseCF[[#This Row],[DeductFlag]]</f>
        <v>0</v>
      </c>
      <c r="BX21" s="60">
        <f ca="1">tblBaseCF[[#This Row],[pCOI]]*tblBaseCF[[#This Row],[DeductFlag]]</f>
        <v>0</v>
      </c>
      <c r="BY21" s="60">
        <f ca="1">tblBaseCF[[#This Row],[pMonthlyAdminChrg]]*tblBaseCF[[#This Row],[DeductFlag]]</f>
        <v>0</v>
      </c>
      <c r="BZ21" s="60">
        <f ca="1">tblBaseCF[[#This Row],[pAdminChrg]]*tblBaseCF[[#This Row],[DeductFlag]]</f>
        <v>0</v>
      </c>
      <c r="CA21" s="60">
        <f ca="1">tblBaseCF[[#This Row],[pNomDeduct]]*tblBaseCF[[#This Row],[DeductFlag]]</f>
        <v>0</v>
      </c>
      <c r="CB21" s="60">
        <f ca="1">tblBaseCF[[#This Row],[pDeduct]]*tblBaseCF[[#This Row],[DeductFlag]]</f>
        <v>0</v>
      </c>
      <c r="CC21" s="60">
        <f ca="1">MIN(tblBaseCF[[#This Row],[TAVAfterWdrlAlloc]],tblBaseCF[[#This Row],[Deduct]])</f>
        <v>0</v>
      </c>
      <c r="CD21" s="60">
        <f ca="1">tblBaseCF[[#This Row],[Deduct]]-tblBaseCF[[#This Row],[TAVDeduct]]</f>
        <v>0</v>
      </c>
      <c r="CE21" s="69">
        <f ca="1">(tblBaseCF[[#This Row],[TAVAfterWdrlAlloc]]-tblBaseCF[[#This Row],[TAVDeduct]])*tblBaseCF[[#This Row],[AnnualIntRate]]
*tblBaseCF[[#This Row],[DeductFlag]]</f>
        <v>0</v>
      </c>
      <c r="CF21" s="69">
        <f ca="1">(tblBaseCF[[#This Row],[EAVAfterWdrlAlloc]]-tblBaseCF[[#This Row],[EAVDeduct]])*tblBaseCF[[#This Row],[AnnualIntRate]]
*tblBaseCF[[#This Row],[DeductFlag]]</f>
        <v>0</v>
      </c>
      <c r="CG21" s="69">
        <f ca="1">tblBaseCF[[#This Row],[TAVInt]]+tblBaseCF[[#This Row],[EAVInt]]</f>
        <v>0</v>
      </c>
      <c r="CH21" s="62">
        <f ca="1">IFERROR(INDEX(tblLBRate[Rate],MATCH(tblBaseCF[[#This Row],[Year]],tblLBRate[Year],0)),0)
*tblBaseCF[[#This Row],[DeductFlag]]</f>
        <v>0</v>
      </c>
      <c r="CI21" s="60">
        <f ca="1">IFERROR(SUM(OFFSET(tblBaseCF[[#This Row],[TAVWithdrawal]],0,0,-lb_review_period,1)),0)
*(tblBaseCF[[#This Row],[LBRate]]&gt;0)</f>
        <v>0</v>
      </c>
      <c r="CJ21" s="60">
        <f ca="1">(tblBaseCF[[#This Row],[LBRate]]&gt;0)*(tblBaseCF[[#This Row],[LBTAVWithdrawal]]=0)</f>
        <v>0</v>
      </c>
      <c r="CK21" s="62" cm="1">
        <f t="array" aca="1" ref="CK21" ca="1">IF(tblBaseCF[[#This Row],[LBFlag]],
_xlfn.SWITCH(base,
"ILP1",AVERAGE(OFFSET(tblBaseCF[TP],0,0,-lb_review_period,1)),tp),0)
*tblBaseCF[[#This Row],[LBFlag]]</f>
        <v>0</v>
      </c>
      <c r="CL21" s="62">
        <f ca="1">tblBaseCF[[#This Row],[LBBasis]]*tblBaseCF[[#This Row],[LBRate]]</f>
        <v>0</v>
      </c>
      <c r="CM21" s="57" cm="1">
        <f t="array" aca="1" ref="CM21" ca="1">_xlfn.SWITCH(base,
"ILP1",0,($AF121&lt;500000000)*1
+($AF121&gt;=500000000)*($AF121&lt;1000000000)*2
+($AF121&gt;=1000000000)*3)
*tblBaseCF[[#This Row],[DeductFlag]]</f>
        <v>0</v>
      </c>
      <c r="CN21" s="2" t="str">
        <f ca="1">IF(tblBaseCF[[#This Row],[DeductFlag]],base&amp;"_"&amp;tblBaseCF[[#This Row],[SBCode]]&amp;"_"&amp;tblBaseCF[[#This Row],[Year]],"")</f>
        <v/>
      </c>
      <c r="CO21" s="3">
        <f ca="1">IFERROR(INDEX(tblSBRate[Index],MATCH(tblBaseCF[[#This Row],[SBIndex]],tblSBRate[Rate],0)),0)</f>
        <v>0</v>
      </c>
      <c r="CP21" s="63">
        <f ca="1">IFERROR(SUM(OFFSET(tblBaseCF[[#This Row],[TAVWithdrawal]],0,0,-sb_review_period,1)),0)
*(tblBaseCF[[#This Row],[SBRate]]&gt;0)</f>
        <v>0</v>
      </c>
      <c r="CQ21" s="63">
        <f ca="1">(tblBaseCF[[#This Row],[SBRate]]&gt;0)*(tblBaseCF[[#This Row],[SBTAVWithdrawal]]=0)</f>
        <v>0</v>
      </c>
      <c r="CR21" s="59" cm="1">
        <f t="array" aca="1" ref="CR21" ca="1">IF(tblBaseCF[[#This Row],[LBFlag]],
_xlfn.SWITCH(base,
"ILP1",0,tp),0)*tblBaseCF[[#This Row],[SBFlag]]</f>
        <v>0</v>
      </c>
      <c r="CS21" s="63">
        <f ca="1">tblBaseCF[[#This Row],[SBBasis]]*tblBaseCF[[#This Row],[SBRate]]</f>
        <v>0</v>
      </c>
      <c r="CT21" s="63">
        <f ca="1">tblBaseCF[[#This Row],[LB]]+tblBaseCF[[#This Row],[SB]]</f>
        <v>0</v>
      </c>
      <c r="CU21" s="59">
        <f ca="1">tblBaseCF[[#This Row],[TAVAfterWdrlAlloc]]-tblBaseCF[[#This Row],[TAVDeduct]]+tblBaseCF[[#This Row],[TAVInt]]+tblBaseCF[[#This Row],[Bonus]]</f>
        <v>0</v>
      </c>
      <c r="CV21" s="59">
        <f ca="1">tblBaseCF[[#This Row],[EAVAfterWdrlAlloc]]-tblBaseCF[[#This Row],[EAVDeduct]]+tblBaseCF[[#This Row],[EAVInt]]</f>
        <v>0</v>
      </c>
      <c r="CW21" s="63">
        <f ca="1">tblBaseCF[[#This Row],[EndTAV]]+tblBaseCF[[#This Row],[EndEAV]]</f>
        <v>0</v>
      </c>
      <c r="CX21" s="59">
        <f ca="1">INDEX(tblPlanPrem[TP],2)
*tblBaseCF[[#This Row],[TPTermFlag]]</f>
        <v>0</v>
      </c>
      <c r="CY21" s="59">
        <f ca="1">INDEX(tblPlanPrem[EP],2)
*tblBaseCF[[#This Row],[TPTermFlag]]</f>
        <v>0</v>
      </c>
      <c r="CZ21" s="63">
        <f ca="1">ROUNDUP(tblBaseCF[[#This Row],[UnroundedEMLoad]]*INDEX(tblPlanPrem[Factor],2),-3)</f>
        <v>0</v>
      </c>
      <c r="DA21" s="63">
        <f ca="1">ROUNDUP(tblBaseCF[[#This Row],[UnroundedPMLoad]]*INDEX(tblPlanPrem[Factor],2),-3)</f>
        <v>0</v>
      </c>
      <c r="DB21" s="63">
        <f ca="1">tblBaseCF[[#This Row],[SemiAnnualEMLoad]]+tblBaseCF[[#This Row],[SemiAnnualPMLoad]]</f>
        <v>0</v>
      </c>
      <c r="DC21" s="63">
        <f ca="1">tblBaseCF[[#This Row],[SemiAnnualTP]]+tblBaseCF[[#This Row],[SemiAnnualEP]]+tblBaseCF[[#This Row],[SemiAnnualLoad]]</f>
        <v>0</v>
      </c>
      <c r="DD21" s="59">
        <f ca="1">INDEX(tblPlanPrem[TP],3)
*tblBaseCF[[#This Row],[TPTermFlag]]</f>
        <v>0</v>
      </c>
      <c r="DE21" s="59">
        <f ca="1">INDEX(tblPlanPrem[EP],3)
*tblBaseCF[[#This Row],[TPTermFlag]]</f>
        <v>0</v>
      </c>
      <c r="DF21" s="63">
        <f ca="1">ROUNDUP(tblBaseCF[[#This Row],[UnroundedEMLoad]]*INDEX(tblPlanPrem[Factor],3),-3)</f>
        <v>0</v>
      </c>
      <c r="DG21" s="63">
        <f ca="1">ROUNDUP(tblBaseCF[[#This Row],[UnroundedPMLoad]]*INDEX(tblPlanPrem[Factor],3),-3)</f>
        <v>0</v>
      </c>
      <c r="DH21" s="60">
        <f ca="1">tblBaseCF[[#This Row],[QuarterlyEMLoad]]+tblBaseCF[[#This Row],[QuarterlyPMLoad]]</f>
        <v>0</v>
      </c>
      <c r="DI21" s="60">
        <f ca="1">tblBaseCF[[#This Row],[QuarterlyTP]]+tblBaseCF[[#This Row],[QuarterlyEP]]+tblBaseCF[[#This Row],[QuarterlyLoad]]</f>
        <v>0</v>
      </c>
      <c r="DJ21" s="59">
        <f ca="1">INDEX(tblPlanPrem[TP],4)
*tblBaseCF[[#This Row],[TPTermFlag]]</f>
        <v>0</v>
      </c>
      <c r="DK21" s="59">
        <f ca="1">INDEX(tblPlanPrem[EP],4)
*tblBaseCF[[#This Row],[TPTermFlag]]</f>
        <v>0</v>
      </c>
      <c r="DL21" s="63">
        <f ca="1">ROUNDUP(tblBaseCF[[#This Row],[UnroundedEMLoad]]*INDEX(tblPlanPrem[Factor],4),-3)</f>
        <v>0</v>
      </c>
      <c r="DM21" s="63">
        <f ca="1">ROUNDUP(tblBaseCF[[#This Row],[UnroundedPMLoad]]*INDEX(tblPlanPrem[Factor],4),-3)</f>
        <v>0</v>
      </c>
      <c r="DN21" s="60">
        <f ca="1">tblBaseCF[[#This Row],[MonthlyEMLoad]]+tblBaseCF[[#This Row],[MonthlyPMLoad]]</f>
        <v>0</v>
      </c>
      <c r="DO21" s="63">
        <f ca="1">tblBaseCF[[#This Row],[MonthlyTP]]+tblBaseCF[[#This Row],[MonthlyEP]]+tblBaseCF[[#This Row],[MonthlyLoad]]</f>
        <v>0</v>
      </c>
      <c r="DP21" s="3"/>
      <c r="DS21">
        <f t="shared" ref="DS21:DS52" si="3">int_rate_scenario</f>
        <v>0</v>
      </c>
      <c r="DT21">
        <f t="shared" ref="DT21:DT52" si="4">risk_scenario</f>
        <v>0</v>
      </c>
      <c r="DU21">
        <f t="shared" ref="DU21:DU52" si="5">prem_term_scenario</f>
        <v>0</v>
      </c>
      <c r="DV21">
        <f ca="1">tblBaseCF[[#This Row],[Year]]</f>
        <v>1</v>
      </c>
      <c r="DW21">
        <f ca="1">tblBaseCF[[#This Row],[Age]]</f>
        <v>0</v>
      </c>
      <c r="DX21">
        <f ca="1">tblBaseCF[[#This Row],[ContFlag]]</f>
        <v>1</v>
      </c>
      <c r="DY21" t="str">
        <f ca="1">tblBaseCF[[#This Row],[ContLog]]</f>
        <v>First year - Guaranteed to continue.</v>
      </c>
      <c r="DZ21">
        <f ca="1">tblBaseCF[[#This Row],[StartTAV]]</f>
        <v>0</v>
      </c>
      <c r="EA21">
        <f ca="1">tblBaseCF[[#This Row],[StartEAV]]</f>
        <v>0</v>
      </c>
      <c r="EB21">
        <f ca="1">tblBaseCF[[#This Row],[StartPAV]]</f>
        <v>0</v>
      </c>
      <c r="EC21">
        <f ca="1">tblBaseCF[[#This Row],[SVChrg]]</f>
        <v>1072000</v>
      </c>
      <c r="ED21">
        <f ca="1">tblBaseCF[[#This Row],[SV]]</f>
        <v>0</v>
      </c>
      <c r="EE21">
        <f ca="1">tblBaseCF[[#This Row],[Ben]]</f>
        <v>101000000</v>
      </c>
      <c r="EF21">
        <f ca="1">tblBaseCF[[#This Row],[AccBen]]</f>
        <v>303000000</v>
      </c>
      <c r="EG21">
        <f ca="1">tblBaseCF[[#This Row],[WithdrawalInput]]</f>
        <v>0</v>
      </c>
      <c r="EH21" t="str">
        <f ca="1">tblBaseCF[[#This Row],[WithdrawalLog]]</f>
        <v>No withdrawal.</v>
      </c>
      <c r="EI21">
        <f ca="1">tblBaseCF[[#This Row],[TAVWithdrawal]]</f>
        <v>0</v>
      </c>
      <c r="EJ21">
        <f ca="1">tblBaseCF[[#This Row],[EAVWithdrawal]]</f>
        <v>0</v>
      </c>
      <c r="EK21">
        <f ca="1">tblBaseCF[[#This Row],[Withdrawal]]</f>
        <v>0</v>
      </c>
      <c r="EL21">
        <f ca="1">tblBaseCF[[#This Row],[TP]]</f>
        <v>0</v>
      </c>
      <c r="EM21">
        <f ca="1">tblBaseCF[[#This Row],[TPAllocChrg]]</f>
        <v>0</v>
      </c>
      <c r="EN21">
        <f ca="1">tblBaseCF[[#This Row],[TPAlloc]]</f>
        <v>0</v>
      </c>
      <c r="EO21">
        <f ca="1">tblBaseCF[[#This Row],[EP]]</f>
        <v>0</v>
      </c>
      <c r="EP21">
        <f ca="1">tblBaseCF[[#This Row],[EPAllocChrg]]</f>
        <v>0</v>
      </c>
      <c r="EQ21">
        <f ca="1">tblBaseCF[[#This Row],[EPAlloc]]</f>
        <v>0</v>
      </c>
      <c r="ER21">
        <f ca="1">tblBaseCF[[#This Row],[EMLoad]]</f>
        <v>0</v>
      </c>
      <c r="ES21">
        <f ca="1">tblBaseCF[[#This Row],[PMLoad]]</f>
        <v>0</v>
      </c>
      <c r="ET21">
        <f ca="1">tblBaseCF[[#This Row],[Load]]</f>
        <v>0</v>
      </c>
      <c r="EU21">
        <f ca="1">tblBaseCF[[#This Row],[LoadAllocChrg]]</f>
        <v>0</v>
      </c>
      <c r="EV21">
        <f ca="1">tblBaseCF[[#This Row],[LoadAlloc]]</f>
        <v>0</v>
      </c>
      <c r="EW21">
        <f ca="1">tblBaseCF[[#This Row],[TotalPrem]]</f>
        <v>0</v>
      </c>
      <c r="EX21">
        <f ca="1">tblBaseCF[[#This Row],[AllocChrg]]</f>
        <v>0</v>
      </c>
      <c r="EY21">
        <f ca="1">tblBaseCF[[#This Row],[Alloc]]</f>
        <v>0</v>
      </c>
      <c r="EZ21">
        <f ca="1">tblBaseCF[[#This Row],[AccumTotalPrem]]</f>
        <v>0</v>
      </c>
      <c r="FA21">
        <f>tblBaseCF[[#This Row],[AnnualIntRate]]</f>
        <v>0</v>
      </c>
      <c r="FB21" s="50">
        <f>tblBaseCF[[#This Row],[Duean1m12]]</f>
        <v>1</v>
      </c>
      <c r="FC21">
        <f ca="1">tblBaseCF[[#This Row],[DeductFlag]]</f>
        <v>0</v>
      </c>
      <c r="FD21">
        <f ca="1">tblBaseCF[[#This Row],[AdminChrg]]</f>
        <v>0</v>
      </c>
      <c r="FE21">
        <f ca="1">tblBaseCF[[#This Row],[StandardCOI]]</f>
        <v>0</v>
      </c>
      <c r="FF21">
        <f ca="1">tblBaseCF[[#This Row],[EMLoadCOI]]</f>
        <v>0</v>
      </c>
      <c r="FG21">
        <f ca="1">tblBaseCF[[#This Row],[PMLoadCOI]]</f>
        <v>0</v>
      </c>
      <c r="FH21">
        <f ca="1">tblBaseCF[[#This Row],[COI]]</f>
        <v>0</v>
      </c>
      <c r="FI21" s="47">
        <f ca="1">tblBaseCF[[#This Row],[NomDeduct]]</f>
        <v>0</v>
      </c>
      <c r="FJ21">
        <f ca="1">tblBaseCF[[#This Row],[Deduct]]</f>
        <v>0</v>
      </c>
      <c r="FK21">
        <f ca="1">tblBaseCF[[#This Row],[TAVDeduct]]</f>
        <v>0</v>
      </c>
      <c r="FL21">
        <f ca="1">tblBaseCF[[#This Row],[EAVDeduct]]</f>
        <v>0</v>
      </c>
      <c r="FM21">
        <f ca="1">tblBaseCF[[#This Row],[TAVInt]]</f>
        <v>0</v>
      </c>
      <c r="FN21">
        <f ca="1">tblBaseCF[[#This Row],[EAVInt]]</f>
        <v>0</v>
      </c>
      <c r="FO21" s="47">
        <f ca="1">tblBaseCF[[#This Row],[LB]]</f>
        <v>0</v>
      </c>
      <c r="FP21">
        <f ca="1">tblBaseCF[[#This Row],[SB]]</f>
        <v>0</v>
      </c>
      <c r="FQ21">
        <f ca="1">tblBaseCF[[#This Row],[Bonus]]</f>
        <v>0</v>
      </c>
      <c r="FR21">
        <f ca="1">tblBaseCF[[#This Row],[EndTAV]]</f>
        <v>0</v>
      </c>
      <c r="FS21">
        <f ca="1">tblBaseCF[[#This Row],[EndEAV]]</f>
        <v>0</v>
      </c>
      <c r="FT21">
        <f ca="1">tblBaseCF[[#This Row],[EndPAV]]</f>
        <v>0</v>
      </c>
      <c r="FU21">
        <f ca="1">tblBaseCF[[#This Row],[SemiAnnualTP]]</f>
        <v>0</v>
      </c>
      <c r="FV21">
        <f ca="1">tblBaseCF[[#This Row],[SemiAnnualEP]]</f>
        <v>0</v>
      </c>
      <c r="FW21">
        <f ca="1">tblBaseCF[[#This Row],[SemiAnnualEMLoad]]</f>
        <v>0</v>
      </c>
      <c r="FX21">
        <f ca="1">tblBaseCF[[#This Row],[SemiAnnualPMLoad]]</f>
        <v>0</v>
      </c>
      <c r="FY21">
        <f ca="1">tblBaseCF[[#This Row],[SemiAnnualLoad]]</f>
        <v>0</v>
      </c>
      <c r="FZ21">
        <f ca="1">tblBaseCF[[#This Row],[SemiAnnualTotalPrem]]</f>
        <v>0</v>
      </c>
      <c r="GA21">
        <f ca="1">tblBaseCF[[#This Row],[QuarterlyTP]]</f>
        <v>0</v>
      </c>
      <c r="GB21">
        <f ca="1">tblBaseCF[[#This Row],[QuarterlyEP]]</f>
        <v>0</v>
      </c>
      <c r="GC21">
        <f ca="1">tblBaseCF[[#This Row],[QuarterlyEMLoad]]</f>
        <v>0</v>
      </c>
      <c r="GD21">
        <f ca="1">tblBaseCF[[#This Row],[QuarterlyPMLoad]]</f>
        <v>0</v>
      </c>
      <c r="GE21">
        <f ca="1">tblBaseCF[[#This Row],[QuarterlyLoad]]</f>
        <v>0</v>
      </c>
      <c r="GF21">
        <f ca="1">tblBaseCF[[#This Row],[QuarterlyTotalPrem]]</f>
        <v>0</v>
      </c>
      <c r="GG21">
        <f ca="1">tblBaseCF[[#This Row],[MonthlyTP]]</f>
        <v>0</v>
      </c>
      <c r="GH21">
        <f ca="1">tblBaseCF[[#This Row],[MonthlyEP]]</f>
        <v>0</v>
      </c>
      <c r="GI21">
        <f ca="1">tblBaseCF[[#This Row],[MonthlyEMLoad]]</f>
        <v>0</v>
      </c>
      <c r="GJ21">
        <f ca="1">tblBaseCF[[#This Row],[MonthlyPMLoad]]</f>
        <v>0</v>
      </c>
      <c r="GK21">
        <f ca="1">tblBaseCF[[#This Row],[MonthlyLoad]]</f>
        <v>0</v>
      </c>
      <c r="GL21">
        <f ca="1">tblBaseCF[[#This Row],[MonthlyTotalPrem]]</f>
        <v>0</v>
      </c>
      <c r="GO21" t="s">
        <v>134</v>
      </c>
      <c r="GP21" t="s">
        <v>135</v>
      </c>
      <c r="GQ21" t="s">
        <v>502</v>
      </c>
      <c r="GR21">
        <v>1</v>
      </c>
      <c r="GS21">
        <v>0</v>
      </c>
      <c r="GT21">
        <v>1</v>
      </c>
      <c r="GU21" t="s">
        <v>136</v>
      </c>
      <c r="GV21">
        <v>0</v>
      </c>
      <c r="GW21">
        <v>0</v>
      </c>
      <c r="GX21">
        <v>0</v>
      </c>
      <c r="GY21">
        <v>1072000</v>
      </c>
      <c r="GZ21">
        <v>0</v>
      </c>
      <c r="HA21">
        <v>101000000</v>
      </c>
      <c r="HB21">
        <v>303000000</v>
      </c>
      <c r="HC21">
        <v>0</v>
      </c>
      <c r="HD21" t="s">
        <v>137</v>
      </c>
      <c r="HE21">
        <v>0</v>
      </c>
      <c r="HF21">
        <v>0</v>
      </c>
      <c r="HG21">
        <v>0</v>
      </c>
      <c r="HH21">
        <v>1072000</v>
      </c>
      <c r="HI21">
        <v>589600</v>
      </c>
      <c r="HJ21">
        <v>482400</v>
      </c>
      <c r="HK21">
        <v>5200000</v>
      </c>
      <c r="HL21">
        <v>104000</v>
      </c>
      <c r="HM21">
        <v>5096000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6272000</v>
      </c>
      <c r="HT21">
        <v>693600</v>
      </c>
      <c r="HU21">
        <v>5578400</v>
      </c>
      <c r="HV21">
        <v>6272000</v>
      </c>
      <c r="HW21">
        <v>7.0000000000000007E-2</v>
      </c>
      <c r="HX21">
        <v>0.96964931039809399</v>
      </c>
      <c r="HY21">
        <v>1</v>
      </c>
      <c r="HZ21">
        <v>300000</v>
      </c>
      <c r="IA21">
        <v>189879.99999999901</v>
      </c>
      <c r="IB21">
        <v>0</v>
      </c>
      <c r="IC21">
        <v>0</v>
      </c>
      <c r="ID21">
        <v>462579.99999999901</v>
      </c>
      <c r="IE21">
        <v>762579.99999999895</v>
      </c>
      <c r="IF21">
        <v>739435.17112337705</v>
      </c>
      <c r="IG21">
        <v>482400</v>
      </c>
      <c r="IH21">
        <v>257035.17112337699</v>
      </c>
      <c r="II21">
        <v>0</v>
      </c>
      <c r="IJ21">
        <v>338727.53802136402</v>
      </c>
      <c r="IK21">
        <v>0</v>
      </c>
      <c r="IL21">
        <v>0</v>
      </c>
      <c r="IM21">
        <v>0</v>
      </c>
      <c r="IN21">
        <v>0</v>
      </c>
      <c r="IO21">
        <v>5177692.36689799</v>
      </c>
      <c r="IP21">
        <v>5177692.36689799</v>
      </c>
      <c r="IQ21">
        <v>536000</v>
      </c>
      <c r="IR21">
        <v>2600000</v>
      </c>
      <c r="IS21">
        <v>0</v>
      </c>
      <c r="IT21">
        <v>0</v>
      </c>
      <c r="IU21">
        <v>0</v>
      </c>
      <c r="IV21">
        <v>3136000</v>
      </c>
      <c r="IW21">
        <v>268000</v>
      </c>
      <c r="IX21">
        <v>1300000</v>
      </c>
      <c r="IY21">
        <v>0</v>
      </c>
      <c r="IZ21">
        <v>0</v>
      </c>
      <c r="JA21">
        <v>0</v>
      </c>
      <c r="JB21">
        <v>1568000</v>
      </c>
      <c r="JC21">
        <v>90000</v>
      </c>
      <c r="JD21">
        <v>434000</v>
      </c>
      <c r="JE21">
        <v>0</v>
      </c>
      <c r="JF21">
        <v>0</v>
      </c>
      <c r="JG21">
        <v>0</v>
      </c>
      <c r="JH21">
        <v>524000</v>
      </c>
    </row>
    <row r="22" spans="2:268" customFormat="1" x14ac:dyDescent="0.25">
      <c r="B22" s="2">
        <f ca="1">OFFSET(tblBaseCF[[#This Row],[Year]],-1,0)+1</f>
        <v>2</v>
      </c>
      <c r="C22" s="2">
        <f ca="1">(tblBaseCF[[#This Row],[Year]]&lt;=term)*1</f>
        <v>1</v>
      </c>
      <c r="D22" s="57">
        <f ca="1">(YEAR(rcd)+tblBaseCF[[#This Row],[Year]]-1)
*tblBaseCF[[#This Row],[PolTermFlag]]</f>
        <v>2026</v>
      </c>
      <c r="E22" s="57">
        <f ca="1">(mainLI_entry_age+tblBaseCF[[#This Row],[Year]]-1)
*tblBaseCF[[#This Row],[PolTermFlag]]</f>
        <v>1</v>
      </c>
      <c r="F22" s="57">
        <f ca="1">IF(tblBaseCF[[#This Row],[Year]]=1,1,OFFSET(tblBaseCF[[#This Row],[DeductFlag]],-1,0))
*tblBaseCF[[#This Row],[PolTermFlag]]</f>
        <v>0</v>
      </c>
      <c r="G2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2" s="57">
        <f ca="1">(tblBaseCF[[#This Row],[Year]]&lt;=acc_ben_term)
*tblBaseCF[[#This Row],[ContFlag]]</f>
        <v>0</v>
      </c>
      <c r="I22" s="57">
        <f ca="1">(tblBaseCF[[#This Row],[Year]]&lt;=tp_term)
*tblBaseCF[[#This Row],[ContFlag]]</f>
        <v>0</v>
      </c>
      <c r="J22" s="57">
        <f ca="1">(tblBaseCF[[#This Row],[Year]]&lt;=ep_term)
*tblBaseCF[[#This Row],[ContFlag]]</f>
        <v>0</v>
      </c>
      <c r="K22" s="57">
        <f ca="1">(tblBaseCF[[#This Row],[Year]]&lt;=em_load_term)*1</f>
        <v>0</v>
      </c>
      <c r="L22" s="57">
        <f ca="1">(tblBaseCF[[#This Row],[Year]]&lt;=pm_load_term)*1</f>
        <v>0</v>
      </c>
      <c r="M22" s="59">
        <f ca="1">IF(tblBaseCF[[#This Row],[Year]]=1,si,OFFSET(tblBaseCF[[#This Row],[EndSI]],-1,0))
*tblBaseCF[[#This Row],[ContFlag]]</f>
        <v>0</v>
      </c>
      <c r="N22" s="59">
        <f ca="1">OFFSET(tblBaseCF[[#This Row],[EndTAV]],-1,0)
*tblBaseCF[[#This Row],[ContFlag]]</f>
        <v>0</v>
      </c>
      <c r="O22" s="59">
        <f ca="1">OFFSET(tblBaseCF[[#This Row],[EndEAV]],-1,0)
*tblBaseCF[[#This Row],[ContFlag]]</f>
        <v>0</v>
      </c>
      <c r="P22" s="60">
        <f ca="1">tblBaseCF[[#This Row],[StartEAV]]+tblBaseCF[[#This Row],[StartTAV]]</f>
        <v>0</v>
      </c>
      <c r="Q22" s="61">
        <f ca="1">IFERROR(INDEX(tblJuvenileLienRate[Rate],MATCH(tblBaseCF[[#This Row],[Age]],tblJuvenileLienRate[Age],0)),1)
*tblBaseCF[[#This Row],[ContFlag]]</f>
        <v>0</v>
      </c>
      <c r="R2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2" s="62">
        <f ca="1">tblBaseCF[[#This Row],[StartSI]]*acc_ben_coeff*tblBaseCF[[#This Row],[JuvenileLienRate]]
*tblBaseCF[[#This Row],[AccBenTermFlag]]</f>
        <v>0</v>
      </c>
      <c r="T22" s="61">
        <f ca="1">(IFERROR(INDEX(tblSurrChrgRate[Rate],MATCH(tblBaseCF[[#This Row],[Year]],tblSurrChrgRate[Year],0)),0)
*tblBaseCF[[#This Row],[ContFlag]])</f>
        <v>0</v>
      </c>
      <c r="U22" s="60">
        <f ca="1">tp*tblBaseCF[[#This Row],[SrrChrgRate]]</f>
        <v>0</v>
      </c>
      <c r="V22" s="63">
        <f ca="1">MAX(tblBaseCF[[#This Row],[StartTAV]]-tblBaseCF[[#This Row],[SVChrg]],0)+tblBaseCF[[#This Row],[StartEAV]]</f>
        <v>0</v>
      </c>
      <c r="W22" s="59">
        <f ca="1">IFERROR(INDEX(tblWithdrawal_Output[Amount],MATCH(tblBaseCF[[#This Row],[Year]],tblWithdrawal_Output[Year],0)),0)
*tblBaseCF[[#This Row],[ContFlag]]</f>
        <v>0</v>
      </c>
      <c r="X22" s="59" t="b">
        <f ca="1">tblBaseCF[[#This Row],[WithdrawalInput]]&gt;0</f>
        <v>0</v>
      </c>
      <c r="Y22" s="59" t="b">
        <f ca="1">AND(tblBaseCF[[#This Row],[1stCheckProceed]],tblBaseCF[[#This Row],[WithdrawalInput]]&lt;=tblBaseCF[[#This Row],[StartPAV]])</f>
        <v>0</v>
      </c>
      <c r="Z22" s="59" t="b">
        <f ca="1">AND(tblBaseCF[[#This Row],[2ndCheckAmount]],(tblBaseCF[[#This Row],[StartPAV]]-tblBaseCF[[#This Row],[WithdrawalInput]])&gt;=min_pav_after_withdrawal)</f>
        <v>0</v>
      </c>
      <c r="AA2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2" s="59" t="b">
        <f ca="1">AND(tblBaseCF[[#This Row],[3rdCheckPAV]],tblBaseCF[[#This Row],[endSITest]]&gt;=min_base_si)</f>
        <v>0</v>
      </c>
      <c r="AC22" s="60">
        <f ca="1">tblBaseCF[[#This Row],[WithdrawalInput]]*tblBaseCF[[#This Row],[4thCheckSI]]</f>
        <v>0</v>
      </c>
      <c r="AD22" s="60">
        <f ca="1">MIN(tblBaseCF[[#This Row],[Withdrawal]],tblBaseCF[[#This Row],[StartEAV]])</f>
        <v>0</v>
      </c>
      <c r="AE22" s="60">
        <f ca="1">tblBaseCF[[#This Row],[Withdrawal]]-tblBaseCF[[#This Row],[EAVWithdrawal]]</f>
        <v>0</v>
      </c>
      <c r="AF22" s="60">
        <f ca="1">IF(tblBaseCF[[#This Row],[4thCheckSI]],tblBaseCF[[#This Row],[endSITest]],tblBaseCF[[#This Row],[StartSI]])</f>
        <v>0</v>
      </c>
      <c r="AG2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2" s="65">
        <f ca="1">IFERROR(INDEX(tblTPAllocChrgRate[Rate],MATCH(tblBaseCF[[#This Row],[Year]],tblTPAllocChrgRate[Year],0)),0)</f>
        <v>0.4</v>
      </c>
      <c r="AI22" s="62">
        <f ca="1">(tp+big_case_bonus_tp*(tblBaseCF[[#This Row],[Year]]=1))
*tblBaseCF[[#This Row],[TPTermFlag]]</f>
        <v>0</v>
      </c>
      <c r="AJ22" s="63">
        <f ca="1">tblBaseCF[[#This Row],[TP]]*tblBaseCF[[#This Row],[TPAllocChrgRate]]</f>
        <v>0</v>
      </c>
      <c r="AK22" s="60">
        <f ca="1">tblBaseCF[[#This Row],[TP]]-tblBaseCF[[#This Row],[TPAllocChrg]]</f>
        <v>0</v>
      </c>
      <c r="AL22" s="65">
        <f ca="1">IFERROR(INDEX(tblEPAllocChrgRate[Rate],MATCH(tblBaseCF[[#This Row],[Year]],tblEPAllocChrgRate[Year],0)),0)</f>
        <v>0.02</v>
      </c>
      <c r="AM22" s="60">
        <f ca="1">ep*tblBaseCF[[#This Row],[EPTermFlag]]</f>
        <v>0</v>
      </c>
      <c r="AN22" s="60">
        <f ca="1">tblBaseCF[[#This Row],[EP]]*tblBaseCF[[#This Row],[EPAllocChrgRate]]</f>
        <v>0</v>
      </c>
      <c r="AO22" s="63">
        <f ca="1">tblBaseCF[[#This Row],[EP]]-tblBaseCF[[#This Row],[EPAllocChrg]]</f>
        <v>0</v>
      </c>
      <c r="AP22" s="62">
        <f ca="1">tblBaseCF[[#This Row],[Ben]]*extra_prem_rate*em_load/1000/(1-tblBaseCF[[#This Row],[EPAllocChrgRate]])
*tblBaseCF[[#This Row],[EMLoadTermFlag]]</f>
        <v>0</v>
      </c>
      <c r="AQ22" s="62">
        <f ca="1">tblBaseCF[[#This Row],[Ben]]*pm_load/1000/(1-tblBaseCF[[#This Row],[EPAllocChrgRate]])
*tblBaseCF[[#This Row],[PMLoadTermFlag]]</f>
        <v>0</v>
      </c>
      <c r="AR22" s="60">
        <f ca="1">ROUNDUP(tblBaseCF[[#This Row],[UnroundedEMLoad]],-3)</f>
        <v>0</v>
      </c>
      <c r="AS22" s="62">
        <f ca="1">ROUNDUP(tblBaseCF[[#This Row],[Ben]]*pm_load/1000/(1-tblBaseCF[[#This Row],[EPAllocChrgRate]]),-3)
*tblBaseCF[[#This Row],[PMLoadTermFlag]]</f>
        <v>0</v>
      </c>
      <c r="AT22" s="60">
        <f ca="1">tblBaseCF[[#This Row],[EMLoad]]+tblBaseCF[[#This Row],[PMLoad]]</f>
        <v>0</v>
      </c>
      <c r="AU22" s="60">
        <f ca="1">tblBaseCF[[#This Row],[Load]]*tblBaseCF[[#This Row],[EPAllocChrgRate]]</f>
        <v>0</v>
      </c>
      <c r="AV22" s="60">
        <f ca="1">tblBaseCF[[#This Row],[Load]]-tblBaseCF[[#This Row],[LoadAllocChrg]]</f>
        <v>0</v>
      </c>
      <c r="AW22" s="60">
        <f ca="1">tblBaseCF[[#This Row],[TP]]+tblBaseCF[[#This Row],[EP]]+tblBaseCF[[#This Row],[Load]]</f>
        <v>0</v>
      </c>
      <c r="AX22" s="60">
        <f ca="1">tblBaseCF[[#This Row],[TPAllocChrg]]+tblBaseCF[[#This Row],[EPAllocChrg]]+tblBaseCF[[#This Row],[LoadAllocChrg]]</f>
        <v>0</v>
      </c>
      <c r="AY22" s="60">
        <f ca="1">tblBaseCF[[#This Row],[TPAlloc]]+tblBaseCF[[#This Row],[EPAlloc]]+tblBaseCF[[#This Row],[LoadAlloc]]</f>
        <v>0</v>
      </c>
      <c r="AZ22" s="60">
        <f ca="1">(OFFSET(tblBaseCF[[#This Row],[AccumTotalPrem]],-1,0)+tblBaseCF[[#This Row],[TotalPrem]])*tblBaseCF[[#This Row],[TPTermFlag]]</f>
        <v>0</v>
      </c>
      <c r="BA22" s="62">
        <f ca="1">(tblBaseCF[[#This Row],[StartTAV]]-tblBaseCF[[#This Row],[TAVWithdrawal]]+tblBaseCF[[#This Row],[TPAlloc]])
*tblBaseCF[[#This Row],[ContFlag]]</f>
        <v>0</v>
      </c>
      <c r="BB22" s="59">
        <f ca="1">(tblBaseCF[[#This Row],[StartEAV]]-tblBaseCF[[#This Row],[EAVWithdrawal]]+tblBaseCF[[#This Row],[EPAlloc]]+tblBaseCF[[#This Row],[LoadAlloc]])
*tblBaseCF[[#This Row],[ContFlag]]</f>
        <v>0</v>
      </c>
      <c r="BC22" s="59">
        <f ca="1">tblBaseCF[[#This Row],[TAVAfterWdrlAlloc]]+tblBaseCF[[#This Row],[EAVAfterWdrlAlloc]]</f>
        <v>0</v>
      </c>
      <c r="BD22" s="66">
        <f t="shared" si="2"/>
        <v>0</v>
      </c>
      <c r="BE22" s="67">
        <f>(1+tblBaseCF[[#This Row],[AnnualIntRate]])^(1/12)-1</f>
        <v>0</v>
      </c>
      <c r="BF22" s="68">
        <f>IFERROR(((1+tblBaseCF[[#This Row],[MonthlyIntRate]])^12-1)/12/(1-1/(1+tblBaseCF[[#This Row],[MonthlyIntRate]])),1)/(1+tblBaseCF[[#This Row],[AnnualIntRate]])</f>
        <v>1</v>
      </c>
      <c r="BG22" s="69">
        <f>PV(tblBaseCF[[#This Row],[MonthlyIntRate]],12,-1/12,,1)</f>
        <v>1</v>
      </c>
      <c r="BH22" s="60">
        <f ca="1">MAX(IF(death_tpd_option="A",tblBaseCF[[#This Row],[Ben]]-tblBaseCF[[#This Row],[StartPAV]],tblBaseCF[[#This Row],[Ben]]),0)</f>
        <v>0</v>
      </c>
      <c r="BI22" s="70">
        <f ca="1">IFERROR(INDEX(tblBaseCOIRate[Rate],MATCH(tblBaseCF[[#This Row],[Age]],tblBaseCOIRate[Age],0)),0)</f>
        <v>8.39999999999952E-4</v>
      </c>
      <c r="BJ22" s="60">
        <f ca="1">tblBaseCF[[#This Row],[SAR]]*tblBaseCF[[#This Row],[COIRate]]</f>
        <v>0</v>
      </c>
      <c r="BK22" s="62">
        <f ca="1">em_load*tblBaseCF[[#This Row],[pStandardCOI]]
*tblBaseCF[[#This Row],[EMLoadTermFlag]]</f>
        <v>0</v>
      </c>
      <c r="BL22" s="62">
        <f ca="1">pm_load/1000*tblBaseCF[[#This Row],[SAR]]
*tblBaseCF[[#This Row],[PMLoadTermFlag]]</f>
        <v>0</v>
      </c>
      <c r="BM22" s="60">
        <f ca="1">tblBaseCF[[#This Row],[AccBen]]*monthly_acc_coi*12</f>
        <v>0</v>
      </c>
      <c r="BN22" s="60">
        <f ca="1">tblBaseCF[[#This Row],[pStandardCOI]]+tblBaseCF[[#This Row],[pEMLoadCOI]]+tblBaseCF[[#This Row],[pPMLoadCOI]]+tblBaseCF[[#This Row],[pAccCOI]]</f>
        <v>0</v>
      </c>
      <c r="BO22" s="62">
        <f ca="1">IFERROR(INDEX(tblAdminChrg[Amount],MATCH(tblBaseCF[[#This Row],[CalYear]],tblAdminChrg[Cal_Year],0)),0)
*tblBaseCF[[#This Row],[ContFlag]]</f>
        <v>0</v>
      </c>
      <c r="BP22" s="60">
        <f ca="1">tblBaseCF[[#This Row],[pMonthlyAdminChrg]]*12</f>
        <v>0</v>
      </c>
      <c r="BQ22" s="60">
        <f ca="1">tblBaseCF[[#This Row],[pCOI]]+tblBaseCF[[#This Row],[pAdminChrg]]</f>
        <v>0</v>
      </c>
      <c r="BR22" s="60">
        <f ca="1">tblBaseCF[[#This Row],[pNomDeduct]]*tblBaseCF[[#This Row],[Duean1m12]]</f>
        <v>0</v>
      </c>
      <c r="BS22" s="57">
        <f ca="1">(tblBaseCF[[#This Row],[PAVAfterWdrlAlloc]]&gt;=tblBaseCF[[#This Row],[pNomDeduct]])
*tblBaseCF[[#This Row],[ContFlag]]</f>
        <v>0</v>
      </c>
      <c r="BT22" s="60">
        <f ca="1">tblBaseCF[[#This Row],[pStandardCOI]]*tblBaseCF[[#This Row],[DeductFlag]]</f>
        <v>0</v>
      </c>
      <c r="BU22" s="60">
        <f ca="1">tblBaseCF[[#This Row],[pEMLoadCOI]]*tblBaseCF[[#This Row],[DeductFlag]]</f>
        <v>0</v>
      </c>
      <c r="BV22" s="60">
        <f ca="1">tblBaseCF[[#This Row],[pPMLoadCOI]]*tblBaseCF[[#This Row],[DeductFlag]]</f>
        <v>0</v>
      </c>
      <c r="BW22" s="60">
        <f ca="1">tblBaseCF[[#This Row],[pAccCOI]]*tblBaseCF[[#This Row],[DeductFlag]]</f>
        <v>0</v>
      </c>
      <c r="BX22" s="60">
        <f ca="1">tblBaseCF[[#This Row],[pCOI]]*tblBaseCF[[#This Row],[DeductFlag]]</f>
        <v>0</v>
      </c>
      <c r="BY22" s="60">
        <f ca="1">tblBaseCF[[#This Row],[pMonthlyAdminChrg]]*tblBaseCF[[#This Row],[DeductFlag]]</f>
        <v>0</v>
      </c>
      <c r="BZ22" s="60">
        <f ca="1">tblBaseCF[[#This Row],[pAdminChrg]]*tblBaseCF[[#This Row],[DeductFlag]]</f>
        <v>0</v>
      </c>
      <c r="CA22" s="60">
        <f ca="1">tblBaseCF[[#This Row],[pNomDeduct]]*tblBaseCF[[#This Row],[DeductFlag]]</f>
        <v>0</v>
      </c>
      <c r="CB22" s="60">
        <f ca="1">tblBaseCF[[#This Row],[pDeduct]]*tblBaseCF[[#This Row],[DeductFlag]]</f>
        <v>0</v>
      </c>
      <c r="CC22" s="60">
        <f ca="1">MIN(tblBaseCF[[#This Row],[TAVAfterWdrlAlloc]],tblBaseCF[[#This Row],[Deduct]])</f>
        <v>0</v>
      </c>
      <c r="CD22" s="60">
        <f ca="1">tblBaseCF[[#This Row],[Deduct]]-tblBaseCF[[#This Row],[TAVDeduct]]</f>
        <v>0</v>
      </c>
      <c r="CE22" s="69">
        <f ca="1">(tblBaseCF[[#This Row],[TAVAfterWdrlAlloc]]-tblBaseCF[[#This Row],[TAVDeduct]])*tblBaseCF[[#This Row],[AnnualIntRate]]
*tblBaseCF[[#This Row],[DeductFlag]]</f>
        <v>0</v>
      </c>
      <c r="CF22" s="69">
        <f ca="1">(tblBaseCF[[#This Row],[EAVAfterWdrlAlloc]]-tblBaseCF[[#This Row],[EAVDeduct]])*tblBaseCF[[#This Row],[AnnualIntRate]]
*tblBaseCF[[#This Row],[DeductFlag]]</f>
        <v>0</v>
      </c>
      <c r="CG22" s="69">
        <f ca="1">tblBaseCF[[#This Row],[TAVInt]]+tblBaseCF[[#This Row],[EAVInt]]</f>
        <v>0</v>
      </c>
      <c r="CH22" s="62">
        <f ca="1">IFERROR(INDEX(tblLBRate[Rate],MATCH(tblBaseCF[[#This Row],[Year]],tblLBRate[Year],0)),0)
*tblBaseCF[[#This Row],[DeductFlag]]</f>
        <v>0</v>
      </c>
      <c r="CI22" s="60">
        <f ca="1">IFERROR(SUM(OFFSET(tblBaseCF[[#This Row],[TAVWithdrawal]],0,0,-lb_review_period,1)),0)
*(tblBaseCF[[#This Row],[LBRate]]&gt;0)</f>
        <v>0</v>
      </c>
      <c r="CJ22" s="60">
        <f ca="1">(tblBaseCF[[#This Row],[LBRate]]&gt;0)*(tblBaseCF[[#This Row],[LBTAVWithdrawal]]=0)</f>
        <v>0</v>
      </c>
      <c r="CK22" s="62" cm="1">
        <f t="array" aca="1" ref="CK22" ca="1">IF(tblBaseCF[[#This Row],[LBFlag]],
_xlfn.SWITCH(base,
"ILP1",AVERAGE(OFFSET(tblBaseCF[TP],0,0,-lb_review_period,1)),tp),0)
*tblBaseCF[[#This Row],[LBFlag]]</f>
        <v>0</v>
      </c>
      <c r="CL22" s="62">
        <f ca="1">tblBaseCF[[#This Row],[LBBasis]]*tblBaseCF[[#This Row],[LBRate]]</f>
        <v>0</v>
      </c>
      <c r="CM22" s="57" cm="1">
        <f t="array" aca="1" ref="CM22" ca="1">_xlfn.SWITCH(base,
"ILP1",0,($AF122&lt;500000000)*1
+($AF122&gt;=500000000)*($AF122&lt;1000000000)*2
+($AF122&gt;=1000000000)*3)
*tblBaseCF[[#This Row],[DeductFlag]]</f>
        <v>0</v>
      </c>
      <c r="CN22" s="2" t="str">
        <f ca="1">IF(tblBaseCF[[#This Row],[DeductFlag]],base&amp;"_"&amp;tblBaseCF[[#This Row],[SBCode]]&amp;"_"&amp;tblBaseCF[[#This Row],[Year]],"")</f>
        <v/>
      </c>
      <c r="CO22" s="3">
        <f ca="1">IFERROR(INDEX(tblSBRate[Index],MATCH(tblBaseCF[[#This Row],[SBIndex]],tblSBRate[Rate],0)),0)</f>
        <v>0</v>
      </c>
      <c r="CP22" s="63">
        <f ca="1">IFERROR(SUM(OFFSET(tblBaseCF[[#This Row],[TAVWithdrawal]],0,0,-sb_review_period,1)),0)
*(tblBaseCF[[#This Row],[SBRate]]&gt;0)</f>
        <v>0</v>
      </c>
      <c r="CQ22" s="63">
        <f ca="1">(tblBaseCF[[#This Row],[SBRate]]&gt;0)*(tblBaseCF[[#This Row],[SBTAVWithdrawal]]=0)</f>
        <v>0</v>
      </c>
      <c r="CR22" s="59" cm="1">
        <f t="array" aca="1" ref="CR22" ca="1">IF(tblBaseCF[[#This Row],[LBFlag]],
_xlfn.SWITCH(base,
"ILP1",0,tp),0)*tblBaseCF[[#This Row],[SBFlag]]</f>
        <v>0</v>
      </c>
      <c r="CS22" s="63">
        <f ca="1">tblBaseCF[[#This Row],[SBBasis]]*tblBaseCF[[#This Row],[SBRate]]</f>
        <v>0</v>
      </c>
      <c r="CT22" s="63">
        <f ca="1">tblBaseCF[[#This Row],[LB]]+tblBaseCF[[#This Row],[SB]]</f>
        <v>0</v>
      </c>
      <c r="CU22" s="59">
        <f ca="1">tblBaseCF[[#This Row],[TAVAfterWdrlAlloc]]-tblBaseCF[[#This Row],[TAVDeduct]]+tblBaseCF[[#This Row],[TAVInt]]+tblBaseCF[[#This Row],[Bonus]]</f>
        <v>0</v>
      </c>
      <c r="CV22" s="59">
        <f ca="1">tblBaseCF[[#This Row],[EAVAfterWdrlAlloc]]-tblBaseCF[[#This Row],[EAVDeduct]]+tblBaseCF[[#This Row],[EAVInt]]</f>
        <v>0</v>
      </c>
      <c r="CW22" s="63">
        <f ca="1">tblBaseCF[[#This Row],[EndTAV]]+tblBaseCF[[#This Row],[EndEAV]]</f>
        <v>0</v>
      </c>
      <c r="CX22" s="59">
        <f ca="1">INDEX(tblPlanPrem[TP],2)
*tblBaseCF[[#This Row],[TPTermFlag]]</f>
        <v>0</v>
      </c>
      <c r="CY22" s="59">
        <f ca="1">INDEX(tblPlanPrem[EP],2)
*tblBaseCF[[#This Row],[TPTermFlag]]</f>
        <v>0</v>
      </c>
      <c r="CZ22" s="63">
        <f ca="1">ROUNDUP(tblBaseCF[[#This Row],[UnroundedEMLoad]]*INDEX(tblPlanPrem[Factor],2),-3)</f>
        <v>0</v>
      </c>
      <c r="DA22" s="63">
        <f ca="1">ROUNDUP(tblBaseCF[[#This Row],[UnroundedPMLoad]]*INDEX(tblPlanPrem[Factor],2),-3)</f>
        <v>0</v>
      </c>
      <c r="DB22" s="63">
        <f ca="1">tblBaseCF[[#This Row],[SemiAnnualEMLoad]]+tblBaseCF[[#This Row],[SemiAnnualPMLoad]]</f>
        <v>0</v>
      </c>
      <c r="DC22" s="63">
        <f ca="1">tblBaseCF[[#This Row],[SemiAnnualTP]]+tblBaseCF[[#This Row],[SemiAnnualEP]]+tblBaseCF[[#This Row],[SemiAnnualLoad]]</f>
        <v>0</v>
      </c>
      <c r="DD22" s="59">
        <f ca="1">INDEX(tblPlanPrem[TP],3)
*tblBaseCF[[#This Row],[TPTermFlag]]</f>
        <v>0</v>
      </c>
      <c r="DE22" s="59">
        <f ca="1">INDEX(tblPlanPrem[EP],3)
*tblBaseCF[[#This Row],[TPTermFlag]]</f>
        <v>0</v>
      </c>
      <c r="DF22" s="63">
        <f ca="1">ROUNDUP(tblBaseCF[[#This Row],[UnroundedEMLoad]]*INDEX(tblPlanPrem[Factor],3),-3)</f>
        <v>0</v>
      </c>
      <c r="DG22" s="63">
        <f ca="1">ROUNDUP(tblBaseCF[[#This Row],[UnroundedPMLoad]]*INDEX(tblPlanPrem[Factor],3),-3)</f>
        <v>0</v>
      </c>
      <c r="DH22" s="60">
        <f ca="1">tblBaseCF[[#This Row],[QuarterlyEMLoad]]+tblBaseCF[[#This Row],[QuarterlyPMLoad]]</f>
        <v>0</v>
      </c>
      <c r="DI22" s="60">
        <f ca="1">tblBaseCF[[#This Row],[QuarterlyTP]]+tblBaseCF[[#This Row],[QuarterlyEP]]+tblBaseCF[[#This Row],[QuarterlyLoad]]</f>
        <v>0</v>
      </c>
      <c r="DJ22" s="59">
        <f ca="1">INDEX(tblPlanPrem[TP],4)
*tblBaseCF[[#This Row],[TPTermFlag]]</f>
        <v>0</v>
      </c>
      <c r="DK22" s="59">
        <f ca="1">INDEX(tblPlanPrem[EP],4)
*tblBaseCF[[#This Row],[TPTermFlag]]</f>
        <v>0</v>
      </c>
      <c r="DL22" s="63">
        <f ca="1">ROUNDUP(tblBaseCF[[#This Row],[UnroundedEMLoad]]*INDEX(tblPlanPrem[Factor],4),-3)</f>
        <v>0</v>
      </c>
      <c r="DM22" s="63">
        <f ca="1">ROUNDUP(tblBaseCF[[#This Row],[UnroundedPMLoad]]*INDEX(tblPlanPrem[Factor],4),-3)</f>
        <v>0</v>
      </c>
      <c r="DN22" s="60">
        <f ca="1">tblBaseCF[[#This Row],[MonthlyEMLoad]]+tblBaseCF[[#This Row],[MonthlyPMLoad]]</f>
        <v>0</v>
      </c>
      <c r="DO22" s="63">
        <f ca="1">tblBaseCF[[#This Row],[MonthlyTP]]+tblBaseCF[[#This Row],[MonthlyEP]]+tblBaseCF[[#This Row],[MonthlyLoad]]</f>
        <v>0</v>
      </c>
      <c r="DP22" s="3"/>
      <c r="DS22">
        <f t="shared" si="3"/>
        <v>0</v>
      </c>
      <c r="DT22">
        <f t="shared" si="4"/>
        <v>0</v>
      </c>
      <c r="DU22">
        <f t="shared" si="5"/>
        <v>0</v>
      </c>
      <c r="DV22">
        <f ca="1">tblBaseCF[[#This Row],[Year]]</f>
        <v>2</v>
      </c>
      <c r="DW22">
        <f ca="1">tblBaseCF[[#This Row],[Age]]</f>
        <v>1</v>
      </c>
      <c r="DX22">
        <f ca="1">tblBaseCF[[#This Row],[ContFlag]]</f>
        <v>0</v>
      </c>
      <c r="DY22" t="str">
        <f ca="1">tblBaseCF[[#This Row],[ContLog]]</f>
        <v>Insufficient PAV for deduction - Discontinue.</v>
      </c>
      <c r="DZ22">
        <f ca="1">tblBaseCF[[#This Row],[StartTAV]]</f>
        <v>0</v>
      </c>
      <c r="EA22">
        <f ca="1">tblBaseCF[[#This Row],[StartEAV]]</f>
        <v>0</v>
      </c>
      <c r="EB22">
        <f ca="1">tblBaseCF[[#This Row],[StartPAV]]</f>
        <v>0</v>
      </c>
      <c r="EC22">
        <f ca="1">tblBaseCF[[#This Row],[SVChrg]]</f>
        <v>0</v>
      </c>
      <c r="ED22">
        <f ca="1">tblBaseCF[[#This Row],[SV]]</f>
        <v>0</v>
      </c>
      <c r="EE22">
        <f ca="1">tblBaseCF[[#This Row],[Ben]]</f>
        <v>0</v>
      </c>
      <c r="EF22">
        <f ca="1">tblBaseCF[[#This Row],[AccBen]]</f>
        <v>0</v>
      </c>
      <c r="EG22">
        <f ca="1">tblBaseCF[[#This Row],[WithdrawalInput]]</f>
        <v>0</v>
      </c>
      <c r="EH22" t="str">
        <f ca="1">tblBaseCF[[#This Row],[WithdrawalLog]]</f>
        <v>No withdrawal.</v>
      </c>
      <c r="EI22">
        <f ca="1">tblBaseCF[[#This Row],[TAVWithdrawal]]</f>
        <v>0</v>
      </c>
      <c r="EJ22">
        <f ca="1">tblBaseCF[[#This Row],[EAVWithdrawal]]</f>
        <v>0</v>
      </c>
      <c r="EK22">
        <f ca="1">tblBaseCF[[#This Row],[Withdrawal]]</f>
        <v>0</v>
      </c>
      <c r="EL22">
        <f ca="1">tblBaseCF[[#This Row],[TP]]</f>
        <v>0</v>
      </c>
      <c r="EM22">
        <f ca="1">tblBaseCF[[#This Row],[TPAllocChrg]]</f>
        <v>0</v>
      </c>
      <c r="EN22">
        <f ca="1">tblBaseCF[[#This Row],[TPAlloc]]</f>
        <v>0</v>
      </c>
      <c r="EO22">
        <f ca="1">tblBaseCF[[#This Row],[EP]]</f>
        <v>0</v>
      </c>
      <c r="EP22">
        <f ca="1">tblBaseCF[[#This Row],[EPAllocChrg]]</f>
        <v>0</v>
      </c>
      <c r="EQ22">
        <f ca="1">tblBaseCF[[#This Row],[EPAlloc]]</f>
        <v>0</v>
      </c>
      <c r="ER22">
        <f ca="1">tblBaseCF[[#This Row],[EMLoad]]</f>
        <v>0</v>
      </c>
      <c r="ES22">
        <f ca="1">tblBaseCF[[#This Row],[PMLoad]]</f>
        <v>0</v>
      </c>
      <c r="ET22">
        <f ca="1">tblBaseCF[[#This Row],[Load]]</f>
        <v>0</v>
      </c>
      <c r="EU22">
        <f ca="1">tblBaseCF[[#This Row],[LoadAllocChrg]]</f>
        <v>0</v>
      </c>
      <c r="EV22">
        <f ca="1">tblBaseCF[[#This Row],[LoadAlloc]]</f>
        <v>0</v>
      </c>
      <c r="EW22">
        <f ca="1">tblBaseCF[[#This Row],[TotalPrem]]</f>
        <v>0</v>
      </c>
      <c r="EX22">
        <f ca="1">tblBaseCF[[#This Row],[AllocChrg]]</f>
        <v>0</v>
      </c>
      <c r="EY22">
        <f ca="1">tblBaseCF[[#This Row],[Alloc]]</f>
        <v>0</v>
      </c>
      <c r="EZ22">
        <f ca="1">tblBaseCF[[#This Row],[AccumTotalPrem]]</f>
        <v>0</v>
      </c>
      <c r="FA22">
        <f>tblBaseCF[[#This Row],[AnnualIntRate]]</f>
        <v>0</v>
      </c>
      <c r="FB22" s="50">
        <f>tblBaseCF[[#This Row],[Duean1m12]]</f>
        <v>1</v>
      </c>
      <c r="FC22">
        <f ca="1">tblBaseCF[[#This Row],[DeductFlag]]</f>
        <v>0</v>
      </c>
      <c r="FD22">
        <f ca="1">tblBaseCF[[#This Row],[AdminChrg]]</f>
        <v>0</v>
      </c>
      <c r="FE22">
        <f ca="1">tblBaseCF[[#This Row],[StandardCOI]]</f>
        <v>0</v>
      </c>
      <c r="FF22">
        <f ca="1">tblBaseCF[[#This Row],[EMLoadCOI]]</f>
        <v>0</v>
      </c>
      <c r="FG22">
        <f ca="1">tblBaseCF[[#This Row],[PMLoadCOI]]</f>
        <v>0</v>
      </c>
      <c r="FH22">
        <f ca="1">tblBaseCF[[#This Row],[COI]]</f>
        <v>0</v>
      </c>
      <c r="FI22" s="47">
        <f ca="1">tblBaseCF[[#This Row],[NomDeduct]]</f>
        <v>0</v>
      </c>
      <c r="FJ22">
        <f ca="1">tblBaseCF[[#This Row],[Deduct]]</f>
        <v>0</v>
      </c>
      <c r="FK22">
        <f ca="1">tblBaseCF[[#This Row],[TAVDeduct]]</f>
        <v>0</v>
      </c>
      <c r="FL22">
        <f ca="1">tblBaseCF[[#This Row],[EAVDeduct]]</f>
        <v>0</v>
      </c>
      <c r="FM22" s="24">
        <f ca="1">tblBaseCF[[#This Row],[TAVInt]]</f>
        <v>0</v>
      </c>
      <c r="FN22">
        <f ca="1">tblBaseCF[[#This Row],[EAVInt]]</f>
        <v>0</v>
      </c>
      <c r="FO22" s="47">
        <f ca="1">tblBaseCF[[#This Row],[LB]]</f>
        <v>0</v>
      </c>
      <c r="FP22">
        <f ca="1">tblBaseCF[[#This Row],[SB]]</f>
        <v>0</v>
      </c>
      <c r="FQ22">
        <f ca="1">tblBaseCF[[#This Row],[Bonus]]</f>
        <v>0</v>
      </c>
      <c r="FR22">
        <f ca="1">tblBaseCF[[#This Row],[EndTAV]]</f>
        <v>0</v>
      </c>
      <c r="FS22">
        <f ca="1">tblBaseCF[[#This Row],[EndEAV]]</f>
        <v>0</v>
      </c>
      <c r="FT22">
        <f ca="1">tblBaseCF[[#This Row],[EndPAV]]</f>
        <v>0</v>
      </c>
      <c r="FU22">
        <f ca="1">tblBaseCF[[#This Row],[SemiAnnualTP]]</f>
        <v>0</v>
      </c>
      <c r="FV22">
        <f ca="1">tblBaseCF[[#This Row],[SemiAnnualEP]]</f>
        <v>0</v>
      </c>
      <c r="FW22">
        <f ca="1">tblBaseCF[[#This Row],[SemiAnnualEMLoad]]</f>
        <v>0</v>
      </c>
      <c r="FX22">
        <f ca="1">tblBaseCF[[#This Row],[SemiAnnualPMLoad]]</f>
        <v>0</v>
      </c>
      <c r="FY22">
        <f ca="1">tblBaseCF[[#This Row],[SemiAnnualLoad]]</f>
        <v>0</v>
      </c>
      <c r="FZ22">
        <f ca="1">tblBaseCF[[#This Row],[SemiAnnualTotalPrem]]</f>
        <v>0</v>
      </c>
      <c r="GA22">
        <f ca="1">tblBaseCF[[#This Row],[QuarterlyTP]]</f>
        <v>0</v>
      </c>
      <c r="GB22">
        <f ca="1">tblBaseCF[[#This Row],[QuarterlyEP]]</f>
        <v>0</v>
      </c>
      <c r="GC22">
        <f ca="1">tblBaseCF[[#This Row],[QuarterlyEMLoad]]</f>
        <v>0</v>
      </c>
      <c r="GD22">
        <f ca="1">tblBaseCF[[#This Row],[QuarterlyPMLoad]]</f>
        <v>0</v>
      </c>
      <c r="GE22">
        <f ca="1">tblBaseCF[[#This Row],[QuarterlyLoad]]</f>
        <v>0</v>
      </c>
      <c r="GF22">
        <f ca="1">tblBaseCF[[#This Row],[QuarterlyTotalPrem]]</f>
        <v>0</v>
      </c>
      <c r="GG22">
        <f ca="1">tblBaseCF[[#This Row],[MonthlyTP]]</f>
        <v>0</v>
      </c>
      <c r="GH22">
        <f ca="1">tblBaseCF[[#This Row],[MonthlyEP]]</f>
        <v>0</v>
      </c>
      <c r="GI22">
        <f ca="1">tblBaseCF[[#This Row],[MonthlyEMLoad]]</f>
        <v>0</v>
      </c>
      <c r="GJ22">
        <f ca="1">tblBaseCF[[#This Row],[MonthlyPMLoad]]</f>
        <v>0</v>
      </c>
      <c r="GK22">
        <f ca="1">tblBaseCF[[#This Row],[MonthlyLoad]]</f>
        <v>0</v>
      </c>
      <c r="GL22">
        <f ca="1">tblBaseCF[[#This Row],[MonthlyTotalPrem]]</f>
        <v>0</v>
      </c>
      <c r="GO22" t="s">
        <v>134</v>
      </c>
      <c r="GP22" t="s">
        <v>135</v>
      </c>
      <c r="GQ22" t="s">
        <v>502</v>
      </c>
      <c r="GR22">
        <v>2</v>
      </c>
      <c r="GS22">
        <v>1</v>
      </c>
      <c r="GT22">
        <v>1</v>
      </c>
      <c r="GU22" t="s">
        <v>457</v>
      </c>
      <c r="GV22">
        <v>0</v>
      </c>
      <c r="GW22">
        <v>5177692.36689799</v>
      </c>
      <c r="GX22">
        <v>5177692.36689799</v>
      </c>
      <c r="GY22">
        <v>1072000</v>
      </c>
      <c r="GZ22">
        <v>5177692.36689799</v>
      </c>
      <c r="HA22">
        <v>101000000</v>
      </c>
      <c r="HB22">
        <v>303000000</v>
      </c>
      <c r="HC22">
        <v>0</v>
      </c>
      <c r="HD22" t="s">
        <v>137</v>
      </c>
      <c r="HE22">
        <v>0</v>
      </c>
      <c r="HF22">
        <v>0</v>
      </c>
      <c r="HG22">
        <v>0</v>
      </c>
      <c r="HH22">
        <v>1072000</v>
      </c>
      <c r="HI22">
        <v>428800</v>
      </c>
      <c r="HJ22">
        <v>643200</v>
      </c>
      <c r="HK22">
        <v>5200000</v>
      </c>
      <c r="HL22">
        <v>104000</v>
      </c>
      <c r="HM22">
        <v>5096000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6272000</v>
      </c>
      <c r="HT22">
        <v>532800</v>
      </c>
      <c r="HU22">
        <v>5739200</v>
      </c>
      <c r="HV22">
        <v>12544000</v>
      </c>
      <c r="HW22">
        <v>7.0000000000000007E-2</v>
      </c>
      <c r="HX22">
        <v>0.96964931039809399</v>
      </c>
      <c r="HY22">
        <v>1</v>
      </c>
      <c r="HZ22">
        <v>300000</v>
      </c>
      <c r="IA22">
        <v>80490.738411801096</v>
      </c>
      <c r="IB22">
        <v>0</v>
      </c>
      <c r="IC22">
        <v>0</v>
      </c>
      <c r="ID22">
        <v>353190.73841180099</v>
      </c>
      <c r="IE22">
        <v>653190.73841180105</v>
      </c>
      <c r="IF22">
        <v>633365.94905942504</v>
      </c>
      <c r="IG22">
        <v>633365.94905942504</v>
      </c>
      <c r="IH22">
        <v>0</v>
      </c>
      <c r="II22">
        <v>688.38356584027997</v>
      </c>
      <c r="IJ22">
        <v>719158.46568285895</v>
      </c>
      <c r="IK22">
        <v>0</v>
      </c>
      <c r="IL22">
        <v>0</v>
      </c>
      <c r="IM22">
        <v>0</v>
      </c>
      <c r="IN22">
        <v>10522.434506415701</v>
      </c>
      <c r="IO22">
        <v>10992850.832580799</v>
      </c>
      <c r="IP22">
        <v>11003373.267087299</v>
      </c>
      <c r="IQ22">
        <v>536000</v>
      </c>
      <c r="IR22">
        <v>2600000</v>
      </c>
      <c r="IS22">
        <v>0</v>
      </c>
      <c r="IT22">
        <v>0</v>
      </c>
      <c r="IU22">
        <v>0</v>
      </c>
      <c r="IV22">
        <v>3136000</v>
      </c>
      <c r="IW22">
        <v>268000</v>
      </c>
      <c r="IX22">
        <v>1300000</v>
      </c>
      <c r="IY22">
        <v>0</v>
      </c>
      <c r="IZ22">
        <v>0</v>
      </c>
      <c r="JA22">
        <v>0</v>
      </c>
      <c r="JB22">
        <v>1568000</v>
      </c>
      <c r="JC22">
        <v>90000</v>
      </c>
      <c r="JD22">
        <v>434000</v>
      </c>
      <c r="JE22">
        <v>0</v>
      </c>
      <c r="JF22">
        <v>0</v>
      </c>
      <c r="JG22">
        <v>0</v>
      </c>
      <c r="JH22">
        <v>524000</v>
      </c>
    </row>
    <row r="23" spans="2:268" customFormat="1" x14ac:dyDescent="0.25">
      <c r="B23" s="2">
        <f ca="1">OFFSET(tblBaseCF[[#This Row],[Year]],-1,0)+1</f>
        <v>3</v>
      </c>
      <c r="C23" s="2">
        <f ca="1">(tblBaseCF[[#This Row],[Year]]&lt;=term)*1</f>
        <v>1</v>
      </c>
      <c r="D23" s="57">
        <f ca="1">(YEAR(rcd)+tblBaseCF[[#This Row],[Year]]-1)
*tblBaseCF[[#This Row],[PolTermFlag]]</f>
        <v>2027</v>
      </c>
      <c r="E23" s="57">
        <f ca="1">(mainLI_entry_age+tblBaseCF[[#This Row],[Year]]-1)
*tblBaseCF[[#This Row],[PolTermFlag]]</f>
        <v>2</v>
      </c>
      <c r="F23" s="57">
        <f ca="1">IF(tblBaseCF[[#This Row],[Year]]=1,1,OFFSET(tblBaseCF[[#This Row],[DeductFlag]],-1,0))
*tblBaseCF[[#This Row],[PolTermFlag]]</f>
        <v>0</v>
      </c>
      <c r="G2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3" s="57">
        <f ca="1">(tblBaseCF[[#This Row],[Year]]&lt;=acc_ben_term)
*tblBaseCF[[#This Row],[ContFlag]]</f>
        <v>0</v>
      </c>
      <c r="I23" s="57">
        <f ca="1">(tblBaseCF[[#This Row],[Year]]&lt;=tp_term)
*tblBaseCF[[#This Row],[ContFlag]]</f>
        <v>0</v>
      </c>
      <c r="J23" s="57">
        <f ca="1">(tblBaseCF[[#This Row],[Year]]&lt;=ep_term)
*tblBaseCF[[#This Row],[ContFlag]]</f>
        <v>0</v>
      </c>
      <c r="K23" s="57">
        <f ca="1">(tblBaseCF[[#This Row],[Year]]&lt;=em_load_term)*1</f>
        <v>0</v>
      </c>
      <c r="L23" s="57">
        <f ca="1">(tblBaseCF[[#This Row],[Year]]&lt;=pm_load_term)*1</f>
        <v>0</v>
      </c>
      <c r="M23" s="59">
        <f ca="1">IF(tblBaseCF[[#This Row],[Year]]=1,si,OFFSET(tblBaseCF[[#This Row],[EndSI]],-1,0))
*tblBaseCF[[#This Row],[ContFlag]]</f>
        <v>0</v>
      </c>
      <c r="N23" s="59">
        <f ca="1">OFFSET(tblBaseCF[[#This Row],[EndTAV]],-1,0)
*tblBaseCF[[#This Row],[ContFlag]]</f>
        <v>0</v>
      </c>
      <c r="O23" s="59">
        <f ca="1">OFFSET(tblBaseCF[[#This Row],[EndEAV]],-1,0)
*tblBaseCF[[#This Row],[ContFlag]]</f>
        <v>0</v>
      </c>
      <c r="P23" s="60">
        <f ca="1">tblBaseCF[[#This Row],[StartEAV]]+tblBaseCF[[#This Row],[StartTAV]]</f>
        <v>0</v>
      </c>
      <c r="Q23" s="61">
        <f ca="1">IFERROR(INDEX(tblJuvenileLienRate[Rate],MATCH(tblBaseCF[[#This Row],[Age]],tblJuvenileLienRate[Age],0)),1)
*tblBaseCF[[#This Row],[ContFlag]]</f>
        <v>0</v>
      </c>
      <c r="R2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3" s="62">
        <f ca="1">tblBaseCF[[#This Row],[StartSI]]*acc_ben_coeff*tblBaseCF[[#This Row],[JuvenileLienRate]]
*tblBaseCF[[#This Row],[AccBenTermFlag]]</f>
        <v>0</v>
      </c>
      <c r="T23" s="61">
        <f ca="1">(IFERROR(INDEX(tblSurrChrgRate[Rate],MATCH(tblBaseCF[[#This Row],[Year]],tblSurrChrgRate[Year],0)),0)
*tblBaseCF[[#This Row],[ContFlag]])</f>
        <v>0</v>
      </c>
      <c r="U23" s="60">
        <f ca="1">tp*tblBaseCF[[#This Row],[SrrChrgRate]]</f>
        <v>0</v>
      </c>
      <c r="V23" s="63">
        <f ca="1">MAX(tblBaseCF[[#This Row],[StartTAV]]-tblBaseCF[[#This Row],[SVChrg]],0)+tblBaseCF[[#This Row],[StartEAV]]</f>
        <v>0</v>
      </c>
      <c r="W23" s="59">
        <f ca="1">IFERROR(INDEX(tblWithdrawal_Output[Amount],MATCH(tblBaseCF[[#This Row],[Year]],tblWithdrawal_Output[Year],0)),0)
*tblBaseCF[[#This Row],[ContFlag]]</f>
        <v>0</v>
      </c>
      <c r="X23" s="59" t="b">
        <f ca="1">tblBaseCF[[#This Row],[WithdrawalInput]]&gt;0</f>
        <v>0</v>
      </c>
      <c r="Y23" s="59" t="b">
        <f ca="1">AND(tblBaseCF[[#This Row],[1stCheckProceed]],tblBaseCF[[#This Row],[WithdrawalInput]]&lt;=tblBaseCF[[#This Row],[StartPAV]])</f>
        <v>0</v>
      </c>
      <c r="Z23" s="59" t="b">
        <f ca="1">AND(tblBaseCF[[#This Row],[2ndCheckAmount]],(tblBaseCF[[#This Row],[StartPAV]]-tblBaseCF[[#This Row],[WithdrawalInput]])&gt;=min_pav_after_withdrawal)</f>
        <v>0</v>
      </c>
      <c r="AA2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3" s="59" t="b">
        <f ca="1">AND(tblBaseCF[[#This Row],[3rdCheckPAV]],tblBaseCF[[#This Row],[endSITest]]&gt;=min_base_si)</f>
        <v>0</v>
      </c>
      <c r="AC23" s="60">
        <f ca="1">tblBaseCF[[#This Row],[WithdrawalInput]]*tblBaseCF[[#This Row],[4thCheckSI]]</f>
        <v>0</v>
      </c>
      <c r="AD23" s="60">
        <f ca="1">MIN(tblBaseCF[[#This Row],[Withdrawal]],tblBaseCF[[#This Row],[StartEAV]])</f>
        <v>0</v>
      </c>
      <c r="AE23" s="60">
        <f ca="1">tblBaseCF[[#This Row],[Withdrawal]]-tblBaseCF[[#This Row],[EAVWithdrawal]]</f>
        <v>0</v>
      </c>
      <c r="AF23" s="60">
        <f ca="1">IF(tblBaseCF[[#This Row],[4thCheckSI]],tblBaseCF[[#This Row],[endSITest]],tblBaseCF[[#This Row],[StartSI]])</f>
        <v>0</v>
      </c>
      <c r="AG2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3" s="65">
        <f ca="1">IFERROR(INDEX(tblTPAllocChrgRate[Rate],MATCH(tblBaseCF[[#This Row],[Year]],tblTPAllocChrgRate[Year],0)),0)</f>
        <v>0.25</v>
      </c>
      <c r="AI23" s="62">
        <f ca="1">(tp+big_case_bonus_tp*(tblBaseCF[[#This Row],[Year]]=1))
*tblBaseCF[[#This Row],[TPTermFlag]]</f>
        <v>0</v>
      </c>
      <c r="AJ23" s="63">
        <f ca="1">tblBaseCF[[#This Row],[TP]]*tblBaseCF[[#This Row],[TPAllocChrgRate]]</f>
        <v>0</v>
      </c>
      <c r="AK23" s="60">
        <f ca="1">tblBaseCF[[#This Row],[TP]]-tblBaseCF[[#This Row],[TPAllocChrg]]</f>
        <v>0</v>
      </c>
      <c r="AL23" s="65">
        <f ca="1">IFERROR(INDEX(tblEPAllocChrgRate[Rate],MATCH(tblBaseCF[[#This Row],[Year]],tblEPAllocChrgRate[Year],0)),0)</f>
        <v>0.02</v>
      </c>
      <c r="AM23" s="60">
        <f ca="1">ep*tblBaseCF[[#This Row],[EPTermFlag]]</f>
        <v>0</v>
      </c>
      <c r="AN23" s="60">
        <f ca="1">tblBaseCF[[#This Row],[EP]]*tblBaseCF[[#This Row],[EPAllocChrgRate]]</f>
        <v>0</v>
      </c>
      <c r="AO23" s="63">
        <f ca="1">tblBaseCF[[#This Row],[EP]]-tblBaseCF[[#This Row],[EPAllocChrg]]</f>
        <v>0</v>
      </c>
      <c r="AP23" s="62">
        <f ca="1">tblBaseCF[[#This Row],[Ben]]*extra_prem_rate*em_load/1000/(1-tblBaseCF[[#This Row],[EPAllocChrgRate]])
*tblBaseCF[[#This Row],[EMLoadTermFlag]]</f>
        <v>0</v>
      </c>
      <c r="AQ23" s="62">
        <f ca="1">tblBaseCF[[#This Row],[Ben]]*pm_load/1000/(1-tblBaseCF[[#This Row],[EPAllocChrgRate]])
*tblBaseCF[[#This Row],[PMLoadTermFlag]]</f>
        <v>0</v>
      </c>
      <c r="AR23" s="60">
        <f ca="1">ROUNDUP(tblBaseCF[[#This Row],[UnroundedEMLoad]],-3)</f>
        <v>0</v>
      </c>
      <c r="AS23" s="62">
        <f ca="1">ROUNDUP(tblBaseCF[[#This Row],[Ben]]*pm_load/1000/(1-tblBaseCF[[#This Row],[EPAllocChrgRate]]),-3)
*tblBaseCF[[#This Row],[PMLoadTermFlag]]</f>
        <v>0</v>
      </c>
      <c r="AT23" s="60">
        <f ca="1">tblBaseCF[[#This Row],[EMLoad]]+tblBaseCF[[#This Row],[PMLoad]]</f>
        <v>0</v>
      </c>
      <c r="AU23" s="60">
        <f ca="1">tblBaseCF[[#This Row],[Load]]*tblBaseCF[[#This Row],[EPAllocChrgRate]]</f>
        <v>0</v>
      </c>
      <c r="AV23" s="60">
        <f ca="1">tblBaseCF[[#This Row],[Load]]-tblBaseCF[[#This Row],[LoadAllocChrg]]</f>
        <v>0</v>
      </c>
      <c r="AW23" s="60">
        <f ca="1">tblBaseCF[[#This Row],[TP]]+tblBaseCF[[#This Row],[EP]]+tblBaseCF[[#This Row],[Load]]</f>
        <v>0</v>
      </c>
      <c r="AX23" s="60">
        <f ca="1">tblBaseCF[[#This Row],[TPAllocChrg]]+tblBaseCF[[#This Row],[EPAllocChrg]]+tblBaseCF[[#This Row],[LoadAllocChrg]]</f>
        <v>0</v>
      </c>
      <c r="AY23" s="60">
        <f ca="1">tblBaseCF[[#This Row],[TPAlloc]]+tblBaseCF[[#This Row],[EPAlloc]]+tblBaseCF[[#This Row],[LoadAlloc]]</f>
        <v>0</v>
      </c>
      <c r="AZ23" s="60">
        <f ca="1">(OFFSET(tblBaseCF[[#This Row],[AccumTotalPrem]],-1,0)+tblBaseCF[[#This Row],[TotalPrem]])*tblBaseCF[[#This Row],[TPTermFlag]]</f>
        <v>0</v>
      </c>
      <c r="BA23" s="62">
        <f ca="1">(tblBaseCF[[#This Row],[StartTAV]]-tblBaseCF[[#This Row],[TAVWithdrawal]]+tblBaseCF[[#This Row],[TPAlloc]])
*tblBaseCF[[#This Row],[ContFlag]]</f>
        <v>0</v>
      </c>
      <c r="BB23" s="59">
        <f ca="1">(tblBaseCF[[#This Row],[StartEAV]]-tblBaseCF[[#This Row],[EAVWithdrawal]]+tblBaseCF[[#This Row],[EPAlloc]]+tblBaseCF[[#This Row],[LoadAlloc]])
*tblBaseCF[[#This Row],[ContFlag]]</f>
        <v>0</v>
      </c>
      <c r="BC23" s="59">
        <f ca="1">tblBaseCF[[#This Row],[TAVAfterWdrlAlloc]]+tblBaseCF[[#This Row],[EAVAfterWdrlAlloc]]</f>
        <v>0</v>
      </c>
      <c r="BD23" s="66">
        <f t="shared" si="2"/>
        <v>0</v>
      </c>
      <c r="BE23" s="67">
        <f>(1+tblBaseCF[[#This Row],[AnnualIntRate]])^(1/12)-1</f>
        <v>0</v>
      </c>
      <c r="BF23" s="68">
        <f>IFERROR(((1+tblBaseCF[[#This Row],[MonthlyIntRate]])^12-1)/12/(1-1/(1+tblBaseCF[[#This Row],[MonthlyIntRate]])),1)/(1+tblBaseCF[[#This Row],[AnnualIntRate]])</f>
        <v>1</v>
      </c>
      <c r="BG23" s="69">
        <f>PV(tblBaseCF[[#This Row],[MonthlyIntRate]],12,-1/12,,1)</f>
        <v>1</v>
      </c>
      <c r="BH23" s="60">
        <f ca="1">MAX(IF(death_tpd_option="A",tblBaseCF[[#This Row],[Ben]]-tblBaseCF[[#This Row],[StartPAV]],tblBaseCF[[#This Row],[Ben]]),0)</f>
        <v>0</v>
      </c>
      <c r="BI23" s="70">
        <f ca="1">IFERROR(INDEX(tblBaseCOIRate[Rate],MATCH(tblBaseCF[[#This Row],[Age]],tblBaseCOIRate[Age],0)),0)</f>
        <v>8.0000000000002302E-4</v>
      </c>
      <c r="BJ23" s="60">
        <f ca="1">tblBaseCF[[#This Row],[SAR]]*tblBaseCF[[#This Row],[COIRate]]</f>
        <v>0</v>
      </c>
      <c r="BK23" s="62">
        <f ca="1">em_load*tblBaseCF[[#This Row],[pStandardCOI]]
*tblBaseCF[[#This Row],[EMLoadTermFlag]]</f>
        <v>0</v>
      </c>
      <c r="BL23" s="62">
        <f ca="1">pm_load/1000*tblBaseCF[[#This Row],[SAR]]
*tblBaseCF[[#This Row],[PMLoadTermFlag]]</f>
        <v>0</v>
      </c>
      <c r="BM23" s="60">
        <f ca="1">tblBaseCF[[#This Row],[AccBen]]*monthly_acc_coi*12</f>
        <v>0</v>
      </c>
      <c r="BN23" s="60">
        <f ca="1">tblBaseCF[[#This Row],[pStandardCOI]]+tblBaseCF[[#This Row],[pEMLoadCOI]]+tblBaseCF[[#This Row],[pPMLoadCOI]]+tblBaseCF[[#This Row],[pAccCOI]]</f>
        <v>0</v>
      </c>
      <c r="BO23" s="62">
        <f ca="1">IFERROR(INDEX(tblAdminChrg[Amount],MATCH(tblBaseCF[[#This Row],[CalYear]],tblAdminChrg[Cal_Year],0)),0)
*tblBaseCF[[#This Row],[ContFlag]]</f>
        <v>0</v>
      </c>
      <c r="BP23" s="60">
        <f ca="1">tblBaseCF[[#This Row],[pMonthlyAdminChrg]]*12</f>
        <v>0</v>
      </c>
      <c r="BQ23" s="60">
        <f ca="1">tblBaseCF[[#This Row],[pCOI]]+tblBaseCF[[#This Row],[pAdminChrg]]</f>
        <v>0</v>
      </c>
      <c r="BR23" s="60">
        <f ca="1">tblBaseCF[[#This Row],[pNomDeduct]]*tblBaseCF[[#This Row],[Duean1m12]]</f>
        <v>0</v>
      </c>
      <c r="BS23" s="57">
        <f ca="1">(tblBaseCF[[#This Row],[PAVAfterWdrlAlloc]]&gt;=tblBaseCF[[#This Row],[pNomDeduct]])
*tblBaseCF[[#This Row],[ContFlag]]</f>
        <v>0</v>
      </c>
      <c r="BT23" s="60">
        <f ca="1">tblBaseCF[[#This Row],[pStandardCOI]]*tblBaseCF[[#This Row],[DeductFlag]]</f>
        <v>0</v>
      </c>
      <c r="BU23" s="60">
        <f ca="1">tblBaseCF[[#This Row],[pEMLoadCOI]]*tblBaseCF[[#This Row],[DeductFlag]]</f>
        <v>0</v>
      </c>
      <c r="BV23" s="60">
        <f ca="1">tblBaseCF[[#This Row],[pPMLoadCOI]]*tblBaseCF[[#This Row],[DeductFlag]]</f>
        <v>0</v>
      </c>
      <c r="BW23" s="60">
        <f ca="1">tblBaseCF[[#This Row],[pAccCOI]]*tblBaseCF[[#This Row],[DeductFlag]]</f>
        <v>0</v>
      </c>
      <c r="BX23" s="60">
        <f ca="1">tblBaseCF[[#This Row],[pCOI]]*tblBaseCF[[#This Row],[DeductFlag]]</f>
        <v>0</v>
      </c>
      <c r="BY23" s="60">
        <f ca="1">tblBaseCF[[#This Row],[pMonthlyAdminChrg]]*tblBaseCF[[#This Row],[DeductFlag]]</f>
        <v>0</v>
      </c>
      <c r="BZ23" s="60">
        <f ca="1">tblBaseCF[[#This Row],[pAdminChrg]]*tblBaseCF[[#This Row],[DeductFlag]]</f>
        <v>0</v>
      </c>
      <c r="CA23" s="60">
        <f ca="1">tblBaseCF[[#This Row],[pNomDeduct]]*tblBaseCF[[#This Row],[DeductFlag]]</f>
        <v>0</v>
      </c>
      <c r="CB23" s="60">
        <f ca="1">tblBaseCF[[#This Row],[pDeduct]]*tblBaseCF[[#This Row],[DeductFlag]]</f>
        <v>0</v>
      </c>
      <c r="CC23" s="60">
        <f ca="1">MIN(tblBaseCF[[#This Row],[TAVAfterWdrlAlloc]],tblBaseCF[[#This Row],[Deduct]])</f>
        <v>0</v>
      </c>
      <c r="CD23" s="60">
        <f ca="1">tblBaseCF[[#This Row],[Deduct]]-tblBaseCF[[#This Row],[TAVDeduct]]</f>
        <v>0</v>
      </c>
      <c r="CE23" s="69">
        <f ca="1">(tblBaseCF[[#This Row],[TAVAfterWdrlAlloc]]-tblBaseCF[[#This Row],[TAVDeduct]])*tblBaseCF[[#This Row],[AnnualIntRate]]
*tblBaseCF[[#This Row],[DeductFlag]]</f>
        <v>0</v>
      </c>
      <c r="CF23" s="69">
        <f ca="1">(tblBaseCF[[#This Row],[EAVAfterWdrlAlloc]]-tblBaseCF[[#This Row],[EAVDeduct]])*tblBaseCF[[#This Row],[AnnualIntRate]]
*tblBaseCF[[#This Row],[DeductFlag]]</f>
        <v>0</v>
      </c>
      <c r="CG23" s="69">
        <f ca="1">tblBaseCF[[#This Row],[TAVInt]]+tblBaseCF[[#This Row],[EAVInt]]</f>
        <v>0</v>
      </c>
      <c r="CH23" s="62">
        <f ca="1">IFERROR(INDEX(tblLBRate[Rate],MATCH(tblBaseCF[[#This Row],[Year]],tblLBRate[Year],0)),0)
*tblBaseCF[[#This Row],[DeductFlag]]</f>
        <v>0</v>
      </c>
      <c r="CI23" s="60">
        <f ca="1">IFERROR(SUM(OFFSET(tblBaseCF[[#This Row],[TAVWithdrawal]],0,0,-lb_review_period,1)),0)
*(tblBaseCF[[#This Row],[LBRate]]&gt;0)</f>
        <v>0</v>
      </c>
      <c r="CJ23" s="60">
        <f ca="1">(tblBaseCF[[#This Row],[LBRate]]&gt;0)*(tblBaseCF[[#This Row],[LBTAVWithdrawal]]=0)</f>
        <v>0</v>
      </c>
      <c r="CK23" s="62" cm="1">
        <f t="array" aca="1" ref="CK23" ca="1">IF(tblBaseCF[[#This Row],[LBFlag]],
_xlfn.SWITCH(base,
"ILP1",AVERAGE(OFFSET(tblBaseCF[TP],0,0,-lb_review_period,1)),tp),0)
*tblBaseCF[[#This Row],[LBFlag]]</f>
        <v>0</v>
      </c>
      <c r="CL23" s="62">
        <f ca="1">tblBaseCF[[#This Row],[LBBasis]]*tblBaseCF[[#This Row],[LBRate]]</f>
        <v>0</v>
      </c>
      <c r="CM23" s="57" cm="1">
        <f t="array" aca="1" ref="CM23" ca="1">_xlfn.SWITCH(base,
"ILP1",0,($AF123&lt;500000000)*1
+($AF123&gt;=500000000)*($AF123&lt;1000000000)*2
+($AF123&gt;=1000000000)*3)
*tblBaseCF[[#This Row],[DeductFlag]]</f>
        <v>0</v>
      </c>
      <c r="CN23" s="2" t="str">
        <f ca="1">IF(tblBaseCF[[#This Row],[DeductFlag]],base&amp;"_"&amp;tblBaseCF[[#This Row],[SBCode]]&amp;"_"&amp;tblBaseCF[[#This Row],[Year]],"")</f>
        <v/>
      </c>
      <c r="CO23" s="3">
        <f ca="1">IFERROR(INDEX(tblSBRate[Index],MATCH(tblBaseCF[[#This Row],[SBIndex]],tblSBRate[Rate],0)),0)</f>
        <v>0</v>
      </c>
      <c r="CP23" s="63">
        <f ca="1">IFERROR(SUM(OFFSET(tblBaseCF[[#This Row],[TAVWithdrawal]],0,0,-sb_review_period,1)),0)
*(tblBaseCF[[#This Row],[SBRate]]&gt;0)</f>
        <v>0</v>
      </c>
      <c r="CQ23" s="63">
        <f ca="1">(tblBaseCF[[#This Row],[SBRate]]&gt;0)*(tblBaseCF[[#This Row],[SBTAVWithdrawal]]=0)</f>
        <v>0</v>
      </c>
      <c r="CR23" s="59" cm="1">
        <f t="array" aca="1" ref="CR23" ca="1">IF(tblBaseCF[[#This Row],[LBFlag]],
_xlfn.SWITCH(base,
"ILP1",0,tp),0)*tblBaseCF[[#This Row],[SBFlag]]</f>
        <v>0</v>
      </c>
      <c r="CS23" s="63">
        <f ca="1">tblBaseCF[[#This Row],[SBBasis]]*tblBaseCF[[#This Row],[SBRate]]</f>
        <v>0</v>
      </c>
      <c r="CT23" s="63">
        <f ca="1">tblBaseCF[[#This Row],[LB]]+tblBaseCF[[#This Row],[SB]]</f>
        <v>0</v>
      </c>
      <c r="CU23" s="59">
        <f ca="1">tblBaseCF[[#This Row],[TAVAfterWdrlAlloc]]-tblBaseCF[[#This Row],[TAVDeduct]]+tblBaseCF[[#This Row],[TAVInt]]+tblBaseCF[[#This Row],[Bonus]]</f>
        <v>0</v>
      </c>
      <c r="CV23" s="59">
        <f ca="1">tblBaseCF[[#This Row],[EAVAfterWdrlAlloc]]-tblBaseCF[[#This Row],[EAVDeduct]]+tblBaseCF[[#This Row],[EAVInt]]</f>
        <v>0</v>
      </c>
      <c r="CW23" s="63">
        <f ca="1">tblBaseCF[[#This Row],[EndTAV]]+tblBaseCF[[#This Row],[EndEAV]]</f>
        <v>0</v>
      </c>
      <c r="CX23" s="59">
        <f ca="1">INDEX(tblPlanPrem[TP],2)
*tblBaseCF[[#This Row],[TPTermFlag]]</f>
        <v>0</v>
      </c>
      <c r="CY23" s="59">
        <f ca="1">INDEX(tblPlanPrem[EP],2)
*tblBaseCF[[#This Row],[TPTermFlag]]</f>
        <v>0</v>
      </c>
      <c r="CZ23" s="63">
        <f ca="1">ROUNDUP(tblBaseCF[[#This Row],[UnroundedEMLoad]]*INDEX(tblPlanPrem[Factor],2),-3)</f>
        <v>0</v>
      </c>
      <c r="DA23" s="63">
        <f ca="1">ROUNDUP(tblBaseCF[[#This Row],[UnroundedPMLoad]]*INDEX(tblPlanPrem[Factor],2),-3)</f>
        <v>0</v>
      </c>
      <c r="DB23" s="63">
        <f ca="1">tblBaseCF[[#This Row],[SemiAnnualEMLoad]]+tblBaseCF[[#This Row],[SemiAnnualPMLoad]]</f>
        <v>0</v>
      </c>
      <c r="DC23" s="63">
        <f ca="1">tblBaseCF[[#This Row],[SemiAnnualTP]]+tblBaseCF[[#This Row],[SemiAnnualEP]]+tblBaseCF[[#This Row],[SemiAnnualLoad]]</f>
        <v>0</v>
      </c>
      <c r="DD23" s="59">
        <f ca="1">INDEX(tblPlanPrem[TP],3)
*tblBaseCF[[#This Row],[TPTermFlag]]</f>
        <v>0</v>
      </c>
      <c r="DE23" s="59">
        <f ca="1">INDEX(tblPlanPrem[EP],3)
*tblBaseCF[[#This Row],[TPTermFlag]]</f>
        <v>0</v>
      </c>
      <c r="DF23" s="63">
        <f ca="1">ROUNDUP(tblBaseCF[[#This Row],[UnroundedEMLoad]]*INDEX(tblPlanPrem[Factor],3),-3)</f>
        <v>0</v>
      </c>
      <c r="DG23" s="63">
        <f ca="1">ROUNDUP(tblBaseCF[[#This Row],[UnroundedPMLoad]]*INDEX(tblPlanPrem[Factor],3),-3)</f>
        <v>0</v>
      </c>
      <c r="DH23" s="60">
        <f ca="1">tblBaseCF[[#This Row],[QuarterlyEMLoad]]+tblBaseCF[[#This Row],[QuarterlyPMLoad]]</f>
        <v>0</v>
      </c>
      <c r="DI23" s="60">
        <f ca="1">tblBaseCF[[#This Row],[QuarterlyTP]]+tblBaseCF[[#This Row],[QuarterlyEP]]+tblBaseCF[[#This Row],[QuarterlyLoad]]</f>
        <v>0</v>
      </c>
      <c r="DJ23" s="59">
        <f ca="1">INDEX(tblPlanPrem[TP],4)
*tblBaseCF[[#This Row],[TPTermFlag]]</f>
        <v>0</v>
      </c>
      <c r="DK23" s="59">
        <f ca="1">INDEX(tblPlanPrem[EP],4)
*tblBaseCF[[#This Row],[TPTermFlag]]</f>
        <v>0</v>
      </c>
      <c r="DL23" s="63">
        <f ca="1">ROUNDUP(tblBaseCF[[#This Row],[UnroundedEMLoad]]*INDEX(tblPlanPrem[Factor],4),-3)</f>
        <v>0</v>
      </c>
      <c r="DM23" s="63">
        <f ca="1">ROUNDUP(tblBaseCF[[#This Row],[UnroundedPMLoad]]*INDEX(tblPlanPrem[Factor],4),-3)</f>
        <v>0</v>
      </c>
      <c r="DN23" s="60">
        <f ca="1">tblBaseCF[[#This Row],[MonthlyEMLoad]]+tblBaseCF[[#This Row],[MonthlyPMLoad]]</f>
        <v>0</v>
      </c>
      <c r="DO23" s="63">
        <f ca="1">tblBaseCF[[#This Row],[MonthlyTP]]+tblBaseCF[[#This Row],[MonthlyEP]]+tblBaseCF[[#This Row],[MonthlyLoad]]</f>
        <v>0</v>
      </c>
      <c r="DP23" s="3"/>
      <c r="DS23">
        <f t="shared" si="3"/>
        <v>0</v>
      </c>
      <c r="DT23">
        <f t="shared" si="4"/>
        <v>0</v>
      </c>
      <c r="DU23">
        <f t="shared" si="5"/>
        <v>0</v>
      </c>
      <c r="DV23">
        <f ca="1">tblBaseCF[[#This Row],[Year]]</f>
        <v>3</v>
      </c>
      <c r="DW23">
        <f ca="1">tblBaseCF[[#This Row],[Age]]</f>
        <v>2</v>
      </c>
      <c r="DX23">
        <f ca="1">tblBaseCF[[#This Row],[ContFlag]]</f>
        <v>0</v>
      </c>
      <c r="DY23" t="str">
        <f ca="1">tblBaseCF[[#This Row],[ContLog]]</f>
        <v>Insufficient PAV for deduction - Discontinue.</v>
      </c>
      <c r="DZ23">
        <f ca="1">tblBaseCF[[#This Row],[StartTAV]]</f>
        <v>0</v>
      </c>
      <c r="EA23">
        <f ca="1">tblBaseCF[[#This Row],[StartEAV]]</f>
        <v>0</v>
      </c>
      <c r="EB23">
        <f ca="1">tblBaseCF[[#This Row],[StartPAV]]</f>
        <v>0</v>
      </c>
      <c r="EC23">
        <f ca="1">tblBaseCF[[#This Row],[SVChrg]]</f>
        <v>0</v>
      </c>
      <c r="ED23">
        <f ca="1">tblBaseCF[[#This Row],[SV]]</f>
        <v>0</v>
      </c>
      <c r="EE23">
        <f ca="1">tblBaseCF[[#This Row],[Ben]]</f>
        <v>0</v>
      </c>
      <c r="EF23">
        <f ca="1">tblBaseCF[[#This Row],[AccBen]]</f>
        <v>0</v>
      </c>
      <c r="EG23">
        <f ca="1">tblBaseCF[[#This Row],[WithdrawalInput]]</f>
        <v>0</v>
      </c>
      <c r="EH23" t="str">
        <f ca="1">tblBaseCF[[#This Row],[WithdrawalLog]]</f>
        <v>No withdrawal.</v>
      </c>
      <c r="EI23">
        <f ca="1">tblBaseCF[[#This Row],[TAVWithdrawal]]</f>
        <v>0</v>
      </c>
      <c r="EJ23">
        <f ca="1">tblBaseCF[[#This Row],[EAVWithdrawal]]</f>
        <v>0</v>
      </c>
      <c r="EK23">
        <f ca="1">tblBaseCF[[#This Row],[Withdrawal]]</f>
        <v>0</v>
      </c>
      <c r="EL23">
        <f ca="1">tblBaseCF[[#This Row],[TP]]</f>
        <v>0</v>
      </c>
      <c r="EM23">
        <f ca="1">tblBaseCF[[#This Row],[TPAllocChrg]]</f>
        <v>0</v>
      </c>
      <c r="EN23">
        <f ca="1">tblBaseCF[[#This Row],[TPAlloc]]</f>
        <v>0</v>
      </c>
      <c r="EO23">
        <f ca="1">tblBaseCF[[#This Row],[EP]]</f>
        <v>0</v>
      </c>
      <c r="EP23">
        <f ca="1">tblBaseCF[[#This Row],[EPAllocChrg]]</f>
        <v>0</v>
      </c>
      <c r="EQ23">
        <f ca="1">tblBaseCF[[#This Row],[EPAlloc]]</f>
        <v>0</v>
      </c>
      <c r="ER23">
        <f ca="1">tblBaseCF[[#This Row],[EMLoad]]</f>
        <v>0</v>
      </c>
      <c r="ES23">
        <f ca="1">tblBaseCF[[#This Row],[PMLoad]]</f>
        <v>0</v>
      </c>
      <c r="ET23">
        <f ca="1">tblBaseCF[[#This Row],[Load]]</f>
        <v>0</v>
      </c>
      <c r="EU23">
        <f ca="1">tblBaseCF[[#This Row],[LoadAllocChrg]]</f>
        <v>0</v>
      </c>
      <c r="EV23">
        <f ca="1">tblBaseCF[[#This Row],[LoadAlloc]]</f>
        <v>0</v>
      </c>
      <c r="EW23">
        <f ca="1">tblBaseCF[[#This Row],[TotalPrem]]</f>
        <v>0</v>
      </c>
      <c r="EX23">
        <f ca="1">tblBaseCF[[#This Row],[AllocChrg]]</f>
        <v>0</v>
      </c>
      <c r="EY23">
        <f ca="1">tblBaseCF[[#This Row],[Alloc]]</f>
        <v>0</v>
      </c>
      <c r="EZ23">
        <f ca="1">tblBaseCF[[#This Row],[AccumTotalPrem]]</f>
        <v>0</v>
      </c>
      <c r="FA23">
        <f>tblBaseCF[[#This Row],[AnnualIntRate]]</f>
        <v>0</v>
      </c>
      <c r="FB23" s="50">
        <f>tblBaseCF[[#This Row],[Duean1m12]]</f>
        <v>1</v>
      </c>
      <c r="FC23">
        <f ca="1">tblBaseCF[[#This Row],[DeductFlag]]</f>
        <v>0</v>
      </c>
      <c r="FD23">
        <f ca="1">tblBaseCF[[#This Row],[AdminChrg]]</f>
        <v>0</v>
      </c>
      <c r="FE23">
        <f ca="1">tblBaseCF[[#This Row],[StandardCOI]]</f>
        <v>0</v>
      </c>
      <c r="FF23">
        <f ca="1">tblBaseCF[[#This Row],[EMLoadCOI]]</f>
        <v>0</v>
      </c>
      <c r="FG23">
        <f ca="1">tblBaseCF[[#This Row],[PMLoadCOI]]</f>
        <v>0</v>
      </c>
      <c r="FH23">
        <f ca="1">tblBaseCF[[#This Row],[COI]]</f>
        <v>0</v>
      </c>
      <c r="FI23" s="47">
        <f ca="1">tblBaseCF[[#This Row],[NomDeduct]]</f>
        <v>0</v>
      </c>
      <c r="FJ23">
        <f ca="1">tblBaseCF[[#This Row],[Deduct]]</f>
        <v>0</v>
      </c>
      <c r="FK23">
        <f ca="1">tblBaseCF[[#This Row],[TAVDeduct]]</f>
        <v>0</v>
      </c>
      <c r="FL23">
        <f ca="1">tblBaseCF[[#This Row],[EAVDeduct]]</f>
        <v>0</v>
      </c>
      <c r="FM23" s="24">
        <f ca="1">tblBaseCF[[#This Row],[TAVInt]]</f>
        <v>0</v>
      </c>
      <c r="FN23">
        <f ca="1">tblBaseCF[[#This Row],[EAVInt]]</f>
        <v>0</v>
      </c>
      <c r="FO23" s="47">
        <f ca="1">tblBaseCF[[#This Row],[LB]]</f>
        <v>0</v>
      </c>
      <c r="FP23">
        <f ca="1">tblBaseCF[[#This Row],[SB]]</f>
        <v>0</v>
      </c>
      <c r="FQ23">
        <f ca="1">tblBaseCF[[#This Row],[Bonus]]</f>
        <v>0</v>
      </c>
      <c r="FR23">
        <f ca="1">tblBaseCF[[#This Row],[EndTAV]]</f>
        <v>0</v>
      </c>
      <c r="FS23">
        <f ca="1">tblBaseCF[[#This Row],[EndEAV]]</f>
        <v>0</v>
      </c>
      <c r="FT23">
        <f ca="1">tblBaseCF[[#This Row],[EndPAV]]</f>
        <v>0</v>
      </c>
      <c r="FU23">
        <f ca="1">tblBaseCF[[#This Row],[SemiAnnualTP]]</f>
        <v>0</v>
      </c>
      <c r="FV23">
        <f ca="1">tblBaseCF[[#This Row],[SemiAnnualEP]]</f>
        <v>0</v>
      </c>
      <c r="FW23">
        <f ca="1">tblBaseCF[[#This Row],[SemiAnnualEMLoad]]</f>
        <v>0</v>
      </c>
      <c r="FX23">
        <f ca="1">tblBaseCF[[#This Row],[SemiAnnualPMLoad]]</f>
        <v>0</v>
      </c>
      <c r="FY23">
        <f ca="1">tblBaseCF[[#This Row],[SemiAnnualLoad]]</f>
        <v>0</v>
      </c>
      <c r="FZ23">
        <f ca="1">tblBaseCF[[#This Row],[SemiAnnualTotalPrem]]</f>
        <v>0</v>
      </c>
      <c r="GA23">
        <f ca="1">tblBaseCF[[#This Row],[QuarterlyTP]]</f>
        <v>0</v>
      </c>
      <c r="GB23">
        <f ca="1">tblBaseCF[[#This Row],[QuarterlyEP]]</f>
        <v>0</v>
      </c>
      <c r="GC23">
        <f ca="1">tblBaseCF[[#This Row],[QuarterlyEMLoad]]</f>
        <v>0</v>
      </c>
      <c r="GD23">
        <f ca="1">tblBaseCF[[#This Row],[QuarterlyPMLoad]]</f>
        <v>0</v>
      </c>
      <c r="GE23">
        <f ca="1">tblBaseCF[[#This Row],[QuarterlyLoad]]</f>
        <v>0</v>
      </c>
      <c r="GF23">
        <f ca="1">tblBaseCF[[#This Row],[QuarterlyTotalPrem]]</f>
        <v>0</v>
      </c>
      <c r="GG23">
        <f ca="1">tblBaseCF[[#This Row],[MonthlyTP]]</f>
        <v>0</v>
      </c>
      <c r="GH23">
        <f ca="1">tblBaseCF[[#This Row],[MonthlyEP]]</f>
        <v>0</v>
      </c>
      <c r="GI23">
        <f ca="1">tblBaseCF[[#This Row],[MonthlyEMLoad]]</f>
        <v>0</v>
      </c>
      <c r="GJ23">
        <f ca="1">tblBaseCF[[#This Row],[MonthlyPMLoad]]</f>
        <v>0</v>
      </c>
      <c r="GK23">
        <f ca="1">tblBaseCF[[#This Row],[MonthlyLoad]]</f>
        <v>0</v>
      </c>
      <c r="GL23">
        <f ca="1">tblBaseCF[[#This Row],[MonthlyTotalPrem]]</f>
        <v>0</v>
      </c>
      <c r="GO23" t="s">
        <v>134</v>
      </c>
      <c r="GP23" t="s">
        <v>135</v>
      </c>
      <c r="GQ23" t="s">
        <v>502</v>
      </c>
      <c r="GR23">
        <v>3</v>
      </c>
      <c r="GS23">
        <v>2</v>
      </c>
      <c r="GT23">
        <v>1</v>
      </c>
      <c r="GU23" t="s">
        <v>457</v>
      </c>
      <c r="GV23">
        <v>10522.434506415701</v>
      </c>
      <c r="GW23">
        <v>10992850.832580799</v>
      </c>
      <c r="GX23">
        <v>11003373.267087299</v>
      </c>
      <c r="GY23">
        <v>1072000</v>
      </c>
      <c r="GZ23">
        <v>10992850.832580799</v>
      </c>
      <c r="HA23">
        <v>101000000</v>
      </c>
      <c r="HB23">
        <v>303000000</v>
      </c>
      <c r="HC23">
        <v>0</v>
      </c>
      <c r="HD23" t="s">
        <v>137</v>
      </c>
      <c r="HE23">
        <v>0</v>
      </c>
      <c r="HF23">
        <v>0</v>
      </c>
      <c r="HG23">
        <v>0</v>
      </c>
      <c r="HH23">
        <v>1072000</v>
      </c>
      <c r="HI23">
        <v>268000</v>
      </c>
      <c r="HJ23">
        <v>804000</v>
      </c>
      <c r="HK23">
        <v>5200000</v>
      </c>
      <c r="HL23">
        <v>104000</v>
      </c>
      <c r="HM23">
        <v>5096000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6272000</v>
      </c>
      <c r="HT23">
        <v>372000</v>
      </c>
      <c r="HU23">
        <v>5900000</v>
      </c>
      <c r="HV23">
        <v>18816000</v>
      </c>
      <c r="HW23">
        <v>7.0000000000000007E-2</v>
      </c>
      <c r="HX23">
        <v>0.96964931039809399</v>
      </c>
      <c r="HY23">
        <v>1</v>
      </c>
      <c r="HZ23">
        <v>300000</v>
      </c>
      <c r="IA23">
        <v>71997.301386332299</v>
      </c>
      <c r="IB23">
        <v>0</v>
      </c>
      <c r="IC23">
        <v>0</v>
      </c>
      <c r="ID23">
        <v>344697.30138633202</v>
      </c>
      <c r="IE23">
        <v>644697.30138633202</v>
      </c>
      <c r="IF23">
        <v>625130.29370476899</v>
      </c>
      <c r="IG23">
        <v>625130.29370476899</v>
      </c>
      <c r="IH23">
        <v>0</v>
      </c>
      <c r="II23">
        <v>13257.4498561153</v>
      </c>
      <c r="IJ23">
        <v>1126219.5582806601</v>
      </c>
      <c r="IK23">
        <v>0</v>
      </c>
      <c r="IL23">
        <v>0</v>
      </c>
      <c r="IM23">
        <v>0</v>
      </c>
      <c r="IN23">
        <v>202649.59065776199</v>
      </c>
      <c r="IO23">
        <v>17215070.3908615</v>
      </c>
      <c r="IP23">
        <v>17417719.9815193</v>
      </c>
      <c r="IQ23">
        <v>536000</v>
      </c>
      <c r="IR23">
        <v>2600000</v>
      </c>
      <c r="IS23">
        <v>0</v>
      </c>
      <c r="IT23">
        <v>0</v>
      </c>
      <c r="IU23">
        <v>0</v>
      </c>
      <c r="IV23">
        <v>3136000</v>
      </c>
      <c r="IW23">
        <v>268000</v>
      </c>
      <c r="IX23">
        <v>1300000</v>
      </c>
      <c r="IY23">
        <v>0</v>
      </c>
      <c r="IZ23">
        <v>0</v>
      </c>
      <c r="JA23">
        <v>0</v>
      </c>
      <c r="JB23">
        <v>1568000</v>
      </c>
      <c r="JC23">
        <v>90000</v>
      </c>
      <c r="JD23">
        <v>434000</v>
      </c>
      <c r="JE23">
        <v>0</v>
      </c>
      <c r="JF23">
        <v>0</v>
      </c>
      <c r="JG23">
        <v>0</v>
      </c>
      <c r="JH23">
        <v>524000</v>
      </c>
    </row>
    <row r="24" spans="2:268" customFormat="1" x14ac:dyDescent="0.25">
      <c r="B24" s="2">
        <f ca="1">OFFSET(tblBaseCF[[#This Row],[Year]],-1,0)+1</f>
        <v>4</v>
      </c>
      <c r="C24" s="2">
        <f ca="1">(tblBaseCF[[#This Row],[Year]]&lt;=term)*1</f>
        <v>1</v>
      </c>
      <c r="D24" s="57">
        <f ca="1">(YEAR(rcd)+tblBaseCF[[#This Row],[Year]]-1)
*tblBaseCF[[#This Row],[PolTermFlag]]</f>
        <v>2028</v>
      </c>
      <c r="E24" s="57">
        <f ca="1">(mainLI_entry_age+tblBaseCF[[#This Row],[Year]]-1)
*tblBaseCF[[#This Row],[PolTermFlag]]</f>
        <v>3</v>
      </c>
      <c r="F24" s="57">
        <f ca="1">IF(tblBaseCF[[#This Row],[Year]]=1,1,OFFSET(tblBaseCF[[#This Row],[DeductFlag]],-1,0))
*tblBaseCF[[#This Row],[PolTermFlag]]</f>
        <v>0</v>
      </c>
      <c r="G2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4" s="57">
        <f ca="1">(tblBaseCF[[#This Row],[Year]]&lt;=acc_ben_term)
*tblBaseCF[[#This Row],[ContFlag]]</f>
        <v>0</v>
      </c>
      <c r="I24" s="57">
        <f ca="1">(tblBaseCF[[#This Row],[Year]]&lt;=tp_term)
*tblBaseCF[[#This Row],[ContFlag]]</f>
        <v>0</v>
      </c>
      <c r="J24" s="57">
        <f ca="1">(tblBaseCF[[#This Row],[Year]]&lt;=ep_term)
*tblBaseCF[[#This Row],[ContFlag]]</f>
        <v>0</v>
      </c>
      <c r="K24" s="57">
        <f ca="1">(tblBaseCF[[#This Row],[Year]]&lt;=em_load_term)*1</f>
        <v>0</v>
      </c>
      <c r="L24" s="57">
        <f ca="1">(tblBaseCF[[#This Row],[Year]]&lt;=pm_load_term)*1</f>
        <v>0</v>
      </c>
      <c r="M24" s="59">
        <f ca="1">IF(tblBaseCF[[#This Row],[Year]]=1,si,OFFSET(tblBaseCF[[#This Row],[EndSI]],-1,0))
*tblBaseCF[[#This Row],[ContFlag]]</f>
        <v>0</v>
      </c>
      <c r="N24" s="59">
        <f ca="1">OFFSET(tblBaseCF[[#This Row],[EndTAV]],-1,0)
*tblBaseCF[[#This Row],[ContFlag]]</f>
        <v>0</v>
      </c>
      <c r="O24" s="59">
        <f ca="1">OFFSET(tblBaseCF[[#This Row],[EndEAV]],-1,0)
*tblBaseCF[[#This Row],[ContFlag]]</f>
        <v>0</v>
      </c>
      <c r="P24" s="60">
        <f ca="1">tblBaseCF[[#This Row],[StartEAV]]+tblBaseCF[[#This Row],[StartTAV]]</f>
        <v>0</v>
      </c>
      <c r="Q24" s="61">
        <f ca="1">IFERROR(INDEX(tblJuvenileLienRate[Rate],MATCH(tblBaseCF[[#This Row],[Age]],tblJuvenileLienRate[Age],0)),1)
*tblBaseCF[[#This Row],[ContFlag]]</f>
        <v>0</v>
      </c>
      <c r="R2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4" s="62">
        <f ca="1">tblBaseCF[[#This Row],[StartSI]]*acc_ben_coeff*tblBaseCF[[#This Row],[JuvenileLienRate]]
*tblBaseCF[[#This Row],[AccBenTermFlag]]</f>
        <v>0</v>
      </c>
      <c r="T24" s="61">
        <f ca="1">(IFERROR(INDEX(tblSurrChrgRate[Rate],MATCH(tblBaseCF[[#This Row],[Year]],tblSurrChrgRate[Year],0)),0)
*tblBaseCF[[#This Row],[ContFlag]])</f>
        <v>0</v>
      </c>
      <c r="U24" s="60">
        <f ca="1">tp*tblBaseCF[[#This Row],[SrrChrgRate]]</f>
        <v>0</v>
      </c>
      <c r="V24" s="63">
        <f ca="1">MAX(tblBaseCF[[#This Row],[StartTAV]]-tblBaseCF[[#This Row],[SVChrg]],0)+tblBaseCF[[#This Row],[StartEAV]]</f>
        <v>0</v>
      </c>
      <c r="W24" s="59">
        <f ca="1">IFERROR(INDEX(tblWithdrawal_Output[Amount],MATCH(tblBaseCF[[#This Row],[Year]],tblWithdrawal_Output[Year],0)),0)
*tblBaseCF[[#This Row],[ContFlag]]</f>
        <v>0</v>
      </c>
      <c r="X24" s="59" t="b">
        <f ca="1">tblBaseCF[[#This Row],[WithdrawalInput]]&gt;0</f>
        <v>0</v>
      </c>
      <c r="Y24" s="59" t="b">
        <f ca="1">AND(tblBaseCF[[#This Row],[1stCheckProceed]],tblBaseCF[[#This Row],[WithdrawalInput]]&lt;=tblBaseCF[[#This Row],[StartPAV]])</f>
        <v>0</v>
      </c>
      <c r="Z24" s="59" t="b">
        <f ca="1">AND(tblBaseCF[[#This Row],[2ndCheckAmount]],(tblBaseCF[[#This Row],[StartPAV]]-tblBaseCF[[#This Row],[WithdrawalInput]])&gt;=min_pav_after_withdrawal)</f>
        <v>0</v>
      </c>
      <c r="AA2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4" s="59" t="b">
        <f ca="1">AND(tblBaseCF[[#This Row],[3rdCheckPAV]],tblBaseCF[[#This Row],[endSITest]]&gt;=min_base_si)</f>
        <v>0</v>
      </c>
      <c r="AC24" s="60">
        <f ca="1">tblBaseCF[[#This Row],[WithdrawalInput]]*tblBaseCF[[#This Row],[4thCheckSI]]</f>
        <v>0</v>
      </c>
      <c r="AD24" s="60">
        <f ca="1">MIN(tblBaseCF[[#This Row],[Withdrawal]],tblBaseCF[[#This Row],[StartEAV]])</f>
        <v>0</v>
      </c>
      <c r="AE24" s="60">
        <f ca="1">tblBaseCF[[#This Row],[Withdrawal]]-tblBaseCF[[#This Row],[EAVWithdrawal]]</f>
        <v>0</v>
      </c>
      <c r="AF24" s="60">
        <f ca="1">IF(tblBaseCF[[#This Row],[4thCheckSI]],tblBaseCF[[#This Row],[endSITest]],tblBaseCF[[#This Row],[StartSI]])</f>
        <v>0</v>
      </c>
      <c r="AG2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4" s="65">
        <f ca="1">IFERROR(INDEX(tblTPAllocChrgRate[Rate],MATCH(tblBaseCF[[#This Row],[Year]],tblTPAllocChrgRate[Year],0)),0)</f>
        <v>0.2</v>
      </c>
      <c r="AI24" s="62">
        <f ca="1">(tp+big_case_bonus_tp*(tblBaseCF[[#This Row],[Year]]=1))
*tblBaseCF[[#This Row],[TPTermFlag]]</f>
        <v>0</v>
      </c>
      <c r="AJ24" s="63">
        <f ca="1">tblBaseCF[[#This Row],[TP]]*tblBaseCF[[#This Row],[TPAllocChrgRate]]</f>
        <v>0</v>
      </c>
      <c r="AK24" s="60">
        <f ca="1">tblBaseCF[[#This Row],[TP]]-tblBaseCF[[#This Row],[TPAllocChrg]]</f>
        <v>0</v>
      </c>
      <c r="AL24" s="65">
        <f ca="1">IFERROR(INDEX(tblEPAllocChrgRate[Rate],MATCH(tblBaseCF[[#This Row],[Year]],tblEPAllocChrgRate[Year],0)),0)</f>
        <v>0.02</v>
      </c>
      <c r="AM24" s="60">
        <f ca="1">ep*tblBaseCF[[#This Row],[EPTermFlag]]</f>
        <v>0</v>
      </c>
      <c r="AN24" s="60">
        <f ca="1">tblBaseCF[[#This Row],[EP]]*tblBaseCF[[#This Row],[EPAllocChrgRate]]</f>
        <v>0</v>
      </c>
      <c r="AO24" s="63">
        <f ca="1">tblBaseCF[[#This Row],[EP]]-tblBaseCF[[#This Row],[EPAllocChrg]]</f>
        <v>0</v>
      </c>
      <c r="AP24" s="62">
        <f ca="1">tblBaseCF[[#This Row],[Ben]]*extra_prem_rate*em_load/1000/(1-tblBaseCF[[#This Row],[EPAllocChrgRate]])
*tblBaseCF[[#This Row],[EMLoadTermFlag]]</f>
        <v>0</v>
      </c>
      <c r="AQ24" s="62">
        <f ca="1">tblBaseCF[[#This Row],[Ben]]*pm_load/1000/(1-tblBaseCF[[#This Row],[EPAllocChrgRate]])
*tblBaseCF[[#This Row],[PMLoadTermFlag]]</f>
        <v>0</v>
      </c>
      <c r="AR24" s="60">
        <f ca="1">ROUNDUP(tblBaseCF[[#This Row],[UnroundedEMLoad]],-3)</f>
        <v>0</v>
      </c>
      <c r="AS24" s="62">
        <f ca="1">ROUNDUP(tblBaseCF[[#This Row],[Ben]]*pm_load/1000/(1-tblBaseCF[[#This Row],[EPAllocChrgRate]]),-3)
*tblBaseCF[[#This Row],[PMLoadTermFlag]]</f>
        <v>0</v>
      </c>
      <c r="AT24" s="60">
        <f ca="1">tblBaseCF[[#This Row],[EMLoad]]+tblBaseCF[[#This Row],[PMLoad]]</f>
        <v>0</v>
      </c>
      <c r="AU24" s="60">
        <f ca="1">tblBaseCF[[#This Row],[Load]]*tblBaseCF[[#This Row],[EPAllocChrgRate]]</f>
        <v>0</v>
      </c>
      <c r="AV24" s="60">
        <f ca="1">tblBaseCF[[#This Row],[Load]]-tblBaseCF[[#This Row],[LoadAllocChrg]]</f>
        <v>0</v>
      </c>
      <c r="AW24" s="60">
        <f ca="1">tblBaseCF[[#This Row],[TP]]+tblBaseCF[[#This Row],[EP]]+tblBaseCF[[#This Row],[Load]]</f>
        <v>0</v>
      </c>
      <c r="AX24" s="60">
        <f ca="1">tblBaseCF[[#This Row],[TPAllocChrg]]+tblBaseCF[[#This Row],[EPAllocChrg]]+tblBaseCF[[#This Row],[LoadAllocChrg]]</f>
        <v>0</v>
      </c>
      <c r="AY24" s="60">
        <f ca="1">tblBaseCF[[#This Row],[TPAlloc]]+tblBaseCF[[#This Row],[EPAlloc]]+tblBaseCF[[#This Row],[LoadAlloc]]</f>
        <v>0</v>
      </c>
      <c r="AZ24" s="60">
        <f ca="1">(OFFSET(tblBaseCF[[#This Row],[AccumTotalPrem]],-1,0)+tblBaseCF[[#This Row],[TotalPrem]])*tblBaseCF[[#This Row],[TPTermFlag]]</f>
        <v>0</v>
      </c>
      <c r="BA24" s="62">
        <f ca="1">(tblBaseCF[[#This Row],[StartTAV]]-tblBaseCF[[#This Row],[TAVWithdrawal]]+tblBaseCF[[#This Row],[TPAlloc]])
*tblBaseCF[[#This Row],[ContFlag]]</f>
        <v>0</v>
      </c>
      <c r="BB24" s="59">
        <f ca="1">(tblBaseCF[[#This Row],[StartEAV]]-tblBaseCF[[#This Row],[EAVWithdrawal]]+tblBaseCF[[#This Row],[EPAlloc]]+tblBaseCF[[#This Row],[LoadAlloc]])
*tblBaseCF[[#This Row],[ContFlag]]</f>
        <v>0</v>
      </c>
      <c r="BC24" s="59">
        <f ca="1">tblBaseCF[[#This Row],[TAVAfterWdrlAlloc]]+tblBaseCF[[#This Row],[EAVAfterWdrlAlloc]]</f>
        <v>0</v>
      </c>
      <c r="BD24" s="66">
        <f t="shared" si="2"/>
        <v>0</v>
      </c>
      <c r="BE24" s="67">
        <f>(1+tblBaseCF[[#This Row],[AnnualIntRate]])^(1/12)-1</f>
        <v>0</v>
      </c>
      <c r="BF24" s="68">
        <f>IFERROR(((1+tblBaseCF[[#This Row],[MonthlyIntRate]])^12-1)/12/(1-1/(1+tblBaseCF[[#This Row],[MonthlyIntRate]])),1)/(1+tblBaseCF[[#This Row],[AnnualIntRate]])</f>
        <v>1</v>
      </c>
      <c r="BG24" s="69">
        <f>PV(tblBaseCF[[#This Row],[MonthlyIntRate]],12,-1/12,,1)</f>
        <v>1</v>
      </c>
      <c r="BH24" s="60">
        <f ca="1">MAX(IF(death_tpd_option="A",tblBaseCF[[#This Row],[Ben]]-tblBaseCF[[#This Row],[StartPAV]],tblBaseCF[[#This Row],[Ben]]),0)</f>
        <v>0</v>
      </c>
      <c r="BI24" s="70">
        <f ca="1">IFERROR(INDEX(tblBaseCOIRate[Rate],MATCH(tblBaseCF[[#This Row],[Age]],tblBaseCOIRate[Age],0)),0)</f>
        <v>7.8000000000000302E-4</v>
      </c>
      <c r="BJ24" s="60">
        <f ca="1">tblBaseCF[[#This Row],[SAR]]*tblBaseCF[[#This Row],[COIRate]]</f>
        <v>0</v>
      </c>
      <c r="BK24" s="62">
        <f ca="1">em_load*tblBaseCF[[#This Row],[pStandardCOI]]
*tblBaseCF[[#This Row],[EMLoadTermFlag]]</f>
        <v>0</v>
      </c>
      <c r="BL24" s="62">
        <f ca="1">pm_load/1000*tblBaseCF[[#This Row],[SAR]]
*tblBaseCF[[#This Row],[PMLoadTermFlag]]</f>
        <v>0</v>
      </c>
      <c r="BM24" s="60">
        <f ca="1">tblBaseCF[[#This Row],[AccBen]]*monthly_acc_coi*12</f>
        <v>0</v>
      </c>
      <c r="BN24" s="60">
        <f ca="1">tblBaseCF[[#This Row],[pStandardCOI]]+tblBaseCF[[#This Row],[pEMLoadCOI]]+tblBaseCF[[#This Row],[pPMLoadCOI]]+tblBaseCF[[#This Row],[pAccCOI]]</f>
        <v>0</v>
      </c>
      <c r="BO24" s="62">
        <f ca="1">IFERROR(INDEX(tblAdminChrg[Amount],MATCH(tblBaseCF[[#This Row],[CalYear]],tblAdminChrg[Cal_Year],0)),0)
*tblBaseCF[[#This Row],[ContFlag]]</f>
        <v>0</v>
      </c>
      <c r="BP24" s="60">
        <f ca="1">tblBaseCF[[#This Row],[pMonthlyAdminChrg]]*12</f>
        <v>0</v>
      </c>
      <c r="BQ24" s="60">
        <f ca="1">tblBaseCF[[#This Row],[pCOI]]+tblBaseCF[[#This Row],[pAdminChrg]]</f>
        <v>0</v>
      </c>
      <c r="BR24" s="60">
        <f ca="1">tblBaseCF[[#This Row],[pNomDeduct]]*tblBaseCF[[#This Row],[Duean1m12]]</f>
        <v>0</v>
      </c>
      <c r="BS24" s="57">
        <f ca="1">(tblBaseCF[[#This Row],[PAVAfterWdrlAlloc]]&gt;=tblBaseCF[[#This Row],[pNomDeduct]])
*tblBaseCF[[#This Row],[ContFlag]]</f>
        <v>0</v>
      </c>
      <c r="BT24" s="60">
        <f ca="1">tblBaseCF[[#This Row],[pStandardCOI]]*tblBaseCF[[#This Row],[DeductFlag]]</f>
        <v>0</v>
      </c>
      <c r="BU24" s="60">
        <f ca="1">tblBaseCF[[#This Row],[pEMLoadCOI]]*tblBaseCF[[#This Row],[DeductFlag]]</f>
        <v>0</v>
      </c>
      <c r="BV24" s="60">
        <f ca="1">tblBaseCF[[#This Row],[pPMLoadCOI]]*tblBaseCF[[#This Row],[DeductFlag]]</f>
        <v>0</v>
      </c>
      <c r="BW24" s="60">
        <f ca="1">tblBaseCF[[#This Row],[pAccCOI]]*tblBaseCF[[#This Row],[DeductFlag]]</f>
        <v>0</v>
      </c>
      <c r="BX24" s="60">
        <f ca="1">tblBaseCF[[#This Row],[pCOI]]*tblBaseCF[[#This Row],[DeductFlag]]</f>
        <v>0</v>
      </c>
      <c r="BY24" s="60">
        <f ca="1">tblBaseCF[[#This Row],[pMonthlyAdminChrg]]*tblBaseCF[[#This Row],[DeductFlag]]</f>
        <v>0</v>
      </c>
      <c r="BZ24" s="60">
        <f ca="1">tblBaseCF[[#This Row],[pAdminChrg]]*tblBaseCF[[#This Row],[DeductFlag]]</f>
        <v>0</v>
      </c>
      <c r="CA24" s="60">
        <f ca="1">tblBaseCF[[#This Row],[pNomDeduct]]*tblBaseCF[[#This Row],[DeductFlag]]</f>
        <v>0</v>
      </c>
      <c r="CB24" s="60">
        <f ca="1">tblBaseCF[[#This Row],[pDeduct]]*tblBaseCF[[#This Row],[DeductFlag]]</f>
        <v>0</v>
      </c>
      <c r="CC24" s="60">
        <f ca="1">MIN(tblBaseCF[[#This Row],[TAVAfterWdrlAlloc]],tblBaseCF[[#This Row],[Deduct]])</f>
        <v>0</v>
      </c>
      <c r="CD24" s="60">
        <f ca="1">tblBaseCF[[#This Row],[Deduct]]-tblBaseCF[[#This Row],[TAVDeduct]]</f>
        <v>0</v>
      </c>
      <c r="CE24" s="69">
        <f ca="1">(tblBaseCF[[#This Row],[TAVAfterWdrlAlloc]]-tblBaseCF[[#This Row],[TAVDeduct]])*tblBaseCF[[#This Row],[AnnualIntRate]]
*tblBaseCF[[#This Row],[DeductFlag]]</f>
        <v>0</v>
      </c>
      <c r="CF24" s="69">
        <f ca="1">(tblBaseCF[[#This Row],[EAVAfterWdrlAlloc]]-tblBaseCF[[#This Row],[EAVDeduct]])*tblBaseCF[[#This Row],[AnnualIntRate]]
*tblBaseCF[[#This Row],[DeductFlag]]</f>
        <v>0</v>
      </c>
      <c r="CG24" s="69">
        <f ca="1">tblBaseCF[[#This Row],[TAVInt]]+tblBaseCF[[#This Row],[EAVInt]]</f>
        <v>0</v>
      </c>
      <c r="CH24" s="62">
        <f ca="1">IFERROR(INDEX(tblLBRate[Rate],MATCH(tblBaseCF[[#This Row],[Year]],tblLBRate[Year],0)),0)
*tblBaseCF[[#This Row],[DeductFlag]]</f>
        <v>0</v>
      </c>
      <c r="CI24" s="60">
        <f ca="1">IFERROR(SUM(OFFSET(tblBaseCF[[#This Row],[TAVWithdrawal]],0,0,-lb_review_period,1)),0)
*(tblBaseCF[[#This Row],[LBRate]]&gt;0)</f>
        <v>0</v>
      </c>
      <c r="CJ24" s="60">
        <f ca="1">(tblBaseCF[[#This Row],[LBRate]]&gt;0)*(tblBaseCF[[#This Row],[LBTAVWithdrawal]]=0)</f>
        <v>0</v>
      </c>
      <c r="CK24" s="62" cm="1">
        <f t="array" aca="1" ref="CK24" ca="1">IF(tblBaseCF[[#This Row],[LBFlag]],
_xlfn.SWITCH(base,
"ILP1",AVERAGE(OFFSET(tblBaseCF[TP],0,0,-lb_review_period,1)),tp),0)
*tblBaseCF[[#This Row],[LBFlag]]</f>
        <v>0</v>
      </c>
      <c r="CL24" s="62">
        <f ca="1">tblBaseCF[[#This Row],[LBBasis]]*tblBaseCF[[#This Row],[LBRate]]</f>
        <v>0</v>
      </c>
      <c r="CM24" s="57" cm="1">
        <f t="array" aca="1" ref="CM24" ca="1">_xlfn.SWITCH(base,
"ILP1",0,($AF124&lt;500000000)*1
+($AF124&gt;=500000000)*($AF124&lt;1000000000)*2
+($AF124&gt;=1000000000)*3)
*tblBaseCF[[#This Row],[DeductFlag]]</f>
        <v>0</v>
      </c>
      <c r="CN24" s="2" t="str">
        <f ca="1">IF(tblBaseCF[[#This Row],[DeductFlag]],base&amp;"_"&amp;tblBaseCF[[#This Row],[SBCode]]&amp;"_"&amp;tblBaseCF[[#This Row],[Year]],"")</f>
        <v/>
      </c>
      <c r="CO24" s="3">
        <f ca="1">IFERROR(INDEX(tblSBRate[Index],MATCH(tblBaseCF[[#This Row],[SBIndex]],tblSBRate[Rate],0)),0)</f>
        <v>0</v>
      </c>
      <c r="CP24" s="63">
        <f ca="1">IFERROR(SUM(OFFSET(tblBaseCF[[#This Row],[TAVWithdrawal]],0,0,-sb_review_period,1)),0)
*(tblBaseCF[[#This Row],[SBRate]]&gt;0)</f>
        <v>0</v>
      </c>
      <c r="CQ24" s="63">
        <f ca="1">(tblBaseCF[[#This Row],[SBRate]]&gt;0)*(tblBaseCF[[#This Row],[SBTAVWithdrawal]]=0)</f>
        <v>0</v>
      </c>
      <c r="CR24" s="59" cm="1">
        <f t="array" aca="1" ref="CR24" ca="1">IF(tblBaseCF[[#This Row],[LBFlag]],
_xlfn.SWITCH(base,
"ILP1",0,tp),0)*tblBaseCF[[#This Row],[SBFlag]]</f>
        <v>0</v>
      </c>
      <c r="CS24" s="63">
        <f ca="1">tblBaseCF[[#This Row],[SBBasis]]*tblBaseCF[[#This Row],[SBRate]]</f>
        <v>0</v>
      </c>
      <c r="CT24" s="63">
        <f ca="1">tblBaseCF[[#This Row],[LB]]+tblBaseCF[[#This Row],[SB]]</f>
        <v>0</v>
      </c>
      <c r="CU24" s="59">
        <f ca="1">tblBaseCF[[#This Row],[TAVAfterWdrlAlloc]]-tblBaseCF[[#This Row],[TAVDeduct]]+tblBaseCF[[#This Row],[TAVInt]]+tblBaseCF[[#This Row],[Bonus]]</f>
        <v>0</v>
      </c>
      <c r="CV24" s="59">
        <f ca="1">tblBaseCF[[#This Row],[EAVAfterWdrlAlloc]]-tblBaseCF[[#This Row],[EAVDeduct]]+tblBaseCF[[#This Row],[EAVInt]]</f>
        <v>0</v>
      </c>
      <c r="CW24" s="63">
        <f ca="1">tblBaseCF[[#This Row],[EndTAV]]+tblBaseCF[[#This Row],[EndEAV]]</f>
        <v>0</v>
      </c>
      <c r="CX24" s="59">
        <f ca="1">INDEX(tblPlanPrem[TP],2)
*tblBaseCF[[#This Row],[TPTermFlag]]</f>
        <v>0</v>
      </c>
      <c r="CY24" s="59">
        <f ca="1">INDEX(tblPlanPrem[EP],2)
*tblBaseCF[[#This Row],[TPTermFlag]]</f>
        <v>0</v>
      </c>
      <c r="CZ24" s="63">
        <f ca="1">ROUNDUP(tblBaseCF[[#This Row],[UnroundedEMLoad]]*INDEX(tblPlanPrem[Factor],2),-3)</f>
        <v>0</v>
      </c>
      <c r="DA24" s="63">
        <f ca="1">ROUNDUP(tblBaseCF[[#This Row],[UnroundedPMLoad]]*INDEX(tblPlanPrem[Factor],2),-3)</f>
        <v>0</v>
      </c>
      <c r="DB24" s="63">
        <f ca="1">tblBaseCF[[#This Row],[SemiAnnualEMLoad]]+tblBaseCF[[#This Row],[SemiAnnualPMLoad]]</f>
        <v>0</v>
      </c>
      <c r="DC24" s="63">
        <f ca="1">tblBaseCF[[#This Row],[SemiAnnualTP]]+tblBaseCF[[#This Row],[SemiAnnualEP]]+tblBaseCF[[#This Row],[SemiAnnualLoad]]</f>
        <v>0</v>
      </c>
      <c r="DD24" s="59">
        <f ca="1">INDEX(tblPlanPrem[TP],3)
*tblBaseCF[[#This Row],[TPTermFlag]]</f>
        <v>0</v>
      </c>
      <c r="DE24" s="59">
        <f ca="1">INDEX(tblPlanPrem[EP],3)
*tblBaseCF[[#This Row],[TPTermFlag]]</f>
        <v>0</v>
      </c>
      <c r="DF24" s="63">
        <f ca="1">ROUNDUP(tblBaseCF[[#This Row],[UnroundedEMLoad]]*INDEX(tblPlanPrem[Factor],3),-3)</f>
        <v>0</v>
      </c>
      <c r="DG24" s="63">
        <f ca="1">ROUNDUP(tblBaseCF[[#This Row],[UnroundedPMLoad]]*INDEX(tblPlanPrem[Factor],3),-3)</f>
        <v>0</v>
      </c>
      <c r="DH24" s="60">
        <f ca="1">tblBaseCF[[#This Row],[QuarterlyEMLoad]]+tblBaseCF[[#This Row],[QuarterlyPMLoad]]</f>
        <v>0</v>
      </c>
      <c r="DI24" s="60">
        <f ca="1">tblBaseCF[[#This Row],[QuarterlyTP]]+tblBaseCF[[#This Row],[QuarterlyEP]]+tblBaseCF[[#This Row],[QuarterlyLoad]]</f>
        <v>0</v>
      </c>
      <c r="DJ24" s="59">
        <f ca="1">INDEX(tblPlanPrem[TP],4)
*tblBaseCF[[#This Row],[TPTermFlag]]</f>
        <v>0</v>
      </c>
      <c r="DK24" s="59">
        <f ca="1">INDEX(tblPlanPrem[EP],4)
*tblBaseCF[[#This Row],[TPTermFlag]]</f>
        <v>0</v>
      </c>
      <c r="DL24" s="63">
        <f ca="1">ROUNDUP(tblBaseCF[[#This Row],[UnroundedEMLoad]]*INDEX(tblPlanPrem[Factor],4),-3)</f>
        <v>0</v>
      </c>
      <c r="DM24" s="63">
        <f ca="1">ROUNDUP(tblBaseCF[[#This Row],[UnroundedPMLoad]]*INDEX(tblPlanPrem[Factor],4),-3)</f>
        <v>0</v>
      </c>
      <c r="DN24" s="60">
        <f ca="1">tblBaseCF[[#This Row],[MonthlyEMLoad]]+tblBaseCF[[#This Row],[MonthlyPMLoad]]</f>
        <v>0</v>
      </c>
      <c r="DO24" s="63">
        <f ca="1">tblBaseCF[[#This Row],[MonthlyTP]]+tblBaseCF[[#This Row],[MonthlyEP]]+tblBaseCF[[#This Row],[MonthlyLoad]]</f>
        <v>0</v>
      </c>
      <c r="DP24" s="3"/>
      <c r="DS24">
        <f t="shared" si="3"/>
        <v>0</v>
      </c>
      <c r="DT24">
        <f t="shared" si="4"/>
        <v>0</v>
      </c>
      <c r="DU24">
        <f t="shared" si="5"/>
        <v>0</v>
      </c>
      <c r="DV24">
        <f ca="1">tblBaseCF[[#This Row],[Year]]</f>
        <v>4</v>
      </c>
      <c r="DW24">
        <f ca="1">tblBaseCF[[#This Row],[Age]]</f>
        <v>3</v>
      </c>
      <c r="DX24">
        <f ca="1">tblBaseCF[[#This Row],[ContFlag]]</f>
        <v>0</v>
      </c>
      <c r="DY24" t="str">
        <f ca="1">tblBaseCF[[#This Row],[ContLog]]</f>
        <v>Insufficient PAV for deduction - Discontinue.</v>
      </c>
      <c r="DZ24">
        <f ca="1">tblBaseCF[[#This Row],[StartTAV]]</f>
        <v>0</v>
      </c>
      <c r="EA24">
        <f ca="1">tblBaseCF[[#This Row],[StartEAV]]</f>
        <v>0</v>
      </c>
      <c r="EB24">
        <f ca="1">tblBaseCF[[#This Row],[StartPAV]]</f>
        <v>0</v>
      </c>
      <c r="EC24">
        <f ca="1">tblBaseCF[[#This Row],[SVChrg]]</f>
        <v>0</v>
      </c>
      <c r="ED24">
        <f ca="1">tblBaseCF[[#This Row],[SV]]</f>
        <v>0</v>
      </c>
      <c r="EE24">
        <f ca="1">tblBaseCF[[#This Row],[Ben]]</f>
        <v>0</v>
      </c>
      <c r="EF24">
        <f ca="1">tblBaseCF[[#This Row],[AccBen]]</f>
        <v>0</v>
      </c>
      <c r="EG24">
        <f ca="1">tblBaseCF[[#This Row],[WithdrawalInput]]</f>
        <v>0</v>
      </c>
      <c r="EH24" t="str">
        <f ca="1">tblBaseCF[[#This Row],[WithdrawalLog]]</f>
        <v>No withdrawal.</v>
      </c>
      <c r="EI24">
        <f ca="1">tblBaseCF[[#This Row],[TAVWithdrawal]]</f>
        <v>0</v>
      </c>
      <c r="EJ24">
        <f ca="1">tblBaseCF[[#This Row],[EAVWithdrawal]]</f>
        <v>0</v>
      </c>
      <c r="EK24">
        <f ca="1">tblBaseCF[[#This Row],[Withdrawal]]</f>
        <v>0</v>
      </c>
      <c r="EL24">
        <f ca="1">tblBaseCF[[#This Row],[TP]]</f>
        <v>0</v>
      </c>
      <c r="EM24">
        <f ca="1">tblBaseCF[[#This Row],[TPAllocChrg]]</f>
        <v>0</v>
      </c>
      <c r="EN24">
        <f ca="1">tblBaseCF[[#This Row],[TPAlloc]]</f>
        <v>0</v>
      </c>
      <c r="EO24">
        <f ca="1">tblBaseCF[[#This Row],[EP]]</f>
        <v>0</v>
      </c>
      <c r="EP24">
        <f ca="1">tblBaseCF[[#This Row],[EPAllocChrg]]</f>
        <v>0</v>
      </c>
      <c r="EQ24">
        <f ca="1">tblBaseCF[[#This Row],[EPAlloc]]</f>
        <v>0</v>
      </c>
      <c r="ER24">
        <f ca="1">tblBaseCF[[#This Row],[EMLoad]]</f>
        <v>0</v>
      </c>
      <c r="ES24">
        <f ca="1">tblBaseCF[[#This Row],[PMLoad]]</f>
        <v>0</v>
      </c>
      <c r="ET24">
        <f ca="1">tblBaseCF[[#This Row],[Load]]</f>
        <v>0</v>
      </c>
      <c r="EU24">
        <f ca="1">tblBaseCF[[#This Row],[LoadAllocChrg]]</f>
        <v>0</v>
      </c>
      <c r="EV24">
        <f ca="1">tblBaseCF[[#This Row],[LoadAlloc]]</f>
        <v>0</v>
      </c>
      <c r="EW24">
        <f ca="1">tblBaseCF[[#This Row],[TotalPrem]]</f>
        <v>0</v>
      </c>
      <c r="EX24">
        <f ca="1">tblBaseCF[[#This Row],[AllocChrg]]</f>
        <v>0</v>
      </c>
      <c r="EY24">
        <f ca="1">tblBaseCF[[#This Row],[Alloc]]</f>
        <v>0</v>
      </c>
      <c r="EZ24">
        <f ca="1">tblBaseCF[[#This Row],[AccumTotalPrem]]</f>
        <v>0</v>
      </c>
      <c r="FA24">
        <f>tblBaseCF[[#This Row],[AnnualIntRate]]</f>
        <v>0</v>
      </c>
      <c r="FB24" s="50">
        <f>tblBaseCF[[#This Row],[Duean1m12]]</f>
        <v>1</v>
      </c>
      <c r="FC24">
        <f ca="1">tblBaseCF[[#This Row],[DeductFlag]]</f>
        <v>0</v>
      </c>
      <c r="FD24">
        <f ca="1">tblBaseCF[[#This Row],[AdminChrg]]</f>
        <v>0</v>
      </c>
      <c r="FE24">
        <f ca="1">tblBaseCF[[#This Row],[StandardCOI]]</f>
        <v>0</v>
      </c>
      <c r="FF24">
        <f ca="1">tblBaseCF[[#This Row],[EMLoadCOI]]</f>
        <v>0</v>
      </c>
      <c r="FG24">
        <f ca="1">tblBaseCF[[#This Row],[PMLoadCOI]]</f>
        <v>0</v>
      </c>
      <c r="FH24">
        <f ca="1">tblBaseCF[[#This Row],[COI]]</f>
        <v>0</v>
      </c>
      <c r="FI24" s="47">
        <f ca="1">tblBaseCF[[#This Row],[NomDeduct]]</f>
        <v>0</v>
      </c>
      <c r="FJ24">
        <f ca="1">tblBaseCF[[#This Row],[Deduct]]</f>
        <v>0</v>
      </c>
      <c r="FK24">
        <f ca="1">tblBaseCF[[#This Row],[TAVDeduct]]</f>
        <v>0</v>
      </c>
      <c r="FL24">
        <f ca="1">tblBaseCF[[#This Row],[EAVDeduct]]</f>
        <v>0</v>
      </c>
      <c r="FM24" s="24">
        <f ca="1">tblBaseCF[[#This Row],[TAVInt]]</f>
        <v>0</v>
      </c>
      <c r="FN24">
        <f ca="1">tblBaseCF[[#This Row],[EAVInt]]</f>
        <v>0</v>
      </c>
      <c r="FO24" s="47">
        <f ca="1">tblBaseCF[[#This Row],[LB]]</f>
        <v>0</v>
      </c>
      <c r="FP24">
        <f ca="1">tblBaseCF[[#This Row],[SB]]</f>
        <v>0</v>
      </c>
      <c r="FQ24">
        <f ca="1">tblBaseCF[[#This Row],[Bonus]]</f>
        <v>0</v>
      </c>
      <c r="FR24">
        <f ca="1">tblBaseCF[[#This Row],[EndTAV]]</f>
        <v>0</v>
      </c>
      <c r="FS24">
        <f ca="1">tblBaseCF[[#This Row],[EndEAV]]</f>
        <v>0</v>
      </c>
      <c r="FT24">
        <f ca="1">tblBaseCF[[#This Row],[EndPAV]]</f>
        <v>0</v>
      </c>
      <c r="FU24">
        <f ca="1">tblBaseCF[[#This Row],[SemiAnnualTP]]</f>
        <v>0</v>
      </c>
      <c r="FV24">
        <f ca="1">tblBaseCF[[#This Row],[SemiAnnualEP]]</f>
        <v>0</v>
      </c>
      <c r="FW24">
        <f ca="1">tblBaseCF[[#This Row],[SemiAnnualEMLoad]]</f>
        <v>0</v>
      </c>
      <c r="FX24">
        <f ca="1">tblBaseCF[[#This Row],[SemiAnnualPMLoad]]</f>
        <v>0</v>
      </c>
      <c r="FY24">
        <f ca="1">tblBaseCF[[#This Row],[SemiAnnualLoad]]</f>
        <v>0</v>
      </c>
      <c r="FZ24">
        <f ca="1">tblBaseCF[[#This Row],[SemiAnnualTotalPrem]]</f>
        <v>0</v>
      </c>
      <c r="GA24">
        <f ca="1">tblBaseCF[[#This Row],[QuarterlyTP]]</f>
        <v>0</v>
      </c>
      <c r="GB24">
        <f ca="1">tblBaseCF[[#This Row],[QuarterlyEP]]</f>
        <v>0</v>
      </c>
      <c r="GC24">
        <f ca="1">tblBaseCF[[#This Row],[QuarterlyEMLoad]]</f>
        <v>0</v>
      </c>
      <c r="GD24">
        <f ca="1">tblBaseCF[[#This Row],[QuarterlyPMLoad]]</f>
        <v>0</v>
      </c>
      <c r="GE24">
        <f ca="1">tblBaseCF[[#This Row],[QuarterlyLoad]]</f>
        <v>0</v>
      </c>
      <c r="GF24">
        <f ca="1">tblBaseCF[[#This Row],[QuarterlyTotalPrem]]</f>
        <v>0</v>
      </c>
      <c r="GG24">
        <f ca="1">tblBaseCF[[#This Row],[MonthlyTP]]</f>
        <v>0</v>
      </c>
      <c r="GH24">
        <f ca="1">tblBaseCF[[#This Row],[MonthlyEP]]</f>
        <v>0</v>
      </c>
      <c r="GI24">
        <f ca="1">tblBaseCF[[#This Row],[MonthlyEMLoad]]</f>
        <v>0</v>
      </c>
      <c r="GJ24">
        <f ca="1">tblBaseCF[[#This Row],[MonthlyPMLoad]]</f>
        <v>0</v>
      </c>
      <c r="GK24">
        <f ca="1">tblBaseCF[[#This Row],[MonthlyLoad]]</f>
        <v>0</v>
      </c>
      <c r="GL24">
        <f ca="1">tblBaseCF[[#This Row],[MonthlyTotalPrem]]</f>
        <v>0</v>
      </c>
      <c r="GO24" t="s">
        <v>134</v>
      </c>
      <c r="GP24" t="s">
        <v>135</v>
      </c>
      <c r="GQ24" t="s">
        <v>502</v>
      </c>
      <c r="GR24">
        <v>4</v>
      </c>
      <c r="GS24">
        <v>3</v>
      </c>
      <c r="GT24">
        <v>1</v>
      </c>
      <c r="GU24" t="s">
        <v>457</v>
      </c>
      <c r="GV24">
        <v>202649.59065776199</v>
      </c>
      <c r="GW24">
        <v>17215070.3908615</v>
      </c>
      <c r="GX24">
        <v>17417719.9815193</v>
      </c>
      <c r="GY24">
        <v>1072000</v>
      </c>
      <c r="GZ24">
        <v>17215070.3908615</v>
      </c>
      <c r="HA24">
        <v>101000000</v>
      </c>
      <c r="HB24">
        <v>303000000</v>
      </c>
      <c r="HC24">
        <v>0</v>
      </c>
      <c r="HD24" t="s">
        <v>137</v>
      </c>
      <c r="HE24">
        <v>0</v>
      </c>
      <c r="HF24">
        <v>0</v>
      </c>
      <c r="HG24">
        <v>0</v>
      </c>
      <c r="HH24">
        <v>1072000</v>
      </c>
      <c r="HI24">
        <v>214400</v>
      </c>
      <c r="HJ24">
        <v>857600</v>
      </c>
      <c r="HK24">
        <v>5200000</v>
      </c>
      <c r="HL24">
        <v>104000</v>
      </c>
      <c r="HM24">
        <v>5096000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6272000</v>
      </c>
      <c r="HT24">
        <v>318400</v>
      </c>
      <c r="HU24">
        <v>5953600</v>
      </c>
      <c r="HV24">
        <v>25088000</v>
      </c>
      <c r="HW24">
        <v>7.0000000000000007E-2</v>
      </c>
      <c r="HX24">
        <v>0.96964931039809399</v>
      </c>
      <c r="HY24">
        <v>1</v>
      </c>
      <c r="HZ24">
        <v>300000</v>
      </c>
      <c r="IA24">
        <v>65194.178414415197</v>
      </c>
      <c r="IB24">
        <v>0</v>
      </c>
      <c r="IC24">
        <v>0</v>
      </c>
      <c r="ID24">
        <v>337894.17841441499</v>
      </c>
      <c r="IE24">
        <v>637894.17841441499</v>
      </c>
      <c r="IF24">
        <v>618533.65020649601</v>
      </c>
      <c r="IG24">
        <v>618533.65020649601</v>
      </c>
      <c r="IH24">
        <v>0</v>
      </c>
      <c r="II24">
        <v>30920.115831588599</v>
      </c>
      <c r="IJ24">
        <v>1561774.92736031</v>
      </c>
      <c r="IK24">
        <v>64320</v>
      </c>
      <c r="IL24">
        <v>0</v>
      </c>
      <c r="IM24">
        <v>64320</v>
      </c>
      <c r="IN24">
        <v>536956.05628285406</v>
      </c>
      <c r="IO24">
        <v>23872845.3182218</v>
      </c>
      <c r="IP24">
        <v>24409801.3745047</v>
      </c>
      <c r="IQ24">
        <v>536000</v>
      </c>
      <c r="IR24">
        <v>2600000</v>
      </c>
      <c r="IS24">
        <v>0</v>
      </c>
      <c r="IT24">
        <v>0</v>
      </c>
      <c r="IU24">
        <v>0</v>
      </c>
      <c r="IV24">
        <v>3136000</v>
      </c>
      <c r="IW24">
        <v>268000</v>
      </c>
      <c r="IX24">
        <v>1300000</v>
      </c>
      <c r="IY24">
        <v>0</v>
      </c>
      <c r="IZ24">
        <v>0</v>
      </c>
      <c r="JA24">
        <v>0</v>
      </c>
      <c r="JB24">
        <v>1568000</v>
      </c>
      <c r="JC24">
        <v>90000</v>
      </c>
      <c r="JD24">
        <v>434000</v>
      </c>
      <c r="JE24">
        <v>0</v>
      </c>
      <c r="JF24">
        <v>0</v>
      </c>
      <c r="JG24">
        <v>0</v>
      </c>
      <c r="JH24">
        <v>524000</v>
      </c>
    </row>
    <row r="25" spans="2:268" customFormat="1" x14ac:dyDescent="0.25">
      <c r="B25" s="2">
        <f ca="1">OFFSET(tblBaseCF[[#This Row],[Year]],-1,0)+1</f>
        <v>5</v>
      </c>
      <c r="C25" s="2">
        <f ca="1">(tblBaseCF[[#This Row],[Year]]&lt;=term)*1</f>
        <v>1</v>
      </c>
      <c r="D25" s="57">
        <f ca="1">(YEAR(rcd)+tblBaseCF[[#This Row],[Year]]-1)
*tblBaseCF[[#This Row],[PolTermFlag]]</f>
        <v>2029</v>
      </c>
      <c r="E25" s="57">
        <f ca="1">(mainLI_entry_age+tblBaseCF[[#This Row],[Year]]-1)
*tblBaseCF[[#This Row],[PolTermFlag]]</f>
        <v>4</v>
      </c>
      <c r="F25" s="57">
        <f ca="1">IF(tblBaseCF[[#This Row],[Year]]=1,1,OFFSET(tblBaseCF[[#This Row],[DeductFlag]],-1,0))
*tblBaseCF[[#This Row],[PolTermFlag]]</f>
        <v>0</v>
      </c>
      <c r="G2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5" s="57">
        <f ca="1">(tblBaseCF[[#This Row],[Year]]&lt;=acc_ben_term)
*tblBaseCF[[#This Row],[ContFlag]]</f>
        <v>0</v>
      </c>
      <c r="I25" s="57">
        <f ca="1">(tblBaseCF[[#This Row],[Year]]&lt;=tp_term)
*tblBaseCF[[#This Row],[ContFlag]]</f>
        <v>0</v>
      </c>
      <c r="J25" s="57">
        <f ca="1">(tblBaseCF[[#This Row],[Year]]&lt;=ep_term)
*tblBaseCF[[#This Row],[ContFlag]]</f>
        <v>0</v>
      </c>
      <c r="K25" s="57">
        <f ca="1">(tblBaseCF[[#This Row],[Year]]&lt;=em_load_term)*1</f>
        <v>0</v>
      </c>
      <c r="L25" s="57">
        <f ca="1">(tblBaseCF[[#This Row],[Year]]&lt;=pm_load_term)*1</f>
        <v>0</v>
      </c>
      <c r="M25" s="59">
        <f ca="1">IF(tblBaseCF[[#This Row],[Year]]=1,si,OFFSET(tblBaseCF[[#This Row],[EndSI]],-1,0))
*tblBaseCF[[#This Row],[ContFlag]]</f>
        <v>0</v>
      </c>
      <c r="N25" s="59">
        <f ca="1">OFFSET(tblBaseCF[[#This Row],[EndTAV]],-1,0)
*tblBaseCF[[#This Row],[ContFlag]]</f>
        <v>0</v>
      </c>
      <c r="O25" s="59">
        <f ca="1">OFFSET(tblBaseCF[[#This Row],[EndEAV]],-1,0)
*tblBaseCF[[#This Row],[ContFlag]]</f>
        <v>0</v>
      </c>
      <c r="P25" s="60">
        <f ca="1">tblBaseCF[[#This Row],[StartEAV]]+tblBaseCF[[#This Row],[StartTAV]]</f>
        <v>0</v>
      </c>
      <c r="Q25" s="61">
        <f ca="1">IFERROR(INDEX(tblJuvenileLienRate[Rate],MATCH(tblBaseCF[[#This Row],[Age]],tblJuvenileLienRate[Age],0)),1)
*tblBaseCF[[#This Row],[ContFlag]]</f>
        <v>0</v>
      </c>
      <c r="R2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5" s="62">
        <f ca="1">tblBaseCF[[#This Row],[StartSI]]*acc_ben_coeff*tblBaseCF[[#This Row],[JuvenileLienRate]]
*tblBaseCF[[#This Row],[AccBenTermFlag]]</f>
        <v>0</v>
      </c>
      <c r="T25" s="61">
        <f ca="1">(IFERROR(INDEX(tblSurrChrgRate[Rate],MATCH(tblBaseCF[[#This Row],[Year]],tblSurrChrgRate[Year],0)),0)
*tblBaseCF[[#This Row],[ContFlag]])</f>
        <v>0</v>
      </c>
      <c r="U25" s="60">
        <f ca="1">tp*tblBaseCF[[#This Row],[SrrChrgRate]]</f>
        <v>0</v>
      </c>
      <c r="V25" s="63">
        <f ca="1">MAX(tblBaseCF[[#This Row],[StartTAV]]-tblBaseCF[[#This Row],[SVChrg]],0)+tblBaseCF[[#This Row],[StartEAV]]</f>
        <v>0</v>
      </c>
      <c r="W25" s="59">
        <f ca="1">IFERROR(INDEX(tblWithdrawal_Output[Amount],MATCH(tblBaseCF[[#This Row],[Year]],tblWithdrawal_Output[Year],0)),0)
*tblBaseCF[[#This Row],[ContFlag]]</f>
        <v>0</v>
      </c>
      <c r="X25" s="59" t="b">
        <f ca="1">tblBaseCF[[#This Row],[WithdrawalInput]]&gt;0</f>
        <v>0</v>
      </c>
      <c r="Y25" s="59" t="b">
        <f ca="1">AND(tblBaseCF[[#This Row],[1stCheckProceed]],tblBaseCF[[#This Row],[WithdrawalInput]]&lt;=tblBaseCF[[#This Row],[StartPAV]])</f>
        <v>0</v>
      </c>
      <c r="Z25" s="59" t="b">
        <f ca="1">AND(tblBaseCF[[#This Row],[2ndCheckAmount]],(tblBaseCF[[#This Row],[StartPAV]]-tblBaseCF[[#This Row],[WithdrawalInput]])&gt;=min_pav_after_withdrawal)</f>
        <v>0</v>
      </c>
      <c r="AA2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5" s="59" t="b">
        <f ca="1">AND(tblBaseCF[[#This Row],[3rdCheckPAV]],tblBaseCF[[#This Row],[endSITest]]&gt;=min_base_si)</f>
        <v>0</v>
      </c>
      <c r="AC25" s="60">
        <f ca="1">tblBaseCF[[#This Row],[WithdrawalInput]]*tblBaseCF[[#This Row],[4thCheckSI]]</f>
        <v>0</v>
      </c>
      <c r="AD25" s="60">
        <f ca="1">MIN(tblBaseCF[[#This Row],[Withdrawal]],tblBaseCF[[#This Row],[StartEAV]])</f>
        <v>0</v>
      </c>
      <c r="AE25" s="60">
        <f ca="1">tblBaseCF[[#This Row],[Withdrawal]]-tblBaseCF[[#This Row],[EAVWithdrawal]]</f>
        <v>0</v>
      </c>
      <c r="AF25" s="60">
        <f ca="1">IF(tblBaseCF[[#This Row],[4thCheckSI]],tblBaseCF[[#This Row],[endSITest]],tblBaseCF[[#This Row],[StartSI]])</f>
        <v>0</v>
      </c>
      <c r="AG2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5" s="65">
        <f ca="1">IFERROR(INDEX(tblTPAllocChrgRate[Rate],MATCH(tblBaseCF[[#This Row],[Year]],tblTPAllocChrgRate[Year],0)),0)</f>
        <v>0.1</v>
      </c>
      <c r="AI25" s="62">
        <f ca="1">(tp+big_case_bonus_tp*(tblBaseCF[[#This Row],[Year]]=1))
*tblBaseCF[[#This Row],[TPTermFlag]]</f>
        <v>0</v>
      </c>
      <c r="AJ25" s="63">
        <f ca="1">tblBaseCF[[#This Row],[TP]]*tblBaseCF[[#This Row],[TPAllocChrgRate]]</f>
        <v>0</v>
      </c>
      <c r="AK25" s="60">
        <f ca="1">tblBaseCF[[#This Row],[TP]]-tblBaseCF[[#This Row],[TPAllocChrg]]</f>
        <v>0</v>
      </c>
      <c r="AL25" s="65">
        <f ca="1">IFERROR(INDEX(tblEPAllocChrgRate[Rate],MATCH(tblBaseCF[[#This Row],[Year]],tblEPAllocChrgRate[Year],0)),0)</f>
        <v>0.02</v>
      </c>
      <c r="AM25" s="60">
        <f ca="1">ep*tblBaseCF[[#This Row],[EPTermFlag]]</f>
        <v>0</v>
      </c>
      <c r="AN25" s="60">
        <f ca="1">tblBaseCF[[#This Row],[EP]]*tblBaseCF[[#This Row],[EPAllocChrgRate]]</f>
        <v>0</v>
      </c>
      <c r="AO25" s="63">
        <f ca="1">tblBaseCF[[#This Row],[EP]]-tblBaseCF[[#This Row],[EPAllocChrg]]</f>
        <v>0</v>
      </c>
      <c r="AP25" s="62">
        <f ca="1">tblBaseCF[[#This Row],[Ben]]*extra_prem_rate*em_load/1000/(1-tblBaseCF[[#This Row],[EPAllocChrgRate]])
*tblBaseCF[[#This Row],[EMLoadTermFlag]]</f>
        <v>0</v>
      </c>
      <c r="AQ25" s="62">
        <f ca="1">tblBaseCF[[#This Row],[Ben]]*pm_load/1000/(1-tblBaseCF[[#This Row],[EPAllocChrgRate]])
*tblBaseCF[[#This Row],[PMLoadTermFlag]]</f>
        <v>0</v>
      </c>
      <c r="AR25" s="60">
        <f ca="1">ROUNDUP(tblBaseCF[[#This Row],[UnroundedEMLoad]],-3)</f>
        <v>0</v>
      </c>
      <c r="AS25" s="62">
        <f ca="1">ROUNDUP(tblBaseCF[[#This Row],[Ben]]*pm_load/1000/(1-tblBaseCF[[#This Row],[EPAllocChrgRate]]),-3)
*tblBaseCF[[#This Row],[PMLoadTermFlag]]</f>
        <v>0</v>
      </c>
      <c r="AT25" s="60">
        <f ca="1">tblBaseCF[[#This Row],[EMLoad]]+tblBaseCF[[#This Row],[PMLoad]]</f>
        <v>0</v>
      </c>
      <c r="AU25" s="60">
        <f ca="1">tblBaseCF[[#This Row],[Load]]*tblBaseCF[[#This Row],[EPAllocChrgRate]]</f>
        <v>0</v>
      </c>
      <c r="AV25" s="60">
        <f ca="1">tblBaseCF[[#This Row],[Load]]-tblBaseCF[[#This Row],[LoadAllocChrg]]</f>
        <v>0</v>
      </c>
      <c r="AW25" s="60">
        <f ca="1">tblBaseCF[[#This Row],[TP]]+tblBaseCF[[#This Row],[EP]]+tblBaseCF[[#This Row],[Load]]</f>
        <v>0</v>
      </c>
      <c r="AX25" s="60">
        <f ca="1">tblBaseCF[[#This Row],[TPAllocChrg]]+tblBaseCF[[#This Row],[EPAllocChrg]]+tblBaseCF[[#This Row],[LoadAllocChrg]]</f>
        <v>0</v>
      </c>
      <c r="AY25" s="60">
        <f ca="1">tblBaseCF[[#This Row],[TPAlloc]]+tblBaseCF[[#This Row],[EPAlloc]]+tblBaseCF[[#This Row],[LoadAlloc]]</f>
        <v>0</v>
      </c>
      <c r="AZ25" s="60">
        <f ca="1">(OFFSET(tblBaseCF[[#This Row],[AccumTotalPrem]],-1,0)+tblBaseCF[[#This Row],[TotalPrem]])*tblBaseCF[[#This Row],[TPTermFlag]]</f>
        <v>0</v>
      </c>
      <c r="BA25" s="62">
        <f ca="1">(tblBaseCF[[#This Row],[StartTAV]]-tblBaseCF[[#This Row],[TAVWithdrawal]]+tblBaseCF[[#This Row],[TPAlloc]])
*tblBaseCF[[#This Row],[ContFlag]]</f>
        <v>0</v>
      </c>
      <c r="BB25" s="59">
        <f ca="1">(tblBaseCF[[#This Row],[StartEAV]]-tblBaseCF[[#This Row],[EAVWithdrawal]]+tblBaseCF[[#This Row],[EPAlloc]]+tblBaseCF[[#This Row],[LoadAlloc]])
*tblBaseCF[[#This Row],[ContFlag]]</f>
        <v>0</v>
      </c>
      <c r="BC25" s="59">
        <f ca="1">tblBaseCF[[#This Row],[TAVAfterWdrlAlloc]]+tblBaseCF[[#This Row],[EAVAfterWdrlAlloc]]</f>
        <v>0</v>
      </c>
      <c r="BD25" s="66">
        <f t="shared" si="2"/>
        <v>0</v>
      </c>
      <c r="BE25" s="67">
        <f>(1+tblBaseCF[[#This Row],[AnnualIntRate]])^(1/12)-1</f>
        <v>0</v>
      </c>
      <c r="BF25" s="68">
        <f>IFERROR(((1+tblBaseCF[[#This Row],[MonthlyIntRate]])^12-1)/12/(1-1/(1+tblBaseCF[[#This Row],[MonthlyIntRate]])),1)/(1+tblBaseCF[[#This Row],[AnnualIntRate]])</f>
        <v>1</v>
      </c>
      <c r="BG25" s="69">
        <f>PV(tblBaseCF[[#This Row],[MonthlyIntRate]],12,-1/12,,1)</f>
        <v>1</v>
      </c>
      <c r="BH25" s="60">
        <f ca="1">MAX(IF(death_tpd_option="A",tblBaseCF[[#This Row],[Ben]]-tblBaseCF[[#This Row],[StartPAV]],tblBaseCF[[#This Row],[Ben]]),0)</f>
        <v>0</v>
      </c>
      <c r="BI25" s="70">
        <f ca="1">IFERROR(INDEX(tblBaseCOIRate[Rate],MATCH(tblBaseCF[[#This Row],[Age]],tblBaseCOIRate[Age],0)),0)</f>
        <v>7.7000000000004799E-4</v>
      </c>
      <c r="BJ25" s="60">
        <f ca="1">tblBaseCF[[#This Row],[SAR]]*tblBaseCF[[#This Row],[COIRate]]</f>
        <v>0</v>
      </c>
      <c r="BK25" s="62">
        <f ca="1">em_load*tblBaseCF[[#This Row],[pStandardCOI]]
*tblBaseCF[[#This Row],[EMLoadTermFlag]]</f>
        <v>0</v>
      </c>
      <c r="BL25" s="62">
        <f ca="1">pm_load/1000*tblBaseCF[[#This Row],[SAR]]
*tblBaseCF[[#This Row],[PMLoadTermFlag]]</f>
        <v>0</v>
      </c>
      <c r="BM25" s="60">
        <f ca="1">tblBaseCF[[#This Row],[AccBen]]*monthly_acc_coi*12</f>
        <v>0</v>
      </c>
      <c r="BN25" s="60">
        <f ca="1">tblBaseCF[[#This Row],[pStandardCOI]]+tblBaseCF[[#This Row],[pEMLoadCOI]]+tblBaseCF[[#This Row],[pPMLoadCOI]]+tblBaseCF[[#This Row],[pAccCOI]]</f>
        <v>0</v>
      </c>
      <c r="BO25" s="62">
        <f ca="1">IFERROR(INDEX(tblAdminChrg[Amount],MATCH(tblBaseCF[[#This Row],[CalYear]],tblAdminChrg[Cal_Year],0)),0)
*tblBaseCF[[#This Row],[ContFlag]]</f>
        <v>0</v>
      </c>
      <c r="BP25" s="60">
        <f ca="1">tblBaseCF[[#This Row],[pMonthlyAdminChrg]]*12</f>
        <v>0</v>
      </c>
      <c r="BQ25" s="60">
        <f ca="1">tblBaseCF[[#This Row],[pCOI]]+tblBaseCF[[#This Row],[pAdminChrg]]</f>
        <v>0</v>
      </c>
      <c r="BR25" s="60">
        <f ca="1">tblBaseCF[[#This Row],[pNomDeduct]]*tblBaseCF[[#This Row],[Duean1m12]]</f>
        <v>0</v>
      </c>
      <c r="BS25" s="57">
        <f ca="1">(tblBaseCF[[#This Row],[PAVAfterWdrlAlloc]]&gt;=tblBaseCF[[#This Row],[pNomDeduct]])
*tblBaseCF[[#This Row],[ContFlag]]</f>
        <v>0</v>
      </c>
      <c r="BT25" s="60">
        <f ca="1">tblBaseCF[[#This Row],[pStandardCOI]]*tblBaseCF[[#This Row],[DeductFlag]]</f>
        <v>0</v>
      </c>
      <c r="BU25" s="60">
        <f ca="1">tblBaseCF[[#This Row],[pEMLoadCOI]]*tblBaseCF[[#This Row],[DeductFlag]]</f>
        <v>0</v>
      </c>
      <c r="BV25" s="60">
        <f ca="1">tblBaseCF[[#This Row],[pPMLoadCOI]]*tblBaseCF[[#This Row],[DeductFlag]]</f>
        <v>0</v>
      </c>
      <c r="BW25" s="60">
        <f ca="1">tblBaseCF[[#This Row],[pAccCOI]]*tblBaseCF[[#This Row],[DeductFlag]]</f>
        <v>0</v>
      </c>
      <c r="BX25" s="60">
        <f ca="1">tblBaseCF[[#This Row],[pCOI]]*tblBaseCF[[#This Row],[DeductFlag]]</f>
        <v>0</v>
      </c>
      <c r="BY25" s="60">
        <f ca="1">tblBaseCF[[#This Row],[pMonthlyAdminChrg]]*tblBaseCF[[#This Row],[DeductFlag]]</f>
        <v>0</v>
      </c>
      <c r="BZ25" s="60">
        <f ca="1">tblBaseCF[[#This Row],[pAdminChrg]]*tblBaseCF[[#This Row],[DeductFlag]]</f>
        <v>0</v>
      </c>
      <c r="CA25" s="60">
        <f ca="1">tblBaseCF[[#This Row],[pNomDeduct]]*tblBaseCF[[#This Row],[DeductFlag]]</f>
        <v>0</v>
      </c>
      <c r="CB25" s="60">
        <f ca="1">tblBaseCF[[#This Row],[pDeduct]]*tblBaseCF[[#This Row],[DeductFlag]]</f>
        <v>0</v>
      </c>
      <c r="CC25" s="60">
        <f ca="1">MIN(tblBaseCF[[#This Row],[TAVAfterWdrlAlloc]],tblBaseCF[[#This Row],[Deduct]])</f>
        <v>0</v>
      </c>
      <c r="CD25" s="60">
        <f ca="1">tblBaseCF[[#This Row],[Deduct]]-tblBaseCF[[#This Row],[TAVDeduct]]</f>
        <v>0</v>
      </c>
      <c r="CE25" s="69">
        <f ca="1">(tblBaseCF[[#This Row],[TAVAfterWdrlAlloc]]-tblBaseCF[[#This Row],[TAVDeduct]])*tblBaseCF[[#This Row],[AnnualIntRate]]
*tblBaseCF[[#This Row],[DeductFlag]]</f>
        <v>0</v>
      </c>
      <c r="CF25" s="69">
        <f ca="1">(tblBaseCF[[#This Row],[EAVAfterWdrlAlloc]]-tblBaseCF[[#This Row],[EAVDeduct]])*tblBaseCF[[#This Row],[AnnualIntRate]]
*tblBaseCF[[#This Row],[DeductFlag]]</f>
        <v>0</v>
      </c>
      <c r="CG25" s="69">
        <f ca="1">tblBaseCF[[#This Row],[TAVInt]]+tblBaseCF[[#This Row],[EAVInt]]</f>
        <v>0</v>
      </c>
      <c r="CH25" s="62">
        <f ca="1">IFERROR(INDEX(tblLBRate[Rate],MATCH(tblBaseCF[[#This Row],[Year]],tblLBRate[Year],0)),0)
*tblBaseCF[[#This Row],[DeductFlag]]</f>
        <v>0</v>
      </c>
      <c r="CI25" s="60">
        <f ca="1">IFERROR(SUM(OFFSET(tblBaseCF[[#This Row],[TAVWithdrawal]],0,0,-lb_review_period,1)),0)
*(tblBaseCF[[#This Row],[LBRate]]&gt;0)</f>
        <v>0</v>
      </c>
      <c r="CJ25" s="60">
        <f ca="1">(tblBaseCF[[#This Row],[LBRate]]&gt;0)*(tblBaseCF[[#This Row],[LBTAVWithdrawal]]=0)</f>
        <v>0</v>
      </c>
      <c r="CK25" s="62" cm="1">
        <f t="array" aca="1" ref="CK25" ca="1">IF(tblBaseCF[[#This Row],[LBFlag]],
_xlfn.SWITCH(base,
"ILP1",AVERAGE(OFFSET(tblBaseCF[TP],0,0,-lb_review_period,1)),tp),0)
*tblBaseCF[[#This Row],[LBFlag]]</f>
        <v>0</v>
      </c>
      <c r="CL25" s="62">
        <f ca="1">tblBaseCF[[#This Row],[LBBasis]]*tblBaseCF[[#This Row],[LBRate]]</f>
        <v>0</v>
      </c>
      <c r="CM25" s="57" cm="1">
        <f t="array" aca="1" ref="CM25" ca="1">_xlfn.SWITCH(base,
"ILP1",0,($AF125&lt;500000000)*1
+($AF125&gt;=500000000)*($AF125&lt;1000000000)*2
+($AF125&gt;=1000000000)*3)
*tblBaseCF[[#This Row],[DeductFlag]]</f>
        <v>0</v>
      </c>
      <c r="CN25" s="2" t="str">
        <f ca="1">IF(tblBaseCF[[#This Row],[DeductFlag]],base&amp;"_"&amp;tblBaseCF[[#This Row],[SBCode]]&amp;"_"&amp;tblBaseCF[[#This Row],[Year]],"")</f>
        <v/>
      </c>
      <c r="CO25" s="3">
        <f ca="1">IFERROR(INDEX(tblSBRate[Index],MATCH(tblBaseCF[[#This Row],[SBIndex]],tblSBRate[Rate],0)),0)</f>
        <v>0</v>
      </c>
      <c r="CP25" s="63">
        <f ca="1">IFERROR(SUM(OFFSET(tblBaseCF[[#This Row],[TAVWithdrawal]],0,0,-sb_review_period,1)),0)
*(tblBaseCF[[#This Row],[SBRate]]&gt;0)</f>
        <v>0</v>
      </c>
      <c r="CQ25" s="63">
        <f ca="1">(tblBaseCF[[#This Row],[SBRate]]&gt;0)*(tblBaseCF[[#This Row],[SBTAVWithdrawal]]=0)</f>
        <v>0</v>
      </c>
      <c r="CR25" s="59" cm="1">
        <f t="array" aca="1" ref="CR25" ca="1">IF(tblBaseCF[[#This Row],[LBFlag]],
_xlfn.SWITCH(base,
"ILP1",0,tp),0)*tblBaseCF[[#This Row],[SBFlag]]</f>
        <v>0</v>
      </c>
      <c r="CS25" s="63">
        <f ca="1">tblBaseCF[[#This Row],[SBBasis]]*tblBaseCF[[#This Row],[SBRate]]</f>
        <v>0</v>
      </c>
      <c r="CT25" s="63">
        <f ca="1">tblBaseCF[[#This Row],[LB]]+tblBaseCF[[#This Row],[SB]]</f>
        <v>0</v>
      </c>
      <c r="CU25" s="59">
        <f ca="1">tblBaseCF[[#This Row],[TAVAfterWdrlAlloc]]-tblBaseCF[[#This Row],[TAVDeduct]]+tblBaseCF[[#This Row],[TAVInt]]+tblBaseCF[[#This Row],[Bonus]]</f>
        <v>0</v>
      </c>
      <c r="CV25" s="59">
        <f ca="1">tblBaseCF[[#This Row],[EAVAfterWdrlAlloc]]-tblBaseCF[[#This Row],[EAVDeduct]]+tblBaseCF[[#This Row],[EAVInt]]</f>
        <v>0</v>
      </c>
      <c r="CW25" s="63">
        <f ca="1">tblBaseCF[[#This Row],[EndTAV]]+tblBaseCF[[#This Row],[EndEAV]]</f>
        <v>0</v>
      </c>
      <c r="CX25" s="59">
        <f ca="1">INDEX(tblPlanPrem[TP],2)
*tblBaseCF[[#This Row],[TPTermFlag]]</f>
        <v>0</v>
      </c>
      <c r="CY25" s="59">
        <f ca="1">INDEX(tblPlanPrem[EP],2)
*tblBaseCF[[#This Row],[TPTermFlag]]</f>
        <v>0</v>
      </c>
      <c r="CZ25" s="63">
        <f ca="1">ROUNDUP(tblBaseCF[[#This Row],[UnroundedEMLoad]]*INDEX(tblPlanPrem[Factor],2),-3)</f>
        <v>0</v>
      </c>
      <c r="DA25" s="63">
        <f ca="1">ROUNDUP(tblBaseCF[[#This Row],[UnroundedPMLoad]]*INDEX(tblPlanPrem[Factor],2),-3)</f>
        <v>0</v>
      </c>
      <c r="DB25" s="63">
        <f ca="1">tblBaseCF[[#This Row],[SemiAnnualEMLoad]]+tblBaseCF[[#This Row],[SemiAnnualPMLoad]]</f>
        <v>0</v>
      </c>
      <c r="DC25" s="63">
        <f ca="1">tblBaseCF[[#This Row],[SemiAnnualTP]]+tblBaseCF[[#This Row],[SemiAnnualEP]]+tblBaseCF[[#This Row],[SemiAnnualLoad]]</f>
        <v>0</v>
      </c>
      <c r="DD25" s="59">
        <f ca="1">INDEX(tblPlanPrem[TP],3)
*tblBaseCF[[#This Row],[TPTermFlag]]</f>
        <v>0</v>
      </c>
      <c r="DE25" s="59">
        <f ca="1">INDEX(tblPlanPrem[EP],3)
*tblBaseCF[[#This Row],[TPTermFlag]]</f>
        <v>0</v>
      </c>
      <c r="DF25" s="63">
        <f ca="1">ROUNDUP(tblBaseCF[[#This Row],[UnroundedEMLoad]]*INDEX(tblPlanPrem[Factor],3),-3)</f>
        <v>0</v>
      </c>
      <c r="DG25" s="63">
        <f ca="1">ROUNDUP(tblBaseCF[[#This Row],[UnroundedPMLoad]]*INDEX(tblPlanPrem[Factor],3),-3)</f>
        <v>0</v>
      </c>
      <c r="DH25" s="60">
        <f ca="1">tblBaseCF[[#This Row],[QuarterlyEMLoad]]+tblBaseCF[[#This Row],[QuarterlyPMLoad]]</f>
        <v>0</v>
      </c>
      <c r="DI25" s="60">
        <f ca="1">tblBaseCF[[#This Row],[QuarterlyTP]]+tblBaseCF[[#This Row],[QuarterlyEP]]+tblBaseCF[[#This Row],[QuarterlyLoad]]</f>
        <v>0</v>
      </c>
      <c r="DJ25" s="59">
        <f ca="1">INDEX(tblPlanPrem[TP],4)
*tblBaseCF[[#This Row],[TPTermFlag]]</f>
        <v>0</v>
      </c>
      <c r="DK25" s="59">
        <f ca="1">INDEX(tblPlanPrem[EP],4)
*tblBaseCF[[#This Row],[TPTermFlag]]</f>
        <v>0</v>
      </c>
      <c r="DL25" s="63">
        <f ca="1">ROUNDUP(tblBaseCF[[#This Row],[UnroundedEMLoad]]*INDEX(tblPlanPrem[Factor],4),-3)</f>
        <v>0</v>
      </c>
      <c r="DM25" s="63">
        <f ca="1">ROUNDUP(tblBaseCF[[#This Row],[UnroundedPMLoad]]*INDEX(tblPlanPrem[Factor],4),-3)</f>
        <v>0</v>
      </c>
      <c r="DN25" s="60">
        <f ca="1">tblBaseCF[[#This Row],[MonthlyEMLoad]]+tblBaseCF[[#This Row],[MonthlyPMLoad]]</f>
        <v>0</v>
      </c>
      <c r="DO25" s="63">
        <f ca="1">tblBaseCF[[#This Row],[MonthlyTP]]+tblBaseCF[[#This Row],[MonthlyEP]]+tblBaseCF[[#This Row],[MonthlyLoad]]</f>
        <v>0</v>
      </c>
      <c r="DP25" s="3"/>
      <c r="DS25">
        <f t="shared" si="3"/>
        <v>0</v>
      </c>
      <c r="DT25">
        <f t="shared" si="4"/>
        <v>0</v>
      </c>
      <c r="DU25">
        <f t="shared" si="5"/>
        <v>0</v>
      </c>
      <c r="DV25">
        <f ca="1">tblBaseCF[[#This Row],[Year]]</f>
        <v>5</v>
      </c>
      <c r="DW25">
        <f ca="1">tblBaseCF[[#This Row],[Age]]</f>
        <v>4</v>
      </c>
      <c r="DX25">
        <f ca="1">tblBaseCF[[#This Row],[ContFlag]]</f>
        <v>0</v>
      </c>
      <c r="DY25" t="str">
        <f ca="1">tblBaseCF[[#This Row],[ContLog]]</f>
        <v>Insufficient PAV for deduction - Discontinue.</v>
      </c>
      <c r="DZ25">
        <f ca="1">tblBaseCF[[#This Row],[StartTAV]]</f>
        <v>0</v>
      </c>
      <c r="EA25">
        <f ca="1">tblBaseCF[[#This Row],[StartEAV]]</f>
        <v>0</v>
      </c>
      <c r="EB25">
        <f ca="1">tblBaseCF[[#This Row],[StartPAV]]</f>
        <v>0</v>
      </c>
      <c r="EC25">
        <f ca="1">tblBaseCF[[#This Row],[SVChrg]]</f>
        <v>0</v>
      </c>
      <c r="ED25">
        <f ca="1">tblBaseCF[[#This Row],[SV]]</f>
        <v>0</v>
      </c>
      <c r="EE25">
        <f ca="1">tblBaseCF[[#This Row],[Ben]]</f>
        <v>0</v>
      </c>
      <c r="EF25">
        <f ca="1">tblBaseCF[[#This Row],[AccBen]]</f>
        <v>0</v>
      </c>
      <c r="EG25">
        <f ca="1">tblBaseCF[[#This Row],[WithdrawalInput]]</f>
        <v>0</v>
      </c>
      <c r="EH25" t="str">
        <f ca="1">tblBaseCF[[#This Row],[WithdrawalLog]]</f>
        <v>No withdrawal.</v>
      </c>
      <c r="EI25">
        <f ca="1">tblBaseCF[[#This Row],[TAVWithdrawal]]</f>
        <v>0</v>
      </c>
      <c r="EJ25">
        <f ca="1">tblBaseCF[[#This Row],[EAVWithdrawal]]</f>
        <v>0</v>
      </c>
      <c r="EK25">
        <f ca="1">tblBaseCF[[#This Row],[Withdrawal]]</f>
        <v>0</v>
      </c>
      <c r="EL25">
        <f ca="1">tblBaseCF[[#This Row],[TP]]</f>
        <v>0</v>
      </c>
      <c r="EM25">
        <f ca="1">tblBaseCF[[#This Row],[TPAllocChrg]]</f>
        <v>0</v>
      </c>
      <c r="EN25">
        <f ca="1">tblBaseCF[[#This Row],[TPAlloc]]</f>
        <v>0</v>
      </c>
      <c r="EO25">
        <f ca="1">tblBaseCF[[#This Row],[EP]]</f>
        <v>0</v>
      </c>
      <c r="EP25">
        <f ca="1">tblBaseCF[[#This Row],[EPAllocChrg]]</f>
        <v>0</v>
      </c>
      <c r="EQ25">
        <f ca="1">tblBaseCF[[#This Row],[EPAlloc]]</f>
        <v>0</v>
      </c>
      <c r="ER25">
        <f ca="1">tblBaseCF[[#This Row],[EMLoad]]</f>
        <v>0</v>
      </c>
      <c r="ES25">
        <f ca="1">tblBaseCF[[#This Row],[PMLoad]]</f>
        <v>0</v>
      </c>
      <c r="ET25">
        <f ca="1">tblBaseCF[[#This Row],[Load]]</f>
        <v>0</v>
      </c>
      <c r="EU25">
        <f ca="1">tblBaseCF[[#This Row],[LoadAllocChrg]]</f>
        <v>0</v>
      </c>
      <c r="EV25">
        <f ca="1">tblBaseCF[[#This Row],[LoadAlloc]]</f>
        <v>0</v>
      </c>
      <c r="EW25">
        <f ca="1">tblBaseCF[[#This Row],[TotalPrem]]</f>
        <v>0</v>
      </c>
      <c r="EX25">
        <f ca="1">tblBaseCF[[#This Row],[AllocChrg]]</f>
        <v>0</v>
      </c>
      <c r="EY25">
        <f ca="1">tblBaseCF[[#This Row],[Alloc]]</f>
        <v>0</v>
      </c>
      <c r="EZ25">
        <f ca="1">tblBaseCF[[#This Row],[AccumTotalPrem]]</f>
        <v>0</v>
      </c>
      <c r="FA25">
        <f>tblBaseCF[[#This Row],[AnnualIntRate]]</f>
        <v>0</v>
      </c>
      <c r="FB25" s="50">
        <f>tblBaseCF[[#This Row],[Duean1m12]]</f>
        <v>1</v>
      </c>
      <c r="FC25">
        <f ca="1">tblBaseCF[[#This Row],[DeductFlag]]</f>
        <v>0</v>
      </c>
      <c r="FD25">
        <f ca="1">tblBaseCF[[#This Row],[AdminChrg]]</f>
        <v>0</v>
      </c>
      <c r="FE25">
        <f ca="1">tblBaseCF[[#This Row],[StandardCOI]]</f>
        <v>0</v>
      </c>
      <c r="FF25">
        <f ca="1">tblBaseCF[[#This Row],[EMLoadCOI]]</f>
        <v>0</v>
      </c>
      <c r="FG25">
        <f ca="1">tblBaseCF[[#This Row],[PMLoadCOI]]</f>
        <v>0</v>
      </c>
      <c r="FH25">
        <f ca="1">tblBaseCF[[#This Row],[COI]]</f>
        <v>0</v>
      </c>
      <c r="FI25" s="47">
        <f ca="1">tblBaseCF[[#This Row],[NomDeduct]]</f>
        <v>0</v>
      </c>
      <c r="FJ25">
        <f ca="1">tblBaseCF[[#This Row],[Deduct]]</f>
        <v>0</v>
      </c>
      <c r="FK25">
        <f ca="1">tblBaseCF[[#This Row],[TAVDeduct]]</f>
        <v>0</v>
      </c>
      <c r="FL25">
        <f ca="1">tblBaseCF[[#This Row],[EAVDeduct]]</f>
        <v>0</v>
      </c>
      <c r="FM25" s="24">
        <f ca="1">tblBaseCF[[#This Row],[TAVInt]]</f>
        <v>0</v>
      </c>
      <c r="FN25">
        <f ca="1">tblBaseCF[[#This Row],[EAVInt]]</f>
        <v>0</v>
      </c>
      <c r="FO25" s="47">
        <f ca="1">tblBaseCF[[#This Row],[LB]]</f>
        <v>0</v>
      </c>
      <c r="FP25">
        <f ca="1">tblBaseCF[[#This Row],[SB]]</f>
        <v>0</v>
      </c>
      <c r="FQ25">
        <f ca="1">tblBaseCF[[#This Row],[Bonus]]</f>
        <v>0</v>
      </c>
      <c r="FR25">
        <f ca="1">tblBaseCF[[#This Row],[EndTAV]]</f>
        <v>0</v>
      </c>
      <c r="FS25">
        <f ca="1">tblBaseCF[[#This Row],[EndEAV]]</f>
        <v>0</v>
      </c>
      <c r="FT25">
        <f ca="1">tblBaseCF[[#This Row],[EndPAV]]</f>
        <v>0</v>
      </c>
      <c r="FU25">
        <f ca="1">tblBaseCF[[#This Row],[SemiAnnualTP]]</f>
        <v>0</v>
      </c>
      <c r="FV25">
        <f ca="1">tblBaseCF[[#This Row],[SemiAnnualEP]]</f>
        <v>0</v>
      </c>
      <c r="FW25">
        <f ca="1">tblBaseCF[[#This Row],[SemiAnnualEMLoad]]</f>
        <v>0</v>
      </c>
      <c r="FX25">
        <f ca="1">tblBaseCF[[#This Row],[SemiAnnualPMLoad]]</f>
        <v>0</v>
      </c>
      <c r="FY25">
        <f ca="1">tblBaseCF[[#This Row],[SemiAnnualLoad]]</f>
        <v>0</v>
      </c>
      <c r="FZ25">
        <f ca="1">tblBaseCF[[#This Row],[SemiAnnualTotalPrem]]</f>
        <v>0</v>
      </c>
      <c r="GA25">
        <f ca="1">tblBaseCF[[#This Row],[QuarterlyTP]]</f>
        <v>0</v>
      </c>
      <c r="GB25">
        <f ca="1">tblBaseCF[[#This Row],[QuarterlyEP]]</f>
        <v>0</v>
      </c>
      <c r="GC25">
        <f ca="1">tblBaseCF[[#This Row],[QuarterlyEMLoad]]</f>
        <v>0</v>
      </c>
      <c r="GD25">
        <f ca="1">tblBaseCF[[#This Row],[QuarterlyPMLoad]]</f>
        <v>0</v>
      </c>
      <c r="GE25">
        <f ca="1">tblBaseCF[[#This Row],[QuarterlyLoad]]</f>
        <v>0</v>
      </c>
      <c r="GF25">
        <f ca="1">tblBaseCF[[#This Row],[QuarterlyTotalPrem]]</f>
        <v>0</v>
      </c>
      <c r="GG25">
        <f ca="1">tblBaseCF[[#This Row],[MonthlyTP]]</f>
        <v>0</v>
      </c>
      <c r="GH25">
        <f ca="1">tblBaseCF[[#This Row],[MonthlyEP]]</f>
        <v>0</v>
      </c>
      <c r="GI25">
        <f ca="1">tblBaseCF[[#This Row],[MonthlyEMLoad]]</f>
        <v>0</v>
      </c>
      <c r="GJ25">
        <f ca="1">tblBaseCF[[#This Row],[MonthlyPMLoad]]</f>
        <v>0</v>
      </c>
      <c r="GK25">
        <f ca="1">tblBaseCF[[#This Row],[MonthlyLoad]]</f>
        <v>0</v>
      </c>
      <c r="GL25">
        <f ca="1">tblBaseCF[[#This Row],[MonthlyTotalPrem]]</f>
        <v>0</v>
      </c>
      <c r="GO25" t="s">
        <v>134</v>
      </c>
      <c r="GP25" t="s">
        <v>135</v>
      </c>
      <c r="GQ25" t="s">
        <v>502</v>
      </c>
      <c r="GR25">
        <v>5</v>
      </c>
      <c r="GS25">
        <v>4</v>
      </c>
      <c r="GT25">
        <v>1</v>
      </c>
      <c r="GU25" t="s">
        <v>457</v>
      </c>
      <c r="GV25">
        <v>536956.05628285406</v>
      </c>
      <c r="GW25">
        <v>23872845.3182218</v>
      </c>
      <c r="GX25">
        <v>24409801.3745047</v>
      </c>
      <c r="GY25">
        <v>857600</v>
      </c>
      <c r="GZ25">
        <v>23872845.3182218</v>
      </c>
      <c r="HA25">
        <v>101000000</v>
      </c>
      <c r="HB25">
        <v>303000000</v>
      </c>
      <c r="HC25">
        <v>1000000</v>
      </c>
      <c r="HD25" t="s">
        <v>458</v>
      </c>
      <c r="HE25">
        <v>0</v>
      </c>
      <c r="HF25">
        <v>1000000</v>
      </c>
      <c r="HG25">
        <v>1000000</v>
      </c>
      <c r="HH25">
        <v>1072000</v>
      </c>
      <c r="HI25">
        <v>107200</v>
      </c>
      <c r="HJ25">
        <v>964800</v>
      </c>
      <c r="HK25">
        <v>5200000</v>
      </c>
      <c r="HL25">
        <v>104000</v>
      </c>
      <c r="HM25">
        <v>5096000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6272000</v>
      </c>
      <c r="HT25">
        <v>211200</v>
      </c>
      <c r="HU25">
        <v>6060800</v>
      </c>
      <c r="HV25">
        <v>31360000</v>
      </c>
      <c r="HW25">
        <v>7.0000000000000007E-2</v>
      </c>
      <c r="HX25">
        <v>0.96964931039809399</v>
      </c>
      <c r="HY25">
        <v>1</v>
      </c>
      <c r="HZ25">
        <v>300000</v>
      </c>
      <c r="IA25">
        <v>58974.4529416351</v>
      </c>
      <c r="IB25">
        <v>0</v>
      </c>
      <c r="IC25">
        <v>0</v>
      </c>
      <c r="ID25">
        <v>331674.45294163498</v>
      </c>
      <c r="IE25">
        <v>631674.45294163504</v>
      </c>
      <c r="IF25">
        <v>612502.69769095001</v>
      </c>
      <c r="IG25">
        <v>612502.69769095001</v>
      </c>
      <c r="IH25">
        <v>0</v>
      </c>
      <c r="II25">
        <v>62247.735101433303</v>
      </c>
      <c r="IJ25">
        <v>1957819.1722755299</v>
      </c>
      <c r="IK25">
        <v>0</v>
      </c>
      <c r="IL25">
        <v>0</v>
      </c>
      <c r="IM25">
        <v>0</v>
      </c>
      <c r="IN25">
        <v>951501.09369333799</v>
      </c>
      <c r="IO25">
        <v>29926664.490497299</v>
      </c>
      <c r="IP25">
        <v>30878165.5841907</v>
      </c>
      <c r="IQ25">
        <v>536000</v>
      </c>
      <c r="IR25">
        <v>2600000</v>
      </c>
      <c r="IS25">
        <v>0</v>
      </c>
      <c r="IT25">
        <v>0</v>
      </c>
      <c r="IU25">
        <v>0</v>
      </c>
      <c r="IV25">
        <v>3136000</v>
      </c>
      <c r="IW25">
        <v>268000</v>
      </c>
      <c r="IX25">
        <v>1300000</v>
      </c>
      <c r="IY25">
        <v>0</v>
      </c>
      <c r="IZ25">
        <v>0</v>
      </c>
      <c r="JA25">
        <v>0</v>
      </c>
      <c r="JB25">
        <v>1568000</v>
      </c>
      <c r="JC25">
        <v>90000</v>
      </c>
      <c r="JD25">
        <v>434000</v>
      </c>
      <c r="JE25">
        <v>0</v>
      </c>
      <c r="JF25">
        <v>0</v>
      </c>
      <c r="JG25">
        <v>0</v>
      </c>
      <c r="JH25">
        <v>524000</v>
      </c>
    </row>
    <row r="26" spans="2:268" customFormat="1" x14ac:dyDescent="0.25">
      <c r="B26" s="2">
        <f ca="1">OFFSET(tblBaseCF[[#This Row],[Year]],-1,0)+1</f>
        <v>6</v>
      </c>
      <c r="C26" s="2">
        <f ca="1">(tblBaseCF[[#This Row],[Year]]&lt;=term)*1</f>
        <v>1</v>
      </c>
      <c r="D26" s="57">
        <f ca="1">(YEAR(rcd)+tblBaseCF[[#This Row],[Year]]-1)
*tblBaseCF[[#This Row],[PolTermFlag]]</f>
        <v>2030</v>
      </c>
      <c r="E26" s="57">
        <f ca="1">(mainLI_entry_age+tblBaseCF[[#This Row],[Year]]-1)
*tblBaseCF[[#This Row],[PolTermFlag]]</f>
        <v>5</v>
      </c>
      <c r="F26" s="57">
        <f ca="1">IF(tblBaseCF[[#This Row],[Year]]=1,1,OFFSET(tblBaseCF[[#This Row],[DeductFlag]],-1,0))
*tblBaseCF[[#This Row],[PolTermFlag]]</f>
        <v>0</v>
      </c>
      <c r="G2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6" s="57">
        <f ca="1">(tblBaseCF[[#This Row],[Year]]&lt;=acc_ben_term)
*tblBaseCF[[#This Row],[ContFlag]]</f>
        <v>0</v>
      </c>
      <c r="I26" s="57">
        <f ca="1">(tblBaseCF[[#This Row],[Year]]&lt;=tp_term)
*tblBaseCF[[#This Row],[ContFlag]]</f>
        <v>0</v>
      </c>
      <c r="J26" s="57">
        <f ca="1">(tblBaseCF[[#This Row],[Year]]&lt;=ep_term)
*tblBaseCF[[#This Row],[ContFlag]]</f>
        <v>0</v>
      </c>
      <c r="K26" s="57">
        <f ca="1">(tblBaseCF[[#This Row],[Year]]&lt;=em_load_term)*1</f>
        <v>0</v>
      </c>
      <c r="L26" s="57">
        <f ca="1">(tblBaseCF[[#This Row],[Year]]&lt;=pm_load_term)*1</f>
        <v>0</v>
      </c>
      <c r="M26" s="59">
        <f ca="1">IF(tblBaseCF[[#This Row],[Year]]=1,si,OFFSET(tblBaseCF[[#This Row],[EndSI]],-1,0))
*tblBaseCF[[#This Row],[ContFlag]]</f>
        <v>0</v>
      </c>
      <c r="N26" s="59">
        <f ca="1">OFFSET(tblBaseCF[[#This Row],[EndTAV]],-1,0)
*tblBaseCF[[#This Row],[ContFlag]]</f>
        <v>0</v>
      </c>
      <c r="O26" s="59">
        <f ca="1">OFFSET(tblBaseCF[[#This Row],[EndEAV]],-1,0)
*tblBaseCF[[#This Row],[ContFlag]]</f>
        <v>0</v>
      </c>
      <c r="P26" s="60">
        <f ca="1">tblBaseCF[[#This Row],[StartEAV]]+tblBaseCF[[#This Row],[StartTAV]]</f>
        <v>0</v>
      </c>
      <c r="Q26" s="61">
        <f ca="1">IFERROR(INDEX(tblJuvenileLienRate[Rate],MATCH(tblBaseCF[[#This Row],[Age]],tblJuvenileLienRate[Age],0)),1)
*tblBaseCF[[#This Row],[ContFlag]]</f>
        <v>0</v>
      </c>
      <c r="R2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6" s="62">
        <f ca="1">tblBaseCF[[#This Row],[StartSI]]*acc_ben_coeff*tblBaseCF[[#This Row],[JuvenileLienRate]]
*tblBaseCF[[#This Row],[AccBenTermFlag]]</f>
        <v>0</v>
      </c>
      <c r="T26" s="61">
        <f ca="1">(IFERROR(INDEX(tblSurrChrgRate[Rate],MATCH(tblBaseCF[[#This Row],[Year]],tblSurrChrgRate[Year],0)),0)
*tblBaseCF[[#This Row],[ContFlag]])</f>
        <v>0</v>
      </c>
      <c r="U26" s="60">
        <f ca="1">tp*tblBaseCF[[#This Row],[SrrChrgRate]]</f>
        <v>0</v>
      </c>
      <c r="V26" s="63">
        <f ca="1">MAX(tblBaseCF[[#This Row],[StartTAV]]-tblBaseCF[[#This Row],[SVChrg]],0)+tblBaseCF[[#This Row],[StartEAV]]</f>
        <v>0</v>
      </c>
      <c r="W26" s="59">
        <f ca="1">IFERROR(INDEX(tblWithdrawal_Output[Amount],MATCH(tblBaseCF[[#This Row],[Year]],tblWithdrawal_Output[Year],0)),0)
*tblBaseCF[[#This Row],[ContFlag]]</f>
        <v>0</v>
      </c>
      <c r="X26" s="59" t="b">
        <f ca="1">tblBaseCF[[#This Row],[WithdrawalInput]]&gt;0</f>
        <v>0</v>
      </c>
      <c r="Y26" s="59" t="b">
        <f ca="1">AND(tblBaseCF[[#This Row],[1stCheckProceed]],tblBaseCF[[#This Row],[WithdrawalInput]]&lt;=tblBaseCF[[#This Row],[StartPAV]])</f>
        <v>0</v>
      </c>
      <c r="Z26" s="59" t="b">
        <f ca="1">AND(tblBaseCF[[#This Row],[2ndCheckAmount]],(tblBaseCF[[#This Row],[StartPAV]]-tblBaseCF[[#This Row],[WithdrawalInput]])&gt;=min_pav_after_withdrawal)</f>
        <v>0</v>
      </c>
      <c r="AA2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6" s="59" t="b">
        <f ca="1">AND(tblBaseCF[[#This Row],[3rdCheckPAV]],tblBaseCF[[#This Row],[endSITest]]&gt;=min_base_si)</f>
        <v>0</v>
      </c>
      <c r="AC26" s="60">
        <f ca="1">tblBaseCF[[#This Row],[WithdrawalInput]]*tblBaseCF[[#This Row],[4thCheckSI]]</f>
        <v>0</v>
      </c>
      <c r="AD26" s="60">
        <f ca="1">MIN(tblBaseCF[[#This Row],[Withdrawal]],tblBaseCF[[#This Row],[StartEAV]])</f>
        <v>0</v>
      </c>
      <c r="AE26" s="60">
        <f ca="1">tblBaseCF[[#This Row],[Withdrawal]]-tblBaseCF[[#This Row],[EAVWithdrawal]]</f>
        <v>0</v>
      </c>
      <c r="AF26" s="60">
        <f ca="1">IF(tblBaseCF[[#This Row],[4thCheckSI]],tblBaseCF[[#This Row],[endSITest]],tblBaseCF[[#This Row],[StartSI]])</f>
        <v>0</v>
      </c>
      <c r="AG2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6" s="65">
        <f ca="1">IFERROR(INDEX(tblTPAllocChrgRate[Rate],MATCH(tblBaseCF[[#This Row],[Year]],tblTPAllocChrgRate[Year],0)),0)</f>
        <v>7.0000000000000007E-2</v>
      </c>
      <c r="AI26" s="62">
        <f ca="1">(tp+big_case_bonus_tp*(tblBaseCF[[#This Row],[Year]]=1))
*tblBaseCF[[#This Row],[TPTermFlag]]</f>
        <v>0</v>
      </c>
      <c r="AJ26" s="63">
        <f ca="1">tblBaseCF[[#This Row],[TP]]*tblBaseCF[[#This Row],[TPAllocChrgRate]]</f>
        <v>0</v>
      </c>
      <c r="AK26" s="60">
        <f ca="1">tblBaseCF[[#This Row],[TP]]-tblBaseCF[[#This Row],[TPAllocChrg]]</f>
        <v>0</v>
      </c>
      <c r="AL26" s="65">
        <f ca="1">IFERROR(INDEX(tblEPAllocChrgRate[Rate],MATCH(tblBaseCF[[#This Row],[Year]],tblEPAllocChrgRate[Year],0)),0)</f>
        <v>0.02</v>
      </c>
      <c r="AM26" s="60">
        <f ca="1">ep*tblBaseCF[[#This Row],[EPTermFlag]]</f>
        <v>0</v>
      </c>
      <c r="AN26" s="60">
        <f ca="1">tblBaseCF[[#This Row],[EP]]*tblBaseCF[[#This Row],[EPAllocChrgRate]]</f>
        <v>0</v>
      </c>
      <c r="AO26" s="63">
        <f ca="1">tblBaseCF[[#This Row],[EP]]-tblBaseCF[[#This Row],[EPAllocChrg]]</f>
        <v>0</v>
      </c>
      <c r="AP26" s="62">
        <f ca="1">tblBaseCF[[#This Row],[Ben]]*extra_prem_rate*em_load/1000/(1-tblBaseCF[[#This Row],[EPAllocChrgRate]])
*tblBaseCF[[#This Row],[EMLoadTermFlag]]</f>
        <v>0</v>
      </c>
      <c r="AQ26" s="62">
        <f ca="1">tblBaseCF[[#This Row],[Ben]]*pm_load/1000/(1-tblBaseCF[[#This Row],[EPAllocChrgRate]])
*tblBaseCF[[#This Row],[PMLoadTermFlag]]</f>
        <v>0</v>
      </c>
      <c r="AR26" s="60">
        <f ca="1">ROUNDUP(tblBaseCF[[#This Row],[UnroundedEMLoad]],-3)</f>
        <v>0</v>
      </c>
      <c r="AS26" s="62">
        <f ca="1">ROUNDUP(tblBaseCF[[#This Row],[Ben]]*pm_load/1000/(1-tblBaseCF[[#This Row],[EPAllocChrgRate]]),-3)
*tblBaseCF[[#This Row],[PMLoadTermFlag]]</f>
        <v>0</v>
      </c>
      <c r="AT26" s="60">
        <f ca="1">tblBaseCF[[#This Row],[EMLoad]]+tblBaseCF[[#This Row],[PMLoad]]</f>
        <v>0</v>
      </c>
      <c r="AU26" s="60">
        <f ca="1">tblBaseCF[[#This Row],[Load]]*tblBaseCF[[#This Row],[EPAllocChrgRate]]</f>
        <v>0</v>
      </c>
      <c r="AV26" s="60">
        <f ca="1">tblBaseCF[[#This Row],[Load]]-tblBaseCF[[#This Row],[LoadAllocChrg]]</f>
        <v>0</v>
      </c>
      <c r="AW26" s="60">
        <f ca="1">tblBaseCF[[#This Row],[TP]]+tblBaseCF[[#This Row],[EP]]+tblBaseCF[[#This Row],[Load]]</f>
        <v>0</v>
      </c>
      <c r="AX26" s="60">
        <f ca="1">tblBaseCF[[#This Row],[TPAllocChrg]]+tblBaseCF[[#This Row],[EPAllocChrg]]+tblBaseCF[[#This Row],[LoadAllocChrg]]</f>
        <v>0</v>
      </c>
      <c r="AY26" s="60">
        <f ca="1">tblBaseCF[[#This Row],[TPAlloc]]+tblBaseCF[[#This Row],[EPAlloc]]+tblBaseCF[[#This Row],[LoadAlloc]]</f>
        <v>0</v>
      </c>
      <c r="AZ26" s="60">
        <f ca="1">(OFFSET(tblBaseCF[[#This Row],[AccumTotalPrem]],-1,0)+tblBaseCF[[#This Row],[TotalPrem]])*tblBaseCF[[#This Row],[TPTermFlag]]</f>
        <v>0</v>
      </c>
      <c r="BA26" s="62">
        <f ca="1">(tblBaseCF[[#This Row],[StartTAV]]-tblBaseCF[[#This Row],[TAVWithdrawal]]+tblBaseCF[[#This Row],[TPAlloc]])
*tblBaseCF[[#This Row],[ContFlag]]</f>
        <v>0</v>
      </c>
      <c r="BB26" s="59">
        <f ca="1">(tblBaseCF[[#This Row],[StartEAV]]-tblBaseCF[[#This Row],[EAVWithdrawal]]+tblBaseCF[[#This Row],[EPAlloc]]+tblBaseCF[[#This Row],[LoadAlloc]])
*tblBaseCF[[#This Row],[ContFlag]]</f>
        <v>0</v>
      </c>
      <c r="BC26" s="59">
        <f ca="1">tblBaseCF[[#This Row],[TAVAfterWdrlAlloc]]+tblBaseCF[[#This Row],[EAVAfterWdrlAlloc]]</f>
        <v>0</v>
      </c>
      <c r="BD26" s="66">
        <f t="shared" si="2"/>
        <v>0</v>
      </c>
      <c r="BE26" s="67">
        <f>(1+tblBaseCF[[#This Row],[AnnualIntRate]])^(1/12)-1</f>
        <v>0</v>
      </c>
      <c r="BF26" s="68">
        <f>IFERROR(((1+tblBaseCF[[#This Row],[MonthlyIntRate]])^12-1)/12/(1-1/(1+tblBaseCF[[#This Row],[MonthlyIntRate]])),1)/(1+tblBaseCF[[#This Row],[AnnualIntRate]])</f>
        <v>1</v>
      </c>
      <c r="BG26" s="69">
        <f>PV(tblBaseCF[[#This Row],[MonthlyIntRate]],12,-1/12,,1)</f>
        <v>1</v>
      </c>
      <c r="BH26" s="60">
        <f ca="1">MAX(IF(death_tpd_option="A",tblBaseCF[[#This Row],[Ben]]-tblBaseCF[[#This Row],[StartPAV]],tblBaseCF[[#This Row],[Ben]]),0)</f>
        <v>0</v>
      </c>
      <c r="BI26" s="70">
        <f ca="1">IFERROR(INDEX(tblBaseCOIRate[Rate],MATCH(tblBaseCF[[#This Row],[Age]],tblBaseCOIRate[Age],0)),0)</f>
        <v>7.4999999999991697E-4</v>
      </c>
      <c r="BJ26" s="60">
        <f ca="1">tblBaseCF[[#This Row],[SAR]]*tblBaseCF[[#This Row],[COIRate]]</f>
        <v>0</v>
      </c>
      <c r="BK26" s="62">
        <f ca="1">em_load*tblBaseCF[[#This Row],[pStandardCOI]]
*tblBaseCF[[#This Row],[EMLoadTermFlag]]</f>
        <v>0</v>
      </c>
      <c r="BL26" s="62">
        <f ca="1">pm_load/1000*tblBaseCF[[#This Row],[SAR]]
*tblBaseCF[[#This Row],[PMLoadTermFlag]]</f>
        <v>0</v>
      </c>
      <c r="BM26" s="60">
        <f ca="1">tblBaseCF[[#This Row],[AccBen]]*monthly_acc_coi*12</f>
        <v>0</v>
      </c>
      <c r="BN26" s="60">
        <f ca="1">tblBaseCF[[#This Row],[pStandardCOI]]+tblBaseCF[[#This Row],[pEMLoadCOI]]+tblBaseCF[[#This Row],[pPMLoadCOI]]+tblBaseCF[[#This Row],[pAccCOI]]</f>
        <v>0</v>
      </c>
      <c r="BO26" s="62">
        <f ca="1">IFERROR(INDEX(tblAdminChrg[Amount],MATCH(tblBaseCF[[#This Row],[CalYear]],tblAdminChrg[Cal_Year],0)),0)
*tblBaseCF[[#This Row],[ContFlag]]</f>
        <v>0</v>
      </c>
      <c r="BP26" s="60">
        <f ca="1">tblBaseCF[[#This Row],[pMonthlyAdminChrg]]*12</f>
        <v>0</v>
      </c>
      <c r="BQ26" s="60">
        <f ca="1">tblBaseCF[[#This Row],[pCOI]]+tblBaseCF[[#This Row],[pAdminChrg]]</f>
        <v>0</v>
      </c>
      <c r="BR26" s="60">
        <f ca="1">tblBaseCF[[#This Row],[pNomDeduct]]*tblBaseCF[[#This Row],[Duean1m12]]</f>
        <v>0</v>
      </c>
      <c r="BS26" s="57">
        <f ca="1">(tblBaseCF[[#This Row],[PAVAfterWdrlAlloc]]&gt;=tblBaseCF[[#This Row],[pNomDeduct]])
*tblBaseCF[[#This Row],[ContFlag]]</f>
        <v>0</v>
      </c>
      <c r="BT26" s="60">
        <f ca="1">tblBaseCF[[#This Row],[pStandardCOI]]*tblBaseCF[[#This Row],[DeductFlag]]</f>
        <v>0</v>
      </c>
      <c r="BU26" s="60">
        <f ca="1">tblBaseCF[[#This Row],[pEMLoadCOI]]*tblBaseCF[[#This Row],[DeductFlag]]</f>
        <v>0</v>
      </c>
      <c r="BV26" s="60">
        <f ca="1">tblBaseCF[[#This Row],[pPMLoadCOI]]*tblBaseCF[[#This Row],[DeductFlag]]</f>
        <v>0</v>
      </c>
      <c r="BW26" s="60">
        <f ca="1">tblBaseCF[[#This Row],[pAccCOI]]*tblBaseCF[[#This Row],[DeductFlag]]</f>
        <v>0</v>
      </c>
      <c r="BX26" s="60">
        <f ca="1">tblBaseCF[[#This Row],[pCOI]]*tblBaseCF[[#This Row],[DeductFlag]]</f>
        <v>0</v>
      </c>
      <c r="BY26" s="60">
        <f ca="1">tblBaseCF[[#This Row],[pMonthlyAdminChrg]]*tblBaseCF[[#This Row],[DeductFlag]]</f>
        <v>0</v>
      </c>
      <c r="BZ26" s="60">
        <f ca="1">tblBaseCF[[#This Row],[pAdminChrg]]*tblBaseCF[[#This Row],[DeductFlag]]</f>
        <v>0</v>
      </c>
      <c r="CA26" s="60">
        <f ca="1">tblBaseCF[[#This Row],[pNomDeduct]]*tblBaseCF[[#This Row],[DeductFlag]]</f>
        <v>0</v>
      </c>
      <c r="CB26" s="60">
        <f ca="1">tblBaseCF[[#This Row],[pDeduct]]*tblBaseCF[[#This Row],[DeductFlag]]</f>
        <v>0</v>
      </c>
      <c r="CC26" s="60">
        <f ca="1">MIN(tblBaseCF[[#This Row],[TAVAfterWdrlAlloc]],tblBaseCF[[#This Row],[Deduct]])</f>
        <v>0</v>
      </c>
      <c r="CD26" s="60">
        <f ca="1">tblBaseCF[[#This Row],[Deduct]]-tblBaseCF[[#This Row],[TAVDeduct]]</f>
        <v>0</v>
      </c>
      <c r="CE26" s="69">
        <f ca="1">(tblBaseCF[[#This Row],[TAVAfterWdrlAlloc]]-tblBaseCF[[#This Row],[TAVDeduct]])*tblBaseCF[[#This Row],[AnnualIntRate]]
*tblBaseCF[[#This Row],[DeductFlag]]</f>
        <v>0</v>
      </c>
      <c r="CF26" s="69">
        <f ca="1">(tblBaseCF[[#This Row],[EAVAfterWdrlAlloc]]-tblBaseCF[[#This Row],[EAVDeduct]])*tblBaseCF[[#This Row],[AnnualIntRate]]
*tblBaseCF[[#This Row],[DeductFlag]]</f>
        <v>0</v>
      </c>
      <c r="CG26" s="69">
        <f ca="1">tblBaseCF[[#This Row],[TAVInt]]+tblBaseCF[[#This Row],[EAVInt]]</f>
        <v>0</v>
      </c>
      <c r="CH26" s="62">
        <f ca="1">IFERROR(INDEX(tblLBRate[Rate],MATCH(tblBaseCF[[#This Row],[Year]],tblLBRate[Year],0)),0)
*tblBaseCF[[#This Row],[DeductFlag]]</f>
        <v>0</v>
      </c>
      <c r="CI26" s="60">
        <f ca="1">IFERROR(SUM(OFFSET(tblBaseCF[[#This Row],[TAVWithdrawal]],0,0,-lb_review_period,1)),0)
*(tblBaseCF[[#This Row],[LBRate]]&gt;0)</f>
        <v>0</v>
      </c>
      <c r="CJ26" s="60">
        <f ca="1">(tblBaseCF[[#This Row],[LBRate]]&gt;0)*(tblBaseCF[[#This Row],[LBTAVWithdrawal]]=0)</f>
        <v>0</v>
      </c>
      <c r="CK26" s="62" cm="1">
        <f t="array" aca="1" ref="CK26" ca="1">IF(tblBaseCF[[#This Row],[LBFlag]],
_xlfn.SWITCH(base,
"ILP1",AVERAGE(OFFSET(tblBaseCF[TP],0,0,-lb_review_period,1)),tp),0)
*tblBaseCF[[#This Row],[LBFlag]]</f>
        <v>0</v>
      </c>
      <c r="CL26" s="62">
        <f ca="1">tblBaseCF[[#This Row],[LBBasis]]*tblBaseCF[[#This Row],[LBRate]]</f>
        <v>0</v>
      </c>
      <c r="CM26" s="57" cm="1">
        <f t="array" aca="1" ref="CM26" ca="1">_xlfn.SWITCH(base,
"ILP1",0,($AF126&lt;500000000)*1
+($AF126&gt;=500000000)*($AF126&lt;1000000000)*2
+($AF126&gt;=1000000000)*3)
*tblBaseCF[[#This Row],[DeductFlag]]</f>
        <v>0</v>
      </c>
      <c r="CN26" s="2" t="str">
        <f ca="1">IF(tblBaseCF[[#This Row],[DeductFlag]],base&amp;"_"&amp;tblBaseCF[[#This Row],[SBCode]]&amp;"_"&amp;tblBaseCF[[#This Row],[Year]],"")</f>
        <v/>
      </c>
      <c r="CO26" s="3">
        <f ca="1">IFERROR(INDEX(tblSBRate[Index],MATCH(tblBaseCF[[#This Row],[SBIndex]],tblSBRate[Rate],0)),0)</f>
        <v>0</v>
      </c>
      <c r="CP26" s="63">
        <f ca="1">IFERROR(SUM(OFFSET(tblBaseCF[[#This Row],[TAVWithdrawal]],0,0,-sb_review_period,1)),0)
*(tblBaseCF[[#This Row],[SBRate]]&gt;0)</f>
        <v>0</v>
      </c>
      <c r="CQ26" s="63">
        <f ca="1">(tblBaseCF[[#This Row],[SBRate]]&gt;0)*(tblBaseCF[[#This Row],[SBTAVWithdrawal]]=0)</f>
        <v>0</v>
      </c>
      <c r="CR26" s="59" cm="1">
        <f t="array" aca="1" ref="CR26" ca="1">IF(tblBaseCF[[#This Row],[LBFlag]],
_xlfn.SWITCH(base,
"ILP1",0,tp),0)*tblBaseCF[[#This Row],[SBFlag]]</f>
        <v>0</v>
      </c>
      <c r="CS26" s="63">
        <f ca="1">tblBaseCF[[#This Row],[SBBasis]]*tblBaseCF[[#This Row],[SBRate]]</f>
        <v>0</v>
      </c>
      <c r="CT26" s="63">
        <f ca="1">tblBaseCF[[#This Row],[LB]]+tblBaseCF[[#This Row],[SB]]</f>
        <v>0</v>
      </c>
      <c r="CU26" s="59">
        <f ca="1">tblBaseCF[[#This Row],[TAVAfterWdrlAlloc]]-tblBaseCF[[#This Row],[TAVDeduct]]+tblBaseCF[[#This Row],[TAVInt]]+tblBaseCF[[#This Row],[Bonus]]</f>
        <v>0</v>
      </c>
      <c r="CV26" s="59">
        <f ca="1">tblBaseCF[[#This Row],[EAVAfterWdrlAlloc]]-tblBaseCF[[#This Row],[EAVDeduct]]+tblBaseCF[[#This Row],[EAVInt]]</f>
        <v>0</v>
      </c>
      <c r="CW26" s="63">
        <f ca="1">tblBaseCF[[#This Row],[EndTAV]]+tblBaseCF[[#This Row],[EndEAV]]</f>
        <v>0</v>
      </c>
      <c r="CX26" s="59">
        <f ca="1">INDEX(tblPlanPrem[TP],2)
*tblBaseCF[[#This Row],[TPTermFlag]]</f>
        <v>0</v>
      </c>
      <c r="CY26" s="59">
        <f ca="1">INDEX(tblPlanPrem[EP],2)
*tblBaseCF[[#This Row],[TPTermFlag]]</f>
        <v>0</v>
      </c>
      <c r="CZ26" s="63">
        <f ca="1">ROUNDUP(tblBaseCF[[#This Row],[UnroundedEMLoad]]*INDEX(tblPlanPrem[Factor],2),-3)</f>
        <v>0</v>
      </c>
      <c r="DA26" s="63">
        <f ca="1">ROUNDUP(tblBaseCF[[#This Row],[UnroundedPMLoad]]*INDEX(tblPlanPrem[Factor],2),-3)</f>
        <v>0</v>
      </c>
      <c r="DB26" s="63">
        <f ca="1">tblBaseCF[[#This Row],[SemiAnnualEMLoad]]+tblBaseCF[[#This Row],[SemiAnnualPMLoad]]</f>
        <v>0</v>
      </c>
      <c r="DC26" s="63">
        <f ca="1">tblBaseCF[[#This Row],[SemiAnnualTP]]+tblBaseCF[[#This Row],[SemiAnnualEP]]+tblBaseCF[[#This Row],[SemiAnnualLoad]]</f>
        <v>0</v>
      </c>
      <c r="DD26" s="59">
        <f ca="1">INDEX(tblPlanPrem[TP],3)
*tblBaseCF[[#This Row],[TPTermFlag]]</f>
        <v>0</v>
      </c>
      <c r="DE26" s="59">
        <f ca="1">INDEX(tblPlanPrem[EP],3)
*tblBaseCF[[#This Row],[TPTermFlag]]</f>
        <v>0</v>
      </c>
      <c r="DF26" s="63">
        <f ca="1">ROUNDUP(tblBaseCF[[#This Row],[UnroundedEMLoad]]*INDEX(tblPlanPrem[Factor],3),-3)</f>
        <v>0</v>
      </c>
      <c r="DG26" s="63">
        <f ca="1">ROUNDUP(tblBaseCF[[#This Row],[UnroundedPMLoad]]*INDEX(tblPlanPrem[Factor],3),-3)</f>
        <v>0</v>
      </c>
      <c r="DH26" s="60">
        <f ca="1">tblBaseCF[[#This Row],[QuarterlyEMLoad]]+tblBaseCF[[#This Row],[QuarterlyPMLoad]]</f>
        <v>0</v>
      </c>
      <c r="DI26" s="60">
        <f ca="1">tblBaseCF[[#This Row],[QuarterlyTP]]+tblBaseCF[[#This Row],[QuarterlyEP]]+tblBaseCF[[#This Row],[QuarterlyLoad]]</f>
        <v>0</v>
      </c>
      <c r="DJ26" s="59">
        <f ca="1">INDEX(tblPlanPrem[TP],4)
*tblBaseCF[[#This Row],[TPTermFlag]]</f>
        <v>0</v>
      </c>
      <c r="DK26" s="59">
        <f ca="1">INDEX(tblPlanPrem[EP],4)
*tblBaseCF[[#This Row],[TPTermFlag]]</f>
        <v>0</v>
      </c>
      <c r="DL26" s="63">
        <f ca="1">ROUNDUP(tblBaseCF[[#This Row],[UnroundedEMLoad]]*INDEX(tblPlanPrem[Factor],4),-3)</f>
        <v>0</v>
      </c>
      <c r="DM26" s="63">
        <f ca="1">ROUNDUP(tblBaseCF[[#This Row],[UnroundedPMLoad]]*INDEX(tblPlanPrem[Factor],4),-3)</f>
        <v>0</v>
      </c>
      <c r="DN26" s="60">
        <f ca="1">tblBaseCF[[#This Row],[MonthlyEMLoad]]+tblBaseCF[[#This Row],[MonthlyPMLoad]]</f>
        <v>0</v>
      </c>
      <c r="DO26" s="63">
        <f ca="1">tblBaseCF[[#This Row],[MonthlyTP]]+tblBaseCF[[#This Row],[MonthlyEP]]+tblBaseCF[[#This Row],[MonthlyLoad]]</f>
        <v>0</v>
      </c>
      <c r="DP26" s="3"/>
      <c r="DS26">
        <f t="shared" si="3"/>
        <v>0</v>
      </c>
      <c r="DT26">
        <f t="shared" si="4"/>
        <v>0</v>
      </c>
      <c r="DU26">
        <f t="shared" si="5"/>
        <v>0</v>
      </c>
      <c r="DV26">
        <f ca="1">tblBaseCF[[#This Row],[Year]]</f>
        <v>6</v>
      </c>
      <c r="DW26">
        <f ca="1">tblBaseCF[[#This Row],[Age]]</f>
        <v>5</v>
      </c>
      <c r="DX26">
        <f ca="1">tblBaseCF[[#This Row],[ContFlag]]</f>
        <v>0</v>
      </c>
      <c r="DY26" t="str">
        <f ca="1">tblBaseCF[[#This Row],[ContLog]]</f>
        <v>Insufficient PAV for deduction - Discontinue.</v>
      </c>
      <c r="DZ26">
        <f ca="1">tblBaseCF[[#This Row],[StartTAV]]</f>
        <v>0</v>
      </c>
      <c r="EA26">
        <f ca="1">tblBaseCF[[#This Row],[StartEAV]]</f>
        <v>0</v>
      </c>
      <c r="EB26">
        <f ca="1">tblBaseCF[[#This Row],[StartPAV]]</f>
        <v>0</v>
      </c>
      <c r="EC26">
        <f ca="1">tblBaseCF[[#This Row],[SVChrg]]</f>
        <v>0</v>
      </c>
      <c r="ED26">
        <f ca="1">tblBaseCF[[#This Row],[SV]]</f>
        <v>0</v>
      </c>
      <c r="EE26">
        <f ca="1">tblBaseCF[[#This Row],[Ben]]</f>
        <v>0</v>
      </c>
      <c r="EF26">
        <f ca="1">tblBaseCF[[#This Row],[AccBen]]</f>
        <v>0</v>
      </c>
      <c r="EG26">
        <f ca="1">tblBaseCF[[#This Row],[WithdrawalInput]]</f>
        <v>0</v>
      </c>
      <c r="EH26" t="str">
        <f ca="1">tblBaseCF[[#This Row],[WithdrawalLog]]</f>
        <v>No withdrawal.</v>
      </c>
      <c r="EI26">
        <f ca="1">tblBaseCF[[#This Row],[TAVWithdrawal]]</f>
        <v>0</v>
      </c>
      <c r="EJ26">
        <f ca="1">tblBaseCF[[#This Row],[EAVWithdrawal]]</f>
        <v>0</v>
      </c>
      <c r="EK26">
        <f ca="1">tblBaseCF[[#This Row],[Withdrawal]]</f>
        <v>0</v>
      </c>
      <c r="EL26">
        <f ca="1">tblBaseCF[[#This Row],[TP]]</f>
        <v>0</v>
      </c>
      <c r="EM26">
        <f ca="1">tblBaseCF[[#This Row],[TPAllocChrg]]</f>
        <v>0</v>
      </c>
      <c r="EN26">
        <f ca="1">tblBaseCF[[#This Row],[TPAlloc]]</f>
        <v>0</v>
      </c>
      <c r="EO26">
        <f ca="1">tblBaseCF[[#This Row],[EP]]</f>
        <v>0</v>
      </c>
      <c r="EP26">
        <f ca="1">tblBaseCF[[#This Row],[EPAllocChrg]]</f>
        <v>0</v>
      </c>
      <c r="EQ26">
        <f ca="1">tblBaseCF[[#This Row],[EPAlloc]]</f>
        <v>0</v>
      </c>
      <c r="ER26">
        <f ca="1">tblBaseCF[[#This Row],[EMLoad]]</f>
        <v>0</v>
      </c>
      <c r="ES26">
        <f ca="1">tblBaseCF[[#This Row],[PMLoad]]</f>
        <v>0</v>
      </c>
      <c r="ET26">
        <f ca="1">tblBaseCF[[#This Row],[Load]]</f>
        <v>0</v>
      </c>
      <c r="EU26">
        <f ca="1">tblBaseCF[[#This Row],[LoadAllocChrg]]</f>
        <v>0</v>
      </c>
      <c r="EV26">
        <f ca="1">tblBaseCF[[#This Row],[LoadAlloc]]</f>
        <v>0</v>
      </c>
      <c r="EW26">
        <f ca="1">tblBaseCF[[#This Row],[TotalPrem]]</f>
        <v>0</v>
      </c>
      <c r="EX26">
        <f ca="1">tblBaseCF[[#This Row],[AllocChrg]]</f>
        <v>0</v>
      </c>
      <c r="EY26">
        <f ca="1">tblBaseCF[[#This Row],[Alloc]]</f>
        <v>0</v>
      </c>
      <c r="EZ26">
        <f ca="1">tblBaseCF[[#This Row],[AccumTotalPrem]]</f>
        <v>0</v>
      </c>
      <c r="FA26">
        <f>tblBaseCF[[#This Row],[AnnualIntRate]]</f>
        <v>0</v>
      </c>
      <c r="FB26" s="50">
        <f>tblBaseCF[[#This Row],[Duean1m12]]</f>
        <v>1</v>
      </c>
      <c r="FC26">
        <f ca="1">tblBaseCF[[#This Row],[DeductFlag]]</f>
        <v>0</v>
      </c>
      <c r="FD26">
        <f ca="1">tblBaseCF[[#This Row],[AdminChrg]]</f>
        <v>0</v>
      </c>
      <c r="FE26">
        <f ca="1">tblBaseCF[[#This Row],[StandardCOI]]</f>
        <v>0</v>
      </c>
      <c r="FF26">
        <f ca="1">tblBaseCF[[#This Row],[EMLoadCOI]]</f>
        <v>0</v>
      </c>
      <c r="FG26">
        <f ca="1">tblBaseCF[[#This Row],[PMLoadCOI]]</f>
        <v>0</v>
      </c>
      <c r="FH26">
        <f ca="1">tblBaseCF[[#This Row],[COI]]</f>
        <v>0</v>
      </c>
      <c r="FI26" s="47">
        <f ca="1">tblBaseCF[[#This Row],[NomDeduct]]</f>
        <v>0</v>
      </c>
      <c r="FJ26">
        <f ca="1">tblBaseCF[[#This Row],[Deduct]]</f>
        <v>0</v>
      </c>
      <c r="FK26">
        <f ca="1">tblBaseCF[[#This Row],[TAVDeduct]]</f>
        <v>0</v>
      </c>
      <c r="FL26">
        <f ca="1">tblBaseCF[[#This Row],[EAVDeduct]]</f>
        <v>0</v>
      </c>
      <c r="FM26" s="24">
        <f ca="1">tblBaseCF[[#This Row],[TAVInt]]</f>
        <v>0</v>
      </c>
      <c r="FN26">
        <f ca="1">tblBaseCF[[#This Row],[EAVInt]]</f>
        <v>0</v>
      </c>
      <c r="FO26" s="47">
        <f ca="1">tblBaseCF[[#This Row],[LB]]</f>
        <v>0</v>
      </c>
      <c r="FP26">
        <f ca="1">tblBaseCF[[#This Row],[SB]]</f>
        <v>0</v>
      </c>
      <c r="FQ26">
        <f ca="1">tblBaseCF[[#This Row],[Bonus]]</f>
        <v>0</v>
      </c>
      <c r="FR26">
        <f ca="1">tblBaseCF[[#This Row],[EndTAV]]</f>
        <v>0</v>
      </c>
      <c r="FS26">
        <f ca="1">tblBaseCF[[#This Row],[EndEAV]]</f>
        <v>0</v>
      </c>
      <c r="FT26">
        <f ca="1">tblBaseCF[[#This Row],[EndPAV]]</f>
        <v>0</v>
      </c>
      <c r="FU26">
        <f ca="1">tblBaseCF[[#This Row],[SemiAnnualTP]]</f>
        <v>0</v>
      </c>
      <c r="FV26">
        <f ca="1">tblBaseCF[[#This Row],[SemiAnnualEP]]</f>
        <v>0</v>
      </c>
      <c r="FW26">
        <f ca="1">tblBaseCF[[#This Row],[SemiAnnualEMLoad]]</f>
        <v>0</v>
      </c>
      <c r="FX26">
        <f ca="1">tblBaseCF[[#This Row],[SemiAnnualPMLoad]]</f>
        <v>0</v>
      </c>
      <c r="FY26">
        <f ca="1">tblBaseCF[[#This Row],[SemiAnnualLoad]]</f>
        <v>0</v>
      </c>
      <c r="FZ26">
        <f ca="1">tblBaseCF[[#This Row],[SemiAnnualTotalPrem]]</f>
        <v>0</v>
      </c>
      <c r="GA26">
        <f ca="1">tblBaseCF[[#This Row],[QuarterlyTP]]</f>
        <v>0</v>
      </c>
      <c r="GB26">
        <f ca="1">tblBaseCF[[#This Row],[QuarterlyEP]]</f>
        <v>0</v>
      </c>
      <c r="GC26">
        <f ca="1">tblBaseCF[[#This Row],[QuarterlyEMLoad]]</f>
        <v>0</v>
      </c>
      <c r="GD26">
        <f ca="1">tblBaseCF[[#This Row],[QuarterlyPMLoad]]</f>
        <v>0</v>
      </c>
      <c r="GE26">
        <f ca="1">tblBaseCF[[#This Row],[QuarterlyLoad]]</f>
        <v>0</v>
      </c>
      <c r="GF26">
        <f ca="1">tblBaseCF[[#This Row],[QuarterlyTotalPrem]]</f>
        <v>0</v>
      </c>
      <c r="GG26">
        <f ca="1">tblBaseCF[[#This Row],[MonthlyTP]]</f>
        <v>0</v>
      </c>
      <c r="GH26">
        <f ca="1">tblBaseCF[[#This Row],[MonthlyEP]]</f>
        <v>0</v>
      </c>
      <c r="GI26">
        <f ca="1">tblBaseCF[[#This Row],[MonthlyEMLoad]]</f>
        <v>0</v>
      </c>
      <c r="GJ26">
        <f ca="1">tblBaseCF[[#This Row],[MonthlyPMLoad]]</f>
        <v>0</v>
      </c>
      <c r="GK26">
        <f ca="1">tblBaseCF[[#This Row],[MonthlyLoad]]</f>
        <v>0</v>
      </c>
      <c r="GL26">
        <f ca="1">tblBaseCF[[#This Row],[MonthlyTotalPrem]]</f>
        <v>0</v>
      </c>
      <c r="GO26" t="s">
        <v>134</v>
      </c>
      <c r="GP26" t="s">
        <v>135</v>
      </c>
      <c r="GQ26" t="s">
        <v>502</v>
      </c>
      <c r="GR26">
        <v>6</v>
      </c>
      <c r="GS26">
        <v>5</v>
      </c>
      <c r="GT26">
        <v>1</v>
      </c>
      <c r="GU26" t="s">
        <v>457</v>
      </c>
      <c r="GV26">
        <v>951501.09369333799</v>
      </c>
      <c r="GW26">
        <v>29926664.490497299</v>
      </c>
      <c r="GX26">
        <v>30878165.5841907</v>
      </c>
      <c r="GY26">
        <v>643200</v>
      </c>
      <c r="GZ26">
        <v>30234965.5841907</v>
      </c>
      <c r="HA26">
        <v>101000000</v>
      </c>
      <c r="HB26">
        <v>303000000</v>
      </c>
      <c r="HC26">
        <v>1000000</v>
      </c>
      <c r="HD26" t="s">
        <v>458</v>
      </c>
      <c r="HE26">
        <v>0</v>
      </c>
      <c r="HF26">
        <v>1000000</v>
      </c>
      <c r="HG26">
        <v>1000000</v>
      </c>
      <c r="HH26">
        <v>1072000</v>
      </c>
      <c r="HI26">
        <v>75040</v>
      </c>
      <c r="HJ26">
        <v>996960</v>
      </c>
      <c r="HK26">
        <v>5200000</v>
      </c>
      <c r="HL26">
        <v>104000</v>
      </c>
      <c r="HM26">
        <v>5096000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6272000</v>
      </c>
      <c r="HT26">
        <v>179040</v>
      </c>
      <c r="HU26">
        <v>6092960</v>
      </c>
      <c r="HV26">
        <v>37632000</v>
      </c>
      <c r="HW26">
        <v>7.0000000000000007E-2</v>
      </c>
      <c r="HX26">
        <v>0.96964931039809399</v>
      </c>
      <c r="HY26">
        <v>1</v>
      </c>
      <c r="HZ26">
        <v>300000</v>
      </c>
      <c r="IA26">
        <v>52591.375811851198</v>
      </c>
      <c r="IB26">
        <v>0</v>
      </c>
      <c r="IC26">
        <v>0</v>
      </c>
      <c r="ID26">
        <v>325291.375811851</v>
      </c>
      <c r="IE26">
        <v>625291.375811851</v>
      </c>
      <c r="IF26">
        <v>606313.35135383694</v>
      </c>
      <c r="IG26">
        <v>606313.35135383694</v>
      </c>
      <c r="IH26">
        <v>0</v>
      </c>
      <c r="II26">
        <v>93950.341963765095</v>
      </c>
      <c r="IJ26">
        <v>2381586.51433481</v>
      </c>
      <c r="IK26">
        <v>0</v>
      </c>
      <c r="IL26">
        <v>0</v>
      </c>
      <c r="IM26">
        <v>0</v>
      </c>
      <c r="IN26">
        <v>1436098.0843032701</v>
      </c>
      <c r="IO26">
        <v>36404251.004832096</v>
      </c>
      <c r="IP26">
        <v>37840349.089135401</v>
      </c>
      <c r="IQ26">
        <v>536000</v>
      </c>
      <c r="IR26">
        <v>2600000</v>
      </c>
      <c r="IS26">
        <v>0</v>
      </c>
      <c r="IT26">
        <v>0</v>
      </c>
      <c r="IU26">
        <v>0</v>
      </c>
      <c r="IV26">
        <v>3136000</v>
      </c>
      <c r="IW26">
        <v>268000</v>
      </c>
      <c r="IX26">
        <v>1300000</v>
      </c>
      <c r="IY26">
        <v>0</v>
      </c>
      <c r="IZ26">
        <v>0</v>
      </c>
      <c r="JA26">
        <v>0</v>
      </c>
      <c r="JB26">
        <v>1568000</v>
      </c>
      <c r="JC26">
        <v>90000</v>
      </c>
      <c r="JD26">
        <v>434000</v>
      </c>
      <c r="JE26">
        <v>0</v>
      </c>
      <c r="JF26">
        <v>0</v>
      </c>
      <c r="JG26">
        <v>0</v>
      </c>
      <c r="JH26">
        <v>524000</v>
      </c>
    </row>
    <row r="27" spans="2:268" customFormat="1" x14ac:dyDescent="0.25">
      <c r="B27" s="2">
        <f ca="1">OFFSET(tblBaseCF[[#This Row],[Year]],-1,0)+1</f>
        <v>7</v>
      </c>
      <c r="C27" s="2">
        <f ca="1">(tblBaseCF[[#This Row],[Year]]&lt;=term)*1</f>
        <v>1</v>
      </c>
      <c r="D27" s="57">
        <f ca="1">(YEAR(rcd)+tblBaseCF[[#This Row],[Year]]-1)
*tblBaseCF[[#This Row],[PolTermFlag]]</f>
        <v>2031</v>
      </c>
      <c r="E27" s="57">
        <f ca="1">(mainLI_entry_age+tblBaseCF[[#This Row],[Year]]-1)
*tblBaseCF[[#This Row],[PolTermFlag]]</f>
        <v>6</v>
      </c>
      <c r="F27" s="57">
        <f ca="1">IF(tblBaseCF[[#This Row],[Year]]=1,1,OFFSET(tblBaseCF[[#This Row],[DeductFlag]],-1,0))
*tblBaseCF[[#This Row],[PolTermFlag]]</f>
        <v>0</v>
      </c>
      <c r="G2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7" s="57">
        <f ca="1">(tblBaseCF[[#This Row],[Year]]&lt;=acc_ben_term)
*tblBaseCF[[#This Row],[ContFlag]]</f>
        <v>0</v>
      </c>
      <c r="I27" s="57">
        <f ca="1">(tblBaseCF[[#This Row],[Year]]&lt;=tp_term)
*tblBaseCF[[#This Row],[ContFlag]]</f>
        <v>0</v>
      </c>
      <c r="J27" s="57">
        <f ca="1">(tblBaseCF[[#This Row],[Year]]&lt;=ep_term)
*tblBaseCF[[#This Row],[ContFlag]]</f>
        <v>0</v>
      </c>
      <c r="K27" s="57">
        <f ca="1">(tblBaseCF[[#This Row],[Year]]&lt;=em_load_term)*1</f>
        <v>0</v>
      </c>
      <c r="L27" s="57">
        <f ca="1">(tblBaseCF[[#This Row],[Year]]&lt;=pm_load_term)*1</f>
        <v>0</v>
      </c>
      <c r="M27" s="59">
        <f ca="1">IF(tblBaseCF[[#This Row],[Year]]=1,si,OFFSET(tblBaseCF[[#This Row],[EndSI]],-1,0))
*tblBaseCF[[#This Row],[ContFlag]]</f>
        <v>0</v>
      </c>
      <c r="N27" s="59">
        <f ca="1">OFFSET(tblBaseCF[[#This Row],[EndTAV]],-1,0)
*tblBaseCF[[#This Row],[ContFlag]]</f>
        <v>0</v>
      </c>
      <c r="O27" s="59">
        <f ca="1">OFFSET(tblBaseCF[[#This Row],[EndEAV]],-1,0)
*tblBaseCF[[#This Row],[ContFlag]]</f>
        <v>0</v>
      </c>
      <c r="P27" s="60">
        <f ca="1">tblBaseCF[[#This Row],[StartEAV]]+tblBaseCF[[#This Row],[StartTAV]]</f>
        <v>0</v>
      </c>
      <c r="Q27" s="61">
        <f ca="1">IFERROR(INDEX(tblJuvenileLienRate[Rate],MATCH(tblBaseCF[[#This Row],[Age]],tblJuvenileLienRate[Age],0)),1)
*tblBaseCF[[#This Row],[ContFlag]]</f>
        <v>0</v>
      </c>
      <c r="R2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7" s="62">
        <f ca="1">tblBaseCF[[#This Row],[StartSI]]*acc_ben_coeff*tblBaseCF[[#This Row],[JuvenileLienRate]]
*tblBaseCF[[#This Row],[AccBenTermFlag]]</f>
        <v>0</v>
      </c>
      <c r="T27" s="61">
        <f ca="1">(IFERROR(INDEX(tblSurrChrgRate[Rate],MATCH(tblBaseCF[[#This Row],[Year]],tblSurrChrgRate[Year],0)),0)
*tblBaseCF[[#This Row],[ContFlag]])</f>
        <v>0</v>
      </c>
      <c r="U27" s="60">
        <f ca="1">tp*tblBaseCF[[#This Row],[SrrChrgRate]]</f>
        <v>0</v>
      </c>
      <c r="V27" s="63">
        <f ca="1">MAX(tblBaseCF[[#This Row],[StartTAV]]-tblBaseCF[[#This Row],[SVChrg]],0)+tblBaseCF[[#This Row],[StartEAV]]</f>
        <v>0</v>
      </c>
      <c r="W27" s="59">
        <f ca="1">IFERROR(INDEX(tblWithdrawal_Output[Amount],MATCH(tblBaseCF[[#This Row],[Year]],tblWithdrawal_Output[Year],0)),0)
*tblBaseCF[[#This Row],[ContFlag]]</f>
        <v>0</v>
      </c>
      <c r="X27" s="59" t="b">
        <f ca="1">tblBaseCF[[#This Row],[WithdrawalInput]]&gt;0</f>
        <v>0</v>
      </c>
      <c r="Y27" s="59" t="b">
        <f ca="1">AND(tblBaseCF[[#This Row],[1stCheckProceed]],tblBaseCF[[#This Row],[WithdrawalInput]]&lt;=tblBaseCF[[#This Row],[StartPAV]])</f>
        <v>0</v>
      </c>
      <c r="Z27" s="59" t="b">
        <f ca="1">AND(tblBaseCF[[#This Row],[2ndCheckAmount]],(tblBaseCF[[#This Row],[StartPAV]]-tblBaseCF[[#This Row],[WithdrawalInput]])&gt;=min_pav_after_withdrawal)</f>
        <v>0</v>
      </c>
      <c r="AA2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7" s="59" t="b">
        <f ca="1">AND(tblBaseCF[[#This Row],[3rdCheckPAV]],tblBaseCF[[#This Row],[endSITest]]&gt;=min_base_si)</f>
        <v>0</v>
      </c>
      <c r="AC27" s="60">
        <f ca="1">tblBaseCF[[#This Row],[WithdrawalInput]]*tblBaseCF[[#This Row],[4thCheckSI]]</f>
        <v>0</v>
      </c>
      <c r="AD27" s="60">
        <f ca="1">MIN(tblBaseCF[[#This Row],[Withdrawal]],tblBaseCF[[#This Row],[StartEAV]])</f>
        <v>0</v>
      </c>
      <c r="AE27" s="60">
        <f ca="1">tblBaseCF[[#This Row],[Withdrawal]]-tblBaseCF[[#This Row],[EAVWithdrawal]]</f>
        <v>0</v>
      </c>
      <c r="AF27" s="60">
        <f ca="1">IF(tblBaseCF[[#This Row],[4thCheckSI]],tblBaseCF[[#This Row],[endSITest]],tblBaseCF[[#This Row],[StartSI]])</f>
        <v>0</v>
      </c>
      <c r="AG2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7" s="65">
        <f ca="1">IFERROR(INDEX(tblTPAllocChrgRate[Rate],MATCH(tblBaseCF[[#This Row],[Year]],tblTPAllocChrgRate[Year],0)),0)</f>
        <v>7.0000000000000007E-2</v>
      </c>
      <c r="AI27" s="62">
        <f ca="1">(tp+big_case_bonus_tp*(tblBaseCF[[#This Row],[Year]]=1))
*tblBaseCF[[#This Row],[TPTermFlag]]</f>
        <v>0</v>
      </c>
      <c r="AJ27" s="63">
        <f ca="1">tblBaseCF[[#This Row],[TP]]*tblBaseCF[[#This Row],[TPAllocChrgRate]]</f>
        <v>0</v>
      </c>
      <c r="AK27" s="60">
        <f ca="1">tblBaseCF[[#This Row],[TP]]-tblBaseCF[[#This Row],[TPAllocChrg]]</f>
        <v>0</v>
      </c>
      <c r="AL27" s="65">
        <f ca="1">IFERROR(INDEX(tblEPAllocChrgRate[Rate],MATCH(tblBaseCF[[#This Row],[Year]],tblEPAllocChrgRate[Year],0)),0)</f>
        <v>0.02</v>
      </c>
      <c r="AM27" s="60">
        <f ca="1">ep*tblBaseCF[[#This Row],[EPTermFlag]]</f>
        <v>0</v>
      </c>
      <c r="AN27" s="60">
        <f ca="1">tblBaseCF[[#This Row],[EP]]*tblBaseCF[[#This Row],[EPAllocChrgRate]]</f>
        <v>0</v>
      </c>
      <c r="AO27" s="63">
        <f ca="1">tblBaseCF[[#This Row],[EP]]-tblBaseCF[[#This Row],[EPAllocChrg]]</f>
        <v>0</v>
      </c>
      <c r="AP27" s="62">
        <f ca="1">tblBaseCF[[#This Row],[Ben]]*extra_prem_rate*em_load/1000/(1-tblBaseCF[[#This Row],[EPAllocChrgRate]])
*tblBaseCF[[#This Row],[EMLoadTermFlag]]</f>
        <v>0</v>
      </c>
      <c r="AQ27" s="62">
        <f ca="1">tblBaseCF[[#This Row],[Ben]]*pm_load/1000/(1-tblBaseCF[[#This Row],[EPAllocChrgRate]])
*tblBaseCF[[#This Row],[PMLoadTermFlag]]</f>
        <v>0</v>
      </c>
      <c r="AR27" s="60">
        <f ca="1">ROUNDUP(tblBaseCF[[#This Row],[UnroundedEMLoad]],-3)</f>
        <v>0</v>
      </c>
      <c r="AS27" s="62">
        <f ca="1">ROUNDUP(tblBaseCF[[#This Row],[Ben]]*pm_load/1000/(1-tblBaseCF[[#This Row],[EPAllocChrgRate]]),-3)
*tblBaseCF[[#This Row],[PMLoadTermFlag]]</f>
        <v>0</v>
      </c>
      <c r="AT27" s="60">
        <f ca="1">tblBaseCF[[#This Row],[EMLoad]]+tblBaseCF[[#This Row],[PMLoad]]</f>
        <v>0</v>
      </c>
      <c r="AU27" s="60">
        <f ca="1">tblBaseCF[[#This Row],[Load]]*tblBaseCF[[#This Row],[EPAllocChrgRate]]</f>
        <v>0</v>
      </c>
      <c r="AV27" s="60">
        <f ca="1">tblBaseCF[[#This Row],[Load]]-tblBaseCF[[#This Row],[LoadAllocChrg]]</f>
        <v>0</v>
      </c>
      <c r="AW27" s="60">
        <f ca="1">tblBaseCF[[#This Row],[TP]]+tblBaseCF[[#This Row],[EP]]+tblBaseCF[[#This Row],[Load]]</f>
        <v>0</v>
      </c>
      <c r="AX27" s="60">
        <f ca="1">tblBaseCF[[#This Row],[TPAllocChrg]]+tblBaseCF[[#This Row],[EPAllocChrg]]+tblBaseCF[[#This Row],[LoadAllocChrg]]</f>
        <v>0</v>
      </c>
      <c r="AY27" s="60">
        <f ca="1">tblBaseCF[[#This Row],[TPAlloc]]+tblBaseCF[[#This Row],[EPAlloc]]+tblBaseCF[[#This Row],[LoadAlloc]]</f>
        <v>0</v>
      </c>
      <c r="AZ27" s="60">
        <f ca="1">(OFFSET(tblBaseCF[[#This Row],[AccumTotalPrem]],-1,0)+tblBaseCF[[#This Row],[TotalPrem]])*tblBaseCF[[#This Row],[TPTermFlag]]</f>
        <v>0</v>
      </c>
      <c r="BA27" s="62">
        <f ca="1">(tblBaseCF[[#This Row],[StartTAV]]-tblBaseCF[[#This Row],[TAVWithdrawal]]+tblBaseCF[[#This Row],[TPAlloc]])
*tblBaseCF[[#This Row],[ContFlag]]</f>
        <v>0</v>
      </c>
      <c r="BB27" s="59">
        <f ca="1">(tblBaseCF[[#This Row],[StartEAV]]-tblBaseCF[[#This Row],[EAVWithdrawal]]+tblBaseCF[[#This Row],[EPAlloc]]+tblBaseCF[[#This Row],[LoadAlloc]])
*tblBaseCF[[#This Row],[ContFlag]]</f>
        <v>0</v>
      </c>
      <c r="BC27" s="59">
        <f ca="1">tblBaseCF[[#This Row],[TAVAfterWdrlAlloc]]+tblBaseCF[[#This Row],[EAVAfterWdrlAlloc]]</f>
        <v>0</v>
      </c>
      <c r="BD27" s="66">
        <f t="shared" si="2"/>
        <v>0</v>
      </c>
      <c r="BE27" s="67">
        <f>(1+tblBaseCF[[#This Row],[AnnualIntRate]])^(1/12)-1</f>
        <v>0</v>
      </c>
      <c r="BF27" s="68">
        <f>IFERROR(((1+tblBaseCF[[#This Row],[MonthlyIntRate]])^12-1)/12/(1-1/(1+tblBaseCF[[#This Row],[MonthlyIntRate]])),1)/(1+tblBaseCF[[#This Row],[AnnualIntRate]])</f>
        <v>1</v>
      </c>
      <c r="BG27" s="69">
        <f>PV(tblBaseCF[[#This Row],[MonthlyIntRate]],12,-1/12,,1)</f>
        <v>1</v>
      </c>
      <c r="BH27" s="60">
        <f ca="1">MAX(IF(death_tpd_option="A",tblBaseCF[[#This Row],[Ben]]-tblBaseCF[[#This Row],[StartPAV]],tblBaseCF[[#This Row],[Ben]]),0)</f>
        <v>0</v>
      </c>
      <c r="BI27" s="70">
        <f ca="1">IFERROR(INDEX(tblBaseCOIRate[Rate],MATCH(tblBaseCF[[#This Row],[Age]],tblBaseCOIRate[Age],0)),0)</f>
        <v>7.3000000000000799E-4</v>
      </c>
      <c r="BJ27" s="60">
        <f ca="1">tblBaseCF[[#This Row],[SAR]]*tblBaseCF[[#This Row],[COIRate]]</f>
        <v>0</v>
      </c>
      <c r="BK27" s="62">
        <f ca="1">em_load*tblBaseCF[[#This Row],[pStandardCOI]]
*tblBaseCF[[#This Row],[EMLoadTermFlag]]</f>
        <v>0</v>
      </c>
      <c r="BL27" s="62">
        <f ca="1">pm_load/1000*tblBaseCF[[#This Row],[SAR]]
*tblBaseCF[[#This Row],[PMLoadTermFlag]]</f>
        <v>0</v>
      </c>
      <c r="BM27" s="60">
        <f ca="1">tblBaseCF[[#This Row],[AccBen]]*monthly_acc_coi*12</f>
        <v>0</v>
      </c>
      <c r="BN27" s="60">
        <f ca="1">tblBaseCF[[#This Row],[pStandardCOI]]+tblBaseCF[[#This Row],[pEMLoadCOI]]+tblBaseCF[[#This Row],[pPMLoadCOI]]+tblBaseCF[[#This Row],[pAccCOI]]</f>
        <v>0</v>
      </c>
      <c r="BO27" s="62">
        <f ca="1">IFERROR(INDEX(tblAdminChrg[Amount],MATCH(tblBaseCF[[#This Row],[CalYear]],tblAdminChrg[Cal_Year],0)),0)
*tblBaseCF[[#This Row],[ContFlag]]</f>
        <v>0</v>
      </c>
      <c r="BP27" s="60">
        <f ca="1">tblBaseCF[[#This Row],[pMonthlyAdminChrg]]*12</f>
        <v>0</v>
      </c>
      <c r="BQ27" s="60">
        <f ca="1">tblBaseCF[[#This Row],[pCOI]]+tblBaseCF[[#This Row],[pAdminChrg]]</f>
        <v>0</v>
      </c>
      <c r="BR27" s="60">
        <f ca="1">tblBaseCF[[#This Row],[pNomDeduct]]*tblBaseCF[[#This Row],[Duean1m12]]</f>
        <v>0</v>
      </c>
      <c r="BS27" s="57">
        <f ca="1">(tblBaseCF[[#This Row],[PAVAfterWdrlAlloc]]&gt;=tblBaseCF[[#This Row],[pNomDeduct]])
*tblBaseCF[[#This Row],[ContFlag]]</f>
        <v>0</v>
      </c>
      <c r="BT27" s="60">
        <f ca="1">tblBaseCF[[#This Row],[pStandardCOI]]*tblBaseCF[[#This Row],[DeductFlag]]</f>
        <v>0</v>
      </c>
      <c r="BU27" s="60">
        <f ca="1">tblBaseCF[[#This Row],[pEMLoadCOI]]*tblBaseCF[[#This Row],[DeductFlag]]</f>
        <v>0</v>
      </c>
      <c r="BV27" s="60">
        <f ca="1">tblBaseCF[[#This Row],[pPMLoadCOI]]*tblBaseCF[[#This Row],[DeductFlag]]</f>
        <v>0</v>
      </c>
      <c r="BW27" s="60">
        <f ca="1">tblBaseCF[[#This Row],[pAccCOI]]*tblBaseCF[[#This Row],[DeductFlag]]</f>
        <v>0</v>
      </c>
      <c r="BX27" s="60">
        <f ca="1">tblBaseCF[[#This Row],[pCOI]]*tblBaseCF[[#This Row],[DeductFlag]]</f>
        <v>0</v>
      </c>
      <c r="BY27" s="60">
        <f ca="1">tblBaseCF[[#This Row],[pMonthlyAdminChrg]]*tblBaseCF[[#This Row],[DeductFlag]]</f>
        <v>0</v>
      </c>
      <c r="BZ27" s="60">
        <f ca="1">tblBaseCF[[#This Row],[pAdminChrg]]*tblBaseCF[[#This Row],[DeductFlag]]</f>
        <v>0</v>
      </c>
      <c r="CA27" s="60">
        <f ca="1">tblBaseCF[[#This Row],[pNomDeduct]]*tblBaseCF[[#This Row],[DeductFlag]]</f>
        <v>0</v>
      </c>
      <c r="CB27" s="60">
        <f ca="1">tblBaseCF[[#This Row],[pDeduct]]*tblBaseCF[[#This Row],[DeductFlag]]</f>
        <v>0</v>
      </c>
      <c r="CC27" s="60">
        <f ca="1">MIN(tblBaseCF[[#This Row],[TAVAfterWdrlAlloc]],tblBaseCF[[#This Row],[Deduct]])</f>
        <v>0</v>
      </c>
      <c r="CD27" s="60">
        <f ca="1">tblBaseCF[[#This Row],[Deduct]]-tblBaseCF[[#This Row],[TAVDeduct]]</f>
        <v>0</v>
      </c>
      <c r="CE27" s="69">
        <f ca="1">(tblBaseCF[[#This Row],[TAVAfterWdrlAlloc]]-tblBaseCF[[#This Row],[TAVDeduct]])*tblBaseCF[[#This Row],[AnnualIntRate]]
*tblBaseCF[[#This Row],[DeductFlag]]</f>
        <v>0</v>
      </c>
      <c r="CF27" s="69">
        <f ca="1">(tblBaseCF[[#This Row],[EAVAfterWdrlAlloc]]-tblBaseCF[[#This Row],[EAVDeduct]])*tblBaseCF[[#This Row],[AnnualIntRate]]
*tblBaseCF[[#This Row],[DeductFlag]]</f>
        <v>0</v>
      </c>
      <c r="CG27" s="69">
        <f ca="1">tblBaseCF[[#This Row],[TAVInt]]+tblBaseCF[[#This Row],[EAVInt]]</f>
        <v>0</v>
      </c>
      <c r="CH27" s="62">
        <f ca="1">IFERROR(INDEX(tblLBRate[Rate],MATCH(tblBaseCF[[#This Row],[Year]],tblLBRate[Year],0)),0)
*tblBaseCF[[#This Row],[DeductFlag]]</f>
        <v>0</v>
      </c>
      <c r="CI27" s="60">
        <f ca="1">IFERROR(SUM(OFFSET(tblBaseCF[[#This Row],[TAVWithdrawal]],0,0,-lb_review_period,1)),0)
*(tblBaseCF[[#This Row],[LBRate]]&gt;0)</f>
        <v>0</v>
      </c>
      <c r="CJ27" s="60">
        <f ca="1">(tblBaseCF[[#This Row],[LBRate]]&gt;0)*(tblBaseCF[[#This Row],[LBTAVWithdrawal]]=0)</f>
        <v>0</v>
      </c>
      <c r="CK27" s="62" cm="1">
        <f t="array" aca="1" ref="CK27" ca="1">IF(tblBaseCF[[#This Row],[LBFlag]],
_xlfn.SWITCH(base,
"ILP1",AVERAGE(OFFSET(tblBaseCF[TP],0,0,-lb_review_period,1)),tp),0)
*tblBaseCF[[#This Row],[LBFlag]]</f>
        <v>0</v>
      </c>
      <c r="CL27" s="62">
        <f ca="1">tblBaseCF[[#This Row],[LBBasis]]*tblBaseCF[[#This Row],[LBRate]]</f>
        <v>0</v>
      </c>
      <c r="CM27" s="57" cm="1">
        <f t="array" aca="1" ref="CM27" ca="1">_xlfn.SWITCH(base,
"ILP1",0,($AF127&lt;500000000)*1
+($AF127&gt;=500000000)*($AF127&lt;1000000000)*2
+($AF127&gt;=1000000000)*3)
*tblBaseCF[[#This Row],[DeductFlag]]</f>
        <v>0</v>
      </c>
      <c r="CN27" s="2" t="str">
        <f ca="1">IF(tblBaseCF[[#This Row],[DeductFlag]],base&amp;"_"&amp;tblBaseCF[[#This Row],[SBCode]]&amp;"_"&amp;tblBaseCF[[#This Row],[Year]],"")</f>
        <v/>
      </c>
      <c r="CO27" s="3">
        <f ca="1">IFERROR(INDEX(tblSBRate[Index],MATCH(tblBaseCF[[#This Row],[SBIndex]],tblSBRate[Rate],0)),0)</f>
        <v>0</v>
      </c>
      <c r="CP27" s="63">
        <f ca="1">IFERROR(SUM(OFFSET(tblBaseCF[[#This Row],[TAVWithdrawal]],0,0,-sb_review_period,1)),0)
*(tblBaseCF[[#This Row],[SBRate]]&gt;0)</f>
        <v>0</v>
      </c>
      <c r="CQ27" s="63">
        <f ca="1">(tblBaseCF[[#This Row],[SBRate]]&gt;0)*(tblBaseCF[[#This Row],[SBTAVWithdrawal]]=0)</f>
        <v>0</v>
      </c>
      <c r="CR27" s="59" cm="1">
        <f t="array" aca="1" ref="CR27" ca="1">IF(tblBaseCF[[#This Row],[LBFlag]],
_xlfn.SWITCH(base,
"ILP1",0,tp),0)*tblBaseCF[[#This Row],[SBFlag]]</f>
        <v>0</v>
      </c>
      <c r="CS27" s="63">
        <f ca="1">tblBaseCF[[#This Row],[SBBasis]]*tblBaseCF[[#This Row],[SBRate]]</f>
        <v>0</v>
      </c>
      <c r="CT27" s="63">
        <f ca="1">tblBaseCF[[#This Row],[LB]]+tblBaseCF[[#This Row],[SB]]</f>
        <v>0</v>
      </c>
      <c r="CU27" s="59">
        <f ca="1">tblBaseCF[[#This Row],[TAVAfterWdrlAlloc]]-tblBaseCF[[#This Row],[TAVDeduct]]+tblBaseCF[[#This Row],[TAVInt]]+tblBaseCF[[#This Row],[Bonus]]</f>
        <v>0</v>
      </c>
      <c r="CV27" s="59">
        <f ca="1">tblBaseCF[[#This Row],[EAVAfterWdrlAlloc]]-tblBaseCF[[#This Row],[EAVDeduct]]+tblBaseCF[[#This Row],[EAVInt]]</f>
        <v>0</v>
      </c>
      <c r="CW27" s="63">
        <f ca="1">tblBaseCF[[#This Row],[EndTAV]]+tblBaseCF[[#This Row],[EndEAV]]</f>
        <v>0</v>
      </c>
      <c r="CX27" s="59">
        <f ca="1">INDEX(tblPlanPrem[TP],2)
*tblBaseCF[[#This Row],[TPTermFlag]]</f>
        <v>0</v>
      </c>
      <c r="CY27" s="59">
        <f ca="1">INDEX(tblPlanPrem[EP],2)
*tblBaseCF[[#This Row],[TPTermFlag]]</f>
        <v>0</v>
      </c>
      <c r="CZ27" s="63">
        <f ca="1">ROUNDUP(tblBaseCF[[#This Row],[UnroundedEMLoad]]*INDEX(tblPlanPrem[Factor],2),-3)</f>
        <v>0</v>
      </c>
      <c r="DA27" s="63">
        <f ca="1">ROUNDUP(tblBaseCF[[#This Row],[UnroundedPMLoad]]*INDEX(tblPlanPrem[Factor],2),-3)</f>
        <v>0</v>
      </c>
      <c r="DB27" s="63">
        <f ca="1">tblBaseCF[[#This Row],[SemiAnnualEMLoad]]+tblBaseCF[[#This Row],[SemiAnnualPMLoad]]</f>
        <v>0</v>
      </c>
      <c r="DC27" s="63">
        <f ca="1">tblBaseCF[[#This Row],[SemiAnnualTP]]+tblBaseCF[[#This Row],[SemiAnnualEP]]+tblBaseCF[[#This Row],[SemiAnnualLoad]]</f>
        <v>0</v>
      </c>
      <c r="DD27" s="59">
        <f ca="1">INDEX(tblPlanPrem[TP],3)
*tblBaseCF[[#This Row],[TPTermFlag]]</f>
        <v>0</v>
      </c>
      <c r="DE27" s="59">
        <f ca="1">INDEX(tblPlanPrem[EP],3)
*tblBaseCF[[#This Row],[TPTermFlag]]</f>
        <v>0</v>
      </c>
      <c r="DF27" s="63">
        <f ca="1">ROUNDUP(tblBaseCF[[#This Row],[UnroundedEMLoad]]*INDEX(tblPlanPrem[Factor],3),-3)</f>
        <v>0</v>
      </c>
      <c r="DG27" s="63">
        <f ca="1">ROUNDUP(tblBaseCF[[#This Row],[UnroundedPMLoad]]*INDEX(tblPlanPrem[Factor],3),-3)</f>
        <v>0</v>
      </c>
      <c r="DH27" s="60">
        <f ca="1">tblBaseCF[[#This Row],[QuarterlyEMLoad]]+tblBaseCF[[#This Row],[QuarterlyPMLoad]]</f>
        <v>0</v>
      </c>
      <c r="DI27" s="60">
        <f ca="1">tblBaseCF[[#This Row],[QuarterlyTP]]+tblBaseCF[[#This Row],[QuarterlyEP]]+tblBaseCF[[#This Row],[QuarterlyLoad]]</f>
        <v>0</v>
      </c>
      <c r="DJ27" s="59">
        <f ca="1">INDEX(tblPlanPrem[TP],4)
*tblBaseCF[[#This Row],[TPTermFlag]]</f>
        <v>0</v>
      </c>
      <c r="DK27" s="59">
        <f ca="1">INDEX(tblPlanPrem[EP],4)
*tblBaseCF[[#This Row],[TPTermFlag]]</f>
        <v>0</v>
      </c>
      <c r="DL27" s="63">
        <f ca="1">ROUNDUP(tblBaseCF[[#This Row],[UnroundedEMLoad]]*INDEX(tblPlanPrem[Factor],4),-3)</f>
        <v>0</v>
      </c>
      <c r="DM27" s="63">
        <f ca="1">ROUNDUP(tblBaseCF[[#This Row],[UnroundedPMLoad]]*INDEX(tblPlanPrem[Factor],4),-3)</f>
        <v>0</v>
      </c>
      <c r="DN27" s="60">
        <f ca="1">tblBaseCF[[#This Row],[MonthlyEMLoad]]+tblBaseCF[[#This Row],[MonthlyPMLoad]]</f>
        <v>0</v>
      </c>
      <c r="DO27" s="63">
        <f ca="1">tblBaseCF[[#This Row],[MonthlyTP]]+tblBaseCF[[#This Row],[MonthlyEP]]+tblBaseCF[[#This Row],[MonthlyLoad]]</f>
        <v>0</v>
      </c>
      <c r="DP27" s="3"/>
      <c r="DS27">
        <f t="shared" si="3"/>
        <v>0</v>
      </c>
      <c r="DT27">
        <f t="shared" si="4"/>
        <v>0</v>
      </c>
      <c r="DU27">
        <f t="shared" si="5"/>
        <v>0</v>
      </c>
      <c r="DV27">
        <f ca="1">tblBaseCF[[#This Row],[Year]]</f>
        <v>7</v>
      </c>
      <c r="DW27">
        <f ca="1">tblBaseCF[[#This Row],[Age]]</f>
        <v>6</v>
      </c>
      <c r="DX27">
        <f ca="1">tblBaseCF[[#This Row],[ContFlag]]</f>
        <v>0</v>
      </c>
      <c r="DY27" t="str">
        <f ca="1">tblBaseCF[[#This Row],[ContLog]]</f>
        <v>Insufficient PAV for deduction - Discontinue.</v>
      </c>
      <c r="DZ27">
        <f ca="1">tblBaseCF[[#This Row],[StartTAV]]</f>
        <v>0</v>
      </c>
      <c r="EA27">
        <f ca="1">tblBaseCF[[#This Row],[StartEAV]]</f>
        <v>0</v>
      </c>
      <c r="EB27">
        <f ca="1">tblBaseCF[[#This Row],[StartPAV]]</f>
        <v>0</v>
      </c>
      <c r="EC27">
        <f ca="1">tblBaseCF[[#This Row],[SVChrg]]</f>
        <v>0</v>
      </c>
      <c r="ED27">
        <f ca="1">tblBaseCF[[#This Row],[SV]]</f>
        <v>0</v>
      </c>
      <c r="EE27">
        <f ca="1">tblBaseCF[[#This Row],[Ben]]</f>
        <v>0</v>
      </c>
      <c r="EF27">
        <f ca="1">tblBaseCF[[#This Row],[AccBen]]</f>
        <v>0</v>
      </c>
      <c r="EG27">
        <f ca="1">tblBaseCF[[#This Row],[WithdrawalInput]]</f>
        <v>0</v>
      </c>
      <c r="EH27" t="str">
        <f ca="1">tblBaseCF[[#This Row],[WithdrawalLog]]</f>
        <v>No withdrawal.</v>
      </c>
      <c r="EI27">
        <f ca="1">tblBaseCF[[#This Row],[TAVWithdrawal]]</f>
        <v>0</v>
      </c>
      <c r="EJ27">
        <f ca="1">tblBaseCF[[#This Row],[EAVWithdrawal]]</f>
        <v>0</v>
      </c>
      <c r="EK27">
        <f ca="1">tblBaseCF[[#This Row],[Withdrawal]]</f>
        <v>0</v>
      </c>
      <c r="EL27">
        <f ca="1">tblBaseCF[[#This Row],[TP]]</f>
        <v>0</v>
      </c>
      <c r="EM27">
        <f ca="1">tblBaseCF[[#This Row],[TPAllocChrg]]</f>
        <v>0</v>
      </c>
      <c r="EN27">
        <f ca="1">tblBaseCF[[#This Row],[TPAlloc]]</f>
        <v>0</v>
      </c>
      <c r="EO27">
        <f ca="1">tblBaseCF[[#This Row],[EP]]</f>
        <v>0</v>
      </c>
      <c r="EP27">
        <f ca="1">tblBaseCF[[#This Row],[EPAllocChrg]]</f>
        <v>0</v>
      </c>
      <c r="EQ27">
        <f ca="1">tblBaseCF[[#This Row],[EPAlloc]]</f>
        <v>0</v>
      </c>
      <c r="ER27">
        <f ca="1">tblBaseCF[[#This Row],[EMLoad]]</f>
        <v>0</v>
      </c>
      <c r="ES27">
        <f ca="1">tblBaseCF[[#This Row],[PMLoad]]</f>
        <v>0</v>
      </c>
      <c r="ET27">
        <f ca="1">tblBaseCF[[#This Row],[Load]]</f>
        <v>0</v>
      </c>
      <c r="EU27">
        <f ca="1">tblBaseCF[[#This Row],[LoadAllocChrg]]</f>
        <v>0</v>
      </c>
      <c r="EV27">
        <f ca="1">tblBaseCF[[#This Row],[LoadAlloc]]</f>
        <v>0</v>
      </c>
      <c r="EW27">
        <f ca="1">tblBaseCF[[#This Row],[TotalPrem]]</f>
        <v>0</v>
      </c>
      <c r="EX27">
        <f ca="1">tblBaseCF[[#This Row],[AllocChrg]]</f>
        <v>0</v>
      </c>
      <c r="EY27">
        <f ca="1">tblBaseCF[[#This Row],[Alloc]]</f>
        <v>0</v>
      </c>
      <c r="EZ27">
        <f ca="1">tblBaseCF[[#This Row],[AccumTotalPrem]]</f>
        <v>0</v>
      </c>
      <c r="FA27">
        <f>tblBaseCF[[#This Row],[AnnualIntRate]]</f>
        <v>0</v>
      </c>
      <c r="FB27" s="50">
        <f>tblBaseCF[[#This Row],[Duean1m12]]</f>
        <v>1</v>
      </c>
      <c r="FC27">
        <f ca="1">tblBaseCF[[#This Row],[DeductFlag]]</f>
        <v>0</v>
      </c>
      <c r="FD27">
        <f ca="1">tblBaseCF[[#This Row],[AdminChrg]]</f>
        <v>0</v>
      </c>
      <c r="FE27">
        <f ca="1">tblBaseCF[[#This Row],[StandardCOI]]</f>
        <v>0</v>
      </c>
      <c r="FF27">
        <f ca="1">tblBaseCF[[#This Row],[EMLoadCOI]]</f>
        <v>0</v>
      </c>
      <c r="FG27">
        <f ca="1">tblBaseCF[[#This Row],[PMLoadCOI]]</f>
        <v>0</v>
      </c>
      <c r="FH27">
        <f ca="1">tblBaseCF[[#This Row],[COI]]</f>
        <v>0</v>
      </c>
      <c r="FI27" s="47">
        <f ca="1">tblBaseCF[[#This Row],[NomDeduct]]</f>
        <v>0</v>
      </c>
      <c r="FJ27">
        <f ca="1">tblBaseCF[[#This Row],[Deduct]]</f>
        <v>0</v>
      </c>
      <c r="FK27">
        <f ca="1">tblBaseCF[[#This Row],[TAVDeduct]]</f>
        <v>0</v>
      </c>
      <c r="FL27">
        <f ca="1">tblBaseCF[[#This Row],[EAVDeduct]]</f>
        <v>0</v>
      </c>
      <c r="FM27" s="24">
        <f ca="1">tblBaseCF[[#This Row],[TAVInt]]</f>
        <v>0</v>
      </c>
      <c r="FN27">
        <f ca="1">tblBaseCF[[#This Row],[EAVInt]]</f>
        <v>0</v>
      </c>
      <c r="FO27" s="47">
        <f ca="1">tblBaseCF[[#This Row],[LB]]</f>
        <v>0</v>
      </c>
      <c r="FP27">
        <f ca="1">tblBaseCF[[#This Row],[SB]]</f>
        <v>0</v>
      </c>
      <c r="FQ27">
        <f ca="1">tblBaseCF[[#This Row],[Bonus]]</f>
        <v>0</v>
      </c>
      <c r="FR27">
        <f ca="1">tblBaseCF[[#This Row],[EndTAV]]</f>
        <v>0</v>
      </c>
      <c r="FS27">
        <f ca="1">tblBaseCF[[#This Row],[EndEAV]]</f>
        <v>0</v>
      </c>
      <c r="FT27">
        <f ca="1">tblBaseCF[[#This Row],[EndPAV]]</f>
        <v>0</v>
      </c>
      <c r="FU27">
        <f ca="1">tblBaseCF[[#This Row],[SemiAnnualTP]]</f>
        <v>0</v>
      </c>
      <c r="FV27">
        <f ca="1">tblBaseCF[[#This Row],[SemiAnnualEP]]</f>
        <v>0</v>
      </c>
      <c r="FW27">
        <f ca="1">tblBaseCF[[#This Row],[SemiAnnualEMLoad]]</f>
        <v>0</v>
      </c>
      <c r="FX27">
        <f ca="1">tblBaseCF[[#This Row],[SemiAnnualPMLoad]]</f>
        <v>0</v>
      </c>
      <c r="FY27">
        <f ca="1">tblBaseCF[[#This Row],[SemiAnnualLoad]]</f>
        <v>0</v>
      </c>
      <c r="FZ27">
        <f ca="1">tblBaseCF[[#This Row],[SemiAnnualTotalPrem]]</f>
        <v>0</v>
      </c>
      <c r="GA27">
        <f ca="1">tblBaseCF[[#This Row],[QuarterlyTP]]</f>
        <v>0</v>
      </c>
      <c r="GB27">
        <f ca="1">tblBaseCF[[#This Row],[QuarterlyEP]]</f>
        <v>0</v>
      </c>
      <c r="GC27">
        <f ca="1">tblBaseCF[[#This Row],[QuarterlyEMLoad]]</f>
        <v>0</v>
      </c>
      <c r="GD27">
        <f ca="1">tblBaseCF[[#This Row],[QuarterlyPMLoad]]</f>
        <v>0</v>
      </c>
      <c r="GE27">
        <f ca="1">tblBaseCF[[#This Row],[QuarterlyLoad]]</f>
        <v>0</v>
      </c>
      <c r="GF27">
        <f ca="1">tblBaseCF[[#This Row],[QuarterlyTotalPrem]]</f>
        <v>0</v>
      </c>
      <c r="GG27">
        <f ca="1">tblBaseCF[[#This Row],[MonthlyTP]]</f>
        <v>0</v>
      </c>
      <c r="GH27">
        <f ca="1">tblBaseCF[[#This Row],[MonthlyEP]]</f>
        <v>0</v>
      </c>
      <c r="GI27">
        <f ca="1">tblBaseCF[[#This Row],[MonthlyEMLoad]]</f>
        <v>0</v>
      </c>
      <c r="GJ27">
        <f ca="1">tblBaseCF[[#This Row],[MonthlyPMLoad]]</f>
        <v>0</v>
      </c>
      <c r="GK27">
        <f ca="1">tblBaseCF[[#This Row],[MonthlyLoad]]</f>
        <v>0</v>
      </c>
      <c r="GL27">
        <f ca="1">tblBaseCF[[#This Row],[MonthlyTotalPrem]]</f>
        <v>0</v>
      </c>
      <c r="GO27" t="s">
        <v>134</v>
      </c>
      <c r="GP27" t="s">
        <v>135</v>
      </c>
      <c r="GQ27" t="s">
        <v>502</v>
      </c>
      <c r="GR27">
        <v>7</v>
      </c>
      <c r="GS27">
        <v>6</v>
      </c>
      <c r="GT27">
        <v>1</v>
      </c>
      <c r="GU27" t="s">
        <v>457</v>
      </c>
      <c r="GV27">
        <v>1436098.0843032701</v>
      </c>
      <c r="GW27">
        <v>36404251.004832096</v>
      </c>
      <c r="GX27">
        <v>37840349.089135401</v>
      </c>
      <c r="GY27">
        <v>428800</v>
      </c>
      <c r="GZ27">
        <v>37411549.089135401</v>
      </c>
      <c r="HA27">
        <v>101000000</v>
      </c>
      <c r="HB27">
        <v>303000000</v>
      </c>
      <c r="HC27">
        <v>1000000</v>
      </c>
      <c r="HD27" t="s">
        <v>458</v>
      </c>
      <c r="HE27">
        <v>0</v>
      </c>
      <c r="HF27">
        <v>1000000</v>
      </c>
      <c r="HG27">
        <v>1000000</v>
      </c>
      <c r="HH27">
        <v>1072000</v>
      </c>
      <c r="HI27">
        <v>75040</v>
      </c>
      <c r="HJ27">
        <v>996960</v>
      </c>
      <c r="HK27">
        <v>5200000</v>
      </c>
      <c r="HL27">
        <v>104000</v>
      </c>
      <c r="HM27">
        <v>5096000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6272000</v>
      </c>
      <c r="HT27">
        <v>179040</v>
      </c>
      <c r="HU27">
        <v>6092960</v>
      </c>
      <c r="HV27">
        <v>43904000</v>
      </c>
      <c r="HW27">
        <v>7.0000000000000007E-2</v>
      </c>
      <c r="HX27">
        <v>0.96964931039809399</v>
      </c>
      <c r="HY27">
        <v>1</v>
      </c>
      <c r="HZ27">
        <v>300000</v>
      </c>
      <c r="IA27">
        <v>46106.545164931696</v>
      </c>
      <c r="IB27">
        <v>0</v>
      </c>
      <c r="IC27">
        <v>0</v>
      </c>
      <c r="ID27">
        <v>318806.54516493197</v>
      </c>
      <c r="IE27">
        <v>618806.54516493203</v>
      </c>
      <c r="IF27">
        <v>600025.33978900302</v>
      </c>
      <c r="IG27">
        <v>600025.33978900302</v>
      </c>
      <c r="IH27">
        <v>0</v>
      </c>
      <c r="II27">
        <v>128312.292115998</v>
      </c>
      <c r="IJ27">
        <v>2835017.5703382501</v>
      </c>
      <c r="IK27">
        <v>0</v>
      </c>
      <c r="IL27">
        <v>0</v>
      </c>
      <c r="IM27">
        <v>0</v>
      </c>
      <c r="IN27">
        <v>1961345.0366302601</v>
      </c>
      <c r="IO27">
        <v>43335268.575170398</v>
      </c>
      <c r="IP27">
        <v>45296613.6118007</v>
      </c>
      <c r="IQ27">
        <v>536000</v>
      </c>
      <c r="IR27">
        <v>2600000</v>
      </c>
      <c r="IS27">
        <v>0</v>
      </c>
      <c r="IT27">
        <v>0</v>
      </c>
      <c r="IU27">
        <v>0</v>
      </c>
      <c r="IV27">
        <v>3136000</v>
      </c>
      <c r="IW27">
        <v>268000</v>
      </c>
      <c r="IX27">
        <v>1300000</v>
      </c>
      <c r="IY27">
        <v>0</v>
      </c>
      <c r="IZ27">
        <v>0</v>
      </c>
      <c r="JA27">
        <v>0</v>
      </c>
      <c r="JB27">
        <v>1568000</v>
      </c>
      <c r="JC27">
        <v>90000</v>
      </c>
      <c r="JD27">
        <v>434000</v>
      </c>
      <c r="JE27">
        <v>0</v>
      </c>
      <c r="JF27">
        <v>0</v>
      </c>
      <c r="JG27">
        <v>0</v>
      </c>
      <c r="JH27">
        <v>524000</v>
      </c>
    </row>
    <row r="28" spans="2:268" customFormat="1" x14ac:dyDescent="0.25">
      <c r="B28" s="2">
        <f ca="1">OFFSET(tblBaseCF[[#This Row],[Year]],-1,0)+1</f>
        <v>8</v>
      </c>
      <c r="C28" s="2">
        <f ca="1">(tblBaseCF[[#This Row],[Year]]&lt;=term)*1</f>
        <v>1</v>
      </c>
      <c r="D28" s="57">
        <f ca="1">(YEAR(rcd)+tblBaseCF[[#This Row],[Year]]-1)
*tblBaseCF[[#This Row],[PolTermFlag]]</f>
        <v>2032</v>
      </c>
      <c r="E28" s="57">
        <f ca="1">(mainLI_entry_age+tblBaseCF[[#This Row],[Year]]-1)
*tblBaseCF[[#This Row],[PolTermFlag]]</f>
        <v>7</v>
      </c>
      <c r="F28" s="57">
        <f ca="1">IF(tblBaseCF[[#This Row],[Year]]=1,1,OFFSET(tblBaseCF[[#This Row],[DeductFlag]],-1,0))
*tblBaseCF[[#This Row],[PolTermFlag]]</f>
        <v>0</v>
      </c>
      <c r="G2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8" s="57">
        <f ca="1">(tblBaseCF[[#This Row],[Year]]&lt;=acc_ben_term)
*tblBaseCF[[#This Row],[ContFlag]]</f>
        <v>0</v>
      </c>
      <c r="I28" s="57">
        <f ca="1">(tblBaseCF[[#This Row],[Year]]&lt;=tp_term)
*tblBaseCF[[#This Row],[ContFlag]]</f>
        <v>0</v>
      </c>
      <c r="J28" s="57">
        <f ca="1">(tblBaseCF[[#This Row],[Year]]&lt;=ep_term)
*tblBaseCF[[#This Row],[ContFlag]]</f>
        <v>0</v>
      </c>
      <c r="K28" s="57">
        <f ca="1">(tblBaseCF[[#This Row],[Year]]&lt;=em_load_term)*1</f>
        <v>0</v>
      </c>
      <c r="L28" s="57">
        <f ca="1">(tblBaseCF[[#This Row],[Year]]&lt;=pm_load_term)*1</f>
        <v>0</v>
      </c>
      <c r="M28" s="59">
        <f ca="1">IF(tblBaseCF[[#This Row],[Year]]=1,si,OFFSET(tblBaseCF[[#This Row],[EndSI]],-1,0))
*tblBaseCF[[#This Row],[ContFlag]]</f>
        <v>0</v>
      </c>
      <c r="N28" s="59">
        <f ca="1">OFFSET(tblBaseCF[[#This Row],[EndTAV]],-1,0)
*tblBaseCF[[#This Row],[ContFlag]]</f>
        <v>0</v>
      </c>
      <c r="O28" s="59">
        <f ca="1">OFFSET(tblBaseCF[[#This Row],[EndEAV]],-1,0)
*tblBaseCF[[#This Row],[ContFlag]]</f>
        <v>0</v>
      </c>
      <c r="P28" s="60">
        <f ca="1">tblBaseCF[[#This Row],[StartEAV]]+tblBaseCF[[#This Row],[StartTAV]]</f>
        <v>0</v>
      </c>
      <c r="Q28" s="61">
        <f ca="1">IFERROR(INDEX(tblJuvenileLienRate[Rate],MATCH(tblBaseCF[[#This Row],[Age]],tblJuvenileLienRate[Age],0)),1)
*tblBaseCF[[#This Row],[ContFlag]]</f>
        <v>0</v>
      </c>
      <c r="R2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8" s="62">
        <f ca="1">tblBaseCF[[#This Row],[StartSI]]*acc_ben_coeff*tblBaseCF[[#This Row],[JuvenileLienRate]]
*tblBaseCF[[#This Row],[AccBenTermFlag]]</f>
        <v>0</v>
      </c>
      <c r="T28" s="61">
        <f ca="1">(IFERROR(INDEX(tblSurrChrgRate[Rate],MATCH(tblBaseCF[[#This Row],[Year]],tblSurrChrgRate[Year],0)),0)
*tblBaseCF[[#This Row],[ContFlag]])</f>
        <v>0</v>
      </c>
      <c r="U28" s="60">
        <f ca="1">tp*tblBaseCF[[#This Row],[SrrChrgRate]]</f>
        <v>0</v>
      </c>
      <c r="V28" s="63">
        <f ca="1">MAX(tblBaseCF[[#This Row],[StartTAV]]-tblBaseCF[[#This Row],[SVChrg]],0)+tblBaseCF[[#This Row],[StartEAV]]</f>
        <v>0</v>
      </c>
      <c r="W28" s="59">
        <f ca="1">IFERROR(INDEX(tblWithdrawal_Output[Amount],MATCH(tblBaseCF[[#This Row],[Year]],tblWithdrawal_Output[Year],0)),0)
*tblBaseCF[[#This Row],[ContFlag]]</f>
        <v>0</v>
      </c>
      <c r="X28" s="59" t="b">
        <f ca="1">tblBaseCF[[#This Row],[WithdrawalInput]]&gt;0</f>
        <v>0</v>
      </c>
      <c r="Y28" s="59" t="b">
        <f ca="1">AND(tblBaseCF[[#This Row],[1stCheckProceed]],tblBaseCF[[#This Row],[WithdrawalInput]]&lt;=tblBaseCF[[#This Row],[StartPAV]])</f>
        <v>0</v>
      </c>
      <c r="Z28" s="59" t="b">
        <f ca="1">AND(tblBaseCF[[#This Row],[2ndCheckAmount]],(tblBaseCF[[#This Row],[StartPAV]]-tblBaseCF[[#This Row],[WithdrawalInput]])&gt;=min_pav_after_withdrawal)</f>
        <v>0</v>
      </c>
      <c r="AA2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8" s="59" t="b">
        <f ca="1">AND(tblBaseCF[[#This Row],[3rdCheckPAV]],tblBaseCF[[#This Row],[endSITest]]&gt;=min_base_si)</f>
        <v>0</v>
      </c>
      <c r="AC28" s="60">
        <f ca="1">tblBaseCF[[#This Row],[WithdrawalInput]]*tblBaseCF[[#This Row],[4thCheckSI]]</f>
        <v>0</v>
      </c>
      <c r="AD28" s="60">
        <f ca="1">MIN(tblBaseCF[[#This Row],[Withdrawal]],tblBaseCF[[#This Row],[StartEAV]])</f>
        <v>0</v>
      </c>
      <c r="AE28" s="60">
        <f ca="1">tblBaseCF[[#This Row],[Withdrawal]]-tblBaseCF[[#This Row],[EAVWithdrawal]]</f>
        <v>0</v>
      </c>
      <c r="AF28" s="60">
        <f ca="1">IF(tblBaseCF[[#This Row],[4thCheckSI]],tblBaseCF[[#This Row],[endSITest]],tblBaseCF[[#This Row],[StartSI]])</f>
        <v>0</v>
      </c>
      <c r="AG2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8" s="65">
        <f ca="1">IFERROR(INDEX(tblTPAllocChrgRate[Rate],MATCH(tblBaseCF[[#This Row],[Year]],tblTPAllocChrgRate[Year],0)),0)</f>
        <v>0.04</v>
      </c>
      <c r="AI28" s="62">
        <f ca="1">(tp+big_case_bonus_tp*(tblBaseCF[[#This Row],[Year]]=1))
*tblBaseCF[[#This Row],[TPTermFlag]]</f>
        <v>0</v>
      </c>
      <c r="AJ28" s="63">
        <f ca="1">tblBaseCF[[#This Row],[TP]]*tblBaseCF[[#This Row],[TPAllocChrgRate]]</f>
        <v>0</v>
      </c>
      <c r="AK28" s="60">
        <f ca="1">tblBaseCF[[#This Row],[TP]]-tblBaseCF[[#This Row],[TPAllocChrg]]</f>
        <v>0</v>
      </c>
      <c r="AL28" s="65">
        <f ca="1">IFERROR(INDEX(tblEPAllocChrgRate[Rate],MATCH(tblBaseCF[[#This Row],[Year]],tblEPAllocChrgRate[Year],0)),0)</f>
        <v>0.02</v>
      </c>
      <c r="AM28" s="60">
        <f ca="1">ep*tblBaseCF[[#This Row],[EPTermFlag]]</f>
        <v>0</v>
      </c>
      <c r="AN28" s="60">
        <f ca="1">tblBaseCF[[#This Row],[EP]]*tblBaseCF[[#This Row],[EPAllocChrgRate]]</f>
        <v>0</v>
      </c>
      <c r="AO28" s="63">
        <f ca="1">tblBaseCF[[#This Row],[EP]]-tblBaseCF[[#This Row],[EPAllocChrg]]</f>
        <v>0</v>
      </c>
      <c r="AP28" s="62">
        <f ca="1">tblBaseCF[[#This Row],[Ben]]*extra_prem_rate*em_load/1000/(1-tblBaseCF[[#This Row],[EPAllocChrgRate]])
*tblBaseCF[[#This Row],[EMLoadTermFlag]]</f>
        <v>0</v>
      </c>
      <c r="AQ28" s="62">
        <f ca="1">tblBaseCF[[#This Row],[Ben]]*pm_load/1000/(1-tblBaseCF[[#This Row],[EPAllocChrgRate]])
*tblBaseCF[[#This Row],[PMLoadTermFlag]]</f>
        <v>0</v>
      </c>
      <c r="AR28" s="60">
        <f ca="1">ROUNDUP(tblBaseCF[[#This Row],[UnroundedEMLoad]],-3)</f>
        <v>0</v>
      </c>
      <c r="AS28" s="62">
        <f ca="1">ROUNDUP(tblBaseCF[[#This Row],[Ben]]*pm_load/1000/(1-tblBaseCF[[#This Row],[EPAllocChrgRate]]),-3)
*tblBaseCF[[#This Row],[PMLoadTermFlag]]</f>
        <v>0</v>
      </c>
      <c r="AT28" s="60">
        <f ca="1">tblBaseCF[[#This Row],[EMLoad]]+tblBaseCF[[#This Row],[PMLoad]]</f>
        <v>0</v>
      </c>
      <c r="AU28" s="60">
        <f ca="1">tblBaseCF[[#This Row],[Load]]*tblBaseCF[[#This Row],[EPAllocChrgRate]]</f>
        <v>0</v>
      </c>
      <c r="AV28" s="60">
        <f ca="1">tblBaseCF[[#This Row],[Load]]-tblBaseCF[[#This Row],[LoadAllocChrg]]</f>
        <v>0</v>
      </c>
      <c r="AW28" s="60">
        <f ca="1">tblBaseCF[[#This Row],[TP]]+tblBaseCF[[#This Row],[EP]]+tblBaseCF[[#This Row],[Load]]</f>
        <v>0</v>
      </c>
      <c r="AX28" s="60">
        <f ca="1">tblBaseCF[[#This Row],[TPAllocChrg]]+tblBaseCF[[#This Row],[EPAllocChrg]]+tblBaseCF[[#This Row],[LoadAllocChrg]]</f>
        <v>0</v>
      </c>
      <c r="AY28" s="60">
        <f ca="1">tblBaseCF[[#This Row],[TPAlloc]]+tblBaseCF[[#This Row],[EPAlloc]]+tblBaseCF[[#This Row],[LoadAlloc]]</f>
        <v>0</v>
      </c>
      <c r="AZ28" s="60">
        <f ca="1">(OFFSET(tblBaseCF[[#This Row],[AccumTotalPrem]],-1,0)+tblBaseCF[[#This Row],[TotalPrem]])*tblBaseCF[[#This Row],[TPTermFlag]]</f>
        <v>0</v>
      </c>
      <c r="BA28" s="62">
        <f ca="1">(tblBaseCF[[#This Row],[StartTAV]]-tblBaseCF[[#This Row],[TAVWithdrawal]]+tblBaseCF[[#This Row],[TPAlloc]])
*tblBaseCF[[#This Row],[ContFlag]]</f>
        <v>0</v>
      </c>
      <c r="BB28" s="59">
        <f ca="1">(tblBaseCF[[#This Row],[StartEAV]]-tblBaseCF[[#This Row],[EAVWithdrawal]]+tblBaseCF[[#This Row],[EPAlloc]]+tblBaseCF[[#This Row],[LoadAlloc]])
*tblBaseCF[[#This Row],[ContFlag]]</f>
        <v>0</v>
      </c>
      <c r="BC28" s="59">
        <f ca="1">tblBaseCF[[#This Row],[TAVAfterWdrlAlloc]]+tblBaseCF[[#This Row],[EAVAfterWdrlAlloc]]</f>
        <v>0</v>
      </c>
      <c r="BD28" s="66">
        <f t="shared" si="2"/>
        <v>0</v>
      </c>
      <c r="BE28" s="67">
        <f>(1+tblBaseCF[[#This Row],[AnnualIntRate]])^(1/12)-1</f>
        <v>0</v>
      </c>
      <c r="BF28" s="68">
        <f>IFERROR(((1+tblBaseCF[[#This Row],[MonthlyIntRate]])^12-1)/12/(1-1/(1+tblBaseCF[[#This Row],[MonthlyIntRate]])),1)/(1+tblBaseCF[[#This Row],[AnnualIntRate]])</f>
        <v>1</v>
      </c>
      <c r="BG28" s="69">
        <f>PV(tblBaseCF[[#This Row],[MonthlyIntRate]],12,-1/12,,1)</f>
        <v>1</v>
      </c>
      <c r="BH28" s="60">
        <f ca="1">MAX(IF(death_tpd_option="A",tblBaseCF[[#This Row],[Ben]]-tblBaseCF[[#This Row],[StartPAV]],tblBaseCF[[#This Row],[Ben]]),0)</f>
        <v>0</v>
      </c>
      <c r="BI28" s="70">
        <f ca="1">IFERROR(INDEX(tblBaseCOIRate[Rate],MATCH(tblBaseCF[[#This Row],[Age]],tblBaseCOIRate[Age],0)),0)</f>
        <v>7.0999999999998798E-4</v>
      </c>
      <c r="BJ28" s="60">
        <f ca="1">tblBaseCF[[#This Row],[SAR]]*tblBaseCF[[#This Row],[COIRate]]</f>
        <v>0</v>
      </c>
      <c r="BK28" s="62">
        <f ca="1">em_load*tblBaseCF[[#This Row],[pStandardCOI]]
*tblBaseCF[[#This Row],[EMLoadTermFlag]]</f>
        <v>0</v>
      </c>
      <c r="BL28" s="62">
        <f ca="1">pm_load/1000*tblBaseCF[[#This Row],[SAR]]
*tblBaseCF[[#This Row],[PMLoadTermFlag]]</f>
        <v>0</v>
      </c>
      <c r="BM28" s="60">
        <f ca="1">tblBaseCF[[#This Row],[AccBen]]*monthly_acc_coi*12</f>
        <v>0</v>
      </c>
      <c r="BN28" s="60">
        <f ca="1">tblBaseCF[[#This Row],[pStandardCOI]]+tblBaseCF[[#This Row],[pEMLoadCOI]]+tblBaseCF[[#This Row],[pPMLoadCOI]]+tblBaseCF[[#This Row],[pAccCOI]]</f>
        <v>0</v>
      </c>
      <c r="BO28" s="62">
        <f ca="1">IFERROR(INDEX(tblAdminChrg[Amount],MATCH(tblBaseCF[[#This Row],[CalYear]],tblAdminChrg[Cal_Year],0)),0)
*tblBaseCF[[#This Row],[ContFlag]]</f>
        <v>0</v>
      </c>
      <c r="BP28" s="60">
        <f ca="1">tblBaseCF[[#This Row],[pMonthlyAdminChrg]]*12</f>
        <v>0</v>
      </c>
      <c r="BQ28" s="60">
        <f ca="1">tblBaseCF[[#This Row],[pCOI]]+tblBaseCF[[#This Row],[pAdminChrg]]</f>
        <v>0</v>
      </c>
      <c r="BR28" s="60">
        <f ca="1">tblBaseCF[[#This Row],[pNomDeduct]]*tblBaseCF[[#This Row],[Duean1m12]]</f>
        <v>0</v>
      </c>
      <c r="BS28" s="57">
        <f ca="1">(tblBaseCF[[#This Row],[PAVAfterWdrlAlloc]]&gt;=tblBaseCF[[#This Row],[pNomDeduct]])
*tblBaseCF[[#This Row],[ContFlag]]</f>
        <v>0</v>
      </c>
      <c r="BT28" s="60">
        <f ca="1">tblBaseCF[[#This Row],[pStandardCOI]]*tblBaseCF[[#This Row],[DeductFlag]]</f>
        <v>0</v>
      </c>
      <c r="BU28" s="60">
        <f ca="1">tblBaseCF[[#This Row],[pEMLoadCOI]]*tblBaseCF[[#This Row],[DeductFlag]]</f>
        <v>0</v>
      </c>
      <c r="BV28" s="60">
        <f ca="1">tblBaseCF[[#This Row],[pPMLoadCOI]]*tblBaseCF[[#This Row],[DeductFlag]]</f>
        <v>0</v>
      </c>
      <c r="BW28" s="60">
        <f ca="1">tblBaseCF[[#This Row],[pAccCOI]]*tblBaseCF[[#This Row],[DeductFlag]]</f>
        <v>0</v>
      </c>
      <c r="BX28" s="60">
        <f ca="1">tblBaseCF[[#This Row],[pCOI]]*tblBaseCF[[#This Row],[DeductFlag]]</f>
        <v>0</v>
      </c>
      <c r="BY28" s="60">
        <f ca="1">tblBaseCF[[#This Row],[pMonthlyAdminChrg]]*tblBaseCF[[#This Row],[DeductFlag]]</f>
        <v>0</v>
      </c>
      <c r="BZ28" s="60">
        <f ca="1">tblBaseCF[[#This Row],[pAdminChrg]]*tblBaseCF[[#This Row],[DeductFlag]]</f>
        <v>0</v>
      </c>
      <c r="CA28" s="60">
        <f ca="1">tblBaseCF[[#This Row],[pNomDeduct]]*tblBaseCF[[#This Row],[DeductFlag]]</f>
        <v>0</v>
      </c>
      <c r="CB28" s="60">
        <f ca="1">tblBaseCF[[#This Row],[pDeduct]]*tblBaseCF[[#This Row],[DeductFlag]]</f>
        <v>0</v>
      </c>
      <c r="CC28" s="60">
        <f ca="1">MIN(tblBaseCF[[#This Row],[TAVAfterWdrlAlloc]],tblBaseCF[[#This Row],[Deduct]])</f>
        <v>0</v>
      </c>
      <c r="CD28" s="60">
        <f ca="1">tblBaseCF[[#This Row],[Deduct]]-tblBaseCF[[#This Row],[TAVDeduct]]</f>
        <v>0</v>
      </c>
      <c r="CE28" s="69">
        <f ca="1">(tblBaseCF[[#This Row],[TAVAfterWdrlAlloc]]-tblBaseCF[[#This Row],[TAVDeduct]])*tblBaseCF[[#This Row],[AnnualIntRate]]
*tblBaseCF[[#This Row],[DeductFlag]]</f>
        <v>0</v>
      </c>
      <c r="CF28" s="69">
        <f ca="1">(tblBaseCF[[#This Row],[EAVAfterWdrlAlloc]]-tblBaseCF[[#This Row],[EAVDeduct]])*tblBaseCF[[#This Row],[AnnualIntRate]]
*tblBaseCF[[#This Row],[DeductFlag]]</f>
        <v>0</v>
      </c>
      <c r="CG28" s="69">
        <f ca="1">tblBaseCF[[#This Row],[TAVInt]]+tblBaseCF[[#This Row],[EAVInt]]</f>
        <v>0</v>
      </c>
      <c r="CH28" s="62">
        <f ca="1">IFERROR(INDEX(tblLBRate[Rate],MATCH(tblBaseCF[[#This Row],[Year]],tblLBRate[Year],0)),0)
*tblBaseCF[[#This Row],[DeductFlag]]</f>
        <v>0</v>
      </c>
      <c r="CI28" s="60">
        <f ca="1">IFERROR(SUM(OFFSET(tblBaseCF[[#This Row],[TAVWithdrawal]],0,0,-lb_review_period,1)),0)
*(tblBaseCF[[#This Row],[LBRate]]&gt;0)</f>
        <v>0</v>
      </c>
      <c r="CJ28" s="60">
        <f ca="1">(tblBaseCF[[#This Row],[LBRate]]&gt;0)*(tblBaseCF[[#This Row],[LBTAVWithdrawal]]=0)</f>
        <v>0</v>
      </c>
      <c r="CK28" s="62" cm="1">
        <f t="array" aca="1" ref="CK28" ca="1">IF(tblBaseCF[[#This Row],[LBFlag]],
_xlfn.SWITCH(base,
"ILP1",AVERAGE(OFFSET(tblBaseCF[TP],0,0,-lb_review_period,1)),tp),0)
*tblBaseCF[[#This Row],[LBFlag]]</f>
        <v>0</v>
      </c>
      <c r="CL28" s="62">
        <f ca="1">tblBaseCF[[#This Row],[LBBasis]]*tblBaseCF[[#This Row],[LBRate]]</f>
        <v>0</v>
      </c>
      <c r="CM28" s="57" cm="1">
        <f t="array" aca="1" ref="CM28" ca="1">_xlfn.SWITCH(base,
"ILP1",0,($AF128&lt;500000000)*1
+($AF128&gt;=500000000)*($AF128&lt;1000000000)*2
+($AF128&gt;=1000000000)*3)
*tblBaseCF[[#This Row],[DeductFlag]]</f>
        <v>0</v>
      </c>
      <c r="CN28" s="2" t="str">
        <f ca="1">IF(tblBaseCF[[#This Row],[DeductFlag]],base&amp;"_"&amp;tblBaseCF[[#This Row],[SBCode]]&amp;"_"&amp;tblBaseCF[[#This Row],[Year]],"")</f>
        <v/>
      </c>
      <c r="CO28" s="3">
        <f ca="1">IFERROR(INDEX(tblSBRate[Index],MATCH(tblBaseCF[[#This Row],[SBIndex]],tblSBRate[Rate],0)),0)</f>
        <v>0</v>
      </c>
      <c r="CP28" s="63">
        <f ca="1">IFERROR(SUM(OFFSET(tblBaseCF[[#This Row],[TAVWithdrawal]],0,0,-sb_review_period,1)),0)
*(tblBaseCF[[#This Row],[SBRate]]&gt;0)</f>
        <v>0</v>
      </c>
      <c r="CQ28" s="63">
        <f ca="1">(tblBaseCF[[#This Row],[SBRate]]&gt;0)*(tblBaseCF[[#This Row],[SBTAVWithdrawal]]=0)</f>
        <v>0</v>
      </c>
      <c r="CR28" s="59" cm="1">
        <f t="array" aca="1" ref="CR28" ca="1">IF(tblBaseCF[[#This Row],[LBFlag]],
_xlfn.SWITCH(base,
"ILP1",0,tp),0)*tblBaseCF[[#This Row],[SBFlag]]</f>
        <v>0</v>
      </c>
      <c r="CS28" s="63">
        <f ca="1">tblBaseCF[[#This Row],[SBBasis]]*tblBaseCF[[#This Row],[SBRate]]</f>
        <v>0</v>
      </c>
      <c r="CT28" s="63">
        <f ca="1">tblBaseCF[[#This Row],[LB]]+tblBaseCF[[#This Row],[SB]]</f>
        <v>0</v>
      </c>
      <c r="CU28" s="59">
        <f ca="1">tblBaseCF[[#This Row],[TAVAfterWdrlAlloc]]-tblBaseCF[[#This Row],[TAVDeduct]]+tblBaseCF[[#This Row],[TAVInt]]+tblBaseCF[[#This Row],[Bonus]]</f>
        <v>0</v>
      </c>
      <c r="CV28" s="59">
        <f ca="1">tblBaseCF[[#This Row],[EAVAfterWdrlAlloc]]-tblBaseCF[[#This Row],[EAVDeduct]]+tblBaseCF[[#This Row],[EAVInt]]</f>
        <v>0</v>
      </c>
      <c r="CW28" s="63">
        <f ca="1">tblBaseCF[[#This Row],[EndTAV]]+tblBaseCF[[#This Row],[EndEAV]]</f>
        <v>0</v>
      </c>
      <c r="CX28" s="59">
        <f ca="1">INDEX(tblPlanPrem[TP],2)
*tblBaseCF[[#This Row],[TPTermFlag]]</f>
        <v>0</v>
      </c>
      <c r="CY28" s="59">
        <f ca="1">INDEX(tblPlanPrem[EP],2)
*tblBaseCF[[#This Row],[TPTermFlag]]</f>
        <v>0</v>
      </c>
      <c r="CZ28" s="63">
        <f ca="1">ROUNDUP(tblBaseCF[[#This Row],[UnroundedEMLoad]]*INDEX(tblPlanPrem[Factor],2),-3)</f>
        <v>0</v>
      </c>
      <c r="DA28" s="63">
        <f ca="1">ROUNDUP(tblBaseCF[[#This Row],[UnroundedPMLoad]]*INDEX(tblPlanPrem[Factor],2),-3)</f>
        <v>0</v>
      </c>
      <c r="DB28" s="63">
        <f ca="1">tblBaseCF[[#This Row],[SemiAnnualEMLoad]]+tblBaseCF[[#This Row],[SemiAnnualPMLoad]]</f>
        <v>0</v>
      </c>
      <c r="DC28" s="63">
        <f ca="1">tblBaseCF[[#This Row],[SemiAnnualTP]]+tblBaseCF[[#This Row],[SemiAnnualEP]]+tblBaseCF[[#This Row],[SemiAnnualLoad]]</f>
        <v>0</v>
      </c>
      <c r="DD28" s="59">
        <f ca="1">INDEX(tblPlanPrem[TP],3)
*tblBaseCF[[#This Row],[TPTermFlag]]</f>
        <v>0</v>
      </c>
      <c r="DE28" s="59">
        <f ca="1">INDEX(tblPlanPrem[EP],3)
*tblBaseCF[[#This Row],[TPTermFlag]]</f>
        <v>0</v>
      </c>
      <c r="DF28" s="63">
        <f ca="1">ROUNDUP(tblBaseCF[[#This Row],[UnroundedEMLoad]]*INDEX(tblPlanPrem[Factor],3),-3)</f>
        <v>0</v>
      </c>
      <c r="DG28" s="63">
        <f ca="1">ROUNDUP(tblBaseCF[[#This Row],[UnroundedPMLoad]]*INDEX(tblPlanPrem[Factor],3),-3)</f>
        <v>0</v>
      </c>
      <c r="DH28" s="60">
        <f ca="1">tblBaseCF[[#This Row],[QuarterlyEMLoad]]+tblBaseCF[[#This Row],[QuarterlyPMLoad]]</f>
        <v>0</v>
      </c>
      <c r="DI28" s="60">
        <f ca="1">tblBaseCF[[#This Row],[QuarterlyTP]]+tblBaseCF[[#This Row],[QuarterlyEP]]+tblBaseCF[[#This Row],[QuarterlyLoad]]</f>
        <v>0</v>
      </c>
      <c r="DJ28" s="59">
        <f ca="1">INDEX(tblPlanPrem[TP],4)
*tblBaseCF[[#This Row],[TPTermFlag]]</f>
        <v>0</v>
      </c>
      <c r="DK28" s="59">
        <f ca="1">INDEX(tblPlanPrem[EP],4)
*tblBaseCF[[#This Row],[TPTermFlag]]</f>
        <v>0</v>
      </c>
      <c r="DL28" s="63">
        <f ca="1">ROUNDUP(tblBaseCF[[#This Row],[UnroundedEMLoad]]*INDEX(tblPlanPrem[Factor],4),-3)</f>
        <v>0</v>
      </c>
      <c r="DM28" s="63">
        <f ca="1">ROUNDUP(tblBaseCF[[#This Row],[UnroundedPMLoad]]*INDEX(tblPlanPrem[Factor],4),-3)</f>
        <v>0</v>
      </c>
      <c r="DN28" s="60">
        <f ca="1">tblBaseCF[[#This Row],[MonthlyEMLoad]]+tblBaseCF[[#This Row],[MonthlyPMLoad]]</f>
        <v>0</v>
      </c>
      <c r="DO28" s="63">
        <f ca="1">tblBaseCF[[#This Row],[MonthlyTP]]+tblBaseCF[[#This Row],[MonthlyEP]]+tblBaseCF[[#This Row],[MonthlyLoad]]</f>
        <v>0</v>
      </c>
      <c r="DP28" s="3"/>
      <c r="DS28">
        <f t="shared" si="3"/>
        <v>0</v>
      </c>
      <c r="DT28">
        <f t="shared" si="4"/>
        <v>0</v>
      </c>
      <c r="DU28">
        <f t="shared" si="5"/>
        <v>0</v>
      </c>
      <c r="DV28">
        <f ca="1">tblBaseCF[[#This Row],[Year]]</f>
        <v>8</v>
      </c>
      <c r="DW28">
        <f ca="1">tblBaseCF[[#This Row],[Age]]</f>
        <v>7</v>
      </c>
      <c r="DX28">
        <f ca="1">tblBaseCF[[#This Row],[ContFlag]]</f>
        <v>0</v>
      </c>
      <c r="DY28" t="str">
        <f ca="1">tblBaseCF[[#This Row],[ContLog]]</f>
        <v>Insufficient PAV for deduction - Discontinue.</v>
      </c>
      <c r="DZ28">
        <f ca="1">tblBaseCF[[#This Row],[StartTAV]]</f>
        <v>0</v>
      </c>
      <c r="EA28">
        <f ca="1">tblBaseCF[[#This Row],[StartEAV]]</f>
        <v>0</v>
      </c>
      <c r="EB28">
        <f ca="1">tblBaseCF[[#This Row],[StartPAV]]</f>
        <v>0</v>
      </c>
      <c r="EC28">
        <f ca="1">tblBaseCF[[#This Row],[SVChrg]]</f>
        <v>0</v>
      </c>
      <c r="ED28">
        <f ca="1">tblBaseCF[[#This Row],[SV]]</f>
        <v>0</v>
      </c>
      <c r="EE28">
        <f ca="1">tblBaseCF[[#This Row],[Ben]]</f>
        <v>0</v>
      </c>
      <c r="EF28">
        <f ca="1">tblBaseCF[[#This Row],[AccBen]]</f>
        <v>0</v>
      </c>
      <c r="EG28">
        <f ca="1">tblBaseCF[[#This Row],[WithdrawalInput]]</f>
        <v>0</v>
      </c>
      <c r="EH28" t="str">
        <f ca="1">tblBaseCF[[#This Row],[WithdrawalLog]]</f>
        <v>No withdrawal.</v>
      </c>
      <c r="EI28">
        <f ca="1">tblBaseCF[[#This Row],[TAVWithdrawal]]</f>
        <v>0</v>
      </c>
      <c r="EJ28">
        <f ca="1">tblBaseCF[[#This Row],[EAVWithdrawal]]</f>
        <v>0</v>
      </c>
      <c r="EK28">
        <f ca="1">tblBaseCF[[#This Row],[Withdrawal]]</f>
        <v>0</v>
      </c>
      <c r="EL28">
        <f ca="1">tblBaseCF[[#This Row],[TP]]</f>
        <v>0</v>
      </c>
      <c r="EM28">
        <f ca="1">tblBaseCF[[#This Row],[TPAllocChrg]]</f>
        <v>0</v>
      </c>
      <c r="EN28">
        <f ca="1">tblBaseCF[[#This Row],[TPAlloc]]</f>
        <v>0</v>
      </c>
      <c r="EO28">
        <f ca="1">tblBaseCF[[#This Row],[EP]]</f>
        <v>0</v>
      </c>
      <c r="EP28">
        <f ca="1">tblBaseCF[[#This Row],[EPAllocChrg]]</f>
        <v>0</v>
      </c>
      <c r="EQ28">
        <f ca="1">tblBaseCF[[#This Row],[EPAlloc]]</f>
        <v>0</v>
      </c>
      <c r="ER28">
        <f ca="1">tblBaseCF[[#This Row],[EMLoad]]</f>
        <v>0</v>
      </c>
      <c r="ES28">
        <f ca="1">tblBaseCF[[#This Row],[PMLoad]]</f>
        <v>0</v>
      </c>
      <c r="ET28">
        <f ca="1">tblBaseCF[[#This Row],[Load]]</f>
        <v>0</v>
      </c>
      <c r="EU28">
        <f ca="1">tblBaseCF[[#This Row],[LoadAllocChrg]]</f>
        <v>0</v>
      </c>
      <c r="EV28">
        <f ca="1">tblBaseCF[[#This Row],[LoadAlloc]]</f>
        <v>0</v>
      </c>
      <c r="EW28">
        <f ca="1">tblBaseCF[[#This Row],[TotalPrem]]</f>
        <v>0</v>
      </c>
      <c r="EX28">
        <f ca="1">tblBaseCF[[#This Row],[AllocChrg]]</f>
        <v>0</v>
      </c>
      <c r="EY28">
        <f ca="1">tblBaseCF[[#This Row],[Alloc]]</f>
        <v>0</v>
      </c>
      <c r="EZ28">
        <f ca="1">tblBaseCF[[#This Row],[AccumTotalPrem]]</f>
        <v>0</v>
      </c>
      <c r="FA28">
        <f>tblBaseCF[[#This Row],[AnnualIntRate]]</f>
        <v>0</v>
      </c>
      <c r="FB28" s="50">
        <f>tblBaseCF[[#This Row],[Duean1m12]]</f>
        <v>1</v>
      </c>
      <c r="FC28">
        <f ca="1">tblBaseCF[[#This Row],[DeductFlag]]</f>
        <v>0</v>
      </c>
      <c r="FD28">
        <f ca="1">tblBaseCF[[#This Row],[AdminChrg]]</f>
        <v>0</v>
      </c>
      <c r="FE28">
        <f ca="1">tblBaseCF[[#This Row],[StandardCOI]]</f>
        <v>0</v>
      </c>
      <c r="FF28">
        <f ca="1">tblBaseCF[[#This Row],[EMLoadCOI]]</f>
        <v>0</v>
      </c>
      <c r="FG28">
        <f ca="1">tblBaseCF[[#This Row],[PMLoadCOI]]</f>
        <v>0</v>
      </c>
      <c r="FH28">
        <f ca="1">tblBaseCF[[#This Row],[COI]]</f>
        <v>0</v>
      </c>
      <c r="FI28" s="47">
        <f ca="1">tblBaseCF[[#This Row],[NomDeduct]]</f>
        <v>0</v>
      </c>
      <c r="FJ28">
        <f ca="1">tblBaseCF[[#This Row],[Deduct]]</f>
        <v>0</v>
      </c>
      <c r="FK28">
        <f ca="1">tblBaseCF[[#This Row],[TAVDeduct]]</f>
        <v>0</v>
      </c>
      <c r="FL28">
        <f ca="1">tblBaseCF[[#This Row],[EAVDeduct]]</f>
        <v>0</v>
      </c>
      <c r="FM28" s="24">
        <f ca="1">tblBaseCF[[#This Row],[TAVInt]]</f>
        <v>0</v>
      </c>
      <c r="FN28">
        <f ca="1">tblBaseCF[[#This Row],[EAVInt]]</f>
        <v>0</v>
      </c>
      <c r="FO28" s="47">
        <f ca="1">tblBaseCF[[#This Row],[LB]]</f>
        <v>0</v>
      </c>
      <c r="FP28">
        <f ca="1">tblBaseCF[[#This Row],[SB]]</f>
        <v>0</v>
      </c>
      <c r="FQ28">
        <f ca="1">tblBaseCF[[#This Row],[Bonus]]</f>
        <v>0</v>
      </c>
      <c r="FR28">
        <f ca="1">tblBaseCF[[#This Row],[EndTAV]]</f>
        <v>0</v>
      </c>
      <c r="FS28">
        <f ca="1">tblBaseCF[[#This Row],[EndEAV]]</f>
        <v>0</v>
      </c>
      <c r="FT28">
        <f ca="1">tblBaseCF[[#This Row],[EndPAV]]</f>
        <v>0</v>
      </c>
      <c r="FU28">
        <f ca="1">tblBaseCF[[#This Row],[SemiAnnualTP]]</f>
        <v>0</v>
      </c>
      <c r="FV28">
        <f ca="1">tblBaseCF[[#This Row],[SemiAnnualEP]]</f>
        <v>0</v>
      </c>
      <c r="FW28">
        <f ca="1">tblBaseCF[[#This Row],[SemiAnnualEMLoad]]</f>
        <v>0</v>
      </c>
      <c r="FX28">
        <f ca="1">tblBaseCF[[#This Row],[SemiAnnualPMLoad]]</f>
        <v>0</v>
      </c>
      <c r="FY28">
        <f ca="1">tblBaseCF[[#This Row],[SemiAnnualLoad]]</f>
        <v>0</v>
      </c>
      <c r="FZ28">
        <f ca="1">tblBaseCF[[#This Row],[SemiAnnualTotalPrem]]</f>
        <v>0</v>
      </c>
      <c r="GA28">
        <f ca="1">tblBaseCF[[#This Row],[QuarterlyTP]]</f>
        <v>0</v>
      </c>
      <c r="GB28">
        <f ca="1">tblBaseCF[[#This Row],[QuarterlyEP]]</f>
        <v>0</v>
      </c>
      <c r="GC28">
        <f ca="1">tblBaseCF[[#This Row],[QuarterlyEMLoad]]</f>
        <v>0</v>
      </c>
      <c r="GD28">
        <f ca="1">tblBaseCF[[#This Row],[QuarterlyPMLoad]]</f>
        <v>0</v>
      </c>
      <c r="GE28">
        <f ca="1">tblBaseCF[[#This Row],[QuarterlyLoad]]</f>
        <v>0</v>
      </c>
      <c r="GF28">
        <f ca="1">tblBaseCF[[#This Row],[QuarterlyTotalPrem]]</f>
        <v>0</v>
      </c>
      <c r="GG28">
        <f ca="1">tblBaseCF[[#This Row],[MonthlyTP]]</f>
        <v>0</v>
      </c>
      <c r="GH28">
        <f ca="1">tblBaseCF[[#This Row],[MonthlyEP]]</f>
        <v>0</v>
      </c>
      <c r="GI28">
        <f ca="1">tblBaseCF[[#This Row],[MonthlyEMLoad]]</f>
        <v>0</v>
      </c>
      <c r="GJ28">
        <f ca="1">tblBaseCF[[#This Row],[MonthlyPMLoad]]</f>
        <v>0</v>
      </c>
      <c r="GK28">
        <f ca="1">tblBaseCF[[#This Row],[MonthlyLoad]]</f>
        <v>0</v>
      </c>
      <c r="GL28">
        <f ca="1">tblBaseCF[[#This Row],[MonthlyTotalPrem]]</f>
        <v>0</v>
      </c>
      <c r="GO28" t="s">
        <v>134</v>
      </c>
      <c r="GP28" t="s">
        <v>135</v>
      </c>
      <c r="GQ28" t="s">
        <v>502</v>
      </c>
      <c r="GR28">
        <v>8</v>
      </c>
      <c r="GS28">
        <v>7</v>
      </c>
      <c r="GT28">
        <v>1</v>
      </c>
      <c r="GU28" t="s">
        <v>457</v>
      </c>
      <c r="GV28">
        <v>1961345.0366302601</v>
      </c>
      <c r="GW28">
        <v>43335268.575170398</v>
      </c>
      <c r="GX28">
        <v>45296613.6118007</v>
      </c>
      <c r="GY28">
        <v>214400</v>
      </c>
      <c r="GZ28">
        <v>45082213.6118007</v>
      </c>
      <c r="HA28">
        <v>101000000</v>
      </c>
      <c r="HB28">
        <v>303000000</v>
      </c>
      <c r="HC28">
        <v>0</v>
      </c>
      <c r="HD28" t="s">
        <v>137</v>
      </c>
      <c r="HE28">
        <v>0</v>
      </c>
      <c r="HF28">
        <v>0</v>
      </c>
      <c r="HG28">
        <v>0</v>
      </c>
      <c r="HH28">
        <v>1072000</v>
      </c>
      <c r="HI28">
        <v>42880</v>
      </c>
      <c r="HJ28">
        <v>1029120</v>
      </c>
      <c r="HK28">
        <v>5200000</v>
      </c>
      <c r="HL28">
        <v>104000</v>
      </c>
      <c r="HM28">
        <v>5096000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6272000</v>
      </c>
      <c r="HT28">
        <v>146880</v>
      </c>
      <c r="HU28">
        <v>6125120</v>
      </c>
      <c r="HV28">
        <v>50176000</v>
      </c>
      <c r="HW28">
        <v>7.0000000000000007E-2</v>
      </c>
      <c r="HX28">
        <v>0.96964931039809399</v>
      </c>
      <c r="HY28">
        <v>1</v>
      </c>
      <c r="HZ28">
        <v>300000</v>
      </c>
      <c r="IA28">
        <v>39549.4043356209</v>
      </c>
      <c r="IB28">
        <v>0</v>
      </c>
      <c r="IC28">
        <v>0</v>
      </c>
      <c r="ID28">
        <v>312249.40433562099</v>
      </c>
      <c r="IE28">
        <v>612249.40433562105</v>
      </c>
      <c r="IF28">
        <v>593667.21270567796</v>
      </c>
      <c r="IG28">
        <v>593667.21270567796</v>
      </c>
      <c r="IH28">
        <v>0</v>
      </c>
      <c r="II28">
        <v>167775.84767472101</v>
      </c>
      <c r="IJ28">
        <v>3390188.8002619301</v>
      </c>
      <c r="IK28">
        <v>128640</v>
      </c>
      <c r="IL28">
        <v>0</v>
      </c>
      <c r="IM28">
        <v>128640</v>
      </c>
      <c r="IN28">
        <v>2693213.6715993001</v>
      </c>
      <c r="IO28">
        <v>51821457.375432298</v>
      </c>
      <c r="IP28">
        <v>54514671.047031596</v>
      </c>
      <c r="IQ28">
        <v>536000</v>
      </c>
      <c r="IR28">
        <v>2600000</v>
      </c>
      <c r="IS28">
        <v>0</v>
      </c>
      <c r="IT28">
        <v>0</v>
      </c>
      <c r="IU28">
        <v>0</v>
      </c>
      <c r="IV28">
        <v>3136000</v>
      </c>
      <c r="IW28">
        <v>268000</v>
      </c>
      <c r="IX28">
        <v>1300000</v>
      </c>
      <c r="IY28">
        <v>0</v>
      </c>
      <c r="IZ28">
        <v>0</v>
      </c>
      <c r="JA28">
        <v>0</v>
      </c>
      <c r="JB28">
        <v>1568000</v>
      </c>
      <c r="JC28">
        <v>90000</v>
      </c>
      <c r="JD28">
        <v>434000</v>
      </c>
      <c r="JE28">
        <v>0</v>
      </c>
      <c r="JF28">
        <v>0</v>
      </c>
      <c r="JG28">
        <v>0</v>
      </c>
      <c r="JH28">
        <v>524000</v>
      </c>
    </row>
    <row r="29" spans="2:268" customFormat="1" x14ac:dyDescent="0.25">
      <c r="B29" s="2">
        <f ca="1">OFFSET(tblBaseCF[[#This Row],[Year]],-1,0)+1</f>
        <v>9</v>
      </c>
      <c r="C29" s="2">
        <f ca="1">(tblBaseCF[[#This Row],[Year]]&lt;=term)*1</f>
        <v>1</v>
      </c>
      <c r="D29" s="57">
        <f ca="1">(YEAR(rcd)+tblBaseCF[[#This Row],[Year]]-1)
*tblBaseCF[[#This Row],[PolTermFlag]]</f>
        <v>2033</v>
      </c>
      <c r="E29" s="57">
        <f ca="1">(mainLI_entry_age+tblBaseCF[[#This Row],[Year]]-1)
*tblBaseCF[[#This Row],[PolTermFlag]]</f>
        <v>8</v>
      </c>
      <c r="F29" s="57">
        <f ca="1">IF(tblBaseCF[[#This Row],[Year]]=1,1,OFFSET(tblBaseCF[[#This Row],[DeductFlag]],-1,0))
*tblBaseCF[[#This Row],[PolTermFlag]]</f>
        <v>0</v>
      </c>
      <c r="G2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29" s="57">
        <f ca="1">(tblBaseCF[[#This Row],[Year]]&lt;=acc_ben_term)
*tblBaseCF[[#This Row],[ContFlag]]</f>
        <v>0</v>
      </c>
      <c r="I29" s="57">
        <f ca="1">(tblBaseCF[[#This Row],[Year]]&lt;=tp_term)
*tblBaseCF[[#This Row],[ContFlag]]</f>
        <v>0</v>
      </c>
      <c r="J29" s="57">
        <f ca="1">(tblBaseCF[[#This Row],[Year]]&lt;=ep_term)
*tblBaseCF[[#This Row],[ContFlag]]</f>
        <v>0</v>
      </c>
      <c r="K29" s="57">
        <f ca="1">(tblBaseCF[[#This Row],[Year]]&lt;=em_load_term)*1</f>
        <v>0</v>
      </c>
      <c r="L29" s="57">
        <f ca="1">(tblBaseCF[[#This Row],[Year]]&lt;=pm_load_term)*1</f>
        <v>0</v>
      </c>
      <c r="M29" s="59">
        <f ca="1">IF(tblBaseCF[[#This Row],[Year]]=1,si,OFFSET(tblBaseCF[[#This Row],[EndSI]],-1,0))
*tblBaseCF[[#This Row],[ContFlag]]</f>
        <v>0</v>
      </c>
      <c r="N29" s="59">
        <f ca="1">OFFSET(tblBaseCF[[#This Row],[EndTAV]],-1,0)
*tblBaseCF[[#This Row],[ContFlag]]</f>
        <v>0</v>
      </c>
      <c r="O29" s="59">
        <f ca="1">OFFSET(tblBaseCF[[#This Row],[EndEAV]],-1,0)
*tblBaseCF[[#This Row],[ContFlag]]</f>
        <v>0</v>
      </c>
      <c r="P29" s="60">
        <f ca="1">tblBaseCF[[#This Row],[StartEAV]]+tblBaseCF[[#This Row],[StartTAV]]</f>
        <v>0</v>
      </c>
      <c r="Q29" s="61">
        <f ca="1">IFERROR(INDEX(tblJuvenileLienRate[Rate],MATCH(tblBaseCF[[#This Row],[Age]],tblJuvenileLienRate[Age],0)),1)
*tblBaseCF[[#This Row],[ContFlag]]</f>
        <v>0</v>
      </c>
      <c r="R2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29" s="62">
        <f ca="1">tblBaseCF[[#This Row],[StartSI]]*acc_ben_coeff*tblBaseCF[[#This Row],[JuvenileLienRate]]
*tblBaseCF[[#This Row],[AccBenTermFlag]]</f>
        <v>0</v>
      </c>
      <c r="T29" s="61">
        <f ca="1">(IFERROR(INDEX(tblSurrChrgRate[Rate],MATCH(tblBaseCF[[#This Row],[Year]],tblSurrChrgRate[Year],0)),0)
*tblBaseCF[[#This Row],[ContFlag]])</f>
        <v>0</v>
      </c>
      <c r="U29" s="60">
        <f ca="1">tp*tblBaseCF[[#This Row],[SrrChrgRate]]</f>
        <v>0</v>
      </c>
      <c r="V29" s="63">
        <f ca="1">MAX(tblBaseCF[[#This Row],[StartTAV]]-tblBaseCF[[#This Row],[SVChrg]],0)+tblBaseCF[[#This Row],[StartEAV]]</f>
        <v>0</v>
      </c>
      <c r="W29" s="59">
        <f ca="1">IFERROR(INDEX(tblWithdrawal_Output[Amount],MATCH(tblBaseCF[[#This Row],[Year]],tblWithdrawal_Output[Year],0)),0)
*tblBaseCF[[#This Row],[ContFlag]]</f>
        <v>0</v>
      </c>
      <c r="X29" s="59" t="b">
        <f ca="1">tblBaseCF[[#This Row],[WithdrawalInput]]&gt;0</f>
        <v>0</v>
      </c>
      <c r="Y29" s="59" t="b">
        <f ca="1">AND(tblBaseCF[[#This Row],[1stCheckProceed]],tblBaseCF[[#This Row],[WithdrawalInput]]&lt;=tblBaseCF[[#This Row],[StartPAV]])</f>
        <v>0</v>
      </c>
      <c r="Z29" s="59" t="b">
        <f ca="1">AND(tblBaseCF[[#This Row],[2ndCheckAmount]],(tblBaseCF[[#This Row],[StartPAV]]-tblBaseCF[[#This Row],[WithdrawalInput]])&gt;=min_pav_after_withdrawal)</f>
        <v>0</v>
      </c>
      <c r="AA2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29" s="59" t="b">
        <f ca="1">AND(tblBaseCF[[#This Row],[3rdCheckPAV]],tblBaseCF[[#This Row],[endSITest]]&gt;=min_base_si)</f>
        <v>0</v>
      </c>
      <c r="AC29" s="60">
        <f ca="1">tblBaseCF[[#This Row],[WithdrawalInput]]*tblBaseCF[[#This Row],[4thCheckSI]]</f>
        <v>0</v>
      </c>
      <c r="AD29" s="60">
        <f ca="1">MIN(tblBaseCF[[#This Row],[Withdrawal]],tblBaseCF[[#This Row],[StartEAV]])</f>
        <v>0</v>
      </c>
      <c r="AE29" s="60">
        <f ca="1">tblBaseCF[[#This Row],[Withdrawal]]-tblBaseCF[[#This Row],[EAVWithdrawal]]</f>
        <v>0</v>
      </c>
      <c r="AF29" s="60">
        <f ca="1">IF(tblBaseCF[[#This Row],[4thCheckSI]],tblBaseCF[[#This Row],[endSITest]],tblBaseCF[[#This Row],[StartSI]])</f>
        <v>0</v>
      </c>
      <c r="AG2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29" s="65">
        <f ca="1">IFERROR(INDEX(tblTPAllocChrgRate[Rate],MATCH(tblBaseCF[[#This Row],[Year]],tblTPAllocChrgRate[Year],0)),0)</f>
        <v>0.04</v>
      </c>
      <c r="AI29" s="62">
        <f ca="1">(tp+big_case_bonus_tp*(tblBaseCF[[#This Row],[Year]]=1))
*tblBaseCF[[#This Row],[TPTermFlag]]</f>
        <v>0</v>
      </c>
      <c r="AJ29" s="63">
        <f ca="1">tblBaseCF[[#This Row],[TP]]*tblBaseCF[[#This Row],[TPAllocChrgRate]]</f>
        <v>0</v>
      </c>
      <c r="AK29" s="60">
        <f ca="1">tblBaseCF[[#This Row],[TP]]-tblBaseCF[[#This Row],[TPAllocChrg]]</f>
        <v>0</v>
      </c>
      <c r="AL29" s="65">
        <f ca="1">IFERROR(INDEX(tblEPAllocChrgRate[Rate],MATCH(tblBaseCF[[#This Row],[Year]],tblEPAllocChrgRate[Year],0)),0)</f>
        <v>0.02</v>
      </c>
      <c r="AM29" s="60">
        <f ca="1">ep*tblBaseCF[[#This Row],[EPTermFlag]]</f>
        <v>0</v>
      </c>
      <c r="AN29" s="60">
        <f ca="1">tblBaseCF[[#This Row],[EP]]*tblBaseCF[[#This Row],[EPAllocChrgRate]]</f>
        <v>0</v>
      </c>
      <c r="AO29" s="63">
        <f ca="1">tblBaseCF[[#This Row],[EP]]-tblBaseCF[[#This Row],[EPAllocChrg]]</f>
        <v>0</v>
      </c>
      <c r="AP29" s="62">
        <f ca="1">tblBaseCF[[#This Row],[Ben]]*extra_prem_rate*em_load/1000/(1-tblBaseCF[[#This Row],[EPAllocChrgRate]])
*tblBaseCF[[#This Row],[EMLoadTermFlag]]</f>
        <v>0</v>
      </c>
      <c r="AQ29" s="62">
        <f ca="1">tblBaseCF[[#This Row],[Ben]]*pm_load/1000/(1-tblBaseCF[[#This Row],[EPAllocChrgRate]])
*tblBaseCF[[#This Row],[PMLoadTermFlag]]</f>
        <v>0</v>
      </c>
      <c r="AR29" s="60">
        <f ca="1">ROUNDUP(tblBaseCF[[#This Row],[UnroundedEMLoad]],-3)</f>
        <v>0</v>
      </c>
      <c r="AS29" s="62">
        <f ca="1">ROUNDUP(tblBaseCF[[#This Row],[Ben]]*pm_load/1000/(1-tblBaseCF[[#This Row],[EPAllocChrgRate]]),-3)
*tblBaseCF[[#This Row],[PMLoadTermFlag]]</f>
        <v>0</v>
      </c>
      <c r="AT29" s="60">
        <f ca="1">tblBaseCF[[#This Row],[EMLoad]]+tblBaseCF[[#This Row],[PMLoad]]</f>
        <v>0</v>
      </c>
      <c r="AU29" s="60">
        <f ca="1">tblBaseCF[[#This Row],[Load]]*tblBaseCF[[#This Row],[EPAllocChrgRate]]</f>
        <v>0</v>
      </c>
      <c r="AV29" s="60">
        <f ca="1">tblBaseCF[[#This Row],[Load]]-tblBaseCF[[#This Row],[LoadAllocChrg]]</f>
        <v>0</v>
      </c>
      <c r="AW29" s="60">
        <f ca="1">tblBaseCF[[#This Row],[TP]]+tblBaseCF[[#This Row],[EP]]+tblBaseCF[[#This Row],[Load]]</f>
        <v>0</v>
      </c>
      <c r="AX29" s="60">
        <f ca="1">tblBaseCF[[#This Row],[TPAllocChrg]]+tblBaseCF[[#This Row],[EPAllocChrg]]+tblBaseCF[[#This Row],[LoadAllocChrg]]</f>
        <v>0</v>
      </c>
      <c r="AY29" s="60">
        <f ca="1">tblBaseCF[[#This Row],[TPAlloc]]+tblBaseCF[[#This Row],[EPAlloc]]+tblBaseCF[[#This Row],[LoadAlloc]]</f>
        <v>0</v>
      </c>
      <c r="AZ29" s="60">
        <f ca="1">(OFFSET(tblBaseCF[[#This Row],[AccumTotalPrem]],-1,0)+tblBaseCF[[#This Row],[TotalPrem]])*tblBaseCF[[#This Row],[TPTermFlag]]</f>
        <v>0</v>
      </c>
      <c r="BA29" s="62">
        <f ca="1">(tblBaseCF[[#This Row],[StartTAV]]-tblBaseCF[[#This Row],[TAVWithdrawal]]+tblBaseCF[[#This Row],[TPAlloc]])
*tblBaseCF[[#This Row],[ContFlag]]</f>
        <v>0</v>
      </c>
      <c r="BB29" s="59">
        <f ca="1">(tblBaseCF[[#This Row],[StartEAV]]-tblBaseCF[[#This Row],[EAVWithdrawal]]+tblBaseCF[[#This Row],[EPAlloc]]+tblBaseCF[[#This Row],[LoadAlloc]])
*tblBaseCF[[#This Row],[ContFlag]]</f>
        <v>0</v>
      </c>
      <c r="BC29" s="59">
        <f ca="1">tblBaseCF[[#This Row],[TAVAfterWdrlAlloc]]+tblBaseCF[[#This Row],[EAVAfterWdrlAlloc]]</f>
        <v>0</v>
      </c>
      <c r="BD29" s="66">
        <f t="shared" si="2"/>
        <v>0</v>
      </c>
      <c r="BE29" s="67">
        <f>(1+tblBaseCF[[#This Row],[AnnualIntRate]])^(1/12)-1</f>
        <v>0</v>
      </c>
      <c r="BF29" s="68">
        <f>IFERROR(((1+tblBaseCF[[#This Row],[MonthlyIntRate]])^12-1)/12/(1-1/(1+tblBaseCF[[#This Row],[MonthlyIntRate]])),1)/(1+tblBaseCF[[#This Row],[AnnualIntRate]])</f>
        <v>1</v>
      </c>
      <c r="BG29" s="69">
        <f>PV(tblBaseCF[[#This Row],[MonthlyIntRate]],12,-1/12,,1)</f>
        <v>1</v>
      </c>
      <c r="BH29" s="60">
        <f ca="1">MAX(IF(death_tpd_option="A",tblBaseCF[[#This Row],[Ben]]-tblBaseCF[[#This Row],[StartPAV]],tblBaseCF[[#This Row],[Ben]]),0)</f>
        <v>0</v>
      </c>
      <c r="BI29" s="70">
        <f ca="1">IFERROR(INDEX(tblBaseCOIRate[Rate],MATCH(tblBaseCF[[#This Row],[Age]],tblBaseCOIRate[Age],0)),0)</f>
        <v>7.0000000000003404E-4</v>
      </c>
      <c r="BJ29" s="60">
        <f ca="1">tblBaseCF[[#This Row],[SAR]]*tblBaseCF[[#This Row],[COIRate]]</f>
        <v>0</v>
      </c>
      <c r="BK29" s="62">
        <f ca="1">em_load*tblBaseCF[[#This Row],[pStandardCOI]]
*tblBaseCF[[#This Row],[EMLoadTermFlag]]</f>
        <v>0</v>
      </c>
      <c r="BL29" s="62">
        <f ca="1">pm_load/1000*tblBaseCF[[#This Row],[SAR]]
*tblBaseCF[[#This Row],[PMLoadTermFlag]]</f>
        <v>0</v>
      </c>
      <c r="BM29" s="60">
        <f ca="1">tblBaseCF[[#This Row],[AccBen]]*monthly_acc_coi*12</f>
        <v>0</v>
      </c>
      <c r="BN29" s="60">
        <f ca="1">tblBaseCF[[#This Row],[pStandardCOI]]+tblBaseCF[[#This Row],[pEMLoadCOI]]+tblBaseCF[[#This Row],[pPMLoadCOI]]+tblBaseCF[[#This Row],[pAccCOI]]</f>
        <v>0</v>
      </c>
      <c r="BO29" s="62">
        <f ca="1">IFERROR(INDEX(tblAdminChrg[Amount],MATCH(tblBaseCF[[#This Row],[CalYear]],tblAdminChrg[Cal_Year],0)),0)
*tblBaseCF[[#This Row],[ContFlag]]</f>
        <v>0</v>
      </c>
      <c r="BP29" s="60">
        <f ca="1">tblBaseCF[[#This Row],[pMonthlyAdminChrg]]*12</f>
        <v>0</v>
      </c>
      <c r="BQ29" s="60">
        <f ca="1">tblBaseCF[[#This Row],[pCOI]]+tblBaseCF[[#This Row],[pAdminChrg]]</f>
        <v>0</v>
      </c>
      <c r="BR29" s="60">
        <f ca="1">tblBaseCF[[#This Row],[pNomDeduct]]*tblBaseCF[[#This Row],[Duean1m12]]</f>
        <v>0</v>
      </c>
      <c r="BS29" s="57">
        <f ca="1">(tblBaseCF[[#This Row],[PAVAfterWdrlAlloc]]&gt;=tblBaseCF[[#This Row],[pNomDeduct]])
*tblBaseCF[[#This Row],[ContFlag]]</f>
        <v>0</v>
      </c>
      <c r="BT29" s="60">
        <f ca="1">tblBaseCF[[#This Row],[pStandardCOI]]*tblBaseCF[[#This Row],[DeductFlag]]</f>
        <v>0</v>
      </c>
      <c r="BU29" s="60">
        <f ca="1">tblBaseCF[[#This Row],[pEMLoadCOI]]*tblBaseCF[[#This Row],[DeductFlag]]</f>
        <v>0</v>
      </c>
      <c r="BV29" s="60">
        <f ca="1">tblBaseCF[[#This Row],[pPMLoadCOI]]*tblBaseCF[[#This Row],[DeductFlag]]</f>
        <v>0</v>
      </c>
      <c r="BW29" s="60">
        <f ca="1">tblBaseCF[[#This Row],[pAccCOI]]*tblBaseCF[[#This Row],[DeductFlag]]</f>
        <v>0</v>
      </c>
      <c r="BX29" s="60">
        <f ca="1">tblBaseCF[[#This Row],[pCOI]]*tblBaseCF[[#This Row],[DeductFlag]]</f>
        <v>0</v>
      </c>
      <c r="BY29" s="60">
        <f ca="1">tblBaseCF[[#This Row],[pMonthlyAdminChrg]]*tblBaseCF[[#This Row],[DeductFlag]]</f>
        <v>0</v>
      </c>
      <c r="BZ29" s="60">
        <f ca="1">tblBaseCF[[#This Row],[pAdminChrg]]*tblBaseCF[[#This Row],[DeductFlag]]</f>
        <v>0</v>
      </c>
      <c r="CA29" s="60">
        <f ca="1">tblBaseCF[[#This Row],[pNomDeduct]]*tblBaseCF[[#This Row],[DeductFlag]]</f>
        <v>0</v>
      </c>
      <c r="CB29" s="60">
        <f ca="1">tblBaseCF[[#This Row],[pDeduct]]*tblBaseCF[[#This Row],[DeductFlag]]</f>
        <v>0</v>
      </c>
      <c r="CC29" s="60">
        <f ca="1">MIN(tblBaseCF[[#This Row],[TAVAfterWdrlAlloc]],tblBaseCF[[#This Row],[Deduct]])</f>
        <v>0</v>
      </c>
      <c r="CD29" s="60">
        <f ca="1">tblBaseCF[[#This Row],[Deduct]]-tblBaseCF[[#This Row],[TAVDeduct]]</f>
        <v>0</v>
      </c>
      <c r="CE29" s="69">
        <f ca="1">(tblBaseCF[[#This Row],[TAVAfterWdrlAlloc]]-tblBaseCF[[#This Row],[TAVDeduct]])*tblBaseCF[[#This Row],[AnnualIntRate]]
*tblBaseCF[[#This Row],[DeductFlag]]</f>
        <v>0</v>
      </c>
      <c r="CF29" s="69">
        <f ca="1">(tblBaseCF[[#This Row],[EAVAfterWdrlAlloc]]-tblBaseCF[[#This Row],[EAVDeduct]])*tblBaseCF[[#This Row],[AnnualIntRate]]
*tblBaseCF[[#This Row],[DeductFlag]]</f>
        <v>0</v>
      </c>
      <c r="CG29" s="69">
        <f ca="1">tblBaseCF[[#This Row],[TAVInt]]+tblBaseCF[[#This Row],[EAVInt]]</f>
        <v>0</v>
      </c>
      <c r="CH29" s="62">
        <f ca="1">IFERROR(INDEX(tblLBRate[Rate],MATCH(tblBaseCF[[#This Row],[Year]],tblLBRate[Year],0)),0)
*tblBaseCF[[#This Row],[DeductFlag]]</f>
        <v>0</v>
      </c>
      <c r="CI29" s="60">
        <f ca="1">IFERROR(SUM(OFFSET(tblBaseCF[[#This Row],[TAVWithdrawal]],0,0,-lb_review_period,1)),0)
*(tblBaseCF[[#This Row],[LBRate]]&gt;0)</f>
        <v>0</v>
      </c>
      <c r="CJ29" s="60">
        <f ca="1">(tblBaseCF[[#This Row],[LBRate]]&gt;0)*(tblBaseCF[[#This Row],[LBTAVWithdrawal]]=0)</f>
        <v>0</v>
      </c>
      <c r="CK29" s="62" cm="1">
        <f t="array" aca="1" ref="CK29" ca="1">IF(tblBaseCF[[#This Row],[LBFlag]],
_xlfn.SWITCH(base,
"ILP1",AVERAGE(OFFSET(tblBaseCF[TP],0,0,-lb_review_period,1)),tp),0)
*tblBaseCF[[#This Row],[LBFlag]]</f>
        <v>0</v>
      </c>
      <c r="CL29" s="62">
        <f ca="1">tblBaseCF[[#This Row],[LBBasis]]*tblBaseCF[[#This Row],[LBRate]]</f>
        <v>0</v>
      </c>
      <c r="CM29" s="57" cm="1">
        <f t="array" aca="1" ref="CM29" ca="1">_xlfn.SWITCH(base,
"ILP1",0,($AF129&lt;500000000)*1
+($AF129&gt;=500000000)*($AF129&lt;1000000000)*2
+($AF129&gt;=1000000000)*3)
*tblBaseCF[[#This Row],[DeductFlag]]</f>
        <v>0</v>
      </c>
      <c r="CN29" s="2" t="str">
        <f ca="1">IF(tblBaseCF[[#This Row],[DeductFlag]],base&amp;"_"&amp;tblBaseCF[[#This Row],[SBCode]]&amp;"_"&amp;tblBaseCF[[#This Row],[Year]],"")</f>
        <v/>
      </c>
      <c r="CO29" s="3">
        <f ca="1">IFERROR(INDEX(tblSBRate[Index],MATCH(tblBaseCF[[#This Row],[SBIndex]],tblSBRate[Rate],0)),0)</f>
        <v>0</v>
      </c>
      <c r="CP29" s="63">
        <f ca="1">IFERROR(SUM(OFFSET(tblBaseCF[[#This Row],[TAVWithdrawal]],0,0,-sb_review_period,1)),0)
*(tblBaseCF[[#This Row],[SBRate]]&gt;0)</f>
        <v>0</v>
      </c>
      <c r="CQ29" s="63">
        <f ca="1">(tblBaseCF[[#This Row],[SBRate]]&gt;0)*(tblBaseCF[[#This Row],[SBTAVWithdrawal]]=0)</f>
        <v>0</v>
      </c>
      <c r="CR29" s="59" cm="1">
        <f t="array" aca="1" ref="CR29" ca="1">IF(tblBaseCF[[#This Row],[LBFlag]],
_xlfn.SWITCH(base,
"ILP1",0,tp),0)*tblBaseCF[[#This Row],[SBFlag]]</f>
        <v>0</v>
      </c>
      <c r="CS29" s="63">
        <f ca="1">tblBaseCF[[#This Row],[SBBasis]]*tblBaseCF[[#This Row],[SBRate]]</f>
        <v>0</v>
      </c>
      <c r="CT29" s="63">
        <f ca="1">tblBaseCF[[#This Row],[LB]]+tblBaseCF[[#This Row],[SB]]</f>
        <v>0</v>
      </c>
      <c r="CU29" s="59">
        <f ca="1">tblBaseCF[[#This Row],[TAVAfterWdrlAlloc]]-tblBaseCF[[#This Row],[TAVDeduct]]+tblBaseCF[[#This Row],[TAVInt]]+tblBaseCF[[#This Row],[Bonus]]</f>
        <v>0</v>
      </c>
      <c r="CV29" s="59">
        <f ca="1">tblBaseCF[[#This Row],[EAVAfterWdrlAlloc]]-tblBaseCF[[#This Row],[EAVDeduct]]+tblBaseCF[[#This Row],[EAVInt]]</f>
        <v>0</v>
      </c>
      <c r="CW29" s="63">
        <f ca="1">tblBaseCF[[#This Row],[EndTAV]]+tblBaseCF[[#This Row],[EndEAV]]</f>
        <v>0</v>
      </c>
      <c r="CX29" s="59">
        <f ca="1">INDEX(tblPlanPrem[TP],2)
*tblBaseCF[[#This Row],[TPTermFlag]]</f>
        <v>0</v>
      </c>
      <c r="CY29" s="59">
        <f ca="1">INDEX(tblPlanPrem[EP],2)
*tblBaseCF[[#This Row],[TPTermFlag]]</f>
        <v>0</v>
      </c>
      <c r="CZ29" s="63">
        <f ca="1">ROUNDUP(tblBaseCF[[#This Row],[UnroundedEMLoad]]*INDEX(tblPlanPrem[Factor],2),-3)</f>
        <v>0</v>
      </c>
      <c r="DA29" s="63">
        <f ca="1">ROUNDUP(tblBaseCF[[#This Row],[UnroundedPMLoad]]*INDEX(tblPlanPrem[Factor],2),-3)</f>
        <v>0</v>
      </c>
      <c r="DB29" s="63">
        <f ca="1">tblBaseCF[[#This Row],[SemiAnnualEMLoad]]+tblBaseCF[[#This Row],[SemiAnnualPMLoad]]</f>
        <v>0</v>
      </c>
      <c r="DC29" s="63">
        <f ca="1">tblBaseCF[[#This Row],[SemiAnnualTP]]+tblBaseCF[[#This Row],[SemiAnnualEP]]+tblBaseCF[[#This Row],[SemiAnnualLoad]]</f>
        <v>0</v>
      </c>
      <c r="DD29" s="59">
        <f ca="1">INDEX(tblPlanPrem[TP],3)
*tblBaseCF[[#This Row],[TPTermFlag]]</f>
        <v>0</v>
      </c>
      <c r="DE29" s="59">
        <f ca="1">INDEX(tblPlanPrem[EP],3)
*tblBaseCF[[#This Row],[TPTermFlag]]</f>
        <v>0</v>
      </c>
      <c r="DF29" s="63">
        <f ca="1">ROUNDUP(tblBaseCF[[#This Row],[UnroundedEMLoad]]*INDEX(tblPlanPrem[Factor],3),-3)</f>
        <v>0</v>
      </c>
      <c r="DG29" s="63">
        <f ca="1">ROUNDUP(tblBaseCF[[#This Row],[UnroundedPMLoad]]*INDEX(tblPlanPrem[Factor],3),-3)</f>
        <v>0</v>
      </c>
      <c r="DH29" s="60">
        <f ca="1">tblBaseCF[[#This Row],[QuarterlyEMLoad]]+tblBaseCF[[#This Row],[QuarterlyPMLoad]]</f>
        <v>0</v>
      </c>
      <c r="DI29" s="60">
        <f ca="1">tblBaseCF[[#This Row],[QuarterlyTP]]+tblBaseCF[[#This Row],[QuarterlyEP]]+tblBaseCF[[#This Row],[QuarterlyLoad]]</f>
        <v>0</v>
      </c>
      <c r="DJ29" s="59">
        <f ca="1">INDEX(tblPlanPrem[TP],4)
*tblBaseCF[[#This Row],[TPTermFlag]]</f>
        <v>0</v>
      </c>
      <c r="DK29" s="59">
        <f ca="1">INDEX(tblPlanPrem[EP],4)
*tblBaseCF[[#This Row],[TPTermFlag]]</f>
        <v>0</v>
      </c>
      <c r="DL29" s="63">
        <f ca="1">ROUNDUP(tblBaseCF[[#This Row],[UnroundedEMLoad]]*INDEX(tblPlanPrem[Factor],4),-3)</f>
        <v>0</v>
      </c>
      <c r="DM29" s="63">
        <f ca="1">ROUNDUP(tblBaseCF[[#This Row],[UnroundedPMLoad]]*INDEX(tblPlanPrem[Factor],4),-3)</f>
        <v>0</v>
      </c>
      <c r="DN29" s="60">
        <f ca="1">tblBaseCF[[#This Row],[MonthlyEMLoad]]+tblBaseCF[[#This Row],[MonthlyPMLoad]]</f>
        <v>0</v>
      </c>
      <c r="DO29" s="63">
        <f ca="1">tblBaseCF[[#This Row],[MonthlyTP]]+tblBaseCF[[#This Row],[MonthlyEP]]+tblBaseCF[[#This Row],[MonthlyLoad]]</f>
        <v>0</v>
      </c>
      <c r="DP29" s="3"/>
      <c r="DS29">
        <f t="shared" si="3"/>
        <v>0</v>
      </c>
      <c r="DT29">
        <f t="shared" si="4"/>
        <v>0</v>
      </c>
      <c r="DU29">
        <f t="shared" si="5"/>
        <v>0</v>
      </c>
      <c r="DV29">
        <f ca="1">tblBaseCF[[#This Row],[Year]]</f>
        <v>9</v>
      </c>
      <c r="DW29">
        <f ca="1">tblBaseCF[[#This Row],[Age]]</f>
        <v>8</v>
      </c>
      <c r="DX29">
        <f ca="1">tblBaseCF[[#This Row],[ContFlag]]</f>
        <v>0</v>
      </c>
      <c r="DY29" t="str">
        <f ca="1">tblBaseCF[[#This Row],[ContLog]]</f>
        <v>Insufficient PAV for deduction - Discontinue.</v>
      </c>
      <c r="DZ29">
        <f ca="1">tblBaseCF[[#This Row],[StartTAV]]</f>
        <v>0</v>
      </c>
      <c r="EA29">
        <f ca="1">tblBaseCF[[#This Row],[StartEAV]]</f>
        <v>0</v>
      </c>
      <c r="EB29">
        <f ca="1">tblBaseCF[[#This Row],[StartPAV]]</f>
        <v>0</v>
      </c>
      <c r="EC29">
        <f ca="1">tblBaseCF[[#This Row],[SVChrg]]</f>
        <v>0</v>
      </c>
      <c r="ED29">
        <f ca="1">tblBaseCF[[#This Row],[SV]]</f>
        <v>0</v>
      </c>
      <c r="EE29">
        <f ca="1">tblBaseCF[[#This Row],[Ben]]</f>
        <v>0</v>
      </c>
      <c r="EF29">
        <f ca="1">tblBaseCF[[#This Row],[AccBen]]</f>
        <v>0</v>
      </c>
      <c r="EG29">
        <f ca="1">tblBaseCF[[#This Row],[WithdrawalInput]]</f>
        <v>0</v>
      </c>
      <c r="EH29" t="str">
        <f ca="1">tblBaseCF[[#This Row],[WithdrawalLog]]</f>
        <v>No withdrawal.</v>
      </c>
      <c r="EI29">
        <f ca="1">tblBaseCF[[#This Row],[TAVWithdrawal]]</f>
        <v>0</v>
      </c>
      <c r="EJ29">
        <f ca="1">tblBaseCF[[#This Row],[EAVWithdrawal]]</f>
        <v>0</v>
      </c>
      <c r="EK29">
        <f ca="1">tblBaseCF[[#This Row],[Withdrawal]]</f>
        <v>0</v>
      </c>
      <c r="EL29">
        <f ca="1">tblBaseCF[[#This Row],[TP]]</f>
        <v>0</v>
      </c>
      <c r="EM29">
        <f ca="1">tblBaseCF[[#This Row],[TPAllocChrg]]</f>
        <v>0</v>
      </c>
      <c r="EN29">
        <f ca="1">tblBaseCF[[#This Row],[TPAlloc]]</f>
        <v>0</v>
      </c>
      <c r="EO29">
        <f ca="1">tblBaseCF[[#This Row],[EP]]</f>
        <v>0</v>
      </c>
      <c r="EP29">
        <f ca="1">tblBaseCF[[#This Row],[EPAllocChrg]]</f>
        <v>0</v>
      </c>
      <c r="EQ29">
        <f ca="1">tblBaseCF[[#This Row],[EPAlloc]]</f>
        <v>0</v>
      </c>
      <c r="ER29">
        <f ca="1">tblBaseCF[[#This Row],[EMLoad]]</f>
        <v>0</v>
      </c>
      <c r="ES29">
        <f ca="1">tblBaseCF[[#This Row],[PMLoad]]</f>
        <v>0</v>
      </c>
      <c r="ET29">
        <f ca="1">tblBaseCF[[#This Row],[Load]]</f>
        <v>0</v>
      </c>
      <c r="EU29">
        <f ca="1">tblBaseCF[[#This Row],[LoadAllocChrg]]</f>
        <v>0</v>
      </c>
      <c r="EV29">
        <f ca="1">tblBaseCF[[#This Row],[LoadAlloc]]</f>
        <v>0</v>
      </c>
      <c r="EW29">
        <f ca="1">tblBaseCF[[#This Row],[TotalPrem]]</f>
        <v>0</v>
      </c>
      <c r="EX29">
        <f ca="1">tblBaseCF[[#This Row],[AllocChrg]]</f>
        <v>0</v>
      </c>
      <c r="EY29">
        <f ca="1">tblBaseCF[[#This Row],[Alloc]]</f>
        <v>0</v>
      </c>
      <c r="EZ29">
        <f ca="1">tblBaseCF[[#This Row],[AccumTotalPrem]]</f>
        <v>0</v>
      </c>
      <c r="FA29">
        <f>tblBaseCF[[#This Row],[AnnualIntRate]]</f>
        <v>0</v>
      </c>
      <c r="FB29" s="50">
        <f>tblBaseCF[[#This Row],[Duean1m12]]</f>
        <v>1</v>
      </c>
      <c r="FC29">
        <f ca="1">tblBaseCF[[#This Row],[DeductFlag]]</f>
        <v>0</v>
      </c>
      <c r="FD29">
        <f ca="1">tblBaseCF[[#This Row],[AdminChrg]]</f>
        <v>0</v>
      </c>
      <c r="FE29">
        <f ca="1">tblBaseCF[[#This Row],[StandardCOI]]</f>
        <v>0</v>
      </c>
      <c r="FF29">
        <f ca="1">tblBaseCF[[#This Row],[EMLoadCOI]]</f>
        <v>0</v>
      </c>
      <c r="FG29">
        <f ca="1">tblBaseCF[[#This Row],[PMLoadCOI]]</f>
        <v>0</v>
      </c>
      <c r="FH29">
        <f ca="1">tblBaseCF[[#This Row],[COI]]</f>
        <v>0</v>
      </c>
      <c r="FI29" s="47">
        <f ca="1">tblBaseCF[[#This Row],[NomDeduct]]</f>
        <v>0</v>
      </c>
      <c r="FJ29">
        <f ca="1">tblBaseCF[[#This Row],[Deduct]]</f>
        <v>0</v>
      </c>
      <c r="FK29">
        <f ca="1">tblBaseCF[[#This Row],[TAVDeduct]]</f>
        <v>0</v>
      </c>
      <c r="FL29">
        <f ca="1">tblBaseCF[[#This Row],[EAVDeduct]]</f>
        <v>0</v>
      </c>
      <c r="FM29" s="24">
        <f ca="1">tblBaseCF[[#This Row],[TAVInt]]</f>
        <v>0</v>
      </c>
      <c r="FN29">
        <f ca="1">tblBaseCF[[#This Row],[EAVInt]]</f>
        <v>0</v>
      </c>
      <c r="FO29" s="47">
        <f ca="1">tblBaseCF[[#This Row],[LB]]</f>
        <v>0</v>
      </c>
      <c r="FP29">
        <f ca="1">tblBaseCF[[#This Row],[SB]]</f>
        <v>0</v>
      </c>
      <c r="FQ29">
        <f ca="1">tblBaseCF[[#This Row],[Bonus]]</f>
        <v>0</v>
      </c>
      <c r="FR29">
        <f ca="1">tblBaseCF[[#This Row],[EndTAV]]</f>
        <v>0</v>
      </c>
      <c r="FS29">
        <f ca="1">tblBaseCF[[#This Row],[EndEAV]]</f>
        <v>0</v>
      </c>
      <c r="FT29">
        <f ca="1">tblBaseCF[[#This Row],[EndPAV]]</f>
        <v>0</v>
      </c>
      <c r="FU29">
        <f ca="1">tblBaseCF[[#This Row],[SemiAnnualTP]]</f>
        <v>0</v>
      </c>
      <c r="FV29">
        <f ca="1">tblBaseCF[[#This Row],[SemiAnnualEP]]</f>
        <v>0</v>
      </c>
      <c r="FW29">
        <f ca="1">tblBaseCF[[#This Row],[SemiAnnualEMLoad]]</f>
        <v>0</v>
      </c>
      <c r="FX29">
        <f ca="1">tblBaseCF[[#This Row],[SemiAnnualPMLoad]]</f>
        <v>0</v>
      </c>
      <c r="FY29">
        <f ca="1">tblBaseCF[[#This Row],[SemiAnnualLoad]]</f>
        <v>0</v>
      </c>
      <c r="FZ29">
        <f ca="1">tblBaseCF[[#This Row],[SemiAnnualTotalPrem]]</f>
        <v>0</v>
      </c>
      <c r="GA29">
        <f ca="1">tblBaseCF[[#This Row],[QuarterlyTP]]</f>
        <v>0</v>
      </c>
      <c r="GB29">
        <f ca="1">tblBaseCF[[#This Row],[QuarterlyEP]]</f>
        <v>0</v>
      </c>
      <c r="GC29">
        <f ca="1">tblBaseCF[[#This Row],[QuarterlyEMLoad]]</f>
        <v>0</v>
      </c>
      <c r="GD29">
        <f ca="1">tblBaseCF[[#This Row],[QuarterlyPMLoad]]</f>
        <v>0</v>
      </c>
      <c r="GE29">
        <f ca="1">tblBaseCF[[#This Row],[QuarterlyLoad]]</f>
        <v>0</v>
      </c>
      <c r="GF29">
        <f ca="1">tblBaseCF[[#This Row],[QuarterlyTotalPrem]]</f>
        <v>0</v>
      </c>
      <c r="GG29">
        <f ca="1">tblBaseCF[[#This Row],[MonthlyTP]]</f>
        <v>0</v>
      </c>
      <c r="GH29">
        <f ca="1">tblBaseCF[[#This Row],[MonthlyEP]]</f>
        <v>0</v>
      </c>
      <c r="GI29">
        <f ca="1">tblBaseCF[[#This Row],[MonthlyEMLoad]]</f>
        <v>0</v>
      </c>
      <c r="GJ29">
        <f ca="1">tblBaseCF[[#This Row],[MonthlyPMLoad]]</f>
        <v>0</v>
      </c>
      <c r="GK29">
        <f ca="1">tblBaseCF[[#This Row],[MonthlyLoad]]</f>
        <v>0</v>
      </c>
      <c r="GL29">
        <f ca="1">tblBaseCF[[#This Row],[MonthlyTotalPrem]]</f>
        <v>0</v>
      </c>
      <c r="GO29" t="s">
        <v>134</v>
      </c>
      <c r="GP29" t="s">
        <v>135</v>
      </c>
      <c r="GQ29" t="s">
        <v>502</v>
      </c>
      <c r="GR29">
        <v>9</v>
      </c>
      <c r="GS29">
        <v>8</v>
      </c>
      <c r="GT29">
        <v>1</v>
      </c>
      <c r="GU29" t="s">
        <v>457</v>
      </c>
      <c r="GV29">
        <v>2693213.6715993001</v>
      </c>
      <c r="GW29">
        <v>51821457.375432298</v>
      </c>
      <c r="GX29">
        <v>54514671.047031596</v>
      </c>
      <c r="GY29">
        <v>107200</v>
      </c>
      <c r="GZ29">
        <v>54407471.047031596</v>
      </c>
      <c r="HA29">
        <v>101000000</v>
      </c>
      <c r="HB29">
        <v>303000000</v>
      </c>
      <c r="HC29">
        <v>0</v>
      </c>
      <c r="HD29" t="s">
        <v>137</v>
      </c>
      <c r="HE29">
        <v>0</v>
      </c>
      <c r="HF29">
        <v>0</v>
      </c>
      <c r="HG29">
        <v>0</v>
      </c>
      <c r="HH29">
        <v>1072000</v>
      </c>
      <c r="HI29">
        <v>42880</v>
      </c>
      <c r="HJ29">
        <v>1029120</v>
      </c>
      <c r="HK29">
        <v>5200000</v>
      </c>
      <c r="HL29">
        <v>104000</v>
      </c>
      <c r="HM29">
        <v>5096000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6272000</v>
      </c>
      <c r="HT29">
        <v>146880</v>
      </c>
      <c r="HU29">
        <v>6125120</v>
      </c>
      <c r="HV29">
        <v>56448000</v>
      </c>
      <c r="HW29">
        <v>7.0000000000000007E-2</v>
      </c>
      <c r="HX29">
        <v>0.96964931039809399</v>
      </c>
      <c r="HY29">
        <v>1</v>
      </c>
      <c r="HZ29">
        <v>300000</v>
      </c>
      <c r="IA29">
        <v>32539.730267079402</v>
      </c>
      <c r="IB29">
        <v>0</v>
      </c>
      <c r="IC29">
        <v>0</v>
      </c>
      <c r="ID29">
        <v>305239.73026707902</v>
      </c>
      <c r="IE29">
        <v>605239.73026707896</v>
      </c>
      <c r="IF29">
        <v>586870.28707900201</v>
      </c>
      <c r="IG29">
        <v>586870.28707900201</v>
      </c>
      <c r="IH29">
        <v>0</v>
      </c>
      <c r="II29">
        <v>219482.43691642099</v>
      </c>
      <c r="IJ29">
        <v>3984222.0162802599</v>
      </c>
      <c r="IK29">
        <v>0</v>
      </c>
      <c r="IL29">
        <v>0</v>
      </c>
      <c r="IM29">
        <v>0</v>
      </c>
      <c r="IN29">
        <v>3354945.82143672</v>
      </c>
      <c r="IO29">
        <v>60901679.391712599</v>
      </c>
      <c r="IP29">
        <v>64256625.213149302</v>
      </c>
      <c r="IQ29">
        <v>536000</v>
      </c>
      <c r="IR29">
        <v>2600000</v>
      </c>
      <c r="IS29">
        <v>0</v>
      </c>
      <c r="IT29">
        <v>0</v>
      </c>
      <c r="IU29">
        <v>0</v>
      </c>
      <c r="IV29">
        <v>3136000</v>
      </c>
      <c r="IW29">
        <v>268000</v>
      </c>
      <c r="IX29">
        <v>1300000</v>
      </c>
      <c r="IY29">
        <v>0</v>
      </c>
      <c r="IZ29">
        <v>0</v>
      </c>
      <c r="JA29">
        <v>0</v>
      </c>
      <c r="JB29">
        <v>1568000</v>
      </c>
      <c r="JC29">
        <v>90000</v>
      </c>
      <c r="JD29">
        <v>434000</v>
      </c>
      <c r="JE29">
        <v>0</v>
      </c>
      <c r="JF29">
        <v>0</v>
      </c>
      <c r="JG29">
        <v>0</v>
      </c>
      <c r="JH29">
        <v>524000</v>
      </c>
    </row>
    <row r="30" spans="2:268" customFormat="1" x14ac:dyDescent="0.25">
      <c r="B30" s="2">
        <f ca="1">OFFSET(tblBaseCF[[#This Row],[Year]],-1,0)+1</f>
        <v>10</v>
      </c>
      <c r="C30" s="2">
        <f ca="1">(tblBaseCF[[#This Row],[Year]]&lt;=term)*1</f>
        <v>1</v>
      </c>
      <c r="D30" s="57">
        <f ca="1">(YEAR(rcd)+tblBaseCF[[#This Row],[Year]]-1)
*tblBaseCF[[#This Row],[PolTermFlag]]</f>
        <v>2034</v>
      </c>
      <c r="E30" s="57">
        <f ca="1">(mainLI_entry_age+tblBaseCF[[#This Row],[Year]]-1)
*tblBaseCF[[#This Row],[PolTermFlag]]</f>
        <v>9</v>
      </c>
      <c r="F30" s="57">
        <f ca="1">IF(tblBaseCF[[#This Row],[Year]]=1,1,OFFSET(tblBaseCF[[#This Row],[DeductFlag]],-1,0))
*tblBaseCF[[#This Row],[PolTermFlag]]</f>
        <v>0</v>
      </c>
      <c r="G3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0" s="57">
        <f ca="1">(tblBaseCF[[#This Row],[Year]]&lt;=acc_ben_term)
*tblBaseCF[[#This Row],[ContFlag]]</f>
        <v>0</v>
      </c>
      <c r="I30" s="57">
        <f ca="1">(tblBaseCF[[#This Row],[Year]]&lt;=tp_term)
*tblBaseCF[[#This Row],[ContFlag]]</f>
        <v>0</v>
      </c>
      <c r="J30" s="57">
        <f ca="1">(tblBaseCF[[#This Row],[Year]]&lt;=ep_term)
*tblBaseCF[[#This Row],[ContFlag]]</f>
        <v>0</v>
      </c>
      <c r="K30" s="57">
        <f ca="1">(tblBaseCF[[#This Row],[Year]]&lt;=em_load_term)*1</f>
        <v>0</v>
      </c>
      <c r="L30" s="57">
        <f ca="1">(tblBaseCF[[#This Row],[Year]]&lt;=pm_load_term)*1</f>
        <v>0</v>
      </c>
      <c r="M30" s="59">
        <f ca="1">IF(tblBaseCF[[#This Row],[Year]]=1,si,OFFSET(tblBaseCF[[#This Row],[EndSI]],-1,0))
*tblBaseCF[[#This Row],[ContFlag]]</f>
        <v>0</v>
      </c>
      <c r="N30" s="59">
        <f ca="1">OFFSET(tblBaseCF[[#This Row],[EndTAV]],-1,0)
*tblBaseCF[[#This Row],[ContFlag]]</f>
        <v>0</v>
      </c>
      <c r="O30" s="59">
        <f ca="1">OFFSET(tblBaseCF[[#This Row],[EndEAV]],-1,0)
*tblBaseCF[[#This Row],[ContFlag]]</f>
        <v>0</v>
      </c>
      <c r="P30" s="60">
        <f ca="1">tblBaseCF[[#This Row],[StartEAV]]+tblBaseCF[[#This Row],[StartTAV]]</f>
        <v>0</v>
      </c>
      <c r="Q30" s="61">
        <f ca="1">IFERROR(INDEX(tblJuvenileLienRate[Rate],MATCH(tblBaseCF[[#This Row],[Age]],tblJuvenileLienRate[Age],0)),1)
*tblBaseCF[[#This Row],[ContFlag]]</f>
        <v>0</v>
      </c>
      <c r="R3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0" s="62">
        <f ca="1">tblBaseCF[[#This Row],[StartSI]]*acc_ben_coeff*tblBaseCF[[#This Row],[JuvenileLienRate]]
*tblBaseCF[[#This Row],[AccBenTermFlag]]</f>
        <v>0</v>
      </c>
      <c r="T30" s="61">
        <f ca="1">(IFERROR(INDEX(tblSurrChrgRate[Rate],MATCH(tblBaseCF[[#This Row],[Year]],tblSurrChrgRate[Year],0)),0)
*tblBaseCF[[#This Row],[ContFlag]])</f>
        <v>0</v>
      </c>
      <c r="U30" s="60">
        <f ca="1">tp*tblBaseCF[[#This Row],[SrrChrgRate]]</f>
        <v>0</v>
      </c>
      <c r="V30" s="63">
        <f ca="1">MAX(tblBaseCF[[#This Row],[StartTAV]]-tblBaseCF[[#This Row],[SVChrg]],0)+tblBaseCF[[#This Row],[StartEAV]]</f>
        <v>0</v>
      </c>
      <c r="W30" s="59">
        <f ca="1">IFERROR(INDEX(tblWithdrawal_Output[Amount],MATCH(tblBaseCF[[#This Row],[Year]],tblWithdrawal_Output[Year],0)),0)
*tblBaseCF[[#This Row],[ContFlag]]</f>
        <v>0</v>
      </c>
      <c r="X30" s="59" t="b">
        <f ca="1">tblBaseCF[[#This Row],[WithdrawalInput]]&gt;0</f>
        <v>0</v>
      </c>
      <c r="Y30" s="59" t="b">
        <f ca="1">AND(tblBaseCF[[#This Row],[1stCheckProceed]],tblBaseCF[[#This Row],[WithdrawalInput]]&lt;=tblBaseCF[[#This Row],[StartPAV]])</f>
        <v>0</v>
      </c>
      <c r="Z30" s="59" t="b">
        <f ca="1">AND(tblBaseCF[[#This Row],[2ndCheckAmount]],(tblBaseCF[[#This Row],[StartPAV]]-tblBaseCF[[#This Row],[WithdrawalInput]])&gt;=min_pav_after_withdrawal)</f>
        <v>0</v>
      </c>
      <c r="AA3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0" s="59" t="b">
        <f ca="1">AND(tblBaseCF[[#This Row],[3rdCheckPAV]],tblBaseCF[[#This Row],[endSITest]]&gt;=min_base_si)</f>
        <v>0</v>
      </c>
      <c r="AC30" s="60">
        <f ca="1">tblBaseCF[[#This Row],[WithdrawalInput]]*tblBaseCF[[#This Row],[4thCheckSI]]</f>
        <v>0</v>
      </c>
      <c r="AD30" s="60">
        <f ca="1">MIN(tblBaseCF[[#This Row],[Withdrawal]],tblBaseCF[[#This Row],[StartEAV]])</f>
        <v>0</v>
      </c>
      <c r="AE30" s="60">
        <f ca="1">tblBaseCF[[#This Row],[Withdrawal]]-tblBaseCF[[#This Row],[EAVWithdrawal]]</f>
        <v>0</v>
      </c>
      <c r="AF30" s="60">
        <f ca="1">IF(tblBaseCF[[#This Row],[4thCheckSI]],tblBaseCF[[#This Row],[endSITest]],tblBaseCF[[#This Row],[StartSI]])</f>
        <v>0</v>
      </c>
      <c r="AG3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0" s="65">
        <f ca="1">IFERROR(INDEX(tblTPAllocChrgRate[Rate],MATCH(tblBaseCF[[#This Row],[Year]],tblTPAllocChrgRate[Year],0)),0)</f>
        <v>0.02</v>
      </c>
      <c r="AI30" s="62">
        <f ca="1">(tp+big_case_bonus_tp*(tblBaseCF[[#This Row],[Year]]=1))
*tblBaseCF[[#This Row],[TPTermFlag]]</f>
        <v>0</v>
      </c>
      <c r="AJ30" s="63">
        <f ca="1">tblBaseCF[[#This Row],[TP]]*tblBaseCF[[#This Row],[TPAllocChrgRate]]</f>
        <v>0</v>
      </c>
      <c r="AK30" s="60">
        <f ca="1">tblBaseCF[[#This Row],[TP]]-tblBaseCF[[#This Row],[TPAllocChrg]]</f>
        <v>0</v>
      </c>
      <c r="AL30" s="65">
        <f ca="1">IFERROR(INDEX(tblEPAllocChrgRate[Rate],MATCH(tblBaseCF[[#This Row],[Year]],tblEPAllocChrgRate[Year],0)),0)</f>
        <v>0.02</v>
      </c>
      <c r="AM30" s="60">
        <f ca="1">ep*tblBaseCF[[#This Row],[EPTermFlag]]</f>
        <v>0</v>
      </c>
      <c r="AN30" s="60">
        <f ca="1">tblBaseCF[[#This Row],[EP]]*tblBaseCF[[#This Row],[EPAllocChrgRate]]</f>
        <v>0</v>
      </c>
      <c r="AO30" s="63">
        <f ca="1">tblBaseCF[[#This Row],[EP]]-tblBaseCF[[#This Row],[EPAllocChrg]]</f>
        <v>0</v>
      </c>
      <c r="AP30" s="62">
        <f ca="1">tblBaseCF[[#This Row],[Ben]]*extra_prem_rate*em_load/1000/(1-tblBaseCF[[#This Row],[EPAllocChrgRate]])
*tblBaseCF[[#This Row],[EMLoadTermFlag]]</f>
        <v>0</v>
      </c>
      <c r="AQ30" s="62">
        <f ca="1">tblBaseCF[[#This Row],[Ben]]*pm_load/1000/(1-tblBaseCF[[#This Row],[EPAllocChrgRate]])
*tblBaseCF[[#This Row],[PMLoadTermFlag]]</f>
        <v>0</v>
      </c>
      <c r="AR30" s="60">
        <f ca="1">ROUNDUP(tblBaseCF[[#This Row],[UnroundedEMLoad]],-3)</f>
        <v>0</v>
      </c>
      <c r="AS30" s="62">
        <f ca="1">ROUNDUP(tblBaseCF[[#This Row],[Ben]]*pm_load/1000/(1-tblBaseCF[[#This Row],[EPAllocChrgRate]]),-3)
*tblBaseCF[[#This Row],[PMLoadTermFlag]]</f>
        <v>0</v>
      </c>
      <c r="AT30" s="60">
        <f ca="1">tblBaseCF[[#This Row],[EMLoad]]+tblBaseCF[[#This Row],[PMLoad]]</f>
        <v>0</v>
      </c>
      <c r="AU30" s="60">
        <f ca="1">tblBaseCF[[#This Row],[Load]]*tblBaseCF[[#This Row],[EPAllocChrgRate]]</f>
        <v>0</v>
      </c>
      <c r="AV30" s="60">
        <f ca="1">tblBaseCF[[#This Row],[Load]]-tblBaseCF[[#This Row],[LoadAllocChrg]]</f>
        <v>0</v>
      </c>
      <c r="AW30" s="60">
        <f ca="1">tblBaseCF[[#This Row],[TP]]+tblBaseCF[[#This Row],[EP]]+tblBaseCF[[#This Row],[Load]]</f>
        <v>0</v>
      </c>
      <c r="AX30" s="60">
        <f ca="1">tblBaseCF[[#This Row],[TPAllocChrg]]+tblBaseCF[[#This Row],[EPAllocChrg]]+tblBaseCF[[#This Row],[LoadAllocChrg]]</f>
        <v>0</v>
      </c>
      <c r="AY30" s="60">
        <f ca="1">tblBaseCF[[#This Row],[TPAlloc]]+tblBaseCF[[#This Row],[EPAlloc]]+tblBaseCF[[#This Row],[LoadAlloc]]</f>
        <v>0</v>
      </c>
      <c r="AZ30" s="60">
        <f ca="1">(OFFSET(tblBaseCF[[#This Row],[AccumTotalPrem]],-1,0)+tblBaseCF[[#This Row],[TotalPrem]])*tblBaseCF[[#This Row],[TPTermFlag]]</f>
        <v>0</v>
      </c>
      <c r="BA30" s="62">
        <f ca="1">(tblBaseCF[[#This Row],[StartTAV]]-tblBaseCF[[#This Row],[TAVWithdrawal]]+tblBaseCF[[#This Row],[TPAlloc]])
*tblBaseCF[[#This Row],[ContFlag]]</f>
        <v>0</v>
      </c>
      <c r="BB30" s="59">
        <f ca="1">(tblBaseCF[[#This Row],[StartEAV]]-tblBaseCF[[#This Row],[EAVWithdrawal]]+tblBaseCF[[#This Row],[EPAlloc]]+tblBaseCF[[#This Row],[LoadAlloc]])
*tblBaseCF[[#This Row],[ContFlag]]</f>
        <v>0</v>
      </c>
      <c r="BC30" s="59">
        <f ca="1">tblBaseCF[[#This Row],[TAVAfterWdrlAlloc]]+tblBaseCF[[#This Row],[EAVAfterWdrlAlloc]]</f>
        <v>0</v>
      </c>
      <c r="BD30" s="66">
        <f t="shared" si="2"/>
        <v>0</v>
      </c>
      <c r="BE30" s="67">
        <f>(1+tblBaseCF[[#This Row],[AnnualIntRate]])^(1/12)-1</f>
        <v>0</v>
      </c>
      <c r="BF30" s="68">
        <f>IFERROR(((1+tblBaseCF[[#This Row],[MonthlyIntRate]])^12-1)/12/(1-1/(1+tblBaseCF[[#This Row],[MonthlyIntRate]])),1)/(1+tblBaseCF[[#This Row],[AnnualIntRate]])</f>
        <v>1</v>
      </c>
      <c r="BG30" s="69">
        <f>PV(tblBaseCF[[#This Row],[MonthlyIntRate]],12,-1/12,,1)</f>
        <v>1</v>
      </c>
      <c r="BH30" s="60">
        <f ca="1">MAX(IF(death_tpd_option="A",tblBaseCF[[#This Row],[Ben]]-tblBaseCF[[#This Row],[StartPAV]],tblBaseCF[[#This Row],[Ben]]),0)</f>
        <v>0</v>
      </c>
      <c r="BI30" s="70">
        <f ca="1">IFERROR(INDEX(tblBaseCOIRate[Rate],MATCH(tblBaseCF[[#This Row],[Age]],tblBaseCOIRate[Age],0)),0)</f>
        <v>6.8999999999996798E-4</v>
      </c>
      <c r="BJ30" s="60">
        <f ca="1">tblBaseCF[[#This Row],[SAR]]*tblBaseCF[[#This Row],[COIRate]]</f>
        <v>0</v>
      </c>
      <c r="BK30" s="62">
        <f ca="1">em_load*tblBaseCF[[#This Row],[pStandardCOI]]
*tblBaseCF[[#This Row],[EMLoadTermFlag]]</f>
        <v>0</v>
      </c>
      <c r="BL30" s="62">
        <f ca="1">pm_load/1000*tblBaseCF[[#This Row],[SAR]]
*tblBaseCF[[#This Row],[PMLoadTermFlag]]</f>
        <v>0</v>
      </c>
      <c r="BM30" s="60">
        <f ca="1">tblBaseCF[[#This Row],[AccBen]]*monthly_acc_coi*12</f>
        <v>0</v>
      </c>
      <c r="BN30" s="60">
        <f ca="1">tblBaseCF[[#This Row],[pStandardCOI]]+tblBaseCF[[#This Row],[pEMLoadCOI]]+tblBaseCF[[#This Row],[pPMLoadCOI]]+tblBaseCF[[#This Row],[pAccCOI]]</f>
        <v>0</v>
      </c>
      <c r="BO30" s="62">
        <f ca="1">IFERROR(INDEX(tblAdminChrg[Amount],MATCH(tblBaseCF[[#This Row],[CalYear]],tblAdminChrg[Cal_Year],0)),0)
*tblBaseCF[[#This Row],[ContFlag]]</f>
        <v>0</v>
      </c>
      <c r="BP30" s="60">
        <f ca="1">tblBaseCF[[#This Row],[pMonthlyAdminChrg]]*12</f>
        <v>0</v>
      </c>
      <c r="BQ30" s="60">
        <f ca="1">tblBaseCF[[#This Row],[pCOI]]+tblBaseCF[[#This Row],[pAdminChrg]]</f>
        <v>0</v>
      </c>
      <c r="BR30" s="60">
        <f ca="1">tblBaseCF[[#This Row],[pNomDeduct]]*tblBaseCF[[#This Row],[Duean1m12]]</f>
        <v>0</v>
      </c>
      <c r="BS30" s="57">
        <f ca="1">(tblBaseCF[[#This Row],[PAVAfterWdrlAlloc]]&gt;=tblBaseCF[[#This Row],[pNomDeduct]])
*tblBaseCF[[#This Row],[ContFlag]]</f>
        <v>0</v>
      </c>
      <c r="BT30" s="60">
        <f ca="1">tblBaseCF[[#This Row],[pStandardCOI]]*tblBaseCF[[#This Row],[DeductFlag]]</f>
        <v>0</v>
      </c>
      <c r="BU30" s="60">
        <f ca="1">tblBaseCF[[#This Row],[pEMLoadCOI]]*tblBaseCF[[#This Row],[DeductFlag]]</f>
        <v>0</v>
      </c>
      <c r="BV30" s="60">
        <f ca="1">tblBaseCF[[#This Row],[pPMLoadCOI]]*tblBaseCF[[#This Row],[DeductFlag]]</f>
        <v>0</v>
      </c>
      <c r="BW30" s="60">
        <f ca="1">tblBaseCF[[#This Row],[pAccCOI]]*tblBaseCF[[#This Row],[DeductFlag]]</f>
        <v>0</v>
      </c>
      <c r="BX30" s="60">
        <f ca="1">tblBaseCF[[#This Row],[pCOI]]*tblBaseCF[[#This Row],[DeductFlag]]</f>
        <v>0</v>
      </c>
      <c r="BY30" s="60">
        <f ca="1">tblBaseCF[[#This Row],[pMonthlyAdminChrg]]*tblBaseCF[[#This Row],[DeductFlag]]</f>
        <v>0</v>
      </c>
      <c r="BZ30" s="60">
        <f ca="1">tblBaseCF[[#This Row],[pAdminChrg]]*tblBaseCF[[#This Row],[DeductFlag]]</f>
        <v>0</v>
      </c>
      <c r="CA30" s="60">
        <f ca="1">tblBaseCF[[#This Row],[pNomDeduct]]*tblBaseCF[[#This Row],[DeductFlag]]</f>
        <v>0</v>
      </c>
      <c r="CB30" s="60">
        <f ca="1">tblBaseCF[[#This Row],[pDeduct]]*tblBaseCF[[#This Row],[DeductFlag]]</f>
        <v>0</v>
      </c>
      <c r="CC30" s="60">
        <f ca="1">MIN(tblBaseCF[[#This Row],[TAVAfterWdrlAlloc]],tblBaseCF[[#This Row],[Deduct]])</f>
        <v>0</v>
      </c>
      <c r="CD30" s="60">
        <f ca="1">tblBaseCF[[#This Row],[Deduct]]-tblBaseCF[[#This Row],[TAVDeduct]]</f>
        <v>0</v>
      </c>
      <c r="CE30" s="69">
        <f ca="1">(tblBaseCF[[#This Row],[TAVAfterWdrlAlloc]]-tblBaseCF[[#This Row],[TAVDeduct]])*tblBaseCF[[#This Row],[AnnualIntRate]]
*tblBaseCF[[#This Row],[DeductFlag]]</f>
        <v>0</v>
      </c>
      <c r="CF30" s="69">
        <f ca="1">(tblBaseCF[[#This Row],[EAVAfterWdrlAlloc]]-tblBaseCF[[#This Row],[EAVDeduct]])*tblBaseCF[[#This Row],[AnnualIntRate]]
*tblBaseCF[[#This Row],[DeductFlag]]</f>
        <v>0</v>
      </c>
      <c r="CG30" s="69">
        <f ca="1">tblBaseCF[[#This Row],[TAVInt]]+tblBaseCF[[#This Row],[EAVInt]]</f>
        <v>0</v>
      </c>
      <c r="CH30" s="62">
        <f ca="1">IFERROR(INDEX(tblLBRate[Rate],MATCH(tblBaseCF[[#This Row],[Year]],tblLBRate[Year],0)),0)
*tblBaseCF[[#This Row],[DeductFlag]]</f>
        <v>0</v>
      </c>
      <c r="CI30" s="60">
        <f ca="1">IFERROR(SUM(OFFSET(tblBaseCF[[#This Row],[TAVWithdrawal]],0,0,-lb_review_period,1)),0)
*(tblBaseCF[[#This Row],[LBRate]]&gt;0)</f>
        <v>0</v>
      </c>
      <c r="CJ30" s="60">
        <f ca="1">(tblBaseCF[[#This Row],[LBRate]]&gt;0)*(tblBaseCF[[#This Row],[LBTAVWithdrawal]]=0)</f>
        <v>0</v>
      </c>
      <c r="CK30" s="62" cm="1">
        <f t="array" aca="1" ref="CK30" ca="1">IF(tblBaseCF[[#This Row],[LBFlag]],
_xlfn.SWITCH(base,
"ILP1",AVERAGE(OFFSET(tblBaseCF[TP],0,0,-lb_review_period,1)),tp),0)
*tblBaseCF[[#This Row],[LBFlag]]</f>
        <v>0</v>
      </c>
      <c r="CL30" s="62">
        <f ca="1">tblBaseCF[[#This Row],[LBBasis]]*tblBaseCF[[#This Row],[LBRate]]</f>
        <v>0</v>
      </c>
      <c r="CM30" s="57" cm="1">
        <f t="array" aca="1" ref="CM30" ca="1">_xlfn.SWITCH(base,
"ILP1",0,($AF130&lt;500000000)*1
+($AF130&gt;=500000000)*($AF130&lt;1000000000)*2
+($AF130&gt;=1000000000)*3)
*tblBaseCF[[#This Row],[DeductFlag]]</f>
        <v>0</v>
      </c>
      <c r="CN30" s="2" t="str">
        <f ca="1">IF(tblBaseCF[[#This Row],[DeductFlag]],base&amp;"_"&amp;tblBaseCF[[#This Row],[SBCode]]&amp;"_"&amp;tblBaseCF[[#This Row],[Year]],"")</f>
        <v/>
      </c>
      <c r="CO30" s="3">
        <f ca="1">IFERROR(INDEX(tblSBRate[Index],MATCH(tblBaseCF[[#This Row],[SBIndex]],tblSBRate[Rate],0)),0)</f>
        <v>0</v>
      </c>
      <c r="CP30" s="63">
        <f ca="1">IFERROR(SUM(OFFSET(tblBaseCF[[#This Row],[TAVWithdrawal]],0,0,-sb_review_period,1)),0)
*(tblBaseCF[[#This Row],[SBRate]]&gt;0)</f>
        <v>0</v>
      </c>
      <c r="CQ30" s="63">
        <f ca="1">(tblBaseCF[[#This Row],[SBRate]]&gt;0)*(tblBaseCF[[#This Row],[SBTAVWithdrawal]]=0)</f>
        <v>0</v>
      </c>
      <c r="CR30" s="59" cm="1">
        <f t="array" aca="1" ref="CR30" ca="1">IF(tblBaseCF[[#This Row],[LBFlag]],
_xlfn.SWITCH(base,
"ILP1",0,tp),0)*tblBaseCF[[#This Row],[SBFlag]]</f>
        <v>0</v>
      </c>
      <c r="CS30" s="63">
        <f ca="1">tblBaseCF[[#This Row],[SBBasis]]*tblBaseCF[[#This Row],[SBRate]]</f>
        <v>0</v>
      </c>
      <c r="CT30" s="63">
        <f ca="1">tblBaseCF[[#This Row],[LB]]+tblBaseCF[[#This Row],[SB]]</f>
        <v>0</v>
      </c>
      <c r="CU30" s="59">
        <f ca="1">tblBaseCF[[#This Row],[TAVAfterWdrlAlloc]]-tblBaseCF[[#This Row],[TAVDeduct]]+tblBaseCF[[#This Row],[TAVInt]]+tblBaseCF[[#This Row],[Bonus]]</f>
        <v>0</v>
      </c>
      <c r="CV30" s="59">
        <f ca="1">tblBaseCF[[#This Row],[EAVAfterWdrlAlloc]]-tblBaseCF[[#This Row],[EAVDeduct]]+tblBaseCF[[#This Row],[EAVInt]]</f>
        <v>0</v>
      </c>
      <c r="CW30" s="63">
        <f ca="1">tblBaseCF[[#This Row],[EndTAV]]+tblBaseCF[[#This Row],[EndEAV]]</f>
        <v>0</v>
      </c>
      <c r="CX30" s="59">
        <f ca="1">INDEX(tblPlanPrem[TP],2)
*tblBaseCF[[#This Row],[TPTermFlag]]</f>
        <v>0</v>
      </c>
      <c r="CY30" s="59">
        <f ca="1">INDEX(tblPlanPrem[EP],2)
*tblBaseCF[[#This Row],[TPTermFlag]]</f>
        <v>0</v>
      </c>
      <c r="CZ30" s="63">
        <f ca="1">ROUNDUP(tblBaseCF[[#This Row],[UnroundedEMLoad]]*INDEX(tblPlanPrem[Factor],2),-3)</f>
        <v>0</v>
      </c>
      <c r="DA30" s="63">
        <f ca="1">ROUNDUP(tblBaseCF[[#This Row],[UnroundedPMLoad]]*INDEX(tblPlanPrem[Factor],2),-3)</f>
        <v>0</v>
      </c>
      <c r="DB30" s="63">
        <f ca="1">tblBaseCF[[#This Row],[SemiAnnualEMLoad]]+tblBaseCF[[#This Row],[SemiAnnualPMLoad]]</f>
        <v>0</v>
      </c>
      <c r="DC30" s="63">
        <f ca="1">tblBaseCF[[#This Row],[SemiAnnualTP]]+tblBaseCF[[#This Row],[SemiAnnualEP]]+tblBaseCF[[#This Row],[SemiAnnualLoad]]</f>
        <v>0</v>
      </c>
      <c r="DD30" s="59">
        <f ca="1">INDEX(tblPlanPrem[TP],3)
*tblBaseCF[[#This Row],[TPTermFlag]]</f>
        <v>0</v>
      </c>
      <c r="DE30" s="59">
        <f ca="1">INDEX(tblPlanPrem[EP],3)
*tblBaseCF[[#This Row],[TPTermFlag]]</f>
        <v>0</v>
      </c>
      <c r="DF30" s="63">
        <f ca="1">ROUNDUP(tblBaseCF[[#This Row],[UnroundedEMLoad]]*INDEX(tblPlanPrem[Factor],3),-3)</f>
        <v>0</v>
      </c>
      <c r="DG30" s="63">
        <f ca="1">ROUNDUP(tblBaseCF[[#This Row],[UnroundedPMLoad]]*INDEX(tblPlanPrem[Factor],3),-3)</f>
        <v>0</v>
      </c>
      <c r="DH30" s="60">
        <f ca="1">tblBaseCF[[#This Row],[QuarterlyEMLoad]]+tblBaseCF[[#This Row],[QuarterlyPMLoad]]</f>
        <v>0</v>
      </c>
      <c r="DI30" s="60">
        <f ca="1">tblBaseCF[[#This Row],[QuarterlyTP]]+tblBaseCF[[#This Row],[QuarterlyEP]]+tblBaseCF[[#This Row],[QuarterlyLoad]]</f>
        <v>0</v>
      </c>
      <c r="DJ30" s="59">
        <f ca="1">INDEX(tblPlanPrem[TP],4)
*tblBaseCF[[#This Row],[TPTermFlag]]</f>
        <v>0</v>
      </c>
      <c r="DK30" s="59">
        <f ca="1">INDEX(tblPlanPrem[EP],4)
*tblBaseCF[[#This Row],[TPTermFlag]]</f>
        <v>0</v>
      </c>
      <c r="DL30" s="63">
        <f ca="1">ROUNDUP(tblBaseCF[[#This Row],[UnroundedEMLoad]]*INDEX(tblPlanPrem[Factor],4),-3)</f>
        <v>0</v>
      </c>
      <c r="DM30" s="63">
        <f ca="1">ROUNDUP(tblBaseCF[[#This Row],[UnroundedPMLoad]]*INDEX(tblPlanPrem[Factor],4),-3)</f>
        <v>0</v>
      </c>
      <c r="DN30" s="60">
        <f ca="1">tblBaseCF[[#This Row],[MonthlyEMLoad]]+tblBaseCF[[#This Row],[MonthlyPMLoad]]</f>
        <v>0</v>
      </c>
      <c r="DO30" s="63">
        <f ca="1">tblBaseCF[[#This Row],[MonthlyTP]]+tblBaseCF[[#This Row],[MonthlyEP]]+tblBaseCF[[#This Row],[MonthlyLoad]]</f>
        <v>0</v>
      </c>
      <c r="DP30" s="3"/>
      <c r="DS30">
        <f t="shared" si="3"/>
        <v>0</v>
      </c>
      <c r="DT30">
        <f t="shared" si="4"/>
        <v>0</v>
      </c>
      <c r="DU30">
        <f t="shared" si="5"/>
        <v>0</v>
      </c>
      <c r="DV30">
        <f ca="1">tblBaseCF[[#This Row],[Year]]</f>
        <v>10</v>
      </c>
      <c r="DW30">
        <f ca="1">tblBaseCF[[#This Row],[Age]]</f>
        <v>9</v>
      </c>
      <c r="DX30">
        <f ca="1">tblBaseCF[[#This Row],[ContFlag]]</f>
        <v>0</v>
      </c>
      <c r="DY30" t="str">
        <f ca="1">tblBaseCF[[#This Row],[ContLog]]</f>
        <v>Insufficient PAV for deduction - Discontinue.</v>
      </c>
      <c r="DZ30">
        <f ca="1">tblBaseCF[[#This Row],[StartTAV]]</f>
        <v>0</v>
      </c>
      <c r="EA30">
        <f ca="1">tblBaseCF[[#This Row],[StartEAV]]</f>
        <v>0</v>
      </c>
      <c r="EB30">
        <f ca="1">tblBaseCF[[#This Row],[StartPAV]]</f>
        <v>0</v>
      </c>
      <c r="EC30">
        <f ca="1">tblBaseCF[[#This Row],[SVChrg]]</f>
        <v>0</v>
      </c>
      <c r="ED30">
        <f ca="1">tblBaseCF[[#This Row],[SV]]</f>
        <v>0</v>
      </c>
      <c r="EE30">
        <f ca="1">tblBaseCF[[#This Row],[Ben]]</f>
        <v>0</v>
      </c>
      <c r="EF30">
        <f ca="1">tblBaseCF[[#This Row],[AccBen]]</f>
        <v>0</v>
      </c>
      <c r="EG30">
        <f ca="1">tblBaseCF[[#This Row],[WithdrawalInput]]</f>
        <v>0</v>
      </c>
      <c r="EH30" t="str">
        <f ca="1">tblBaseCF[[#This Row],[WithdrawalLog]]</f>
        <v>No withdrawal.</v>
      </c>
      <c r="EI30">
        <f ca="1">tblBaseCF[[#This Row],[TAVWithdrawal]]</f>
        <v>0</v>
      </c>
      <c r="EJ30">
        <f ca="1">tblBaseCF[[#This Row],[EAVWithdrawal]]</f>
        <v>0</v>
      </c>
      <c r="EK30">
        <f ca="1">tblBaseCF[[#This Row],[Withdrawal]]</f>
        <v>0</v>
      </c>
      <c r="EL30">
        <f ca="1">tblBaseCF[[#This Row],[TP]]</f>
        <v>0</v>
      </c>
      <c r="EM30">
        <f ca="1">tblBaseCF[[#This Row],[TPAllocChrg]]</f>
        <v>0</v>
      </c>
      <c r="EN30">
        <f ca="1">tblBaseCF[[#This Row],[TPAlloc]]</f>
        <v>0</v>
      </c>
      <c r="EO30">
        <f ca="1">tblBaseCF[[#This Row],[EP]]</f>
        <v>0</v>
      </c>
      <c r="EP30">
        <f ca="1">tblBaseCF[[#This Row],[EPAllocChrg]]</f>
        <v>0</v>
      </c>
      <c r="EQ30">
        <f ca="1">tblBaseCF[[#This Row],[EPAlloc]]</f>
        <v>0</v>
      </c>
      <c r="ER30">
        <f ca="1">tblBaseCF[[#This Row],[EMLoad]]</f>
        <v>0</v>
      </c>
      <c r="ES30">
        <f ca="1">tblBaseCF[[#This Row],[PMLoad]]</f>
        <v>0</v>
      </c>
      <c r="ET30">
        <f ca="1">tblBaseCF[[#This Row],[Load]]</f>
        <v>0</v>
      </c>
      <c r="EU30">
        <f ca="1">tblBaseCF[[#This Row],[LoadAllocChrg]]</f>
        <v>0</v>
      </c>
      <c r="EV30">
        <f ca="1">tblBaseCF[[#This Row],[LoadAlloc]]</f>
        <v>0</v>
      </c>
      <c r="EW30">
        <f ca="1">tblBaseCF[[#This Row],[TotalPrem]]</f>
        <v>0</v>
      </c>
      <c r="EX30">
        <f ca="1">tblBaseCF[[#This Row],[AllocChrg]]</f>
        <v>0</v>
      </c>
      <c r="EY30">
        <f ca="1">tblBaseCF[[#This Row],[Alloc]]</f>
        <v>0</v>
      </c>
      <c r="EZ30">
        <f ca="1">tblBaseCF[[#This Row],[AccumTotalPrem]]</f>
        <v>0</v>
      </c>
      <c r="FA30">
        <f>tblBaseCF[[#This Row],[AnnualIntRate]]</f>
        <v>0</v>
      </c>
      <c r="FB30" s="50">
        <f>tblBaseCF[[#This Row],[Duean1m12]]</f>
        <v>1</v>
      </c>
      <c r="FC30">
        <f ca="1">tblBaseCF[[#This Row],[DeductFlag]]</f>
        <v>0</v>
      </c>
      <c r="FD30">
        <f ca="1">tblBaseCF[[#This Row],[AdminChrg]]</f>
        <v>0</v>
      </c>
      <c r="FE30">
        <f ca="1">tblBaseCF[[#This Row],[StandardCOI]]</f>
        <v>0</v>
      </c>
      <c r="FF30">
        <f ca="1">tblBaseCF[[#This Row],[EMLoadCOI]]</f>
        <v>0</v>
      </c>
      <c r="FG30">
        <f ca="1">tblBaseCF[[#This Row],[PMLoadCOI]]</f>
        <v>0</v>
      </c>
      <c r="FH30">
        <f ca="1">tblBaseCF[[#This Row],[COI]]</f>
        <v>0</v>
      </c>
      <c r="FI30" s="47">
        <f ca="1">tblBaseCF[[#This Row],[NomDeduct]]</f>
        <v>0</v>
      </c>
      <c r="FJ30">
        <f ca="1">tblBaseCF[[#This Row],[Deduct]]</f>
        <v>0</v>
      </c>
      <c r="FK30">
        <f ca="1">tblBaseCF[[#This Row],[TAVDeduct]]</f>
        <v>0</v>
      </c>
      <c r="FL30">
        <f ca="1">tblBaseCF[[#This Row],[EAVDeduct]]</f>
        <v>0</v>
      </c>
      <c r="FM30" s="24">
        <f ca="1">tblBaseCF[[#This Row],[TAVInt]]</f>
        <v>0</v>
      </c>
      <c r="FN30">
        <f ca="1">tblBaseCF[[#This Row],[EAVInt]]</f>
        <v>0</v>
      </c>
      <c r="FO30" s="47">
        <f ca="1">tblBaseCF[[#This Row],[LB]]</f>
        <v>0</v>
      </c>
      <c r="FP30">
        <f ca="1">tblBaseCF[[#This Row],[SB]]</f>
        <v>0</v>
      </c>
      <c r="FQ30">
        <f ca="1">tblBaseCF[[#This Row],[Bonus]]</f>
        <v>0</v>
      </c>
      <c r="FR30">
        <f ca="1">tblBaseCF[[#This Row],[EndTAV]]</f>
        <v>0</v>
      </c>
      <c r="FS30">
        <f ca="1">tblBaseCF[[#This Row],[EndEAV]]</f>
        <v>0</v>
      </c>
      <c r="FT30">
        <f ca="1">tblBaseCF[[#This Row],[EndPAV]]</f>
        <v>0</v>
      </c>
      <c r="FU30">
        <f ca="1">tblBaseCF[[#This Row],[SemiAnnualTP]]</f>
        <v>0</v>
      </c>
      <c r="FV30">
        <f ca="1">tblBaseCF[[#This Row],[SemiAnnualEP]]</f>
        <v>0</v>
      </c>
      <c r="FW30">
        <f ca="1">tblBaseCF[[#This Row],[SemiAnnualEMLoad]]</f>
        <v>0</v>
      </c>
      <c r="FX30">
        <f ca="1">tblBaseCF[[#This Row],[SemiAnnualPMLoad]]</f>
        <v>0</v>
      </c>
      <c r="FY30">
        <f ca="1">tblBaseCF[[#This Row],[SemiAnnualLoad]]</f>
        <v>0</v>
      </c>
      <c r="FZ30">
        <f ca="1">tblBaseCF[[#This Row],[SemiAnnualTotalPrem]]</f>
        <v>0</v>
      </c>
      <c r="GA30">
        <f ca="1">tblBaseCF[[#This Row],[QuarterlyTP]]</f>
        <v>0</v>
      </c>
      <c r="GB30">
        <f ca="1">tblBaseCF[[#This Row],[QuarterlyEP]]</f>
        <v>0</v>
      </c>
      <c r="GC30">
        <f ca="1">tblBaseCF[[#This Row],[QuarterlyEMLoad]]</f>
        <v>0</v>
      </c>
      <c r="GD30">
        <f ca="1">tblBaseCF[[#This Row],[QuarterlyPMLoad]]</f>
        <v>0</v>
      </c>
      <c r="GE30">
        <f ca="1">tblBaseCF[[#This Row],[QuarterlyLoad]]</f>
        <v>0</v>
      </c>
      <c r="GF30">
        <f ca="1">tblBaseCF[[#This Row],[QuarterlyTotalPrem]]</f>
        <v>0</v>
      </c>
      <c r="GG30">
        <f ca="1">tblBaseCF[[#This Row],[MonthlyTP]]</f>
        <v>0</v>
      </c>
      <c r="GH30">
        <f ca="1">tblBaseCF[[#This Row],[MonthlyEP]]</f>
        <v>0</v>
      </c>
      <c r="GI30">
        <f ca="1">tblBaseCF[[#This Row],[MonthlyEMLoad]]</f>
        <v>0</v>
      </c>
      <c r="GJ30">
        <f ca="1">tblBaseCF[[#This Row],[MonthlyPMLoad]]</f>
        <v>0</v>
      </c>
      <c r="GK30">
        <f ca="1">tblBaseCF[[#This Row],[MonthlyLoad]]</f>
        <v>0</v>
      </c>
      <c r="GL30">
        <f ca="1">tblBaseCF[[#This Row],[MonthlyTotalPrem]]</f>
        <v>0</v>
      </c>
      <c r="GO30" t="s">
        <v>134</v>
      </c>
      <c r="GP30" t="s">
        <v>135</v>
      </c>
      <c r="GQ30" t="s">
        <v>502</v>
      </c>
      <c r="GR30">
        <v>10</v>
      </c>
      <c r="GS30">
        <v>9</v>
      </c>
      <c r="GT30">
        <v>1</v>
      </c>
      <c r="GU30" t="s">
        <v>457</v>
      </c>
      <c r="GV30">
        <v>3354945.82143672</v>
      </c>
      <c r="GW30">
        <v>60901679.391712599</v>
      </c>
      <c r="GX30">
        <v>64256625.213149302</v>
      </c>
      <c r="GY30">
        <v>0</v>
      </c>
      <c r="GZ30">
        <v>64256625.213149302</v>
      </c>
      <c r="HA30">
        <v>101000000</v>
      </c>
      <c r="HB30">
        <v>303000000</v>
      </c>
      <c r="HC30">
        <v>0</v>
      </c>
      <c r="HD30" t="s">
        <v>137</v>
      </c>
      <c r="HE30">
        <v>0</v>
      </c>
      <c r="HF30">
        <v>0</v>
      </c>
      <c r="HG30">
        <v>0</v>
      </c>
      <c r="HH30">
        <v>1072000</v>
      </c>
      <c r="HI30">
        <v>21440</v>
      </c>
      <c r="HJ30">
        <v>1050560</v>
      </c>
      <c r="HK30">
        <v>5200000</v>
      </c>
      <c r="HL30">
        <v>104000</v>
      </c>
      <c r="HM30">
        <v>5096000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6272000</v>
      </c>
      <c r="HT30">
        <v>125440</v>
      </c>
      <c r="HU30">
        <v>6146560</v>
      </c>
      <c r="HV30">
        <v>62720000</v>
      </c>
      <c r="HW30">
        <v>7.0000000000000007E-2</v>
      </c>
      <c r="HX30">
        <v>0.96964931039809399</v>
      </c>
      <c r="HY30">
        <v>1</v>
      </c>
      <c r="HZ30">
        <v>300000</v>
      </c>
      <c r="IA30">
        <v>25352.9286029258</v>
      </c>
      <c r="IB30">
        <v>0</v>
      </c>
      <c r="IC30">
        <v>0</v>
      </c>
      <c r="ID30">
        <v>298052.92860292603</v>
      </c>
      <c r="IE30">
        <v>598052.92860292597</v>
      </c>
      <c r="IF30">
        <v>579901.60980138695</v>
      </c>
      <c r="IG30">
        <v>579901.60980138695</v>
      </c>
      <c r="IH30">
        <v>0</v>
      </c>
      <c r="II30">
        <v>267792.29481447401</v>
      </c>
      <c r="IJ30">
        <v>4619837.5574198803</v>
      </c>
      <c r="IK30">
        <v>0</v>
      </c>
      <c r="IL30">
        <v>0</v>
      </c>
      <c r="IM30">
        <v>0</v>
      </c>
      <c r="IN30">
        <v>4093396.5064498102</v>
      </c>
      <c r="IO30">
        <v>70617516.949132502</v>
      </c>
      <c r="IP30">
        <v>74710913.455582306</v>
      </c>
      <c r="IQ30">
        <v>536000</v>
      </c>
      <c r="IR30">
        <v>2600000</v>
      </c>
      <c r="IS30">
        <v>0</v>
      </c>
      <c r="IT30">
        <v>0</v>
      </c>
      <c r="IU30">
        <v>0</v>
      </c>
      <c r="IV30">
        <v>3136000</v>
      </c>
      <c r="IW30">
        <v>268000</v>
      </c>
      <c r="IX30">
        <v>1300000</v>
      </c>
      <c r="IY30">
        <v>0</v>
      </c>
      <c r="IZ30">
        <v>0</v>
      </c>
      <c r="JA30">
        <v>0</v>
      </c>
      <c r="JB30">
        <v>1568000</v>
      </c>
      <c r="JC30">
        <v>90000</v>
      </c>
      <c r="JD30">
        <v>434000</v>
      </c>
      <c r="JE30">
        <v>0</v>
      </c>
      <c r="JF30">
        <v>0</v>
      </c>
      <c r="JG30">
        <v>0</v>
      </c>
      <c r="JH30">
        <v>524000</v>
      </c>
    </row>
    <row r="31" spans="2:268" customFormat="1" x14ac:dyDescent="0.25">
      <c r="B31" s="2">
        <f ca="1">OFFSET(tblBaseCF[[#This Row],[Year]],-1,0)+1</f>
        <v>11</v>
      </c>
      <c r="C31" s="2">
        <f ca="1">(tblBaseCF[[#This Row],[Year]]&lt;=term)*1</f>
        <v>1</v>
      </c>
      <c r="D31" s="57">
        <f ca="1">(YEAR(rcd)+tblBaseCF[[#This Row],[Year]]-1)
*tblBaseCF[[#This Row],[PolTermFlag]]</f>
        <v>2035</v>
      </c>
      <c r="E31" s="57">
        <f ca="1">(mainLI_entry_age+tblBaseCF[[#This Row],[Year]]-1)
*tblBaseCF[[#This Row],[PolTermFlag]]</f>
        <v>10</v>
      </c>
      <c r="F31" s="57">
        <f ca="1">IF(tblBaseCF[[#This Row],[Year]]=1,1,OFFSET(tblBaseCF[[#This Row],[DeductFlag]],-1,0))
*tblBaseCF[[#This Row],[PolTermFlag]]</f>
        <v>0</v>
      </c>
      <c r="G3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1" s="57">
        <f ca="1">(tblBaseCF[[#This Row],[Year]]&lt;=acc_ben_term)
*tblBaseCF[[#This Row],[ContFlag]]</f>
        <v>0</v>
      </c>
      <c r="I31" s="57">
        <f ca="1">(tblBaseCF[[#This Row],[Year]]&lt;=tp_term)
*tblBaseCF[[#This Row],[ContFlag]]</f>
        <v>0</v>
      </c>
      <c r="J31" s="57">
        <f ca="1">(tblBaseCF[[#This Row],[Year]]&lt;=ep_term)
*tblBaseCF[[#This Row],[ContFlag]]</f>
        <v>0</v>
      </c>
      <c r="K31" s="57">
        <f ca="1">(tblBaseCF[[#This Row],[Year]]&lt;=em_load_term)*1</f>
        <v>0</v>
      </c>
      <c r="L31" s="57">
        <f ca="1">(tblBaseCF[[#This Row],[Year]]&lt;=pm_load_term)*1</f>
        <v>0</v>
      </c>
      <c r="M31" s="59">
        <f ca="1">IF(tblBaseCF[[#This Row],[Year]]=1,si,OFFSET(tblBaseCF[[#This Row],[EndSI]],-1,0))
*tblBaseCF[[#This Row],[ContFlag]]</f>
        <v>0</v>
      </c>
      <c r="N31" s="59">
        <f ca="1">OFFSET(tblBaseCF[[#This Row],[EndTAV]],-1,0)
*tblBaseCF[[#This Row],[ContFlag]]</f>
        <v>0</v>
      </c>
      <c r="O31" s="59">
        <f ca="1">OFFSET(tblBaseCF[[#This Row],[EndEAV]],-1,0)
*tblBaseCF[[#This Row],[ContFlag]]</f>
        <v>0</v>
      </c>
      <c r="P31" s="60">
        <f ca="1">tblBaseCF[[#This Row],[StartEAV]]+tblBaseCF[[#This Row],[StartTAV]]</f>
        <v>0</v>
      </c>
      <c r="Q31" s="61">
        <f ca="1">IFERROR(INDEX(tblJuvenileLienRate[Rate],MATCH(tblBaseCF[[#This Row],[Age]],tblJuvenileLienRate[Age],0)),1)
*tblBaseCF[[#This Row],[ContFlag]]</f>
        <v>0</v>
      </c>
      <c r="R3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1" s="62">
        <f ca="1">tblBaseCF[[#This Row],[StartSI]]*acc_ben_coeff*tblBaseCF[[#This Row],[JuvenileLienRate]]
*tblBaseCF[[#This Row],[AccBenTermFlag]]</f>
        <v>0</v>
      </c>
      <c r="T31" s="61">
        <f ca="1">(IFERROR(INDEX(tblSurrChrgRate[Rate],MATCH(tblBaseCF[[#This Row],[Year]],tblSurrChrgRate[Year],0)),0)
*tblBaseCF[[#This Row],[ContFlag]])</f>
        <v>0</v>
      </c>
      <c r="U31" s="60">
        <f ca="1">tp*tblBaseCF[[#This Row],[SrrChrgRate]]</f>
        <v>0</v>
      </c>
      <c r="V31" s="63">
        <f ca="1">MAX(tblBaseCF[[#This Row],[StartTAV]]-tblBaseCF[[#This Row],[SVChrg]],0)+tblBaseCF[[#This Row],[StartEAV]]</f>
        <v>0</v>
      </c>
      <c r="W31" s="59">
        <f ca="1">IFERROR(INDEX(tblWithdrawal_Output[Amount],MATCH(tblBaseCF[[#This Row],[Year]],tblWithdrawal_Output[Year],0)),0)
*tblBaseCF[[#This Row],[ContFlag]]</f>
        <v>0</v>
      </c>
      <c r="X31" s="59" t="b">
        <f ca="1">tblBaseCF[[#This Row],[WithdrawalInput]]&gt;0</f>
        <v>0</v>
      </c>
      <c r="Y31" s="59" t="b">
        <f ca="1">AND(tblBaseCF[[#This Row],[1stCheckProceed]],tblBaseCF[[#This Row],[WithdrawalInput]]&lt;=tblBaseCF[[#This Row],[StartPAV]])</f>
        <v>0</v>
      </c>
      <c r="Z31" s="59" t="b">
        <f ca="1">AND(tblBaseCF[[#This Row],[2ndCheckAmount]],(tblBaseCF[[#This Row],[StartPAV]]-tblBaseCF[[#This Row],[WithdrawalInput]])&gt;=min_pav_after_withdrawal)</f>
        <v>0</v>
      </c>
      <c r="AA3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1" s="59" t="b">
        <f ca="1">AND(tblBaseCF[[#This Row],[3rdCheckPAV]],tblBaseCF[[#This Row],[endSITest]]&gt;=min_base_si)</f>
        <v>0</v>
      </c>
      <c r="AC31" s="60">
        <f ca="1">tblBaseCF[[#This Row],[WithdrawalInput]]*tblBaseCF[[#This Row],[4thCheckSI]]</f>
        <v>0</v>
      </c>
      <c r="AD31" s="60">
        <f ca="1">MIN(tblBaseCF[[#This Row],[Withdrawal]],tblBaseCF[[#This Row],[StartEAV]])</f>
        <v>0</v>
      </c>
      <c r="AE31" s="60">
        <f ca="1">tblBaseCF[[#This Row],[Withdrawal]]-tblBaseCF[[#This Row],[EAVWithdrawal]]</f>
        <v>0</v>
      </c>
      <c r="AF31" s="60">
        <f ca="1">IF(tblBaseCF[[#This Row],[4thCheckSI]],tblBaseCF[[#This Row],[endSITest]],tblBaseCF[[#This Row],[StartSI]])</f>
        <v>0</v>
      </c>
      <c r="AG3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1" s="65">
        <f ca="1">IFERROR(INDEX(tblTPAllocChrgRate[Rate],MATCH(tblBaseCF[[#This Row],[Year]],tblTPAllocChrgRate[Year],0)),0)</f>
        <v>0.02</v>
      </c>
      <c r="AI31" s="62">
        <f ca="1">(tp+big_case_bonus_tp*(tblBaseCF[[#This Row],[Year]]=1))
*tblBaseCF[[#This Row],[TPTermFlag]]</f>
        <v>0</v>
      </c>
      <c r="AJ31" s="63">
        <f ca="1">tblBaseCF[[#This Row],[TP]]*tblBaseCF[[#This Row],[TPAllocChrgRate]]</f>
        <v>0</v>
      </c>
      <c r="AK31" s="60">
        <f ca="1">tblBaseCF[[#This Row],[TP]]-tblBaseCF[[#This Row],[TPAllocChrg]]</f>
        <v>0</v>
      </c>
      <c r="AL31" s="65">
        <f ca="1">IFERROR(INDEX(tblEPAllocChrgRate[Rate],MATCH(tblBaseCF[[#This Row],[Year]],tblEPAllocChrgRate[Year],0)),0)</f>
        <v>0.02</v>
      </c>
      <c r="AM31" s="60">
        <f ca="1">ep*tblBaseCF[[#This Row],[EPTermFlag]]</f>
        <v>0</v>
      </c>
      <c r="AN31" s="60">
        <f ca="1">tblBaseCF[[#This Row],[EP]]*tblBaseCF[[#This Row],[EPAllocChrgRate]]</f>
        <v>0</v>
      </c>
      <c r="AO31" s="63">
        <f ca="1">tblBaseCF[[#This Row],[EP]]-tblBaseCF[[#This Row],[EPAllocChrg]]</f>
        <v>0</v>
      </c>
      <c r="AP31" s="62">
        <f ca="1">tblBaseCF[[#This Row],[Ben]]*extra_prem_rate*em_load/1000/(1-tblBaseCF[[#This Row],[EPAllocChrgRate]])
*tblBaseCF[[#This Row],[EMLoadTermFlag]]</f>
        <v>0</v>
      </c>
      <c r="AQ31" s="62">
        <f ca="1">tblBaseCF[[#This Row],[Ben]]*pm_load/1000/(1-tblBaseCF[[#This Row],[EPAllocChrgRate]])
*tblBaseCF[[#This Row],[PMLoadTermFlag]]</f>
        <v>0</v>
      </c>
      <c r="AR31" s="60">
        <f ca="1">ROUNDUP(tblBaseCF[[#This Row],[UnroundedEMLoad]],-3)</f>
        <v>0</v>
      </c>
      <c r="AS31" s="62">
        <f ca="1">ROUNDUP(tblBaseCF[[#This Row],[Ben]]*pm_load/1000/(1-tblBaseCF[[#This Row],[EPAllocChrgRate]]),-3)
*tblBaseCF[[#This Row],[PMLoadTermFlag]]</f>
        <v>0</v>
      </c>
      <c r="AT31" s="60">
        <f ca="1">tblBaseCF[[#This Row],[EMLoad]]+tblBaseCF[[#This Row],[PMLoad]]</f>
        <v>0</v>
      </c>
      <c r="AU31" s="60">
        <f ca="1">tblBaseCF[[#This Row],[Load]]*tblBaseCF[[#This Row],[EPAllocChrgRate]]</f>
        <v>0</v>
      </c>
      <c r="AV31" s="60">
        <f ca="1">tblBaseCF[[#This Row],[Load]]-tblBaseCF[[#This Row],[LoadAllocChrg]]</f>
        <v>0</v>
      </c>
      <c r="AW31" s="60">
        <f ca="1">tblBaseCF[[#This Row],[TP]]+tblBaseCF[[#This Row],[EP]]+tblBaseCF[[#This Row],[Load]]</f>
        <v>0</v>
      </c>
      <c r="AX31" s="60">
        <f ca="1">tblBaseCF[[#This Row],[TPAllocChrg]]+tblBaseCF[[#This Row],[EPAllocChrg]]+tblBaseCF[[#This Row],[LoadAllocChrg]]</f>
        <v>0</v>
      </c>
      <c r="AY31" s="60">
        <f ca="1">tblBaseCF[[#This Row],[TPAlloc]]+tblBaseCF[[#This Row],[EPAlloc]]+tblBaseCF[[#This Row],[LoadAlloc]]</f>
        <v>0</v>
      </c>
      <c r="AZ31" s="60">
        <f ca="1">(OFFSET(tblBaseCF[[#This Row],[AccumTotalPrem]],-1,0)+tblBaseCF[[#This Row],[TotalPrem]])*tblBaseCF[[#This Row],[TPTermFlag]]</f>
        <v>0</v>
      </c>
      <c r="BA31" s="62">
        <f ca="1">(tblBaseCF[[#This Row],[StartTAV]]-tblBaseCF[[#This Row],[TAVWithdrawal]]+tblBaseCF[[#This Row],[TPAlloc]])
*tblBaseCF[[#This Row],[ContFlag]]</f>
        <v>0</v>
      </c>
      <c r="BB31" s="59">
        <f ca="1">(tblBaseCF[[#This Row],[StartEAV]]-tblBaseCF[[#This Row],[EAVWithdrawal]]+tblBaseCF[[#This Row],[EPAlloc]]+tblBaseCF[[#This Row],[LoadAlloc]])
*tblBaseCF[[#This Row],[ContFlag]]</f>
        <v>0</v>
      </c>
      <c r="BC31" s="59">
        <f ca="1">tblBaseCF[[#This Row],[TAVAfterWdrlAlloc]]+tblBaseCF[[#This Row],[EAVAfterWdrlAlloc]]</f>
        <v>0</v>
      </c>
      <c r="BD31" s="66">
        <f t="shared" si="2"/>
        <v>0</v>
      </c>
      <c r="BE31" s="67">
        <f>(1+tblBaseCF[[#This Row],[AnnualIntRate]])^(1/12)-1</f>
        <v>0</v>
      </c>
      <c r="BF31" s="68">
        <f>IFERROR(((1+tblBaseCF[[#This Row],[MonthlyIntRate]])^12-1)/12/(1-1/(1+tblBaseCF[[#This Row],[MonthlyIntRate]])),1)/(1+tblBaseCF[[#This Row],[AnnualIntRate]])</f>
        <v>1</v>
      </c>
      <c r="BG31" s="69">
        <f>PV(tblBaseCF[[#This Row],[MonthlyIntRate]],12,-1/12,,1)</f>
        <v>1</v>
      </c>
      <c r="BH31" s="60">
        <f ca="1">MAX(IF(death_tpd_option="A",tblBaseCF[[#This Row],[Ben]]-tblBaseCF[[#This Row],[StartPAV]],tblBaseCF[[#This Row],[Ben]]),0)</f>
        <v>0</v>
      </c>
      <c r="BI31" s="70">
        <f ca="1">IFERROR(INDEX(tblBaseCOIRate[Rate],MATCH(tblBaseCF[[#This Row],[Age]],tblBaseCOIRate[Age],0)),0)</f>
        <v>6.8000000000001404E-4</v>
      </c>
      <c r="BJ31" s="60">
        <f ca="1">tblBaseCF[[#This Row],[SAR]]*tblBaseCF[[#This Row],[COIRate]]</f>
        <v>0</v>
      </c>
      <c r="BK31" s="62">
        <f ca="1">em_load*tblBaseCF[[#This Row],[pStandardCOI]]
*tblBaseCF[[#This Row],[EMLoadTermFlag]]</f>
        <v>0</v>
      </c>
      <c r="BL31" s="62">
        <f ca="1">pm_load/1000*tblBaseCF[[#This Row],[SAR]]
*tblBaseCF[[#This Row],[PMLoadTermFlag]]</f>
        <v>0</v>
      </c>
      <c r="BM31" s="60">
        <f ca="1">tblBaseCF[[#This Row],[AccBen]]*monthly_acc_coi*12</f>
        <v>0</v>
      </c>
      <c r="BN31" s="60">
        <f ca="1">tblBaseCF[[#This Row],[pStandardCOI]]+tblBaseCF[[#This Row],[pEMLoadCOI]]+tblBaseCF[[#This Row],[pPMLoadCOI]]+tblBaseCF[[#This Row],[pAccCOI]]</f>
        <v>0</v>
      </c>
      <c r="BO31" s="62">
        <f ca="1">IFERROR(INDEX(tblAdminChrg[Amount],MATCH(tblBaseCF[[#This Row],[CalYear]],tblAdminChrg[Cal_Year],0)),0)
*tblBaseCF[[#This Row],[ContFlag]]</f>
        <v>0</v>
      </c>
      <c r="BP31" s="60">
        <f ca="1">tblBaseCF[[#This Row],[pMonthlyAdminChrg]]*12</f>
        <v>0</v>
      </c>
      <c r="BQ31" s="60">
        <f ca="1">tblBaseCF[[#This Row],[pCOI]]+tblBaseCF[[#This Row],[pAdminChrg]]</f>
        <v>0</v>
      </c>
      <c r="BR31" s="60">
        <f ca="1">tblBaseCF[[#This Row],[pNomDeduct]]*tblBaseCF[[#This Row],[Duean1m12]]</f>
        <v>0</v>
      </c>
      <c r="BS31" s="57">
        <f ca="1">(tblBaseCF[[#This Row],[PAVAfterWdrlAlloc]]&gt;=tblBaseCF[[#This Row],[pNomDeduct]])
*tblBaseCF[[#This Row],[ContFlag]]</f>
        <v>0</v>
      </c>
      <c r="BT31" s="60">
        <f ca="1">tblBaseCF[[#This Row],[pStandardCOI]]*tblBaseCF[[#This Row],[DeductFlag]]</f>
        <v>0</v>
      </c>
      <c r="BU31" s="60">
        <f ca="1">tblBaseCF[[#This Row],[pEMLoadCOI]]*tblBaseCF[[#This Row],[DeductFlag]]</f>
        <v>0</v>
      </c>
      <c r="BV31" s="60">
        <f ca="1">tblBaseCF[[#This Row],[pPMLoadCOI]]*tblBaseCF[[#This Row],[DeductFlag]]</f>
        <v>0</v>
      </c>
      <c r="BW31" s="60">
        <f ca="1">tblBaseCF[[#This Row],[pAccCOI]]*tblBaseCF[[#This Row],[DeductFlag]]</f>
        <v>0</v>
      </c>
      <c r="BX31" s="60">
        <f ca="1">tblBaseCF[[#This Row],[pCOI]]*tblBaseCF[[#This Row],[DeductFlag]]</f>
        <v>0</v>
      </c>
      <c r="BY31" s="60">
        <f ca="1">tblBaseCF[[#This Row],[pMonthlyAdminChrg]]*tblBaseCF[[#This Row],[DeductFlag]]</f>
        <v>0</v>
      </c>
      <c r="BZ31" s="60">
        <f ca="1">tblBaseCF[[#This Row],[pAdminChrg]]*tblBaseCF[[#This Row],[DeductFlag]]</f>
        <v>0</v>
      </c>
      <c r="CA31" s="60">
        <f ca="1">tblBaseCF[[#This Row],[pNomDeduct]]*tblBaseCF[[#This Row],[DeductFlag]]</f>
        <v>0</v>
      </c>
      <c r="CB31" s="60">
        <f ca="1">tblBaseCF[[#This Row],[pDeduct]]*tblBaseCF[[#This Row],[DeductFlag]]</f>
        <v>0</v>
      </c>
      <c r="CC31" s="60">
        <f ca="1">MIN(tblBaseCF[[#This Row],[TAVAfterWdrlAlloc]],tblBaseCF[[#This Row],[Deduct]])</f>
        <v>0</v>
      </c>
      <c r="CD31" s="60">
        <f ca="1">tblBaseCF[[#This Row],[Deduct]]-tblBaseCF[[#This Row],[TAVDeduct]]</f>
        <v>0</v>
      </c>
      <c r="CE31" s="69">
        <f ca="1">(tblBaseCF[[#This Row],[TAVAfterWdrlAlloc]]-tblBaseCF[[#This Row],[TAVDeduct]])*tblBaseCF[[#This Row],[AnnualIntRate]]
*tblBaseCF[[#This Row],[DeductFlag]]</f>
        <v>0</v>
      </c>
      <c r="CF31" s="69">
        <f ca="1">(tblBaseCF[[#This Row],[EAVAfterWdrlAlloc]]-tblBaseCF[[#This Row],[EAVDeduct]])*tblBaseCF[[#This Row],[AnnualIntRate]]
*tblBaseCF[[#This Row],[DeductFlag]]</f>
        <v>0</v>
      </c>
      <c r="CG31" s="69">
        <f ca="1">tblBaseCF[[#This Row],[TAVInt]]+tblBaseCF[[#This Row],[EAVInt]]</f>
        <v>0</v>
      </c>
      <c r="CH31" s="62">
        <f ca="1">IFERROR(INDEX(tblLBRate[Rate],MATCH(tblBaseCF[[#This Row],[Year]],tblLBRate[Year],0)),0)
*tblBaseCF[[#This Row],[DeductFlag]]</f>
        <v>0</v>
      </c>
      <c r="CI31" s="60">
        <f ca="1">IFERROR(SUM(OFFSET(tblBaseCF[[#This Row],[TAVWithdrawal]],0,0,-lb_review_period,1)),0)
*(tblBaseCF[[#This Row],[LBRate]]&gt;0)</f>
        <v>0</v>
      </c>
      <c r="CJ31" s="60">
        <f ca="1">(tblBaseCF[[#This Row],[LBRate]]&gt;0)*(tblBaseCF[[#This Row],[LBTAVWithdrawal]]=0)</f>
        <v>0</v>
      </c>
      <c r="CK31" s="62" cm="1">
        <f t="array" aca="1" ref="CK31" ca="1">IF(tblBaseCF[[#This Row],[LBFlag]],
_xlfn.SWITCH(base,
"ILP1",AVERAGE(OFFSET(tblBaseCF[TP],0,0,-lb_review_period,1)),tp),0)
*tblBaseCF[[#This Row],[LBFlag]]</f>
        <v>0</v>
      </c>
      <c r="CL31" s="62">
        <f ca="1">tblBaseCF[[#This Row],[LBBasis]]*tblBaseCF[[#This Row],[LBRate]]</f>
        <v>0</v>
      </c>
      <c r="CM31" s="57" cm="1">
        <f t="array" aca="1" ref="CM31" ca="1">_xlfn.SWITCH(base,
"ILP1",0,($AF131&lt;500000000)*1
+($AF131&gt;=500000000)*($AF131&lt;1000000000)*2
+($AF131&gt;=1000000000)*3)
*tblBaseCF[[#This Row],[DeductFlag]]</f>
        <v>0</v>
      </c>
      <c r="CN31" s="2" t="str">
        <f ca="1">IF(tblBaseCF[[#This Row],[DeductFlag]],base&amp;"_"&amp;tblBaseCF[[#This Row],[SBCode]]&amp;"_"&amp;tblBaseCF[[#This Row],[Year]],"")</f>
        <v/>
      </c>
      <c r="CO31" s="3">
        <f ca="1">IFERROR(INDEX(tblSBRate[Index],MATCH(tblBaseCF[[#This Row],[SBIndex]],tblSBRate[Rate],0)),0)</f>
        <v>0</v>
      </c>
      <c r="CP31" s="63">
        <f ca="1">IFERROR(SUM(OFFSET(tblBaseCF[[#This Row],[TAVWithdrawal]],0,0,-sb_review_period,1)),0)
*(tblBaseCF[[#This Row],[SBRate]]&gt;0)</f>
        <v>0</v>
      </c>
      <c r="CQ31" s="63">
        <f ca="1">(tblBaseCF[[#This Row],[SBRate]]&gt;0)*(tblBaseCF[[#This Row],[SBTAVWithdrawal]]=0)</f>
        <v>0</v>
      </c>
      <c r="CR31" s="59" cm="1">
        <f t="array" aca="1" ref="CR31" ca="1">IF(tblBaseCF[[#This Row],[LBFlag]],
_xlfn.SWITCH(base,
"ILP1",0,tp),0)*tblBaseCF[[#This Row],[SBFlag]]</f>
        <v>0</v>
      </c>
      <c r="CS31" s="63">
        <f ca="1">tblBaseCF[[#This Row],[SBBasis]]*tblBaseCF[[#This Row],[SBRate]]</f>
        <v>0</v>
      </c>
      <c r="CT31" s="63">
        <f ca="1">tblBaseCF[[#This Row],[LB]]+tblBaseCF[[#This Row],[SB]]</f>
        <v>0</v>
      </c>
      <c r="CU31" s="59">
        <f ca="1">tblBaseCF[[#This Row],[TAVAfterWdrlAlloc]]-tblBaseCF[[#This Row],[TAVDeduct]]+tblBaseCF[[#This Row],[TAVInt]]+tblBaseCF[[#This Row],[Bonus]]</f>
        <v>0</v>
      </c>
      <c r="CV31" s="59">
        <f ca="1">tblBaseCF[[#This Row],[EAVAfterWdrlAlloc]]-tblBaseCF[[#This Row],[EAVDeduct]]+tblBaseCF[[#This Row],[EAVInt]]</f>
        <v>0</v>
      </c>
      <c r="CW31" s="63">
        <f ca="1">tblBaseCF[[#This Row],[EndTAV]]+tblBaseCF[[#This Row],[EndEAV]]</f>
        <v>0</v>
      </c>
      <c r="CX31" s="59">
        <f ca="1">INDEX(tblPlanPrem[TP],2)
*tblBaseCF[[#This Row],[TPTermFlag]]</f>
        <v>0</v>
      </c>
      <c r="CY31" s="59">
        <f ca="1">INDEX(tblPlanPrem[EP],2)
*tblBaseCF[[#This Row],[TPTermFlag]]</f>
        <v>0</v>
      </c>
      <c r="CZ31" s="63">
        <f ca="1">ROUNDUP(tblBaseCF[[#This Row],[UnroundedEMLoad]]*INDEX(tblPlanPrem[Factor],2),-3)</f>
        <v>0</v>
      </c>
      <c r="DA31" s="63">
        <f ca="1">ROUNDUP(tblBaseCF[[#This Row],[UnroundedPMLoad]]*INDEX(tblPlanPrem[Factor],2),-3)</f>
        <v>0</v>
      </c>
      <c r="DB31" s="63">
        <f ca="1">tblBaseCF[[#This Row],[SemiAnnualEMLoad]]+tblBaseCF[[#This Row],[SemiAnnualPMLoad]]</f>
        <v>0</v>
      </c>
      <c r="DC31" s="63">
        <f ca="1">tblBaseCF[[#This Row],[SemiAnnualTP]]+tblBaseCF[[#This Row],[SemiAnnualEP]]+tblBaseCF[[#This Row],[SemiAnnualLoad]]</f>
        <v>0</v>
      </c>
      <c r="DD31" s="59">
        <f ca="1">INDEX(tblPlanPrem[TP],3)
*tblBaseCF[[#This Row],[TPTermFlag]]</f>
        <v>0</v>
      </c>
      <c r="DE31" s="59">
        <f ca="1">INDEX(tblPlanPrem[EP],3)
*tblBaseCF[[#This Row],[TPTermFlag]]</f>
        <v>0</v>
      </c>
      <c r="DF31" s="63">
        <f ca="1">ROUNDUP(tblBaseCF[[#This Row],[UnroundedEMLoad]]*INDEX(tblPlanPrem[Factor],3),-3)</f>
        <v>0</v>
      </c>
      <c r="DG31" s="63">
        <f ca="1">ROUNDUP(tblBaseCF[[#This Row],[UnroundedPMLoad]]*INDEX(tblPlanPrem[Factor],3),-3)</f>
        <v>0</v>
      </c>
      <c r="DH31" s="60">
        <f ca="1">tblBaseCF[[#This Row],[QuarterlyEMLoad]]+tblBaseCF[[#This Row],[QuarterlyPMLoad]]</f>
        <v>0</v>
      </c>
      <c r="DI31" s="60">
        <f ca="1">tblBaseCF[[#This Row],[QuarterlyTP]]+tblBaseCF[[#This Row],[QuarterlyEP]]+tblBaseCF[[#This Row],[QuarterlyLoad]]</f>
        <v>0</v>
      </c>
      <c r="DJ31" s="59">
        <f ca="1">INDEX(tblPlanPrem[TP],4)
*tblBaseCF[[#This Row],[TPTermFlag]]</f>
        <v>0</v>
      </c>
      <c r="DK31" s="59">
        <f ca="1">INDEX(tblPlanPrem[EP],4)
*tblBaseCF[[#This Row],[TPTermFlag]]</f>
        <v>0</v>
      </c>
      <c r="DL31" s="63">
        <f ca="1">ROUNDUP(tblBaseCF[[#This Row],[UnroundedEMLoad]]*INDEX(tblPlanPrem[Factor],4),-3)</f>
        <v>0</v>
      </c>
      <c r="DM31" s="63">
        <f ca="1">ROUNDUP(tblBaseCF[[#This Row],[UnroundedPMLoad]]*INDEX(tblPlanPrem[Factor],4),-3)</f>
        <v>0</v>
      </c>
      <c r="DN31" s="60">
        <f ca="1">tblBaseCF[[#This Row],[MonthlyEMLoad]]+tblBaseCF[[#This Row],[MonthlyPMLoad]]</f>
        <v>0</v>
      </c>
      <c r="DO31" s="63">
        <f ca="1">tblBaseCF[[#This Row],[MonthlyTP]]+tblBaseCF[[#This Row],[MonthlyEP]]+tblBaseCF[[#This Row],[MonthlyLoad]]</f>
        <v>0</v>
      </c>
      <c r="DP31" s="3"/>
      <c r="DS31">
        <f t="shared" si="3"/>
        <v>0</v>
      </c>
      <c r="DT31">
        <f t="shared" si="4"/>
        <v>0</v>
      </c>
      <c r="DU31">
        <f t="shared" si="5"/>
        <v>0</v>
      </c>
      <c r="DV31">
        <f ca="1">tblBaseCF[[#This Row],[Year]]</f>
        <v>11</v>
      </c>
      <c r="DW31">
        <f ca="1">tblBaseCF[[#This Row],[Age]]</f>
        <v>10</v>
      </c>
      <c r="DX31">
        <f ca="1">tblBaseCF[[#This Row],[ContFlag]]</f>
        <v>0</v>
      </c>
      <c r="DY31" t="str">
        <f ca="1">tblBaseCF[[#This Row],[ContLog]]</f>
        <v>Insufficient PAV for deduction - Discontinue.</v>
      </c>
      <c r="DZ31">
        <f ca="1">tblBaseCF[[#This Row],[StartTAV]]</f>
        <v>0</v>
      </c>
      <c r="EA31">
        <f ca="1">tblBaseCF[[#This Row],[StartEAV]]</f>
        <v>0</v>
      </c>
      <c r="EB31">
        <f ca="1">tblBaseCF[[#This Row],[StartPAV]]</f>
        <v>0</v>
      </c>
      <c r="EC31">
        <f ca="1">tblBaseCF[[#This Row],[SVChrg]]</f>
        <v>0</v>
      </c>
      <c r="ED31">
        <f ca="1">tblBaseCF[[#This Row],[SV]]</f>
        <v>0</v>
      </c>
      <c r="EE31">
        <f ca="1">tblBaseCF[[#This Row],[Ben]]</f>
        <v>0</v>
      </c>
      <c r="EF31">
        <f ca="1">tblBaseCF[[#This Row],[AccBen]]</f>
        <v>0</v>
      </c>
      <c r="EG31">
        <f ca="1">tblBaseCF[[#This Row],[WithdrawalInput]]</f>
        <v>0</v>
      </c>
      <c r="EH31" t="str">
        <f ca="1">tblBaseCF[[#This Row],[WithdrawalLog]]</f>
        <v>No withdrawal.</v>
      </c>
      <c r="EI31">
        <f ca="1">tblBaseCF[[#This Row],[TAVWithdrawal]]</f>
        <v>0</v>
      </c>
      <c r="EJ31">
        <f ca="1">tblBaseCF[[#This Row],[EAVWithdrawal]]</f>
        <v>0</v>
      </c>
      <c r="EK31">
        <f ca="1">tblBaseCF[[#This Row],[Withdrawal]]</f>
        <v>0</v>
      </c>
      <c r="EL31">
        <f ca="1">tblBaseCF[[#This Row],[TP]]</f>
        <v>0</v>
      </c>
      <c r="EM31">
        <f ca="1">tblBaseCF[[#This Row],[TPAllocChrg]]</f>
        <v>0</v>
      </c>
      <c r="EN31">
        <f ca="1">tblBaseCF[[#This Row],[TPAlloc]]</f>
        <v>0</v>
      </c>
      <c r="EO31">
        <f ca="1">tblBaseCF[[#This Row],[EP]]</f>
        <v>0</v>
      </c>
      <c r="EP31">
        <f ca="1">tblBaseCF[[#This Row],[EPAllocChrg]]</f>
        <v>0</v>
      </c>
      <c r="EQ31">
        <f ca="1">tblBaseCF[[#This Row],[EPAlloc]]</f>
        <v>0</v>
      </c>
      <c r="ER31">
        <f ca="1">tblBaseCF[[#This Row],[EMLoad]]</f>
        <v>0</v>
      </c>
      <c r="ES31">
        <f ca="1">tblBaseCF[[#This Row],[PMLoad]]</f>
        <v>0</v>
      </c>
      <c r="ET31">
        <f ca="1">tblBaseCF[[#This Row],[Load]]</f>
        <v>0</v>
      </c>
      <c r="EU31">
        <f ca="1">tblBaseCF[[#This Row],[LoadAllocChrg]]</f>
        <v>0</v>
      </c>
      <c r="EV31">
        <f ca="1">tblBaseCF[[#This Row],[LoadAlloc]]</f>
        <v>0</v>
      </c>
      <c r="EW31">
        <f ca="1">tblBaseCF[[#This Row],[TotalPrem]]</f>
        <v>0</v>
      </c>
      <c r="EX31">
        <f ca="1">tblBaseCF[[#This Row],[AllocChrg]]</f>
        <v>0</v>
      </c>
      <c r="EY31">
        <f ca="1">tblBaseCF[[#This Row],[Alloc]]</f>
        <v>0</v>
      </c>
      <c r="EZ31">
        <f ca="1">tblBaseCF[[#This Row],[AccumTotalPrem]]</f>
        <v>0</v>
      </c>
      <c r="FA31">
        <f>tblBaseCF[[#This Row],[AnnualIntRate]]</f>
        <v>0</v>
      </c>
      <c r="FB31" s="50">
        <f>tblBaseCF[[#This Row],[Duean1m12]]</f>
        <v>1</v>
      </c>
      <c r="FC31">
        <f ca="1">tblBaseCF[[#This Row],[DeductFlag]]</f>
        <v>0</v>
      </c>
      <c r="FD31">
        <f ca="1">tblBaseCF[[#This Row],[AdminChrg]]</f>
        <v>0</v>
      </c>
      <c r="FE31">
        <f ca="1">tblBaseCF[[#This Row],[StandardCOI]]</f>
        <v>0</v>
      </c>
      <c r="FF31">
        <f ca="1">tblBaseCF[[#This Row],[EMLoadCOI]]</f>
        <v>0</v>
      </c>
      <c r="FG31">
        <f ca="1">tblBaseCF[[#This Row],[PMLoadCOI]]</f>
        <v>0</v>
      </c>
      <c r="FH31">
        <f ca="1">tblBaseCF[[#This Row],[COI]]</f>
        <v>0</v>
      </c>
      <c r="FI31" s="47">
        <f ca="1">tblBaseCF[[#This Row],[NomDeduct]]</f>
        <v>0</v>
      </c>
      <c r="FJ31">
        <f ca="1">tblBaseCF[[#This Row],[Deduct]]</f>
        <v>0</v>
      </c>
      <c r="FK31">
        <f ca="1">tblBaseCF[[#This Row],[TAVDeduct]]</f>
        <v>0</v>
      </c>
      <c r="FL31">
        <f ca="1">tblBaseCF[[#This Row],[EAVDeduct]]</f>
        <v>0</v>
      </c>
      <c r="FM31" s="24">
        <f ca="1">tblBaseCF[[#This Row],[TAVInt]]</f>
        <v>0</v>
      </c>
      <c r="FN31">
        <f ca="1">tblBaseCF[[#This Row],[EAVInt]]</f>
        <v>0</v>
      </c>
      <c r="FO31" s="47">
        <f ca="1">tblBaseCF[[#This Row],[LB]]</f>
        <v>0</v>
      </c>
      <c r="FP31">
        <f ca="1">tblBaseCF[[#This Row],[SB]]</f>
        <v>0</v>
      </c>
      <c r="FQ31">
        <f ca="1">tblBaseCF[[#This Row],[Bonus]]</f>
        <v>0</v>
      </c>
      <c r="FR31">
        <f ca="1">tblBaseCF[[#This Row],[EndTAV]]</f>
        <v>0</v>
      </c>
      <c r="FS31">
        <f ca="1">tblBaseCF[[#This Row],[EndEAV]]</f>
        <v>0</v>
      </c>
      <c r="FT31">
        <f ca="1">tblBaseCF[[#This Row],[EndPAV]]</f>
        <v>0</v>
      </c>
      <c r="FU31">
        <f ca="1">tblBaseCF[[#This Row],[SemiAnnualTP]]</f>
        <v>0</v>
      </c>
      <c r="FV31">
        <f ca="1">tblBaseCF[[#This Row],[SemiAnnualEP]]</f>
        <v>0</v>
      </c>
      <c r="FW31">
        <f ca="1">tblBaseCF[[#This Row],[SemiAnnualEMLoad]]</f>
        <v>0</v>
      </c>
      <c r="FX31">
        <f ca="1">tblBaseCF[[#This Row],[SemiAnnualPMLoad]]</f>
        <v>0</v>
      </c>
      <c r="FY31">
        <f ca="1">tblBaseCF[[#This Row],[SemiAnnualLoad]]</f>
        <v>0</v>
      </c>
      <c r="FZ31">
        <f ca="1">tblBaseCF[[#This Row],[SemiAnnualTotalPrem]]</f>
        <v>0</v>
      </c>
      <c r="GA31">
        <f ca="1">tblBaseCF[[#This Row],[QuarterlyTP]]</f>
        <v>0</v>
      </c>
      <c r="GB31">
        <f ca="1">tblBaseCF[[#This Row],[QuarterlyEP]]</f>
        <v>0</v>
      </c>
      <c r="GC31">
        <f ca="1">tblBaseCF[[#This Row],[QuarterlyEMLoad]]</f>
        <v>0</v>
      </c>
      <c r="GD31">
        <f ca="1">tblBaseCF[[#This Row],[QuarterlyPMLoad]]</f>
        <v>0</v>
      </c>
      <c r="GE31">
        <f ca="1">tblBaseCF[[#This Row],[QuarterlyLoad]]</f>
        <v>0</v>
      </c>
      <c r="GF31">
        <f ca="1">tblBaseCF[[#This Row],[QuarterlyTotalPrem]]</f>
        <v>0</v>
      </c>
      <c r="GG31">
        <f ca="1">tblBaseCF[[#This Row],[MonthlyTP]]</f>
        <v>0</v>
      </c>
      <c r="GH31">
        <f ca="1">tblBaseCF[[#This Row],[MonthlyEP]]</f>
        <v>0</v>
      </c>
      <c r="GI31">
        <f ca="1">tblBaseCF[[#This Row],[MonthlyEMLoad]]</f>
        <v>0</v>
      </c>
      <c r="GJ31">
        <f ca="1">tblBaseCF[[#This Row],[MonthlyPMLoad]]</f>
        <v>0</v>
      </c>
      <c r="GK31">
        <f ca="1">tblBaseCF[[#This Row],[MonthlyLoad]]</f>
        <v>0</v>
      </c>
      <c r="GL31">
        <f ca="1">tblBaseCF[[#This Row],[MonthlyTotalPrem]]</f>
        <v>0</v>
      </c>
      <c r="GO31" t="s">
        <v>134</v>
      </c>
      <c r="GP31" t="s">
        <v>135</v>
      </c>
      <c r="GQ31" t="s">
        <v>502</v>
      </c>
      <c r="GR31">
        <v>11</v>
      </c>
      <c r="GS31">
        <v>10</v>
      </c>
      <c r="GT31">
        <v>1</v>
      </c>
      <c r="GU31" t="s">
        <v>457</v>
      </c>
      <c r="GV31">
        <v>4093396.5064498102</v>
      </c>
      <c r="GW31">
        <v>70617516.949132502</v>
      </c>
      <c r="GX31">
        <v>74710913.455582306</v>
      </c>
      <c r="GY31">
        <v>0</v>
      </c>
      <c r="GZ31">
        <v>74710913.455582306</v>
      </c>
      <c r="HA31">
        <v>101000000</v>
      </c>
      <c r="HB31">
        <v>303000000</v>
      </c>
      <c r="HC31">
        <v>0</v>
      </c>
      <c r="HD31" t="s">
        <v>137</v>
      </c>
      <c r="HE31">
        <v>0</v>
      </c>
      <c r="HF31">
        <v>0</v>
      </c>
      <c r="HG31">
        <v>0</v>
      </c>
      <c r="HH31">
        <v>1072000</v>
      </c>
      <c r="HI31">
        <v>21440</v>
      </c>
      <c r="HJ31">
        <v>1050560</v>
      </c>
      <c r="HK31">
        <v>5200000</v>
      </c>
      <c r="HL31">
        <v>104000</v>
      </c>
      <c r="HM31">
        <v>5096000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6272000</v>
      </c>
      <c r="HT31">
        <v>125440</v>
      </c>
      <c r="HU31">
        <v>6146560</v>
      </c>
      <c r="HV31">
        <v>68992000</v>
      </c>
      <c r="HW31">
        <v>7.0000000000000007E-2</v>
      </c>
      <c r="HX31">
        <v>0.96964931039809399</v>
      </c>
      <c r="HY31">
        <v>1</v>
      </c>
      <c r="HZ31">
        <v>300000</v>
      </c>
      <c r="IA31">
        <v>17876.578850204402</v>
      </c>
      <c r="IB31">
        <v>0</v>
      </c>
      <c r="IC31">
        <v>0</v>
      </c>
      <c r="ID31">
        <v>290576.57885020401</v>
      </c>
      <c r="IE31">
        <v>590576.57885020401</v>
      </c>
      <c r="IF31">
        <v>572652.17241936596</v>
      </c>
      <c r="IG31">
        <v>572652.17241936596</v>
      </c>
      <c r="IH31">
        <v>0</v>
      </c>
      <c r="II31">
        <v>319991.30338213098</v>
      </c>
      <c r="IJ31">
        <v>5299946.1864392702</v>
      </c>
      <c r="IK31">
        <v>0</v>
      </c>
      <c r="IL31">
        <v>0</v>
      </c>
      <c r="IM31">
        <v>0</v>
      </c>
      <c r="IN31">
        <v>4891295.6374125704</v>
      </c>
      <c r="IO31">
        <v>81013463.135571703</v>
      </c>
      <c r="IP31">
        <v>85904758.772984296</v>
      </c>
      <c r="IQ31">
        <v>536000</v>
      </c>
      <c r="IR31">
        <v>2600000</v>
      </c>
      <c r="IS31">
        <v>0</v>
      </c>
      <c r="IT31">
        <v>0</v>
      </c>
      <c r="IU31">
        <v>0</v>
      </c>
      <c r="IV31">
        <v>3136000</v>
      </c>
      <c r="IW31">
        <v>268000</v>
      </c>
      <c r="IX31">
        <v>1300000</v>
      </c>
      <c r="IY31">
        <v>0</v>
      </c>
      <c r="IZ31">
        <v>0</v>
      </c>
      <c r="JA31">
        <v>0</v>
      </c>
      <c r="JB31">
        <v>1568000</v>
      </c>
      <c r="JC31">
        <v>90000</v>
      </c>
      <c r="JD31">
        <v>434000</v>
      </c>
      <c r="JE31">
        <v>0</v>
      </c>
      <c r="JF31">
        <v>0</v>
      </c>
      <c r="JG31">
        <v>0</v>
      </c>
      <c r="JH31">
        <v>524000</v>
      </c>
    </row>
    <row r="32" spans="2:268" customFormat="1" x14ac:dyDescent="0.25">
      <c r="B32" s="2">
        <f ca="1">OFFSET(tblBaseCF[[#This Row],[Year]],-1,0)+1</f>
        <v>12</v>
      </c>
      <c r="C32" s="2">
        <f ca="1">(tblBaseCF[[#This Row],[Year]]&lt;=term)*1</f>
        <v>1</v>
      </c>
      <c r="D32" s="57">
        <f ca="1">(YEAR(rcd)+tblBaseCF[[#This Row],[Year]]-1)
*tblBaseCF[[#This Row],[PolTermFlag]]</f>
        <v>2036</v>
      </c>
      <c r="E32" s="57">
        <f ca="1">(mainLI_entry_age+tblBaseCF[[#This Row],[Year]]-1)
*tblBaseCF[[#This Row],[PolTermFlag]]</f>
        <v>11</v>
      </c>
      <c r="F32" s="57">
        <f ca="1">IF(tblBaseCF[[#This Row],[Year]]=1,1,OFFSET(tblBaseCF[[#This Row],[DeductFlag]],-1,0))
*tblBaseCF[[#This Row],[PolTermFlag]]</f>
        <v>0</v>
      </c>
      <c r="G3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2" s="57">
        <f ca="1">(tblBaseCF[[#This Row],[Year]]&lt;=acc_ben_term)
*tblBaseCF[[#This Row],[ContFlag]]</f>
        <v>0</v>
      </c>
      <c r="I32" s="57">
        <f ca="1">(tblBaseCF[[#This Row],[Year]]&lt;=tp_term)
*tblBaseCF[[#This Row],[ContFlag]]</f>
        <v>0</v>
      </c>
      <c r="J32" s="57">
        <f ca="1">(tblBaseCF[[#This Row],[Year]]&lt;=ep_term)
*tblBaseCF[[#This Row],[ContFlag]]</f>
        <v>0</v>
      </c>
      <c r="K32" s="57">
        <f ca="1">(tblBaseCF[[#This Row],[Year]]&lt;=em_load_term)*1</f>
        <v>0</v>
      </c>
      <c r="L32" s="57">
        <f ca="1">(tblBaseCF[[#This Row],[Year]]&lt;=pm_load_term)*1</f>
        <v>0</v>
      </c>
      <c r="M32" s="59">
        <f ca="1">IF(tblBaseCF[[#This Row],[Year]]=1,si,OFFSET(tblBaseCF[[#This Row],[EndSI]],-1,0))
*tblBaseCF[[#This Row],[ContFlag]]</f>
        <v>0</v>
      </c>
      <c r="N32" s="59">
        <f ca="1">OFFSET(tblBaseCF[[#This Row],[EndTAV]],-1,0)
*tblBaseCF[[#This Row],[ContFlag]]</f>
        <v>0</v>
      </c>
      <c r="O32" s="59">
        <f ca="1">OFFSET(tblBaseCF[[#This Row],[EndEAV]],-1,0)
*tblBaseCF[[#This Row],[ContFlag]]</f>
        <v>0</v>
      </c>
      <c r="P32" s="60">
        <f ca="1">tblBaseCF[[#This Row],[StartEAV]]+tblBaseCF[[#This Row],[StartTAV]]</f>
        <v>0</v>
      </c>
      <c r="Q32" s="61">
        <f ca="1">IFERROR(INDEX(tblJuvenileLienRate[Rate],MATCH(tblBaseCF[[#This Row],[Age]],tblJuvenileLienRate[Age],0)),1)
*tblBaseCF[[#This Row],[ContFlag]]</f>
        <v>0</v>
      </c>
      <c r="R3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2" s="62">
        <f ca="1">tblBaseCF[[#This Row],[StartSI]]*acc_ben_coeff*tblBaseCF[[#This Row],[JuvenileLienRate]]
*tblBaseCF[[#This Row],[AccBenTermFlag]]</f>
        <v>0</v>
      </c>
      <c r="T32" s="61">
        <f ca="1">(IFERROR(INDEX(tblSurrChrgRate[Rate],MATCH(tblBaseCF[[#This Row],[Year]],tblSurrChrgRate[Year],0)),0)
*tblBaseCF[[#This Row],[ContFlag]])</f>
        <v>0</v>
      </c>
      <c r="U32" s="60">
        <f ca="1">tp*tblBaseCF[[#This Row],[SrrChrgRate]]</f>
        <v>0</v>
      </c>
      <c r="V32" s="63">
        <f ca="1">MAX(tblBaseCF[[#This Row],[StartTAV]]-tblBaseCF[[#This Row],[SVChrg]],0)+tblBaseCF[[#This Row],[StartEAV]]</f>
        <v>0</v>
      </c>
      <c r="W32" s="59">
        <f ca="1">IFERROR(INDEX(tblWithdrawal_Output[Amount],MATCH(tblBaseCF[[#This Row],[Year]],tblWithdrawal_Output[Year],0)),0)
*tblBaseCF[[#This Row],[ContFlag]]</f>
        <v>0</v>
      </c>
      <c r="X32" s="59" t="b">
        <f ca="1">tblBaseCF[[#This Row],[WithdrawalInput]]&gt;0</f>
        <v>0</v>
      </c>
      <c r="Y32" s="59" t="b">
        <f ca="1">AND(tblBaseCF[[#This Row],[1stCheckProceed]],tblBaseCF[[#This Row],[WithdrawalInput]]&lt;=tblBaseCF[[#This Row],[StartPAV]])</f>
        <v>0</v>
      </c>
      <c r="Z32" s="59" t="b">
        <f ca="1">AND(tblBaseCF[[#This Row],[2ndCheckAmount]],(tblBaseCF[[#This Row],[StartPAV]]-tblBaseCF[[#This Row],[WithdrawalInput]])&gt;=min_pav_after_withdrawal)</f>
        <v>0</v>
      </c>
      <c r="AA3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2" s="59" t="b">
        <f ca="1">AND(tblBaseCF[[#This Row],[3rdCheckPAV]],tblBaseCF[[#This Row],[endSITest]]&gt;=min_base_si)</f>
        <v>0</v>
      </c>
      <c r="AC32" s="60">
        <f ca="1">tblBaseCF[[#This Row],[WithdrawalInput]]*tblBaseCF[[#This Row],[4thCheckSI]]</f>
        <v>0</v>
      </c>
      <c r="AD32" s="60">
        <f ca="1">MIN(tblBaseCF[[#This Row],[Withdrawal]],tblBaseCF[[#This Row],[StartEAV]])</f>
        <v>0</v>
      </c>
      <c r="AE32" s="60">
        <f ca="1">tblBaseCF[[#This Row],[Withdrawal]]-tblBaseCF[[#This Row],[EAVWithdrawal]]</f>
        <v>0</v>
      </c>
      <c r="AF32" s="60">
        <f ca="1">IF(tblBaseCF[[#This Row],[4thCheckSI]],tblBaseCF[[#This Row],[endSITest]],tblBaseCF[[#This Row],[StartSI]])</f>
        <v>0</v>
      </c>
      <c r="AG3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2" s="65">
        <f ca="1">IFERROR(INDEX(tblTPAllocChrgRate[Rate],MATCH(tblBaseCF[[#This Row],[Year]],tblTPAllocChrgRate[Year],0)),0)</f>
        <v>0.02</v>
      </c>
      <c r="AI32" s="62">
        <f ca="1">(tp+big_case_bonus_tp*(tblBaseCF[[#This Row],[Year]]=1))
*tblBaseCF[[#This Row],[TPTermFlag]]</f>
        <v>0</v>
      </c>
      <c r="AJ32" s="63">
        <f ca="1">tblBaseCF[[#This Row],[TP]]*tblBaseCF[[#This Row],[TPAllocChrgRate]]</f>
        <v>0</v>
      </c>
      <c r="AK32" s="60">
        <f ca="1">tblBaseCF[[#This Row],[TP]]-tblBaseCF[[#This Row],[TPAllocChrg]]</f>
        <v>0</v>
      </c>
      <c r="AL32" s="65">
        <f ca="1">IFERROR(INDEX(tblEPAllocChrgRate[Rate],MATCH(tblBaseCF[[#This Row],[Year]],tblEPAllocChrgRate[Year],0)),0)</f>
        <v>0.02</v>
      </c>
      <c r="AM32" s="60">
        <f ca="1">ep*tblBaseCF[[#This Row],[EPTermFlag]]</f>
        <v>0</v>
      </c>
      <c r="AN32" s="60">
        <f ca="1">tblBaseCF[[#This Row],[EP]]*tblBaseCF[[#This Row],[EPAllocChrgRate]]</f>
        <v>0</v>
      </c>
      <c r="AO32" s="63">
        <f ca="1">tblBaseCF[[#This Row],[EP]]-tblBaseCF[[#This Row],[EPAllocChrg]]</f>
        <v>0</v>
      </c>
      <c r="AP32" s="62">
        <f ca="1">tblBaseCF[[#This Row],[Ben]]*extra_prem_rate*em_load/1000/(1-tblBaseCF[[#This Row],[EPAllocChrgRate]])
*tblBaseCF[[#This Row],[EMLoadTermFlag]]</f>
        <v>0</v>
      </c>
      <c r="AQ32" s="62">
        <f ca="1">tblBaseCF[[#This Row],[Ben]]*pm_load/1000/(1-tblBaseCF[[#This Row],[EPAllocChrgRate]])
*tblBaseCF[[#This Row],[PMLoadTermFlag]]</f>
        <v>0</v>
      </c>
      <c r="AR32" s="60">
        <f ca="1">ROUNDUP(tblBaseCF[[#This Row],[UnroundedEMLoad]],-3)</f>
        <v>0</v>
      </c>
      <c r="AS32" s="62">
        <f ca="1">ROUNDUP(tblBaseCF[[#This Row],[Ben]]*pm_load/1000/(1-tblBaseCF[[#This Row],[EPAllocChrgRate]]),-3)
*tblBaseCF[[#This Row],[PMLoadTermFlag]]</f>
        <v>0</v>
      </c>
      <c r="AT32" s="60">
        <f ca="1">tblBaseCF[[#This Row],[EMLoad]]+tblBaseCF[[#This Row],[PMLoad]]</f>
        <v>0</v>
      </c>
      <c r="AU32" s="60">
        <f ca="1">tblBaseCF[[#This Row],[Load]]*tblBaseCF[[#This Row],[EPAllocChrgRate]]</f>
        <v>0</v>
      </c>
      <c r="AV32" s="60">
        <f ca="1">tblBaseCF[[#This Row],[Load]]-tblBaseCF[[#This Row],[LoadAllocChrg]]</f>
        <v>0</v>
      </c>
      <c r="AW32" s="60">
        <f ca="1">tblBaseCF[[#This Row],[TP]]+tblBaseCF[[#This Row],[EP]]+tblBaseCF[[#This Row],[Load]]</f>
        <v>0</v>
      </c>
      <c r="AX32" s="60">
        <f ca="1">tblBaseCF[[#This Row],[TPAllocChrg]]+tblBaseCF[[#This Row],[EPAllocChrg]]+tblBaseCF[[#This Row],[LoadAllocChrg]]</f>
        <v>0</v>
      </c>
      <c r="AY32" s="60">
        <f ca="1">tblBaseCF[[#This Row],[TPAlloc]]+tblBaseCF[[#This Row],[EPAlloc]]+tblBaseCF[[#This Row],[LoadAlloc]]</f>
        <v>0</v>
      </c>
      <c r="AZ32" s="60">
        <f ca="1">(OFFSET(tblBaseCF[[#This Row],[AccumTotalPrem]],-1,0)+tblBaseCF[[#This Row],[TotalPrem]])*tblBaseCF[[#This Row],[TPTermFlag]]</f>
        <v>0</v>
      </c>
      <c r="BA32" s="62">
        <f ca="1">(tblBaseCF[[#This Row],[StartTAV]]-tblBaseCF[[#This Row],[TAVWithdrawal]]+tblBaseCF[[#This Row],[TPAlloc]])
*tblBaseCF[[#This Row],[ContFlag]]</f>
        <v>0</v>
      </c>
      <c r="BB32" s="59">
        <f ca="1">(tblBaseCF[[#This Row],[StartEAV]]-tblBaseCF[[#This Row],[EAVWithdrawal]]+tblBaseCF[[#This Row],[EPAlloc]]+tblBaseCF[[#This Row],[LoadAlloc]])
*tblBaseCF[[#This Row],[ContFlag]]</f>
        <v>0</v>
      </c>
      <c r="BC32" s="59">
        <f ca="1">tblBaseCF[[#This Row],[TAVAfterWdrlAlloc]]+tblBaseCF[[#This Row],[EAVAfterWdrlAlloc]]</f>
        <v>0</v>
      </c>
      <c r="BD32" s="66">
        <f t="shared" si="2"/>
        <v>0</v>
      </c>
      <c r="BE32" s="67">
        <f>(1+tblBaseCF[[#This Row],[AnnualIntRate]])^(1/12)-1</f>
        <v>0</v>
      </c>
      <c r="BF32" s="68">
        <f>IFERROR(((1+tblBaseCF[[#This Row],[MonthlyIntRate]])^12-1)/12/(1-1/(1+tblBaseCF[[#This Row],[MonthlyIntRate]])),1)/(1+tblBaseCF[[#This Row],[AnnualIntRate]])</f>
        <v>1</v>
      </c>
      <c r="BG32" s="69">
        <f>PV(tblBaseCF[[#This Row],[MonthlyIntRate]],12,-1/12,,1)</f>
        <v>1</v>
      </c>
      <c r="BH32" s="60">
        <f ca="1">MAX(IF(death_tpd_option="A",tblBaseCF[[#This Row],[Ben]]-tblBaseCF[[#This Row],[StartPAV]],tblBaseCF[[#This Row],[Ben]]),0)</f>
        <v>0</v>
      </c>
      <c r="BI32" s="70">
        <f ca="1">IFERROR(INDEX(tblBaseCOIRate[Rate],MATCH(tblBaseCF[[#This Row],[Age]],tblBaseCOIRate[Age],0)),0)</f>
        <v>7.0000000000003404E-4</v>
      </c>
      <c r="BJ32" s="60">
        <f ca="1">tblBaseCF[[#This Row],[SAR]]*tblBaseCF[[#This Row],[COIRate]]</f>
        <v>0</v>
      </c>
      <c r="BK32" s="62">
        <f ca="1">em_load*tblBaseCF[[#This Row],[pStandardCOI]]
*tblBaseCF[[#This Row],[EMLoadTermFlag]]</f>
        <v>0</v>
      </c>
      <c r="BL32" s="62">
        <f ca="1">pm_load/1000*tblBaseCF[[#This Row],[SAR]]
*tblBaseCF[[#This Row],[PMLoadTermFlag]]</f>
        <v>0</v>
      </c>
      <c r="BM32" s="60">
        <f ca="1">tblBaseCF[[#This Row],[AccBen]]*monthly_acc_coi*12</f>
        <v>0</v>
      </c>
      <c r="BN32" s="60">
        <f ca="1">tblBaseCF[[#This Row],[pStandardCOI]]+tblBaseCF[[#This Row],[pEMLoadCOI]]+tblBaseCF[[#This Row],[pPMLoadCOI]]+tblBaseCF[[#This Row],[pAccCOI]]</f>
        <v>0</v>
      </c>
      <c r="BO32" s="62">
        <f ca="1">IFERROR(INDEX(tblAdminChrg[Amount],MATCH(tblBaseCF[[#This Row],[CalYear]],tblAdminChrg[Cal_Year],0)),0)
*tblBaseCF[[#This Row],[ContFlag]]</f>
        <v>0</v>
      </c>
      <c r="BP32" s="60">
        <f ca="1">tblBaseCF[[#This Row],[pMonthlyAdminChrg]]*12</f>
        <v>0</v>
      </c>
      <c r="BQ32" s="60">
        <f ca="1">tblBaseCF[[#This Row],[pCOI]]+tblBaseCF[[#This Row],[pAdminChrg]]</f>
        <v>0</v>
      </c>
      <c r="BR32" s="60">
        <f ca="1">tblBaseCF[[#This Row],[pNomDeduct]]*tblBaseCF[[#This Row],[Duean1m12]]</f>
        <v>0</v>
      </c>
      <c r="BS32" s="57">
        <f ca="1">(tblBaseCF[[#This Row],[PAVAfterWdrlAlloc]]&gt;=tblBaseCF[[#This Row],[pNomDeduct]])
*tblBaseCF[[#This Row],[ContFlag]]</f>
        <v>0</v>
      </c>
      <c r="BT32" s="60">
        <f ca="1">tblBaseCF[[#This Row],[pStandardCOI]]*tblBaseCF[[#This Row],[DeductFlag]]</f>
        <v>0</v>
      </c>
      <c r="BU32" s="60">
        <f ca="1">tblBaseCF[[#This Row],[pEMLoadCOI]]*tblBaseCF[[#This Row],[DeductFlag]]</f>
        <v>0</v>
      </c>
      <c r="BV32" s="60">
        <f ca="1">tblBaseCF[[#This Row],[pPMLoadCOI]]*tblBaseCF[[#This Row],[DeductFlag]]</f>
        <v>0</v>
      </c>
      <c r="BW32" s="60">
        <f ca="1">tblBaseCF[[#This Row],[pAccCOI]]*tblBaseCF[[#This Row],[DeductFlag]]</f>
        <v>0</v>
      </c>
      <c r="BX32" s="60">
        <f ca="1">tblBaseCF[[#This Row],[pCOI]]*tblBaseCF[[#This Row],[DeductFlag]]</f>
        <v>0</v>
      </c>
      <c r="BY32" s="60">
        <f ca="1">tblBaseCF[[#This Row],[pMonthlyAdminChrg]]*tblBaseCF[[#This Row],[DeductFlag]]</f>
        <v>0</v>
      </c>
      <c r="BZ32" s="60">
        <f ca="1">tblBaseCF[[#This Row],[pAdminChrg]]*tblBaseCF[[#This Row],[DeductFlag]]</f>
        <v>0</v>
      </c>
      <c r="CA32" s="60">
        <f ca="1">tblBaseCF[[#This Row],[pNomDeduct]]*tblBaseCF[[#This Row],[DeductFlag]]</f>
        <v>0</v>
      </c>
      <c r="CB32" s="60">
        <f ca="1">tblBaseCF[[#This Row],[pDeduct]]*tblBaseCF[[#This Row],[DeductFlag]]</f>
        <v>0</v>
      </c>
      <c r="CC32" s="60">
        <f ca="1">MIN(tblBaseCF[[#This Row],[TAVAfterWdrlAlloc]],tblBaseCF[[#This Row],[Deduct]])</f>
        <v>0</v>
      </c>
      <c r="CD32" s="60">
        <f ca="1">tblBaseCF[[#This Row],[Deduct]]-tblBaseCF[[#This Row],[TAVDeduct]]</f>
        <v>0</v>
      </c>
      <c r="CE32" s="69">
        <f ca="1">(tblBaseCF[[#This Row],[TAVAfterWdrlAlloc]]-tblBaseCF[[#This Row],[TAVDeduct]])*tblBaseCF[[#This Row],[AnnualIntRate]]
*tblBaseCF[[#This Row],[DeductFlag]]</f>
        <v>0</v>
      </c>
      <c r="CF32" s="69">
        <f ca="1">(tblBaseCF[[#This Row],[EAVAfterWdrlAlloc]]-tblBaseCF[[#This Row],[EAVDeduct]])*tblBaseCF[[#This Row],[AnnualIntRate]]
*tblBaseCF[[#This Row],[DeductFlag]]</f>
        <v>0</v>
      </c>
      <c r="CG32" s="69">
        <f ca="1">tblBaseCF[[#This Row],[TAVInt]]+tblBaseCF[[#This Row],[EAVInt]]</f>
        <v>0</v>
      </c>
      <c r="CH32" s="62">
        <f ca="1">IFERROR(INDEX(tblLBRate[Rate],MATCH(tblBaseCF[[#This Row],[Year]],tblLBRate[Year],0)),0)
*tblBaseCF[[#This Row],[DeductFlag]]</f>
        <v>0</v>
      </c>
      <c r="CI32" s="60">
        <f ca="1">IFERROR(SUM(OFFSET(tblBaseCF[[#This Row],[TAVWithdrawal]],0,0,-lb_review_period,1)),0)
*(tblBaseCF[[#This Row],[LBRate]]&gt;0)</f>
        <v>0</v>
      </c>
      <c r="CJ32" s="60">
        <f ca="1">(tblBaseCF[[#This Row],[LBRate]]&gt;0)*(tblBaseCF[[#This Row],[LBTAVWithdrawal]]=0)</f>
        <v>0</v>
      </c>
      <c r="CK32" s="62" cm="1">
        <f t="array" aca="1" ref="CK32" ca="1">IF(tblBaseCF[[#This Row],[LBFlag]],
_xlfn.SWITCH(base,
"ILP1",AVERAGE(OFFSET(tblBaseCF[TP],0,0,-lb_review_period,1)),tp),0)
*tblBaseCF[[#This Row],[LBFlag]]</f>
        <v>0</v>
      </c>
      <c r="CL32" s="62">
        <f ca="1">tblBaseCF[[#This Row],[LBBasis]]*tblBaseCF[[#This Row],[LBRate]]</f>
        <v>0</v>
      </c>
      <c r="CM32" s="57" cm="1">
        <f t="array" aca="1" ref="CM32" ca="1">_xlfn.SWITCH(base,
"ILP1",0,($AF132&lt;500000000)*1
+($AF132&gt;=500000000)*($AF132&lt;1000000000)*2
+($AF132&gt;=1000000000)*3)
*tblBaseCF[[#This Row],[DeductFlag]]</f>
        <v>0</v>
      </c>
      <c r="CN32" s="2" t="str">
        <f ca="1">IF(tblBaseCF[[#This Row],[DeductFlag]],base&amp;"_"&amp;tblBaseCF[[#This Row],[SBCode]]&amp;"_"&amp;tblBaseCF[[#This Row],[Year]],"")</f>
        <v/>
      </c>
      <c r="CO32" s="3">
        <f ca="1">IFERROR(INDEX(tblSBRate[Index],MATCH(tblBaseCF[[#This Row],[SBIndex]],tblSBRate[Rate],0)),0)</f>
        <v>0</v>
      </c>
      <c r="CP32" s="63">
        <f ca="1">IFERROR(SUM(OFFSET(tblBaseCF[[#This Row],[TAVWithdrawal]],0,0,-sb_review_period,1)),0)
*(tblBaseCF[[#This Row],[SBRate]]&gt;0)</f>
        <v>0</v>
      </c>
      <c r="CQ32" s="63">
        <f ca="1">(tblBaseCF[[#This Row],[SBRate]]&gt;0)*(tblBaseCF[[#This Row],[SBTAVWithdrawal]]=0)</f>
        <v>0</v>
      </c>
      <c r="CR32" s="59" cm="1">
        <f t="array" aca="1" ref="CR32" ca="1">IF(tblBaseCF[[#This Row],[LBFlag]],
_xlfn.SWITCH(base,
"ILP1",0,tp),0)*tblBaseCF[[#This Row],[SBFlag]]</f>
        <v>0</v>
      </c>
      <c r="CS32" s="63">
        <f ca="1">tblBaseCF[[#This Row],[SBBasis]]*tblBaseCF[[#This Row],[SBRate]]</f>
        <v>0</v>
      </c>
      <c r="CT32" s="63">
        <f ca="1">tblBaseCF[[#This Row],[LB]]+tblBaseCF[[#This Row],[SB]]</f>
        <v>0</v>
      </c>
      <c r="CU32" s="59">
        <f ca="1">tblBaseCF[[#This Row],[TAVAfterWdrlAlloc]]-tblBaseCF[[#This Row],[TAVDeduct]]+tblBaseCF[[#This Row],[TAVInt]]+tblBaseCF[[#This Row],[Bonus]]</f>
        <v>0</v>
      </c>
      <c r="CV32" s="59">
        <f ca="1">tblBaseCF[[#This Row],[EAVAfterWdrlAlloc]]-tblBaseCF[[#This Row],[EAVDeduct]]+tblBaseCF[[#This Row],[EAVInt]]</f>
        <v>0</v>
      </c>
      <c r="CW32" s="63">
        <f ca="1">tblBaseCF[[#This Row],[EndTAV]]+tblBaseCF[[#This Row],[EndEAV]]</f>
        <v>0</v>
      </c>
      <c r="CX32" s="59">
        <f ca="1">INDEX(tblPlanPrem[TP],2)
*tblBaseCF[[#This Row],[TPTermFlag]]</f>
        <v>0</v>
      </c>
      <c r="CY32" s="59">
        <f ca="1">INDEX(tblPlanPrem[EP],2)
*tblBaseCF[[#This Row],[TPTermFlag]]</f>
        <v>0</v>
      </c>
      <c r="CZ32" s="63">
        <f ca="1">ROUNDUP(tblBaseCF[[#This Row],[UnroundedEMLoad]]*INDEX(tblPlanPrem[Factor],2),-3)</f>
        <v>0</v>
      </c>
      <c r="DA32" s="63">
        <f ca="1">ROUNDUP(tblBaseCF[[#This Row],[UnroundedPMLoad]]*INDEX(tblPlanPrem[Factor],2),-3)</f>
        <v>0</v>
      </c>
      <c r="DB32" s="63">
        <f ca="1">tblBaseCF[[#This Row],[SemiAnnualEMLoad]]+tblBaseCF[[#This Row],[SemiAnnualPMLoad]]</f>
        <v>0</v>
      </c>
      <c r="DC32" s="63">
        <f ca="1">tblBaseCF[[#This Row],[SemiAnnualTP]]+tblBaseCF[[#This Row],[SemiAnnualEP]]+tblBaseCF[[#This Row],[SemiAnnualLoad]]</f>
        <v>0</v>
      </c>
      <c r="DD32" s="59">
        <f ca="1">INDEX(tblPlanPrem[TP],3)
*tblBaseCF[[#This Row],[TPTermFlag]]</f>
        <v>0</v>
      </c>
      <c r="DE32" s="59">
        <f ca="1">INDEX(tblPlanPrem[EP],3)
*tblBaseCF[[#This Row],[TPTermFlag]]</f>
        <v>0</v>
      </c>
      <c r="DF32" s="63">
        <f ca="1">ROUNDUP(tblBaseCF[[#This Row],[UnroundedEMLoad]]*INDEX(tblPlanPrem[Factor],3),-3)</f>
        <v>0</v>
      </c>
      <c r="DG32" s="63">
        <f ca="1">ROUNDUP(tblBaseCF[[#This Row],[UnroundedPMLoad]]*INDEX(tblPlanPrem[Factor],3),-3)</f>
        <v>0</v>
      </c>
      <c r="DH32" s="60">
        <f ca="1">tblBaseCF[[#This Row],[QuarterlyEMLoad]]+tblBaseCF[[#This Row],[QuarterlyPMLoad]]</f>
        <v>0</v>
      </c>
      <c r="DI32" s="60">
        <f ca="1">tblBaseCF[[#This Row],[QuarterlyTP]]+tblBaseCF[[#This Row],[QuarterlyEP]]+tblBaseCF[[#This Row],[QuarterlyLoad]]</f>
        <v>0</v>
      </c>
      <c r="DJ32" s="59">
        <f ca="1">INDEX(tblPlanPrem[TP],4)
*tblBaseCF[[#This Row],[TPTermFlag]]</f>
        <v>0</v>
      </c>
      <c r="DK32" s="59">
        <f ca="1">INDEX(tblPlanPrem[EP],4)
*tblBaseCF[[#This Row],[TPTermFlag]]</f>
        <v>0</v>
      </c>
      <c r="DL32" s="63">
        <f ca="1">ROUNDUP(tblBaseCF[[#This Row],[UnroundedEMLoad]]*INDEX(tblPlanPrem[Factor],4),-3)</f>
        <v>0</v>
      </c>
      <c r="DM32" s="63">
        <f ca="1">ROUNDUP(tblBaseCF[[#This Row],[UnroundedPMLoad]]*INDEX(tblPlanPrem[Factor],4),-3)</f>
        <v>0</v>
      </c>
      <c r="DN32" s="60">
        <f ca="1">tblBaseCF[[#This Row],[MonthlyEMLoad]]+tblBaseCF[[#This Row],[MonthlyPMLoad]]</f>
        <v>0</v>
      </c>
      <c r="DO32" s="63">
        <f ca="1">tblBaseCF[[#This Row],[MonthlyTP]]+tblBaseCF[[#This Row],[MonthlyEP]]+tblBaseCF[[#This Row],[MonthlyLoad]]</f>
        <v>0</v>
      </c>
      <c r="DP32" s="3"/>
      <c r="DS32">
        <f t="shared" si="3"/>
        <v>0</v>
      </c>
      <c r="DT32">
        <f t="shared" si="4"/>
        <v>0</v>
      </c>
      <c r="DU32">
        <f t="shared" si="5"/>
        <v>0</v>
      </c>
      <c r="DV32">
        <f ca="1">tblBaseCF[[#This Row],[Year]]</f>
        <v>12</v>
      </c>
      <c r="DW32">
        <f ca="1">tblBaseCF[[#This Row],[Age]]</f>
        <v>11</v>
      </c>
      <c r="DX32">
        <f ca="1">tblBaseCF[[#This Row],[ContFlag]]</f>
        <v>0</v>
      </c>
      <c r="DY32" t="str">
        <f ca="1">tblBaseCF[[#This Row],[ContLog]]</f>
        <v>Insufficient PAV for deduction - Discontinue.</v>
      </c>
      <c r="DZ32">
        <f ca="1">tblBaseCF[[#This Row],[StartTAV]]</f>
        <v>0</v>
      </c>
      <c r="EA32">
        <f ca="1">tblBaseCF[[#This Row],[StartEAV]]</f>
        <v>0</v>
      </c>
      <c r="EB32">
        <f ca="1">tblBaseCF[[#This Row],[StartPAV]]</f>
        <v>0</v>
      </c>
      <c r="EC32">
        <f ca="1">tblBaseCF[[#This Row],[SVChrg]]</f>
        <v>0</v>
      </c>
      <c r="ED32">
        <f ca="1">tblBaseCF[[#This Row],[SV]]</f>
        <v>0</v>
      </c>
      <c r="EE32">
        <f ca="1">tblBaseCF[[#This Row],[Ben]]</f>
        <v>0</v>
      </c>
      <c r="EF32">
        <f ca="1">tblBaseCF[[#This Row],[AccBen]]</f>
        <v>0</v>
      </c>
      <c r="EG32">
        <f ca="1">tblBaseCF[[#This Row],[WithdrawalInput]]</f>
        <v>0</v>
      </c>
      <c r="EH32" t="str">
        <f ca="1">tblBaseCF[[#This Row],[WithdrawalLog]]</f>
        <v>No withdrawal.</v>
      </c>
      <c r="EI32">
        <f ca="1">tblBaseCF[[#This Row],[TAVWithdrawal]]</f>
        <v>0</v>
      </c>
      <c r="EJ32">
        <f ca="1">tblBaseCF[[#This Row],[EAVWithdrawal]]</f>
        <v>0</v>
      </c>
      <c r="EK32">
        <f ca="1">tblBaseCF[[#This Row],[Withdrawal]]</f>
        <v>0</v>
      </c>
      <c r="EL32">
        <f ca="1">tblBaseCF[[#This Row],[TP]]</f>
        <v>0</v>
      </c>
      <c r="EM32">
        <f ca="1">tblBaseCF[[#This Row],[TPAllocChrg]]</f>
        <v>0</v>
      </c>
      <c r="EN32">
        <f ca="1">tblBaseCF[[#This Row],[TPAlloc]]</f>
        <v>0</v>
      </c>
      <c r="EO32">
        <f ca="1">tblBaseCF[[#This Row],[EP]]</f>
        <v>0</v>
      </c>
      <c r="EP32">
        <f ca="1">tblBaseCF[[#This Row],[EPAllocChrg]]</f>
        <v>0</v>
      </c>
      <c r="EQ32">
        <f ca="1">tblBaseCF[[#This Row],[EPAlloc]]</f>
        <v>0</v>
      </c>
      <c r="ER32">
        <f ca="1">tblBaseCF[[#This Row],[EMLoad]]</f>
        <v>0</v>
      </c>
      <c r="ES32">
        <f ca="1">tblBaseCF[[#This Row],[PMLoad]]</f>
        <v>0</v>
      </c>
      <c r="ET32">
        <f ca="1">tblBaseCF[[#This Row],[Load]]</f>
        <v>0</v>
      </c>
      <c r="EU32">
        <f ca="1">tblBaseCF[[#This Row],[LoadAllocChrg]]</f>
        <v>0</v>
      </c>
      <c r="EV32">
        <f ca="1">tblBaseCF[[#This Row],[LoadAlloc]]</f>
        <v>0</v>
      </c>
      <c r="EW32">
        <f ca="1">tblBaseCF[[#This Row],[TotalPrem]]</f>
        <v>0</v>
      </c>
      <c r="EX32">
        <f ca="1">tblBaseCF[[#This Row],[AllocChrg]]</f>
        <v>0</v>
      </c>
      <c r="EY32">
        <f ca="1">tblBaseCF[[#This Row],[Alloc]]</f>
        <v>0</v>
      </c>
      <c r="EZ32">
        <f ca="1">tblBaseCF[[#This Row],[AccumTotalPrem]]</f>
        <v>0</v>
      </c>
      <c r="FA32">
        <f>tblBaseCF[[#This Row],[AnnualIntRate]]</f>
        <v>0</v>
      </c>
      <c r="FB32" s="50">
        <f>tblBaseCF[[#This Row],[Duean1m12]]</f>
        <v>1</v>
      </c>
      <c r="FC32">
        <f ca="1">tblBaseCF[[#This Row],[DeductFlag]]</f>
        <v>0</v>
      </c>
      <c r="FD32">
        <f ca="1">tblBaseCF[[#This Row],[AdminChrg]]</f>
        <v>0</v>
      </c>
      <c r="FE32">
        <f ca="1">tblBaseCF[[#This Row],[StandardCOI]]</f>
        <v>0</v>
      </c>
      <c r="FF32">
        <f ca="1">tblBaseCF[[#This Row],[EMLoadCOI]]</f>
        <v>0</v>
      </c>
      <c r="FG32">
        <f ca="1">tblBaseCF[[#This Row],[PMLoadCOI]]</f>
        <v>0</v>
      </c>
      <c r="FH32">
        <f ca="1">tblBaseCF[[#This Row],[COI]]</f>
        <v>0</v>
      </c>
      <c r="FI32" s="47">
        <f ca="1">tblBaseCF[[#This Row],[NomDeduct]]</f>
        <v>0</v>
      </c>
      <c r="FJ32">
        <f ca="1">tblBaseCF[[#This Row],[Deduct]]</f>
        <v>0</v>
      </c>
      <c r="FK32">
        <f ca="1">tblBaseCF[[#This Row],[TAVDeduct]]</f>
        <v>0</v>
      </c>
      <c r="FL32">
        <f ca="1">tblBaseCF[[#This Row],[EAVDeduct]]</f>
        <v>0</v>
      </c>
      <c r="FM32" s="24">
        <f ca="1">tblBaseCF[[#This Row],[TAVInt]]</f>
        <v>0</v>
      </c>
      <c r="FN32">
        <f ca="1">tblBaseCF[[#This Row],[EAVInt]]</f>
        <v>0</v>
      </c>
      <c r="FO32" s="47">
        <f ca="1">tblBaseCF[[#This Row],[LB]]</f>
        <v>0</v>
      </c>
      <c r="FP32">
        <f ca="1">tblBaseCF[[#This Row],[SB]]</f>
        <v>0</v>
      </c>
      <c r="FQ32">
        <f ca="1">tblBaseCF[[#This Row],[Bonus]]</f>
        <v>0</v>
      </c>
      <c r="FR32">
        <f ca="1">tblBaseCF[[#This Row],[EndTAV]]</f>
        <v>0</v>
      </c>
      <c r="FS32">
        <f ca="1">tblBaseCF[[#This Row],[EndEAV]]</f>
        <v>0</v>
      </c>
      <c r="FT32">
        <f ca="1">tblBaseCF[[#This Row],[EndPAV]]</f>
        <v>0</v>
      </c>
      <c r="FU32">
        <f ca="1">tblBaseCF[[#This Row],[SemiAnnualTP]]</f>
        <v>0</v>
      </c>
      <c r="FV32">
        <f ca="1">tblBaseCF[[#This Row],[SemiAnnualEP]]</f>
        <v>0</v>
      </c>
      <c r="FW32">
        <f ca="1">tblBaseCF[[#This Row],[SemiAnnualEMLoad]]</f>
        <v>0</v>
      </c>
      <c r="FX32">
        <f ca="1">tblBaseCF[[#This Row],[SemiAnnualPMLoad]]</f>
        <v>0</v>
      </c>
      <c r="FY32">
        <f ca="1">tblBaseCF[[#This Row],[SemiAnnualLoad]]</f>
        <v>0</v>
      </c>
      <c r="FZ32">
        <f ca="1">tblBaseCF[[#This Row],[SemiAnnualTotalPrem]]</f>
        <v>0</v>
      </c>
      <c r="GA32">
        <f ca="1">tblBaseCF[[#This Row],[QuarterlyTP]]</f>
        <v>0</v>
      </c>
      <c r="GB32">
        <f ca="1">tblBaseCF[[#This Row],[QuarterlyEP]]</f>
        <v>0</v>
      </c>
      <c r="GC32">
        <f ca="1">tblBaseCF[[#This Row],[QuarterlyEMLoad]]</f>
        <v>0</v>
      </c>
      <c r="GD32">
        <f ca="1">tblBaseCF[[#This Row],[QuarterlyPMLoad]]</f>
        <v>0</v>
      </c>
      <c r="GE32">
        <f ca="1">tblBaseCF[[#This Row],[QuarterlyLoad]]</f>
        <v>0</v>
      </c>
      <c r="GF32">
        <f ca="1">tblBaseCF[[#This Row],[QuarterlyTotalPrem]]</f>
        <v>0</v>
      </c>
      <c r="GG32">
        <f ca="1">tblBaseCF[[#This Row],[MonthlyTP]]</f>
        <v>0</v>
      </c>
      <c r="GH32">
        <f ca="1">tblBaseCF[[#This Row],[MonthlyEP]]</f>
        <v>0</v>
      </c>
      <c r="GI32">
        <f ca="1">tblBaseCF[[#This Row],[MonthlyEMLoad]]</f>
        <v>0</v>
      </c>
      <c r="GJ32">
        <f ca="1">tblBaseCF[[#This Row],[MonthlyPMLoad]]</f>
        <v>0</v>
      </c>
      <c r="GK32">
        <f ca="1">tblBaseCF[[#This Row],[MonthlyLoad]]</f>
        <v>0</v>
      </c>
      <c r="GL32">
        <f ca="1">tblBaseCF[[#This Row],[MonthlyTotalPrem]]</f>
        <v>0</v>
      </c>
      <c r="GO32" t="s">
        <v>134</v>
      </c>
      <c r="GP32" t="s">
        <v>135</v>
      </c>
      <c r="GQ32" t="s">
        <v>502</v>
      </c>
      <c r="GR32">
        <v>12</v>
      </c>
      <c r="GS32">
        <v>11</v>
      </c>
      <c r="GT32">
        <v>1</v>
      </c>
      <c r="GU32" t="s">
        <v>457</v>
      </c>
      <c r="GV32">
        <v>4891295.6374125704</v>
      </c>
      <c r="GW32">
        <v>81013463.135571703</v>
      </c>
      <c r="GX32">
        <v>85904758.772984296</v>
      </c>
      <c r="GY32">
        <v>0</v>
      </c>
      <c r="GZ32">
        <v>85904758.772984296</v>
      </c>
      <c r="HA32">
        <v>101000000</v>
      </c>
      <c r="HB32">
        <v>303000000</v>
      </c>
      <c r="HC32">
        <v>5000000</v>
      </c>
      <c r="HD32" t="s">
        <v>458</v>
      </c>
      <c r="HE32">
        <v>0</v>
      </c>
      <c r="HF32">
        <v>5000000</v>
      </c>
      <c r="HG32">
        <v>5000000</v>
      </c>
      <c r="HH32">
        <v>1072000</v>
      </c>
      <c r="HI32">
        <v>21440</v>
      </c>
      <c r="HJ32">
        <v>1050560</v>
      </c>
      <c r="HK32">
        <v>5200000</v>
      </c>
      <c r="HL32">
        <v>104000</v>
      </c>
      <c r="HM32">
        <v>5096000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6272000</v>
      </c>
      <c r="HT32">
        <v>125440</v>
      </c>
      <c r="HU32">
        <v>6146560</v>
      </c>
      <c r="HV32">
        <v>75264000</v>
      </c>
      <c r="HW32">
        <v>7.0000000000000007E-2</v>
      </c>
      <c r="HX32">
        <v>0.96964931039809399</v>
      </c>
      <c r="HY32">
        <v>1</v>
      </c>
      <c r="HZ32">
        <v>300000</v>
      </c>
      <c r="IA32">
        <v>10566.6688589115</v>
      </c>
      <c r="IB32">
        <v>0</v>
      </c>
      <c r="IC32">
        <v>0</v>
      </c>
      <c r="ID32">
        <v>283266.66885891103</v>
      </c>
      <c r="IE32">
        <v>583266.66885891103</v>
      </c>
      <c r="IF32">
        <v>565564.12323723699</v>
      </c>
      <c r="IG32">
        <v>565564.12323723699</v>
      </c>
      <c r="IH32">
        <v>0</v>
      </c>
      <c r="II32">
        <v>376340.405992274</v>
      </c>
      <c r="IJ32">
        <v>5677662.4194900198</v>
      </c>
      <c r="IK32">
        <v>192960</v>
      </c>
      <c r="IL32">
        <v>0</v>
      </c>
      <c r="IM32">
        <v>192960</v>
      </c>
      <c r="IN32">
        <v>5945591.92016761</v>
      </c>
      <c r="IO32">
        <v>86787125.555061802</v>
      </c>
      <c r="IP32">
        <v>92732717.475229397</v>
      </c>
      <c r="IQ32">
        <v>536000</v>
      </c>
      <c r="IR32">
        <v>2600000</v>
      </c>
      <c r="IS32">
        <v>0</v>
      </c>
      <c r="IT32">
        <v>0</v>
      </c>
      <c r="IU32">
        <v>0</v>
      </c>
      <c r="IV32">
        <v>3136000</v>
      </c>
      <c r="IW32">
        <v>268000</v>
      </c>
      <c r="IX32">
        <v>1300000</v>
      </c>
      <c r="IY32">
        <v>0</v>
      </c>
      <c r="IZ32">
        <v>0</v>
      </c>
      <c r="JA32">
        <v>0</v>
      </c>
      <c r="JB32">
        <v>1568000</v>
      </c>
      <c r="JC32">
        <v>90000</v>
      </c>
      <c r="JD32">
        <v>434000</v>
      </c>
      <c r="JE32">
        <v>0</v>
      </c>
      <c r="JF32">
        <v>0</v>
      </c>
      <c r="JG32">
        <v>0</v>
      </c>
      <c r="JH32">
        <v>524000</v>
      </c>
    </row>
    <row r="33" spans="2:268" customFormat="1" x14ac:dyDescent="0.25">
      <c r="B33" s="2">
        <f ca="1">OFFSET(tblBaseCF[[#This Row],[Year]],-1,0)+1</f>
        <v>13</v>
      </c>
      <c r="C33" s="2">
        <f ca="1">(tblBaseCF[[#This Row],[Year]]&lt;=term)*1</f>
        <v>1</v>
      </c>
      <c r="D33" s="57">
        <f ca="1">(YEAR(rcd)+tblBaseCF[[#This Row],[Year]]-1)
*tblBaseCF[[#This Row],[PolTermFlag]]</f>
        <v>2037</v>
      </c>
      <c r="E33" s="57">
        <f ca="1">(mainLI_entry_age+tblBaseCF[[#This Row],[Year]]-1)
*tblBaseCF[[#This Row],[PolTermFlag]]</f>
        <v>12</v>
      </c>
      <c r="F33" s="57">
        <f ca="1">IF(tblBaseCF[[#This Row],[Year]]=1,1,OFFSET(tblBaseCF[[#This Row],[DeductFlag]],-1,0))
*tblBaseCF[[#This Row],[PolTermFlag]]</f>
        <v>0</v>
      </c>
      <c r="G3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3" s="57">
        <f ca="1">(tblBaseCF[[#This Row],[Year]]&lt;=acc_ben_term)
*tblBaseCF[[#This Row],[ContFlag]]</f>
        <v>0</v>
      </c>
      <c r="I33" s="57">
        <f ca="1">(tblBaseCF[[#This Row],[Year]]&lt;=tp_term)
*tblBaseCF[[#This Row],[ContFlag]]</f>
        <v>0</v>
      </c>
      <c r="J33" s="57">
        <f ca="1">(tblBaseCF[[#This Row],[Year]]&lt;=ep_term)
*tblBaseCF[[#This Row],[ContFlag]]</f>
        <v>0</v>
      </c>
      <c r="K33" s="57">
        <f ca="1">(tblBaseCF[[#This Row],[Year]]&lt;=em_load_term)*1</f>
        <v>0</v>
      </c>
      <c r="L33" s="57">
        <f ca="1">(tblBaseCF[[#This Row],[Year]]&lt;=pm_load_term)*1</f>
        <v>0</v>
      </c>
      <c r="M33" s="59">
        <f ca="1">IF(tblBaseCF[[#This Row],[Year]]=1,si,OFFSET(tblBaseCF[[#This Row],[EndSI]],-1,0))
*tblBaseCF[[#This Row],[ContFlag]]</f>
        <v>0</v>
      </c>
      <c r="N33" s="59">
        <f ca="1">OFFSET(tblBaseCF[[#This Row],[EndTAV]],-1,0)
*tblBaseCF[[#This Row],[ContFlag]]</f>
        <v>0</v>
      </c>
      <c r="O33" s="59">
        <f ca="1">OFFSET(tblBaseCF[[#This Row],[EndEAV]],-1,0)
*tblBaseCF[[#This Row],[ContFlag]]</f>
        <v>0</v>
      </c>
      <c r="P33" s="60">
        <f ca="1">tblBaseCF[[#This Row],[StartEAV]]+tblBaseCF[[#This Row],[StartTAV]]</f>
        <v>0</v>
      </c>
      <c r="Q33" s="61">
        <f ca="1">IFERROR(INDEX(tblJuvenileLienRate[Rate],MATCH(tblBaseCF[[#This Row],[Age]],tblJuvenileLienRate[Age],0)),1)
*tblBaseCF[[#This Row],[ContFlag]]</f>
        <v>0</v>
      </c>
      <c r="R3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3" s="62">
        <f ca="1">tblBaseCF[[#This Row],[StartSI]]*acc_ben_coeff*tblBaseCF[[#This Row],[JuvenileLienRate]]
*tblBaseCF[[#This Row],[AccBenTermFlag]]</f>
        <v>0</v>
      </c>
      <c r="T33" s="61">
        <f ca="1">(IFERROR(INDEX(tblSurrChrgRate[Rate],MATCH(tblBaseCF[[#This Row],[Year]],tblSurrChrgRate[Year],0)),0)
*tblBaseCF[[#This Row],[ContFlag]])</f>
        <v>0</v>
      </c>
      <c r="U33" s="60">
        <f ca="1">tp*tblBaseCF[[#This Row],[SrrChrgRate]]</f>
        <v>0</v>
      </c>
      <c r="V33" s="63">
        <f ca="1">MAX(tblBaseCF[[#This Row],[StartTAV]]-tblBaseCF[[#This Row],[SVChrg]],0)+tblBaseCF[[#This Row],[StartEAV]]</f>
        <v>0</v>
      </c>
      <c r="W33" s="59">
        <f ca="1">IFERROR(INDEX(tblWithdrawal_Output[Amount],MATCH(tblBaseCF[[#This Row],[Year]],tblWithdrawal_Output[Year],0)),0)
*tblBaseCF[[#This Row],[ContFlag]]</f>
        <v>0</v>
      </c>
      <c r="X33" s="59" t="b">
        <f ca="1">tblBaseCF[[#This Row],[WithdrawalInput]]&gt;0</f>
        <v>0</v>
      </c>
      <c r="Y33" s="59" t="b">
        <f ca="1">AND(tblBaseCF[[#This Row],[1stCheckProceed]],tblBaseCF[[#This Row],[WithdrawalInput]]&lt;=tblBaseCF[[#This Row],[StartPAV]])</f>
        <v>0</v>
      </c>
      <c r="Z33" s="59" t="b">
        <f ca="1">AND(tblBaseCF[[#This Row],[2ndCheckAmount]],(tblBaseCF[[#This Row],[StartPAV]]-tblBaseCF[[#This Row],[WithdrawalInput]])&gt;=min_pav_after_withdrawal)</f>
        <v>0</v>
      </c>
      <c r="AA3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3" s="59" t="b">
        <f ca="1">AND(tblBaseCF[[#This Row],[3rdCheckPAV]],tblBaseCF[[#This Row],[endSITest]]&gt;=min_base_si)</f>
        <v>0</v>
      </c>
      <c r="AC33" s="60">
        <f ca="1">tblBaseCF[[#This Row],[WithdrawalInput]]*tblBaseCF[[#This Row],[4thCheckSI]]</f>
        <v>0</v>
      </c>
      <c r="AD33" s="60">
        <f ca="1">MIN(tblBaseCF[[#This Row],[Withdrawal]],tblBaseCF[[#This Row],[StartEAV]])</f>
        <v>0</v>
      </c>
      <c r="AE33" s="60">
        <f ca="1">tblBaseCF[[#This Row],[Withdrawal]]-tblBaseCF[[#This Row],[EAVWithdrawal]]</f>
        <v>0</v>
      </c>
      <c r="AF33" s="60">
        <f ca="1">IF(tblBaseCF[[#This Row],[4thCheckSI]],tblBaseCF[[#This Row],[endSITest]],tblBaseCF[[#This Row],[StartSI]])</f>
        <v>0</v>
      </c>
      <c r="AG3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3" s="65">
        <f ca="1">IFERROR(INDEX(tblTPAllocChrgRate[Rate],MATCH(tblBaseCF[[#This Row],[Year]],tblTPAllocChrgRate[Year],0)),0)</f>
        <v>0.02</v>
      </c>
      <c r="AI33" s="62">
        <f ca="1">(tp+big_case_bonus_tp*(tblBaseCF[[#This Row],[Year]]=1))
*tblBaseCF[[#This Row],[TPTermFlag]]</f>
        <v>0</v>
      </c>
      <c r="AJ33" s="63">
        <f ca="1">tblBaseCF[[#This Row],[TP]]*tblBaseCF[[#This Row],[TPAllocChrgRate]]</f>
        <v>0</v>
      </c>
      <c r="AK33" s="60">
        <f ca="1">tblBaseCF[[#This Row],[TP]]-tblBaseCF[[#This Row],[TPAllocChrg]]</f>
        <v>0</v>
      </c>
      <c r="AL33" s="65">
        <f ca="1">IFERROR(INDEX(tblEPAllocChrgRate[Rate],MATCH(tblBaseCF[[#This Row],[Year]],tblEPAllocChrgRate[Year],0)),0)</f>
        <v>0.02</v>
      </c>
      <c r="AM33" s="60">
        <f ca="1">ep*tblBaseCF[[#This Row],[EPTermFlag]]</f>
        <v>0</v>
      </c>
      <c r="AN33" s="60">
        <f ca="1">tblBaseCF[[#This Row],[EP]]*tblBaseCF[[#This Row],[EPAllocChrgRate]]</f>
        <v>0</v>
      </c>
      <c r="AO33" s="63">
        <f ca="1">tblBaseCF[[#This Row],[EP]]-tblBaseCF[[#This Row],[EPAllocChrg]]</f>
        <v>0</v>
      </c>
      <c r="AP33" s="62">
        <f ca="1">tblBaseCF[[#This Row],[Ben]]*extra_prem_rate*em_load/1000/(1-tblBaseCF[[#This Row],[EPAllocChrgRate]])
*tblBaseCF[[#This Row],[EMLoadTermFlag]]</f>
        <v>0</v>
      </c>
      <c r="AQ33" s="62">
        <f ca="1">tblBaseCF[[#This Row],[Ben]]*pm_load/1000/(1-tblBaseCF[[#This Row],[EPAllocChrgRate]])
*tblBaseCF[[#This Row],[PMLoadTermFlag]]</f>
        <v>0</v>
      </c>
      <c r="AR33" s="60">
        <f ca="1">ROUNDUP(tblBaseCF[[#This Row],[UnroundedEMLoad]],-3)</f>
        <v>0</v>
      </c>
      <c r="AS33" s="62">
        <f ca="1">ROUNDUP(tblBaseCF[[#This Row],[Ben]]*pm_load/1000/(1-tblBaseCF[[#This Row],[EPAllocChrgRate]]),-3)
*tblBaseCF[[#This Row],[PMLoadTermFlag]]</f>
        <v>0</v>
      </c>
      <c r="AT33" s="60">
        <f ca="1">tblBaseCF[[#This Row],[EMLoad]]+tblBaseCF[[#This Row],[PMLoad]]</f>
        <v>0</v>
      </c>
      <c r="AU33" s="60">
        <f ca="1">tblBaseCF[[#This Row],[Load]]*tblBaseCF[[#This Row],[EPAllocChrgRate]]</f>
        <v>0</v>
      </c>
      <c r="AV33" s="60">
        <f ca="1">tblBaseCF[[#This Row],[Load]]-tblBaseCF[[#This Row],[LoadAllocChrg]]</f>
        <v>0</v>
      </c>
      <c r="AW33" s="60">
        <f ca="1">tblBaseCF[[#This Row],[TP]]+tblBaseCF[[#This Row],[EP]]+tblBaseCF[[#This Row],[Load]]</f>
        <v>0</v>
      </c>
      <c r="AX33" s="60">
        <f ca="1">tblBaseCF[[#This Row],[TPAllocChrg]]+tblBaseCF[[#This Row],[EPAllocChrg]]+tblBaseCF[[#This Row],[LoadAllocChrg]]</f>
        <v>0</v>
      </c>
      <c r="AY33" s="60">
        <f ca="1">tblBaseCF[[#This Row],[TPAlloc]]+tblBaseCF[[#This Row],[EPAlloc]]+tblBaseCF[[#This Row],[LoadAlloc]]</f>
        <v>0</v>
      </c>
      <c r="AZ33" s="60">
        <f ca="1">(OFFSET(tblBaseCF[[#This Row],[AccumTotalPrem]],-1,0)+tblBaseCF[[#This Row],[TotalPrem]])*tblBaseCF[[#This Row],[TPTermFlag]]</f>
        <v>0</v>
      </c>
      <c r="BA33" s="62">
        <f ca="1">(tblBaseCF[[#This Row],[StartTAV]]-tblBaseCF[[#This Row],[TAVWithdrawal]]+tblBaseCF[[#This Row],[TPAlloc]])
*tblBaseCF[[#This Row],[ContFlag]]</f>
        <v>0</v>
      </c>
      <c r="BB33" s="59">
        <f ca="1">(tblBaseCF[[#This Row],[StartEAV]]-tblBaseCF[[#This Row],[EAVWithdrawal]]+tblBaseCF[[#This Row],[EPAlloc]]+tblBaseCF[[#This Row],[LoadAlloc]])
*tblBaseCF[[#This Row],[ContFlag]]</f>
        <v>0</v>
      </c>
      <c r="BC33" s="59">
        <f ca="1">tblBaseCF[[#This Row],[TAVAfterWdrlAlloc]]+tblBaseCF[[#This Row],[EAVAfterWdrlAlloc]]</f>
        <v>0</v>
      </c>
      <c r="BD33" s="66">
        <f t="shared" si="2"/>
        <v>0</v>
      </c>
      <c r="BE33" s="67">
        <f>(1+tblBaseCF[[#This Row],[AnnualIntRate]])^(1/12)-1</f>
        <v>0</v>
      </c>
      <c r="BF33" s="68">
        <f>IFERROR(((1+tblBaseCF[[#This Row],[MonthlyIntRate]])^12-1)/12/(1-1/(1+tblBaseCF[[#This Row],[MonthlyIntRate]])),1)/(1+tblBaseCF[[#This Row],[AnnualIntRate]])</f>
        <v>1</v>
      </c>
      <c r="BG33" s="69">
        <f>PV(tblBaseCF[[#This Row],[MonthlyIntRate]],12,-1/12,,1)</f>
        <v>1</v>
      </c>
      <c r="BH33" s="60">
        <f ca="1">MAX(IF(death_tpd_option="A",tblBaseCF[[#This Row],[Ben]]-tblBaseCF[[#This Row],[StartPAV]],tblBaseCF[[#This Row],[Ben]]),0)</f>
        <v>0</v>
      </c>
      <c r="BI33" s="70">
        <f ca="1">IFERROR(INDEX(tblBaseCOIRate[Rate],MATCH(tblBaseCF[[#This Row],[Age]],tblBaseCOIRate[Age],0)),0)</f>
        <v>7.3000000000000799E-4</v>
      </c>
      <c r="BJ33" s="60">
        <f ca="1">tblBaseCF[[#This Row],[SAR]]*tblBaseCF[[#This Row],[COIRate]]</f>
        <v>0</v>
      </c>
      <c r="BK33" s="62">
        <f ca="1">em_load*tblBaseCF[[#This Row],[pStandardCOI]]
*tblBaseCF[[#This Row],[EMLoadTermFlag]]</f>
        <v>0</v>
      </c>
      <c r="BL33" s="62">
        <f ca="1">pm_load/1000*tblBaseCF[[#This Row],[SAR]]
*tblBaseCF[[#This Row],[PMLoadTermFlag]]</f>
        <v>0</v>
      </c>
      <c r="BM33" s="60">
        <f ca="1">tblBaseCF[[#This Row],[AccBen]]*monthly_acc_coi*12</f>
        <v>0</v>
      </c>
      <c r="BN33" s="60">
        <f ca="1">tblBaseCF[[#This Row],[pStandardCOI]]+tblBaseCF[[#This Row],[pEMLoadCOI]]+tblBaseCF[[#This Row],[pPMLoadCOI]]+tblBaseCF[[#This Row],[pAccCOI]]</f>
        <v>0</v>
      </c>
      <c r="BO33" s="62">
        <f ca="1">IFERROR(INDEX(tblAdminChrg[Amount],MATCH(tblBaseCF[[#This Row],[CalYear]],tblAdminChrg[Cal_Year],0)),0)
*tblBaseCF[[#This Row],[ContFlag]]</f>
        <v>0</v>
      </c>
      <c r="BP33" s="60">
        <f ca="1">tblBaseCF[[#This Row],[pMonthlyAdminChrg]]*12</f>
        <v>0</v>
      </c>
      <c r="BQ33" s="60">
        <f ca="1">tblBaseCF[[#This Row],[pCOI]]+tblBaseCF[[#This Row],[pAdminChrg]]</f>
        <v>0</v>
      </c>
      <c r="BR33" s="60">
        <f ca="1">tblBaseCF[[#This Row],[pNomDeduct]]*tblBaseCF[[#This Row],[Duean1m12]]</f>
        <v>0</v>
      </c>
      <c r="BS33" s="57">
        <f ca="1">(tblBaseCF[[#This Row],[PAVAfterWdrlAlloc]]&gt;=tblBaseCF[[#This Row],[pNomDeduct]])
*tblBaseCF[[#This Row],[ContFlag]]</f>
        <v>0</v>
      </c>
      <c r="BT33" s="60">
        <f ca="1">tblBaseCF[[#This Row],[pStandardCOI]]*tblBaseCF[[#This Row],[DeductFlag]]</f>
        <v>0</v>
      </c>
      <c r="BU33" s="60">
        <f ca="1">tblBaseCF[[#This Row],[pEMLoadCOI]]*tblBaseCF[[#This Row],[DeductFlag]]</f>
        <v>0</v>
      </c>
      <c r="BV33" s="60">
        <f ca="1">tblBaseCF[[#This Row],[pPMLoadCOI]]*tblBaseCF[[#This Row],[DeductFlag]]</f>
        <v>0</v>
      </c>
      <c r="BW33" s="60">
        <f ca="1">tblBaseCF[[#This Row],[pAccCOI]]*tblBaseCF[[#This Row],[DeductFlag]]</f>
        <v>0</v>
      </c>
      <c r="BX33" s="60">
        <f ca="1">tblBaseCF[[#This Row],[pCOI]]*tblBaseCF[[#This Row],[DeductFlag]]</f>
        <v>0</v>
      </c>
      <c r="BY33" s="60">
        <f ca="1">tblBaseCF[[#This Row],[pMonthlyAdminChrg]]*tblBaseCF[[#This Row],[DeductFlag]]</f>
        <v>0</v>
      </c>
      <c r="BZ33" s="60">
        <f ca="1">tblBaseCF[[#This Row],[pAdminChrg]]*tblBaseCF[[#This Row],[DeductFlag]]</f>
        <v>0</v>
      </c>
      <c r="CA33" s="60">
        <f ca="1">tblBaseCF[[#This Row],[pNomDeduct]]*tblBaseCF[[#This Row],[DeductFlag]]</f>
        <v>0</v>
      </c>
      <c r="CB33" s="60">
        <f ca="1">tblBaseCF[[#This Row],[pDeduct]]*tblBaseCF[[#This Row],[DeductFlag]]</f>
        <v>0</v>
      </c>
      <c r="CC33" s="60">
        <f ca="1">MIN(tblBaseCF[[#This Row],[TAVAfterWdrlAlloc]],tblBaseCF[[#This Row],[Deduct]])</f>
        <v>0</v>
      </c>
      <c r="CD33" s="60">
        <f ca="1">tblBaseCF[[#This Row],[Deduct]]-tblBaseCF[[#This Row],[TAVDeduct]]</f>
        <v>0</v>
      </c>
      <c r="CE33" s="69">
        <f ca="1">(tblBaseCF[[#This Row],[TAVAfterWdrlAlloc]]-tblBaseCF[[#This Row],[TAVDeduct]])*tblBaseCF[[#This Row],[AnnualIntRate]]
*tblBaseCF[[#This Row],[DeductFlag]]</f>
        <v>0</v>
      </c>
      <c r="CF33" s="69">
        <f ca="1">(tblBaseCF[[#This Row],[EAVAfterWdrlAlloc]]-tblBaseCF[[#This Row],[EAVDeduct]])*tblBaseCF[[#This Row],[AnnualIntRate]]
*tblBaseCF[[#This Row],[DeductFlag]]</f>
        <v>0</v>
      </c>
      <c r="CG33" s="69">
        <f ca="1">tblBaseCF[[#This Row],[TAVInt]]+tblBaseCF[[#This Row],[EAVInt]]</f>
        <v>0</v>
      </c>
      <c r="CH33" s="62">
        <f ca="1">IFERROR(INDEX(tblLBRate[Rate],MATCH(tblBaseCF[[#This Row],[Year]],tblLBRate[Year],0)),0)
*tblBaseCF[[#This Row],[DeductFlag]]</f>
        <v>0</v>
      </c>
      <c r="CI33" s="60">
        <f ca="1">IFERROR(SUM(OFFSET(tblBaseCF[[#This Row],[TAVWithdrawal]],0,0,-lb_review_period,1)),0)
*(tblBaseCF[[#This Row],[LBRate]]&gt;0)</f>
        <v>0</v>
      </c>
      <c r="CJ33" s="60">
        <f ca="1">(tblBaseCF[[#This Row],[LBRate]]&gt;0)*(tblBaseCF[[#This Row],[LBTAVWithdrawal]]=0)</f>
        <v>0</v>
      </c>
      <c r="CK33" s="62" cm="1">
        <f t="array" aca="1" ref="CK33" ca="1">IF(tblBaseCF[[#This Row],[LBFlag]],
_xlfn.SWITCH(base,
"ILP1",AVERAGE(OFFSET(tblBaseCF[TP],0,0,-lb_review_period,1)),tp),0)
*tblBaseCF[[#This Row],[LBFlag]]</f>
        <v>0</v>
      </c>
      <c r="CL33" s="62">
        <f ca="1">tblBaseCF[[#This Row],[LBBasis]]*tblBaseCF[[#This Row],[LBRate]]</f>
        <v>0</v>
      </c>
      <c r="CM33" s="57" cm="1">
        <f t="array" aca="1" ref="CM33" ca="1">_xlfn.SWITCH(base,
"ILP1",0,($AF133&lt;500000000)*1
+($AF133&gt;=500000000)*($AF133&lt;1000000000)*2
+($AF133&gt;=1000000000)*3)
*tblBaseCF[[#This Row],[DeductFlag]]</f>
        <v>0</v>
      </c>
      <c r="CN33" s="2" t="str">
        <f ca="1">IF(tblBaseCF[[#This Row],[DeductFlag]],base&amp;"_"&amp;tblBaseCF[[#This Row],[SBCode]]&amp;"_"&amp;tblBaseCF[[#This Row],[Year]],"")</f>
        <v/>
      </c>
      <c r="CO33" s="3">
        <f ca="1">IFERROR(INDEX(tblSBRate[Index],MATCH(tblBaseCF[[#This Row],[SBIndex]],tblSBRate[Rate],0)),0)</f>
        <v>0</v>
      </c>
      <c r="CP33" s="63">
        <f ca="1">IFERROR(SUM(OFFSET(tblBaseCF[[#This Row],[TAVWithdrawal]],0,0,-sb_review_period,1)),0)
*(tblBaseCF[[#This Row],[SBRate]]&gt;0)</f>
        <v>0</v>
      </c>
      <c r="CQ33" s="63">
        <f ca="1">(tblBaseCF[[#This Row],[SBRate]]&gt;0)*(tblBaseCF[[#This Row],[SBTAVWithdrawal]]=0)</f>
        <v>0</v>
      </c>
      <c r="CR33" s="59" cm="1">
        <f t="array" aca="1" ref="CR33" ca="1">IF(tblBaseCF[[#This Row],[LBFlag]],
_xlfn.SWITCH(base,
"ILP1",0,tp),0)*tblBaseCF[[#This Row],[SBFlag]]</f>
        <v>0</v>
      </c>
      <c r="CS33" s="63">
        <f ca="1">tblBaseCF[[#This Row],[SBBasis]]*tblBaseCF[[#This Row],[SBRate]]</f>
        <v>0</v>
      </c>
      <c r="CT33" s="63">
        <f ca="1">tblBaseCF[[#This Row],[LB]]+tblBaseCF[[#This Row],[SB]]</f>
        <v>0</v>
      </c>
      <c r="CU33" s="59">
        <f ca="1">tblBaseCF[[#This Row],[TAVAfterWdrlAlloc]]-tblBaseCF[[#This Row],[TAVDeduct]]+tblBaseCF[[#This Row],[TAVInt]]+tblBaseCF[[#This Row],[Bonus]]</f>
        <v>0</v>
      </c>
      <c r="CV33" s="59">
        <f ca="1">tblBaseCF[[#This Row],[EAVAfterWdrlAlloc]]-tblBaseCF[[#This Row],[EAVDeduct]]+tblBaseCF[[#This Row],[EAVInt]]</f>
        <v>0</v>
      </c>
      <c r="CW33" s="63">
        <f ca="1">tblBaseCF[[#This Row],[EndTAV]]+tblBaseCF[[#This Row],[EndEAV]]</f>
        <v>0</v>
      </c>
      <c r="CX33" s="59">
        <f ca="1">INDEX(tblPlanPrem[TP],2)
*tblBaseCF[[#This Row],[TPTermFlag]]</f>
        <v>0</v>
      </c>
      <c r="CY33" s="59">
        <f ca="1">INDEX(tblPlanPrem[EP],2)
*tblBaseCF[[#This Row],[TPTermFlag]]</f>
        <v>0</v>
      </c>
      <c r="CZ33" s="63">
        <f ca="1">ROUNDUP(tblBaseCF[[#This Row],[UnroundedEMLoad]]*INDEX(tblPlanPrem[Factor],2),-3)</f>
        <v>0</v>
      </c>
      <c r="DA33" s="63">
        <f ca="1">ROUNDUP(tblBaseCF[[#This Row],[UnroundedPMLoad]]*INDEX(tblPlanPrem[Factor],2),-3)</f>
        <v>0</v>
      </c>
      <c r="DB33" s="63">
        <f ca="1">tblBaseCF[[#This Row],[SemiAnnualEMLoad]]+tblBaseCF[[#This Row],[SemiAnnualPMLoad]]</f>
        <v>0</v>
      </c>
      <c r="DC33" s="63">
        <f ca="1">tblBaseCF[[#This Row],[SemiAnnualTP]]+tblBaseCF[[#This Row],[SemiAnnualEP]]+tblBaseCF[[#This Row],[SemiAnnualLoad]]</f>
        <v>0</v>
      </c>
      <c r="DD33" s="59">
        <f ca="1">INDEX(tblPlanPrem[TP],3)
*tblBaseCF[[#This Row],[TPTermFlag]]</f>
        <v>0</v>
      </c>
      <c r="DE33" s="59">
        <f ca="1">INDEX(tblPlanPrem[EP],3)
*tblBaseCF[[#This Row],[TPTermFlag]]</f>
        <v>0</v>
      </c>
      <c r="DF33" s="63">
        <f ca="1">ROUNDUP(tblBaseCF[[#This Row],[UnroundedEMLoad]]*INDEX(tblPlanPrem[Factor],3),-3)</f>
        <v>0</v>
      </c>
      <c r="DG33" s="63">
        <f ca="1">ROUNDUP(tblBaseCF[[#This Row],[UnroundedPMLoad]]*INDEX(tblPlanPrem[Factor],3),-3)</f>
        <v>0</v>
      </c>
      <c r="DH33" s="60">
        <f ca="1">tblBaseCF[[#This Row],[QuarterlyEMLoad]]+tblBaseCF[[#This Row],[QuarterlyPMLoad]]</f>
        <v>0</v>
      </c>
      <c r="DI33" s="60">
        <f ca="1">tblBaseCF[[#This Row],[QuarterlyTP]]+tblBaseCF[[#This Row],[QuarterlyEP]]+tblBaseCF[[#This Row],[QuarterlyLoad]]</f>
        <v>0</v>
      </c>
      <c r="DJ33" s="59">
        <f ca="1">INDEX(tblPlanPrem[TP],4)
*tblBaseCF[[#This Row],[TPTermFlag]]</f>
        <v>0</v>
      </c>
      <c r="DK33" s="59">
        <f ca="1">INDEX(tblPlanPrem[EP],4)
*tblBaseCF[[#This Row],[TPTermFlag]]</f>
        <v>0</v>
      </c>
      <c r="DL33" s="63">
        <f ca="1">ROUNDUP(tblBaseCF[[#This Row],[UnroundedEMLoad]]*INDEX(tblPlanPrem[Factor],4),-3)</f>
        <v>0</v>
      </c>
      <c r="DM33" s="63">
        <f ca="1">ROUNDUP(tblBaseCF[[#This Row],[UnroundedPMLoad]]*INDEX(tblPlanPrem[Factor],4),-3)</f>
        <v>0</v>
      </c>
      <c r="DN33" s="60">
        <f ca="1">tblBaseCF[[#This Row],[MonthlyEMLoad]]+tblBaseCF[[#This Row],[MonthlyPMLoad]]</f>
        <v>0</v>
      </c>
      <c r="DO33" s="63">
        <f ca="1">tblBaseCF[[#This Row],[MonthlyTP]]+tblBaseCF[[#This Row],[MonthlyEP]]+tblBaseCF[[#This Row],[MonthlyLoad]]</f>
        <v>0</v>
      </c>
      <c r="DP33" s="3"/>
      <c r="DS33">
        <f t="shared" si="3"/>
        <v>0</v>
      </c>
      <c r="DT33">
        <f t="shared" si="4"/>
        <v>0</v>
      </c>
      <c r="DU33">
        <f t="shared" si="5"/>
        <v>0</v>
      </c>
      <c r="DV33">
        <f ca="1">tblBaseCF[[#This Row],[Year]]</f>
        <v>13</v>
      </c>
      <c r="DW33">
        <f ca="1">tblBaseCF[[#This Row],[Age]]</f>
        <v>12</v>
      </c>
      <c r="DX33">
        <f ca="1">tblBaseCF[[#This Row],[ContFlag]]</f>
        <v>0</v>
      </c>
      <c r="DY33" t="str">
        <f ca="1">tblBaseCF[[#This Row],[ContLog]]</f>
        <v>Insufficient PAV for deduction - Discontinue.</v>
      </c>
      <c r="DZ33">
        <f ca="1">tblBaseCF[[#This Row],[StartTAV]]</f>
        <v>0</v>
      </c>
      <c r="EA33">
        <f ca="1">tblBaseCF[[#This Row],[StartEAV]]</f>
        <v>0</v>
      </c>
      <c r="EB33">
        <f ca="1">tblBaseCF[[#This Row],[StartPAV]]</f>
        <v>0</v>
      </c>
      <c r="EC33">
        <f ca="1">tblBaseCF[[#This Row],[SVChrg]]</f>
        <v>0</v>
      </c>
      <c r="ED33">
        <f ca="1">tblBaseCF[[#This Row],[SV]]</f>
        <v>0</v>
      </c>
      <c r="EE33">
        <f ca="1">tblBaseCF[[#This Row],[Ben]]</f>
        <v>0</v>
      </c>
      <c r="EF33">
        <f ca="1">tblBaseCF[[#This Row],[AccBen]]</f>
        <v>0</v>
      </c>
      <c r="EG33">
        <f ca="1">tblBaseCF[[#This Row],[WithdrawalInput]]</f>
        <v>0</v>
      </c>
      <c r="EH33" t="str">
        <f ca="1">tblBaseCF[[#This Row],[WithdrawalLog]]</f>
        <v>No withdrawal.</v>
      </c>
      <c r="EI33">
        <f ca="1">tblBaseCF[[#This Row],[TAVWithdrawal]]</f>
        <v>0</v>
      </c>
      <c r="EJ33">
        <f ca="1">tblBaseCF[[#This Row],[EAVWithdrawal]]</f>
        <v>0</v>
      </c>
      <c r="EK33">
        <f ca="1">tblBaseCF[[#This Row],[Withdrawal]]</f>
        <v>0</v>
      </c>
      <c r="EL33">
        <f ca="1">tblBaseCF[[#This Row],[TP]]</f>
        <v>0</v>
      </c>
      <c r="EM33">
        <f ca="1">tblBaseCF[[#This Row],[TPAllocChrg]]</f>
        <v>0</v>
      </c>
      <c r="EN33">
        <f ca="1">tblBaseCF[[#This Row],[TPAlloc]]</f>
        <v>0</v>
      </c>
      <c r="EO33">
        <f ca="1">tblBaseCF[[#This Row],[EP]]</f>
        <v>0</v>
      </c>
      <c r="EP33">
        <f ca="1">tblBaseCF[[#This Row],[EPAllocChrg]]</f>
        <v>0</v>
      </c>
      <c r="EQ33">
        <f ca="1">tblBaseCF[[#This Row],[EPAlloc]]</f>
        <v>0</v>
      </c>
      <c r="ER33">
        <f ca="1">tblBaseCF[[#This Row],[EMLoad]]</f>
        <v>0</v>
      </c>
      <c r="ES33">
        <f ca="1">tblBaseCF[[#This Row],[PMLoad]]</f>
        <v>0</v>
      </c>
      <c r="ET33">
        <f ca="1">tblBaseCF[[#This Row],[Load]]</f>
        <v>0</v>
      </c>
      <c r="EU33">
        <f ca="1">tblBaseCF[[#This Row],[LoadAllocChrg]]</f>
        <v>0</v>
      </c>
      <c r="EV33">
        <f ca="1">tblBaseCF[[#This Row],[LoadAlloc]]</f>
        <v>0</v>
      </c>
      <c r="EW33">
        <f ca="1">tblBaseCF[[#This Row],[TotalPrem]]</f>
        <v>0</v>
      </c>
      <c r="EX33">
        <f ca="1">tblBaseCF[[#This Row],[AllocChrg]]</f>
        <v>0</v>
      </c>
      <c r="EY33">
        <f ca="1">tblBaseCF[[#This Row],[Alloc]]</f>
        <v>0</v>
      </c>
      <c r="EZ33">
        <f ca="1">tblBaseCF[[#This Row],[AccumTotalPrem]]</f>
        <v>0</v>
      </c>
      <c r="FA33">
        <f>tblBaseCF[[#This Row],[AnnualIntRate]]</f>
        <v>0</v>
      </c>
      <c r="FB33" s="50">
        <f>tblBaseCF[[#This Row],[Duean1m12]]</f>
        <v>1</v>
      </c>
      <c r="FC33">
        <f ca="1">tblBaseCF[[#This Row],[DeductFlag]]</f>
        <v>0</v>
      </c>
      <c r="FD33">
        <f ca="1">tblBaseCF[[#This Row],[AdminChrg]]</f>
        <v>0</v>
      </c>
      <c r="FE33">
        <f ca="1">tblBaseCF[[#This Row],[StandardCOI]]</f>
        <v>0</v>
      </c>
      <c r="FF33">
        <f ca="1">tblBaseCF[[#This Row],[EMLoadCOI]]</f>
        <v>0</v>
      </c>
      <c r="FG33">
        <f ca="1">tblBaseCF[[#This Row],[PMLoadCOI]]</f>
        <v>0</v>
      </c>
      <c r="FH33">
        <f ca="1">tblBaseCF[[#This Row],[COI]]</f>
        <v>0</v>
      </c>
      <c r="FI33" s="47">
        <f ca="1">tblBaseCF[[#This Row],[NomDeduct]]</f>
        <v>0</v>
      </c>
      <c r="FJ33">
        <f ca="1">tblBaseCF[[#This Row],[Deduct]]</f>
        <v>0</v>
      </c>
      <c r="FK33">
        <f ca="1">tblBaseCF[[#This Row],[TAVDeduct]]</f>
        <v>0</v>
      </c>
      <c r="FL33">
        <f ca="1">tblBaseCF[[#This Row],[EAVDeduct]]</f>
        <v>0</v>
      </c>
      <c r="FM33" s="24">
        <f ca="1">tblBaseCF[[#This Row],[TAVInt]]</f>
        <v>0</v>
      </c>
      <c r="FN33">
        <f ca="1">tblBaseCF[[#This Row],[EAVInt]]</f>
        <v>0</v>
      </c>
      <c r="FO33" s="47">
        <f ca="1">tblBaseCF[[#This Row],[LB]]</f>
        <v>0</v>
      </c>
      <c r="FP33">
        <f ca="1">tblBaseCF[[#This Row],[SB]]</f>
        <v>0</v>
      </c>
      <c r="FQ33">
        <f ca="1">tblBaseCF[[#This Row],[Bonus]]</f>
        <v>0</v>
      </c>
      <c r="FR33">
        <f ca="1">tblBaseCF[[#This Row],[EndTAV]]</f>
        <v>0</v>
      </c>
      <c r="FS33">
        <f ca="1">tblBaseCF[[#This Row],[EndEAV]]</f>
        <v>0</v>
      </c>
      <c r="FT33">
        <f ca="1">tblBaseCF[[#This Row],[EndPAV]]</f>
        <v>0</v>
      </c>
      <c r="FU33">
        <f ca="1">tblBaseCF[[#This Row],[SemiAnnualTP]]</f>
        <v>0</v>
      </c>
      <c r="FV33">
        <f ca="1">tblBaseCF[[#This Row],[SemiAnnualEP]]</f>
        <v>0</v>
      </c>
      <c r="FW33">
        <f ca="1">tblBaseCF[[#This Row],[SemiAnnualEMLoad]]</f>
        <v>0</v>
      </c>
      <c r="FX33">
        <f ca="1">tblBaseCF[[#This Row],[SemiAnnualPMLoad]]</f>
        <v>0</v>
      </c>
      <c r="FY33">
        <f ca="1">tblBaseCF[[#This Row],[SemiAnnualLoad]]</f>
        <v>0</v>
      </c>
      <c r="FZ33">
        <f ca="1">tblBaseCF[[#This Row],[SemiAnnualTotalPrem]]</f>
        <v>0</v>
      </c>
      <c r="GA33">
        <f ca="1">tblBaseCF[[#This Row],[QuarterlyTP]]</f>
        <v>0</v>
      </c>
      <c r="GB33">
        <f ca="1">tblBaseCF[[#This Row],[QuarterlyEP]]</f>
        <v>0</v>
      </c>
      <c r="GC33">
        <f ca="1">tblBaseCF[[#This Row],[QuarterlyEMLoad]]</f>
        <v>0</v>
      </c>
      <c r="GD33">
        <f ca="1">tblBaseCF[[#This Row],[QuarterlyPMLoad]]</f>
        <v>0</v>
      </c>
      <c r="GE33">
        <f ca="1">tblBaseCF[[#This Row],[QuarterlyLoad]]</f>
        <v>0</v>
      </c>
      <c r="GF33">
        <f ca="1">tblBaseCF[[#This Row],[QuarterlyTotalPrem]]</f>
        <v>0</v>
      </c>
      <c r="GG33">
        <f ca="1">tblBaseCF[[#This Row],[MonthlyTP]]</f>
        <v>0</v>
      </c>
      <c r="GH33">
        <f ca="1">tblBaseCF[[#This Row],[MonthlyEP]]</f>
        <v>0</v>
      </c>
      <c r="GI33">
        <f ca="1">tblBaseCF[[#This Row],[MonthlyEMLoad]]</f>
        <v>0</v>
      </c>
      <c r="GJ33">
        <f ca="1">tblBaseCF[[#This Row],[MonthlyPMLoad]]</f>
        <v>0</v>
      </c>
      <c r="GK33">
        <f ca="1">tblBaseCF[[#This Row],[MonthlyLoad]]</f>
        <v>0</v>
      </c>
      <c r="GL33">
        <f ca="1">tblBaseCF[[#This Row],[MonthlyTotalPrem]]</f>
        <v>0</v>
      </c>
      <c r="GO33" t="s">
        <v>134</v>
      </c>
      <c r="GP33" t="s">
        <v>135</v>
      </c>
      <c r="GQ33" t="s">
        <v>502</v>
      </c>
      <c r="GR33">
        <v>13</v>
      </c>
      <c r="GS33">
        <v>12</v>
      </c>
      <c r="GT33">
        <v>1</v>
      </c>
      <c r="GU33" t="s">
        <v>457</v>
      </c>
      <c r="GV33">
        <v>5945591.92016761</v>
      </c>
      <c r="GW33">
        <v>86787125.555061802</v>
      </c>
      <c r="GX33">
        <v>92732717.475229397</v>
      </c>
      <c r="GY33">
        <v>0</v>
      </c>
      <c r="GZ33">
        <v>92732717.475229397</v>
      </c>
      <c r="HA33">
        <v>101000000</v>
      </c>
      <c r="HB33">
        <v>303000000</v>
      </c>
      <c r="HC33">
        <v>5000000</v>
      </c>
      <c r="HD33" t="s">
        <v>458</v>
      </c>
      <c r="HE33">
        <v>0</v>
      </c>
      <c r="HF33">
        <v>5000000</v>
      </c>
      <c r="HG33">
        <v>5000000</v>
      </c>
      <c r="HH33">
        <v>1072000</v>
      </c>
      <c r="HI33">
        <v>21440</v>
      </c>
      <c r="HJ33">
        <v>1050560</v>
      </c>
      <c r="HK33">
        <v>5200000</v>
      </c>
      <c r="HL33">
        <v>104000</v>
      </c>
      <c r="HM33">
        <v>5096000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6272000</v>
      </c>
      <c r="HT33">
        <v>125440</v>
      </c>
      <c r="HU33">
        <v>6146560</v>
      </c>
      <c r="HV33">
        <v>81536000</v>
      </c>
      <c r="HW33">
        <v>7.0000000000000007E-2</v>
      </c>
      <c r="HX33">
        <v>0.96964931039809399</v>
      </c>
      <c r="HY33">
        <v>1</v>
      </c>
      <c r="HZ33">
        <v>300000</v>
      </c>
      <c r="IA33">
        <v>6035.1162430826198</v>
      </c>
      <c r="IB33">
        <v>0</v>
      </c>
      <c r="IC33">
        <v>0</v>
      </c>
      <c r="ID33">
        <v>278735.11624308297</v>
      </c>
      <c r="IE33">
        <v>578735.11624308303</v>
      </c>
      <c r="IF33">
        <v>561170.10636826605</v>
      </c>
      <c r="IG33">
        <v>561170.10636826605</v>
      </c>
      <c r="IH33">
        <v>0</v>
      </c>
      <c r="II33">
        <v>450448.726965954</v>
      </c>
      <c r="IJ33">
        <v>6081818.7888543196</v>
      </c>
      <c r="IK33">
        <v>0</v>
      </c>
      <c r="IL33">
        <v>0</v>
      </c>
      <c r="IM33">
        <v>0</v>
      </c>
      <c r="IN33">
        <v>6885430.5407653004</v>
      </c>
      <c r="IO33">
        <v>92964944.343916103</v>
      </c>
      <c r="IP33">
        <v>99850374.884681404</v>
      </c>
      <c r="IQ33">
        <v>536000</v>
      </c>
      <c r="IR33">
        <v>2600000</v>
      </c>
      <c r="IS33">
        <v>0</v>
      </c>
      <c r="IT33">
        <v>0</v>
      </c>
      <c r="IU33">
        <v>0</v>
      </c>
      <c r="IV33">
        <v>3136000</v>
      </c>
      <c r="IW33">
        <v>268000</v>
      </c>
      <c r="IX33">
        <v>1300000</v>
      </c>
      <c r="IY33">
        <v>0</v>
      </c>
      <c r="IZ33">
        <v>0</v>
      </c>
      <c r="JA33">
        <v>0</v>
      </c>
      <c r="JB33">
        <v>1568000</v>
      </c>
      <c r="JC33">
        <v>90000</v>
      </c>
      <c r="JD33">
        <v>434000</v>
      </c>
      <c r="JE33">
        <v>0</v>
      </c>
      <c r="JF33">
        <v>0</v>
      </c>
      <c r="JG33">
        <v>0</v>
      </c>
      <c r="JH33">
        <v>524000</v>
      </c>
    </row>
    <row r="34" spans="2:268" customFormat="1" x14ac:dyDescent="0.25">
      <c r="B34" s="2">
        <f ca="1">OFFSET(tblBaseCF[[#This Row],[Year]],-1,0)+1</f>
        <v>14</v>
      </c>
      <c r="C34" s="2">
        <f ca="1">(tblBaseCF[[#This Row],[Year]]&lt;=term)*1</f>
        <v>1</v>
      </c>
      <c r="D34" s="57">
        <f ca="1">(YEAR(rcd)+tblBaseCF[[#This Row],[Year]]-1)
*tblBaseCF[[#This Row],[PolTermFlag]]</f>
        <v>2038</v>
      </c>
      <c r="E34" s="57">
        <f ca="1">(mainLI_entry_age+tblBaseCF[[#This Row],[Year]]-1)
*tblBaseCF[[#This Row],[PolTermFlag]]</f>
        <v>13</v>
      </c>
      <c r="F34" s="57">
        <f ca="1">IF(tblBaseCF[[#This Row],[Year]]=1,1,OFFSET(tblBaseCF[[#This Row],[DeductFlag]],-1,0))
*tblBaseCF[[#This Row],[PolTermFlag]]</f>
        <v>0</v>
      </c>
      <c r="G3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4" s="57">
        <f ca="1">(tblBaseCF[[#This Row],[Year]]&lt;=acc_ben_term)
*tblBaseCF[[#This Row],[ContFlag]]</f>
        <v>0</v>
      </c>
      <c r="I34" s="57">
        <f ca="1">(tblBaseCF[[#This Row],[Year]]&lt;=tp_term)
*tblBaseCF[[#This Row],[ContFlag]]</f>
        <v>0</v>
      </c>
      <c r="J34" s="57">
        <f ca="1">(tblBaseCF[[#This Row],[Year]]&lt;=ep_term)
*tblBaseCF[[#This Row],[ContFlag]]</f>
        <v>0</v>
      </c>
      <c r="K34" s="57">
        <f ca="1">(tblBaseCF[[#This Row],[Year]]&lt;=em_load_term)*1</f>
        <v>0</v>
      </c>
      <c r="L34" s="57">
        <f ca="1">(tblBaseCF[[#This Row],[Year]]&lt;=pm_load_term)*1</f>
        <v>0</v>
      </c>
      <c r="M34" s="59">
        <f ca="1">IF(tblBaseCF[[#This Row],[Year]]=1,si,OFFSET(tblBaseCF[[#This Row],[EndSI]],-1,0))
*tblBaseCF[[#This Row],[ContFlag]]</f>
        <v>0</v>
      </c>
      <c r="N34" s="59">
        <f ca="1">OFFSET(tblBaseCF[[#This Row],[EndTAV]],-1,0)
*tblBaseCF[[#This Row],[ContFlag]]</f>
        <v>0</v>
      </c>
      <c r="O34" s="59">
        <f ca="1">OFFSET(tblBaseCF[[#This Row],[EndEAV]],-1,0)
*tblBaseCF[[#This Row],[ContFlag]]</f>
        <v>0</v>
      </c>
      <c r="P34" s="60">
        <f ca="1">tblBaseCF[[#This Row],[StartEAV]]+tblBaseCF[[#This Row],[StartTAV]]</f>
        <v>0</v>
      </c>
      <c r="Q34" s="61">
        <f ca="1">IFERROR(INDEX(tblJuvenileLienRate[Rate],MATCH(tblBaseCF[[#This Row],[Age]],tblJuvenileLienRate[Age],0)),1)
*tblBaseCF[[#This Row],[ContFlag]]</f>
        <v>0</v>
      </c>
      <c r="R3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4" s="62">
        <f ca="1">tblBaseCF[[#This Row],[StartSI]]*acc_ben_coeff*tblBaseCF[[#This Row],[JuvenileLienRate]]
*tblBaseCF[[#This Row],[AccBenTermFlag]]</f>
        <v>0</v>
      </c>
      <c r="T34" s="61">
        <f ca="1">(IFERROR(INDEX(tblSurrChrgRate[Rate],MATCH(tblBaseCF[[#This Row],[Year]],tblSurrChrgRate[Year],0)),0)
*tblBaseCF[[#This Row],[ContFlag]])</f>
        <v>0</v>
      </c>
      <c r="U34" s="60">
        <f ca="1">tp*tblBaseCF[[#This Row],[SrrChrgRate]]</f>
        <v>0</v>
      </c>
      <c r="V34" s="63">
        <f ca="1">MAX(tblBaseCF[[#This Row],[StartTAV]]-tblBaseCF[[#This Row],[SVChrg]],0)+tblBaseCF[[#This Row],[StartEAV]]</f>
        <v>0</v>
      </c>
      <c r="W34" s="59">
        <f ca="1">IFERROR(INDEX(tblWithdrawal_Output[Amount],MATCH(tblBaseCF[[#This Row],[Year]],tblWithdrawal_Output[Year],0)),0)
*tblBaseCF[[#This Row],[ContFlag]]</f>
        <v>0</v>
      </c>
      <c r="X34" s="59" t="b">
        <f ca="1">tblBaseCF[[#This Row],[WithdrawalInput]]&gt;0</f>
        <v>0</v>
      </c>
      <c r="Y34" s="59" t="b">
        <f ca="1">AND(tblBaseCF[[#This Row],[1stCheckProceed]],tblBaseCF[[#This Row],[WithdrawalInput]]&lt;=tblBaseCF[[#This Row],[StartPAV]])</f>
        <v>0</v>
      </c>
      <c r="Z34" s="59" t="b">
        <f ca="1">AND(tblBaseCF[[#This Row],[2ndCheckAmount]],(tblBaseCF[[#This Row],[StartPAV]]-tblBaseCF[[#This Row],[WithdrawalInput]])&gt;=min_pav_after_withdrawal)</f>
        <v>0</v>
      </c>
      <c r="AA3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4" s="59" t="b">
        <f ca="1">AND(tblBaseCF[[#This Row],[3rdCheckPAV]],tblBaseCF[[#This Row],[endSITest]]&gt;=min_base_si)</f>
        <v>0</v>
      </c>
      <c r="AC34" s="60">
        <f ca="1">tblBaseCF[[#This Row],[WithdrawalInput]]*tblBaseCF[[#This Row],[4thCheckSI]]</f>
        <v>0</v>
      </c>
      <c r="AD34" s="60">
        <f ca="1">MIN(tblBaseCF[[#This Row],[Withdrawal]],tblBaseCF[[#This Row],[StartEAV]])</f>
        <v>0</v>
      </c>
      <c r="AE34" s="60">
        <f ca="1">tblBaseCF[[#This Row],[Withdrawal]]-tblBaseCF[[#This Row],[EAVWithdrawal]]</f>
        <v>0</v>
      </c>
      <c r="AF34" s="60">
        <f ca="1">IF(tblBaseCF[[#This Row],[4thCheckSI]],tblBaseCF[[#This Row],[endSITest]],tblBaseCF[[#This Row],[StartSI]])</f>
        <v>0</v>
      </c>
      <c r="AG3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4" s="65">
        <f ca="1">IFERROR(INDEX(tblTPAllocChrgRate[Rate],MATCH(tblBaseCF[[#This Row],[Year]],tblTPAllocChrgRate[Year],0)),0)</f>
        <v>0.02</v>
      </c>
      <c r="AI34" s="62">
        <f ca="1">(tp+big_case_bonus_tp*(tblBaseCF[[#This Row],[Year]]=1))
*tblBaseCF[[#This Row],[TPTermFlag]]</f>
        <v>0</v>
      </c>
      <c r="AJ34" s="63">
        <f ca="1">tblBaseCF[[#This Row],[TP]]*tblBaseCF[[#This Row],[TPAllocChrgRate]]</f>
        <v>0</v>
      </c>
      <c r="AK34" s="60">
        <f ca="1">tblBaseCF[[#This Row],[TP]]-tblBaseCF[[#This Row],[TPAllocChrg]]</f>
        <v>0</v>
      </c>
      <c r="AL34" s="65">
        <f ca="1">IFERROR(INDEX(tblEPAllocChrgRate[Rate],MATCH(tblBaseCF[[#This Row],[Year]],tblEPAllocChrgRate[Year],0)),0)</f>
        <v>0.02</v>
      </c>
      <c r="AM34" s="60">
        <f ca="1">ep*tblBaseCF[[#This Row],[EPTermFlag]]</f>
        <v>0</v>
      </c>
      <c r="AN34" s="60">
        <f ca="1">tblBaseCF[[#This Row],[EP]]*tblBaseCF[[#This Row],[EPAllocChrgRate]]</f>
        <v>0</v>
      </c>
      <c r="AO34" s="63">
        <f ca="1">tblBaseCF[[#This Row],[EP]]-tblBaseCF[[#This Row],[EPAllocChrg]]</f>
        <v>0</v>
      </c>
      <c r="AP34" s="62">
        <f ca="1">tblBaseCF[[#This Row],[Ben]]*extra_prem_rate*em_load/1000/(1-tblBaseCF[[#This Row],[EPAllocChrgRate]])
*tblBaseCF[[#This Row],[EMLoadTermFlag]]</f>
        <v>0</v>
      </c>
      <c r="AQ34" s="62">
        <f ca="1">tblBaseCF[[#This Row],[Ben]]*pm_load/1000/(1-tblBaseCF[[#This Row],[EPAllocChrgRate]])
*tblBaseCF[[#This Row],[PMLoadTermFlag]]</f>
        <v>0</v>
      </c>
      <c r="AR34" s="60">
        <f ca="1">ROUNDUP(tblBaseCF[[#This Row],[UnroundedEMLoad]],-3)</f>
        <v>0</v>
      </c>
      <c r="AS34" s="62">
        <f ca="1">ROUNDUP(tblBaseCF[[#This Row],[Ben]]*pm_load/1000/(1-tblBaseCF[[#This Row],[EPAllocChrgRate]]),-3)
*tblBaseCF[[#This Row],[PMLoadTermFlag]]</f>
        <v>0</v>
      </c>
      <c r="AT34" s="60">
        <f ca="1">tblBaseCF[[#This Row],[EMLoad]]+tblBaseCF[[#This Row],[PMLoad]]</f>
        <v>0</v>
      </c>
      <c r="AU34" s="60">
        <f ca="1">tblBaseCF[[#This Row],[Load]]*tblBaseCF[[#This Row],[EPAllocChrgRate]]</f>
        <v>0</v>
      </c>
      <c r="AV34" s="60">
        <f ca="1">tblBaseCF[[#This Row],[Load]]-tblBaseCF[[#This Row],[LoadAllocChrg]]</f>
        <v>0</v>
      </c>
      <c r="AW34" s="60">
        <f ca="1">tblBaseCF[[#This Row],[TP]]+tblBaseCF[[#This Row],[EP]]+tblBaseCF[[#This Row],[Load]]</f>
        <v>0</v>
      </c>
      <c r="AX34" s="60">
        <f ca="1">tblBaseCF[[#This Row],[TPAllocChrg]]+tblBaseCF[[#This Row],[EPAllocChrg]]+tblBaseCF[[#This Row],[LoadAllocChrg]]</f>
        <v>0</v>
      </c>
      <c r="AY34" s="60">
        <f ca="1">tblBaseCF[[#This Row],[TPAlloc]]+tblBaseCF[[#This Row],[EPAlloc]]+tblBaseCF[[#This Row],[LoadAlloc]]</f>
        <v>0</v>
      </c>
      <c r="AZ34" s="60">
        <f ca="1">(OFFSET(tblBaseCF[[#This Row],[AccumTotalPrem]],-1,0)+tblBaseCF[[#This Row],[TotalPrem]])*tblBaseCF[[#This Row],[TPTermFlag]]</f>
        <v>0</v>
      </c>
      <c r="BA34" s="62">
        <f ca="1">(tblBaseCF[[#This Row],[StartTAV]]-tblBaseCF[[#This Row],[TAVWithdrawal]]+tblBaseCF[[#This Row],[TPAlloc]])
*tblBaseCF[[#This Row],[ContFlag]]</f>
        <v>0</v>
      </c>
      <c r="BB34" s="59">
        <f ca="1">(tblBaseCF[[#This Row],[StartEAV]]-tblBaseCF[[#This Row],[EAVWithdrawal]]+tblBaseCF[[#This Row],[EPAlloc]]+tblBaseCF[[#This Row],[LoadAlloc]])
*tblBaseCF[[#This Row],[ContFlag]]</f>
        <v>0</v>
      </c>
      <c r="BC34" s="59">
        <f ca="1">tblBaseCF[[#This Row],[TAVAfterWdrlAlloc]]+tblBaseCF[[#This Row],[EAVAfterWdrlAlloc]]</f>
        <v>0</v>
      </c>
      <c r="BD34" s="66">
        <f t="shared" si="2"/>
        <v>0</v>
      </c>
      <c r="BE34" s="67">
        <f>(1+tblBaseCF[[#This Row],[AnnualIntRate]])^(1/12)-1</f>
        <v>0</v>
      </c>
      <c r="BF34" s="68">
        <f>IFERROR(((1+tblBaseCF[[#This Row],[MonthlyIntRate]])^12-1)/12/(1-1/(1+tblBaseCF[[#This Row],[MonthlyIntRate]])),1)/(1+tblBaseCF[[#This Row],[AnnualIntRate]])</f>
        <v>1</v>
      </c>
      <c r="BG34" s="69">
        <f>PV(tblBaseCF[[#This Row],[MonthlyIntRate]],12,-1/12,,1)</f>
        <v>1</v>
      </c>
      <c r="BH34" s="60">
        <f ca="1">MAX(IF(death_tpd_option="A",tblBaseCF[[#This Row],[Ben]]-tblBaseCF[[#This Row],[StartPAV]],tblBaseCF[[#This Row],[Ben]]),0)</f>
        <v>0</v>
      </c>
      <c r="BI34" s="70">
        <f ca="1">IFERROR(INDEX(tblBaseCOIRate[Rate],MATCH(tblBaseCF[[#This Row],[Age]],tblBaseCOIRate[Age],0)),0)</f>
        <v>7.6999999999993697E-4</v>
      </c>
      <c r="BJ34" s="60">
        <f ca="1">tblBaseCF[[#This Row],[SAR]]*tblBaseCF[[#This Row],[COIRate]]</f>
        <v>0</v>
      </c>
      <c r="BK34" s="62">
        <f ca="1">em_load*tblBaseCF[[#This Row],[pStandardCOI]]
*tblBaseCF[[#This Row],[EMLoadTermFlag]]</f>
        <v>0</v>
      </c>
      <c r="BL34" s="62">
        <f ca="1">pm_load/1000*tblBaseCF[[#This Row],[SAR]]
*tblBaseCF[[#This Row],[PMLoadTermFlag]]</f>
        <v>0</v>
      </c>
      <c r="BM34" s="60">
        <f ca="1">tblBaseCF[[#This Row],[AccBen]]*monthly_acc_coi*12</f>
        <v>0</v>
      </c>
      <c r="BN34" s="60">
        <f ca="1">tblBaseCF[[#This Row],[pStandardCOI]]+tblBaseCF[[#This Row],[pEMLoadCOI]]+tblBaseCF[[#This Row],[pPMLoadCOI]]+tblBaseCF[[#This Row],[pAccCOI]]</f>
        <v>0</v>
      </c>
      <c r="BO34" s="62">
        <f ca="1">IFERROR(INDEX(tblAdminChrg[Amount],MATCH(tblBaseCF[[#This Row],[CalYear]],tblAdminChrg[Cal_Year],0)),0)
*tblBaseCF[[#This Row],[ContFlag]]</f>
        <v>0</v>
      </c>
      <c r="BP34" s="60">
        <f ca="1">tblBaseCF[[#This Row],[pMonthlyAdminChrg]]*12</f>
        <v>0</v>
      </c>
      <c r="BQ34" s="60">
        <f ca="1">tblBaseCF[[#This Row],[pCOI]]+tblBaseCF[[#This Row],[pAdminChrg]]</f>
        <v>0</v>
      </c>
      <c r="BR34" s="60">
        <f ca="1">tblBaseCF[[#This Row],[pNomDeduct]]*tblBaseCF[[#This Row],[Duean1m12]]</f>
        <v>0</v>
      </c>
      <c r="BS34" s="57">
        <f ca="1">(tblBaseCF[[#This Row],[PAVAfterWdrlAlloc]]&gt;=tblBaseCF[[#This Row],[pNomDeduct]])
*tblBaseCF[[#This Row],[ContFlag]]</f>
        <v>0</v>
      </c>
      <c r="BT34" s="60">
        <f ca="1">tblBaseCF[[#This Row],[pStandardCOI]]*tblBaseCF[[#This Row],[DeductFlag]]</f>
        <v>0</v>
      </c>
      <c r="BU34" s="60">
        <f ca="1">tblBaseCF[[#This Row],[pEMLoadCOI]]*tblBaseCF[[#This Row],[DeductFlag]]</f>
        <v>0</v>
      </c>
      <c r="BV34" s="60">
        <f ca="1">tblBaseCF[[#This Row],[pPMLoadCOI]]*tblBaseCF[[#This Row],[DeductFlag]]</f>
        <v>0</v>
      </c>
      <c r="BW34" s="60">
        <f ca="1">tblBaseCF[[#This Row],[pAccCOI]]*tblBaseCF[[#This Row],[DeductFlag]]</f>
        <v>0</v>
      </c>
      <c r="BX34" s="60">
        <f ca="1">tblBaseCF[[#This Row],[pCOI]]*tblBaseCF[[#This Row],[DeductFlag]]</f>
        <v>0</v>
      </c>
      <c r="BY34" s="60">
        <f ca="1">tblBaseCF[[#This Row],[pMonthlyAdminChrg]]*tblBaseCF[[#This Row],[DeductFlag]]</f>
        <v>0</v>
      </c>
      <c r="BZ34" s="60">
        <f ca="1">tblBaseCF[[#This Row],[pAdminChrg]]*tblBaseCF[[#This Row],[DeductFlag]]</f>
        <v>0</v>
      </c>
      <c r="CA34" s="60">
        <f ca="1">tblBaseCF[[#This Row],[pNomDeduct]]*tblBaseCF[[#This Row],[DeductFlag]]</f>
        <v>0</v>
      </c>
      <c r="CB34" s="60">
        <f ca="1">tblBaseCF[[#This Row],[pDeduct]]*tblBaseCF[[#This Row],[DeductFlag]]</f>
        <v>0</v>
      </c>
      <c r="CC34" s="60">
        <f ca="1">MIN(tblBaseCF[[#This Row],[TAVAfterWdrlAlloc]],tblBaseCF[[#This Row],[Deduct]])</f>
        <v>0</v>
      </c>
      <c r="CD34" s="60">
        <f ca="1">tblBaseCF[[#This Row],[Deduct]]-tblBaseCF[[#This Row],[TAVDeduct]]</f>
        <v>0</v>
      </c>
      <c r="CE34" s="69">
        <f ca="1">(tblBaseCF[[#This Row],[TAVAfterWdrlAlloc]]-tblBaseCF[[#This Row],[TAVDeduct]])*tblBaseCF[[#This Row],[AnnualIntRate]]
*tblBaseCF[[#This Row],[DeductFlag]]</f>
        <v>0</v>
      </c>
      <c r="CF34" s="69">
        <f ca="1">(tblBaseCF[[#This Row],[EAVAfterWdrlAlloc]]-tblBaseCF[[#This Row],[EAVDeduct]])*tblBaseCF[[#This Row],[AnnualIntRate]]
*tblBaseCF[[#This Row],[DeductFlag]]</f>
        <v>0</v>
      </c>
      <c r="CG34" s="69">
        <f ca="1">tblBaseCF[[#This Row],[TAVInt]]+tblBaseCF[[#This Row],[EAVInt]]</f>
        <v>0</v>
      </c>
      <c r="CH34" s="62">
        <f ca="1">IFERROR(INDEX(tblLBRate[Rate],MATCH(tblBaseCF[[#This Row],[Year]],tblLBRate[Year],0)),0)
*tblBaseCF[[#This Row],[DeductFlag]]</f>
        <v>0</v>
      </c>
      <c r="CI34" s="60">
        <f ca="1">IFERROR(SUM(OFFSET(tblBaseCF[[#This Row],[TAVWithdrawal]],0,0,-lb_review_period,1)),0)
*(tblBaseCF[[#This Row],[LBRate]]&gt;0)</f>
        <v>0</v>
      </c>
      <c r="CJ34" s="60">
        <f ca="1">(tblBaseCF[[#This Row],[LBRate]]&gt;0)*(tblBaseCF[[#This Row],[LBTAVWithdrawal]]=0)</f>
        <v>0</v>
      </c>
      <c r="CK34" s="62" cm="1">
        <f t="array" aca="1" ref="CK34" ca="1">IF(tblBaseCF[[#This Row],[LBFlag]],
_xlfn.SWITCH(base,
"ILP1",AVERAGE(OFFSET(tblBaseCF[TP],0,0,-lb_review_period,1)),tp),0)
*tblBaseCF[[#This Row],[LBFlag]]</f>
        <v>0</v>
      </c>
      <c r="CL34" s="62">
        <f ca="1">tblBaseCF[[#This Row],[LBBasis]]*tblBaseCF[[#This Row],[LBRate]]</f>
        <v>0</v>
      </c>
      <c r="CM34" s="57" cm="1">
        <f t="array" aca="1" ref="CM34" ca="1">_xlfn.SWITCH(base,
"ILP1",0,($AF134&lt;500000000)*1
+($AF134&gt;=500000000)*($AF134&lt;1000000000)*2
+($AF134&gt;=1000000000)*3)
*tblBaseCF[[#This Row],[DeductFlag]]</f>
        <v>0</v>
      </c>
      <c r="CN34" s="2" t="str">
        <f ca="1">IF(tblBaseCF[[#This Row],[DeductFlag]],base&amp;"_"&amp;tblBaseCF[[#This Row],[SBCode]]&amp;"_"&amp;tblBaseCF[[#This Row],[Year]],"")</f>
        <v/>
      </c>
      <c r="CO34" s="3">
        <f ca="1">IFERROR(INDEX(tblSBRate[Index],MATCH(tblBaseCF[[#This Row],[SBIndex]],tblSBRate[Rate],0)),0)</f>
        <v>0</v>
      </c>
      <c r="CP34" s="63">
        <f ca="1">IFERROR(SUM(OFFSET(tblBaseCF[[#This Row],[TAVWithdrawal]],0,0,-sb_review_period,1)),0)
*(tblBaseCF[[#This Row],[SBRate]]&gt;0)</f>
        <v>0</v>
      </c>
      <c r="CQ34" s="63">
        <f ca="1">(tblBaseCF[[#This Row],[SBRate]]&gt;0)*(tblBaseCF[[#This Row],[SBTAVWithdrawal]]=0)</f>
        <v>0</v>
      </c>
      <c r="CR34" s="59" cm="1">
        <f t="array" aca="1" ref="CR34" ca="1">IF(tblBaseCF[[#This Row],[LBFlag]],
_xlfn.SWITCH(base,
"ILP1",0,tp),0)*tblBaseCF[[#This Row],[SBFlag]]</f>
        <v>0</v>
      </c>
      <c r="CS34" s="63">
        <f ca="1">tblBaseCF[[#This Row],[SBBasis]]*tblBaseCF[[#This Row],[SBRate]]</f>
        <v>0</v>
      </c>
      <c r="CT34" s="63">
        <f ca="1">tblBaseCF[[#This Row],[LB]]+tblBaseCF[[#This Row],[SB]]</f>
        <v>0</v>
      </c>
      <c r="CU34" s="59">
        <f ca="1">tblBaseCF[[#This Row],[TAVAfterWdrlAlloc]]-tblBaseCF[[#This Row],[TAVDeduct]]+tblBaseCF[[#This Row],[TAVInt]]+tblBaseCF[[#This Row],[Bonus]]</f>
        <v>0</v>
      </c>
      <c r="CV34" s="59">
        <f ca="1">tblBaseCF[[#This Row],[EAVAfterWdrlAlloc]]-tblBaseCF[[#This Row],[EAVDeduct]]+tblBaseCF[[#This Row],[EAVInt]]</f>
        <v>0</v>
      </c>
      <c r="CW34" s="63">
        <f ca="1">tblBaseCF[[#This Row],[EndTAV]]+tblBaseCF[[#This Row],[EndEAV]]</f>
        <v>0</v>
      </c>
      <c r="CX34" s="59">
        <f ca="1">INDEX(tblPlanPrem[TP],2)
*tblBaseCF[[#This Row],[TPTermFlag]]</f>
        <v>0</v>
      </c>
      <c r="CY34" s="59">
        <f ca="1">INDEX(tblPlanPrem[EP],2)
*tblBaseCF[[#This Row],[TPTermFlag]]</f>
        <v>0</v>
      </c>
      <c r="CZ34" s="63">
        <f ca="1">ROUNDUP(tblBaseCF[[#This Row],[UnroundedEMLoad]]*INDEX(tblPlanPrem[Factor],2),-3)</f>
        <v>0</v>
      </c>
      <c r="DA34" s="63">
        <f ca="1">ROUNDUP(tblBaseCF[[#This Row],[UnroundedPMLoad]]*INDEX(tblPlanPrem[Factor],2),-3)</f>
        <v>0</v>
      </c>
      <c r="DB34" s="63">
        <f ca="1">tblBaseCF[[#This Row],[SemiAnnualEMLoad]]+tblBaseCF[[#This Row],[SemiAnnualPMLoad]]</f>
        <v>0</v>
      </c>
      <c r="DC34" s="63">
        <f ca="1">tblBaseCF[[#This Row],[SemiAnnualTP]]+tblBaseCF[[#This Row],[SemiAnnualEP]]+tblBaseCF[[#This Row],[SemiAnnualLoad]]</f>
        <v>0</v>
      </c>
      <c r="DD34" s="59">
        <f ca="1">INDEX(tblPlanPrem[TP],3)
*tblBaseCF[[#This Row],[TPTermFlag]]</f>
        <v>0</v>
      </c>
      <c r="DE34" s="59">
        <f ca="1">INDEX(tblPlanPrem[EP],3)
*tblBaseCF[[#This Row],[TPTermFlag]]</f>
        <v>0</v>
      </c>
      <c r="DF34" s="63">
        <f ca="1">ROUNDUP(tblBaseCF[[#This Row],[UnroundedEMLoad]]*INDEX(tblPlanPrem[Factor],3),-3)</f>
        <v>0</v>
      </c>
      <c r="DG34" s="63">
        <f ca="1">ROUNDUP(tblBaseCF[[#This Row],[UnroundedPMLoad]]*INDEX(tblPlanPrem[Factor],3),-3)</f>
        <v>0</v>
      </c>
      <c r="DH34" s="60">
        <f ca="1">tblBaseCF[[#This Row],[QuarterlyEMLoad]]+tblBaseCF[[#This Row],[QuarterlyPMLoad]]</f>
        <v>0</v>
      </c>
      <c r="DI34" s="60">
        <f ca="1">tblBaseCF[[#This Row],[QuarterlyTP]]+tblBaseCF[[#This Row],[QuarterlyEP]]+tblBaseCF[[#This Row],[QuarterlyLoad]]</f>
        <v>0</v>
      </c>
      <c r="DJ34" s="59">
        <f ca="1">INDEX(tblPlanPrem[TP],4)
*tblBaseCF[[#This Row],[TPTermFlag]]</f>
        <v>0</v>
      </c>
      <c r="DK34" s="59">
        <f ca="1">INDEX(tblPlanPrem[EP],4)
*tblBaseCF[[#This Row],[TPTermFlag]]</f>
        <v>0</v>
      </c>
      <c r="DL34" s="63">
        <f ca="1">ROUNDUP(tblBaseCF[[#This Row],[UnroundedEMLoad]]*INDEX(tblPlanPrem[Factor],4),-3)</f>
        <v>0</v>
      </c>
      <c r="DM34" s="63">
        <f ca="1">ROUNDUP(tblBaseCF[[#This Row],[UnroundedPMLoad]]*INDEX(tblPlanPrem[Factor],4),-3)</f>
        <v>0</v>
      </c>
      <c r="DN34" s="60">
        <f ca="1">tblBaseCF[[#This Row],[MonthlyEMLoad]]+tblBaseCF[[#This Row],[MonthlyPMLoad]]</f>
        <v>0</v>
      </c>
      <c r="DO34" s="63">
        <f ca="1">tblBaseCF[[#This Row],[MonthlyTP]]+tblBaseCF[[#This Row],[MonthlyEP]]+tblBaseCF[[#This Row],[MonthlyLoad]]</f>
        <v>0</v>
      </c>
      <c r="DP34" s="3"/>
      <c r="DS34">
        <f t="shared" si="3"/>
        <v>0</v>
      </c>
      <c r="DT34">
        <f t="shared" si="4"/>
        <v>0</v>
      </c>
      <c r="DU34">
        <f t="shared" si="5"/>
        <v>0</v>
      </c>
      <c r="DV34">
        <f ca="1">tblBaseCF[[#This Row],[Year]]</f>
        <v>14</v>
      </c>
      <c r="DW34">
        <f ca="1">tblBaseCF[[#This Row],[Age]]</f>
        <v>13</v>
      </c>
      <c r="DX34">
        <f ca="1">tblBaseCF[[#This Row],[ContFlag]]</f>
        <v>0</v>
      </c>
      <c r="DY34" t="str">
        <f ca="1">tblBaseCF[[#This Row],[ContLog]]</f>
        <v>Insufficient PAV for deduction - Discontinue.</v>
      </c>
      <c r="DZ34">
        <f ca="1">tblBaseCF[[#This Row],[StartTAV]]</f>
        <v>0</v>
      </c>
      <c r="EA34">
        <f ca="1">tblBaseCF[[#This Row],[StartEAV]]</f>
        <v>0</v>
      </c>
      <c r="EB34">
        <f ca="1">tblBaseCF[[#This Row],[StartPAV]]</f>
        <v>0</v>
      </c>
      <c r="EC34">
        <f ca="1">tblBaseCF[[#This Row],[SVChrg]]</f>
        <v>0</v>
      </c>
      <c r="ED34">
        <f ca="1">tblBaseCF[[#This Row],[SV]]</f>
        <v>0</v>
      </c>
      <c r="EE34">
        <f ca="1">tblBaseCF[[#This Row],[Ben]]</f>
        <v>0</v>
      </c>
      <c r="EF34">
        <f ca="1">tblBaseCF[[#This Row],[AccBen]]</f>
        <v>0</v>
      </c>
      <c r="EG34">
        <f ca="1">tblBaseCF[[#This Row],[WithdrawalInput]]</f>
        <v>0</v>
      </c>
      <c r="EH34" t="str">
        <f ca="1">tblBaseCF[[#This Row],[WithdrawalLog]]</f>
        <v>No withdrawal.</v>
      </c>
      <c r="EI34">
        <f ca="1">tblBaseCF[[#This Row],[TAVWithdrawal]]</f>
        <v>0</v>
      </c>
      <c r="EJ34">
        <f ca="1">tblBaseCF[[#This Row],[EAVWithdrawal]]</f>
        <v>0</v>
      </c>
      <c r="EK34">
        <f ca="1">tblBaseCF[[#This Row],[Withdrawal]]</f>
        <v>0</v>
      </c>
      <c r="EL34">
        <f ca="1">tblBaseCF[[#This Row],[TP]]</f>
        <v>0</v>
      </c>
      <c r="EM34">
        <f ca="1">tblBaseCF[[#This Row],[TPAllocChrg]]</f>
        <v>0</v>
      </c>
      <c r="EN34">
        <f ca="1">tblBaseCF[[#This Row],[TPAlloc]]</f>
        <v>0</v>
      </c>
      <c r="EO34">
        <f ca="1">tblBaseCF[[#This Row],[EP]]</f>
        <v>0</v>
      </c>
      <c r="EP34">
        <f ca="1">tblBaseCF[[#This Row],[EPAllocChrg]]</f>
        <v>0</v>
      </c>
      <c r="EQ34">
        <f ca="1">tblBaseCF[[#This Row],[EPAlloc]]</f>
        <v>0</v>
      </c>
      <c r="ER34">
        <f ca="1">tblBaseCF[[#This Row],[EMLoad]]</f>
        <v>0</v>
      </c>
      <c r="ES34">
        <f ca="1">tblBaseCF[[#This Row],[PMLoad]]</f>
        <v>0</v>
      </c>
      <c r="ET34">
        <f ca="1">tblBaseCF[[#This Row],[Load]]</f>
        <v>0</v>
      </c>
      <c r="EU34">
        <f ca="1">tblBaseCF[[#This Row],[LoadAllocChrg]]</f>
        <v>0</v>
      </c>
      <c r="EV34">
        <f ca="1">tblBaseCF[[#This Row],[LoadAlloc]]</f>
        <v>0</v>
      </c>
      <c r="EW34">
        <f ca="1">tblBaseCF[[#This Row],[TotalPrem]]</f>
        <v>0</v>
      </c>
      <c r="EX34">
        <f ca="1">tblBaseCF[[#This Row],[AllocChrg]]</f>
        <v>0</v>
      </c>
      <c r="EY34">
        <f ca="1">tblBaseCF[[#This Row],[Alloc]]</f>
        <v>0</v>
      </c>
      <c r="EZ34">
        <f ca="1">tblBaseCF[[#This Row],[AccumTotalPrem]]</f>
        <v>0</v>
      </c>
      <c r="FA34">
        <f>tblBaseCF[[#This Row],[AnnualIntRate]]</f>
        <v>0</v>
      </c>
      <c r="FB34" s="50">
        <f>tblBaseCF[[#This Row],[Duean1m12]]</f>
        <v>1</v>
      </c>
      <c r="FC34">
        <f ca="1">tblBaseCF[[#This Row],[DeductFlag]]</f>
        <v>0</v>
      </c>
      <c r="FD34">
        <f ca="1">tblBaseCF[[#This Row],[AdminChrg]]</f>
        <v>0</v>
      </c>
      <c r="FE34">
        <f ca="1">tblBaseCF[[#This Row],[StandardCOI]]</f>
        <v>0</v>
      </c>
      <c r="FF34">
        <f ca="1">tblBaseCF[[#This Row],[EMLoadCOI]]</f>
        <v>0</v>
      </c>
      <c r="FG34">
        <f ca="1">tblBaseCF[[#This Row],[PMLoadCOI]]</f>
        <v>0</v>
      </c>
      <c r="FH34">
        <f ca="1">tblBaseCF[[#This Row],[COI]]</f>
        <v>0</v>
      </c>
      <c r="FI34" s="47">
        <f ca="1">tblBaseCF[[#This Row],[NomDeduct]]</f>
        <v>0</v>
      </c>
      <c r="FJ34">
        <f ca="1">tblBaseCF[[#This Row],[Deduct]]</f>
        <v>0</v>
      </c>
      <c r="FK34">
        <f ca="1">tblBaseCF[[#This Row],[TAVDeduct]]</f>
        <v>0</v>
      </c>
      <c r="FL34">
        <f ca="1">tblBaseCF[[#This Row],[EAVDeduct]]</f>
        <v>0</v>
      </c>
      <c r="FM34" s="24">
        <f ca="1">tblBaseCF[[#This Row],[TAVInt]]</f>
        <v>0</v>
      </c>
      <c r="FN34">
        <f ca="1">tblBaseCF[[#This Row],[EAVInt]]</f>
        <v>0</v>
      </c>
      <c r="FO34" s="47">
        <f ca="1">tblBaseCF[[#This Row],[LB]]</f>
        <v>0</v>
      </c>
      <c r="FP34">
        <f ca="1">tblBaseCF[[#This Row],[SB]]</f>
        <v>0</v>
      </c>
      <c r="FQ34">
        <f ca="1">tblBaseCF[[#This Row],[Bonus]]</f>
        <v>0</v>
      </c>
      <c r="FR34">
        <f ca="1">tblBaseCF[[#This Row],[EndTAV]]</f>
        <v>0</v>
      </c>
      <c r="FS34">
        <f ca="1">tblBaseCF[[#This Row],[EndEAV]]</f>
        <v>0</v>
      </c>
      <c r="FT34">
        <f ca="1">tblBaseCF[[#This Row],[EndPAV]]</f>
        <v>0</v>
      </c>
      <c r="FU34">
        <f ca="1">tblBaseCF[[#This Row],[SemiAnnualTP]]</f>
        <v>0</v>
      </c>
      <c r="FV34">
        <f ca="1">tblBaseCF[[#This Row],[SemiAnnualEP]]</f>
        <v>0</v>
      </c>
      <c r="FW34">
        <f ca="1">tblBaseCF[[#This Row],[SemiAnnualEMLoad]]</f>
        <v>0</v>
      </c>
      <c r="FX34">
        <f ca="1">tblBaseCF[[#This Row],[SemiAnnualPMLoad]]</f>
        <v>0</v>
      </c>
      <c r="FY34">
        <f ca="1">tblBaseCF[[#This Row],[SemiAnnualLoad]]</f>
        <v>0</v>
      </c>
      <c r="FZ34">
        <f ca="1">tblBaseCF[[#This Row],[SemiAnnualTotalPrem]]</f>
        <v>0</v>
      </c>
      <c r="GA34">
        <f ca="1">tblBaseCF[[#This Row],[QuarterlyTP]]</f>
        <v>0</v>
      </c>
      <c r="GB34">
        <f ca="1">tblBaseCF[[#This Row],[QuarterlyEP]]</f>
        <v>0</v>
      </c>
      <c r="GC34">
        <f ca="1">tblBaseCF[[#This Row],[QuarterlyEMLoad]]</f>
        <v>0</v>
      </c>
      <c r="GD34">
        <f ca="1">tblBaseCF[[#This Row],[QuarterlyPMLoad]]</f>
        <v>0</v>
      </c>
      <c r="GE34">
        <f ca="1">tblBaseCF[[#This Row],[QuarterlyLoad]]</f>
        <v>0</v>
      </c>
      <c r="GF34">
        <f ca="1">tblBaseCF[[#This Row],[QuarterlyTotalPrem]]</f>
        <v>0</v>
      </c>
      <c r="GG34">
        <f ca="1">tblBaseCF[[#This Row],[MonthlyTP]]</f>
        <v>0</v>
      </c>
      <c r="GH34">
        <f ca="1">tblBaseCF[[#This Row],[MonthlyEP]]</f>
        <v>0</v>
      </c>
      <c r="GI34">
        <f ca="1">tblBaseCF[[#This Row],[MonthlyEMLoad]]</f>
        <v>0</v>
      </c>
      <c r="GJ34">
        <f ca="1">tblBaseCF[[#This Row],[MonthlyPMLoad]]</f>
        <v>0</v>
      </c>
      <c r="GK34">
        <f ca="1">tblBaseCF[[#This Row],[MonthlyLoad]]</f>
        <v>0</v>
      </c>
      <c r="GL34">
        <f ca="1">tblBaseCF[[#This Row],[MonthlyTotalPrem]]</f>
        <v>0</v>
      </c>
      <c r="GO34" t="s">
        <v>134</v>
      </c>
      <c r="GP34" t="s">
        <v>135</v>
      </c>
      <c r="GQ34" t="s">
        <v>502</v>
      </c>
      <c r="GR34">
        <v>14</v>
      </c>
      <c r="GS34">
        <v>13</v>
      </c>
      <c r="GT34">
        <v>1</v>
      </c>
      <c r="GU34" t="s">
        <v>457</v>
      </c>
      <c r="GV34">
        <v>6885430.5407653004</v>
      </c>
      <c r="GW34">
        <v>92964944.343916103</v>
      </c>
      <c r="GX34">
        <v>99850374.884681404</v>
      </c>
      <c r="GY34">
        <v>0</v>
      </c>
      <c r="GZ34">
        <v>99850374.884681404</v>
      </c>
      <c r="HA34">
        <v>101000000</v>
      </c>
      <c r="HB34">
        <v>303000000</v>
      </c>
      <c r="HC34">
        <v>5000000</v>
      </c>
      <c r="HD34" t="s">
        <v>458</v>
      </c>
      <c r="HE34">
        <v>0</v>
      </c>
      <c r="HF34">
        <v>5000000</v>
      </c>
      <c r="HG34">
        <v>5000000</v>
      </c>
      <c r="HH34">
        <v>1072000</v>
      </c>
      <c r="HI34">
        <v>21440</v>
      </c>
      <c r="HJ34">
        <v>1050560</v>
      </c>
      <c r="HK34">
        <v>5200000</v>
      </c>
      <c r="HL34">
        <v>104000</v>
      </c>
      <c r="HM34">
        <v>5096000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6272000</v>
      </c>
      <c r="HT34">
        <v>125440</v>
      </c>
      <c r="HU34">
        <v>6146560</v>
      </c>
      <c r="HV34">
        <v>87808000</v>
      </c>
      <c r="HW34">
        <v>7.0000000000000007E-2</v>
      </c>
      <c r="HX34">
        <v>0.96964931039809399</v>
      </c>
      <c r="HY34">
        <v>1</v>
      </c>
      <c r="HZ34">
        <v>300000</v>
      </c>
      <c r="IA34">
        <v>885.211338795247</v>
      </c>
      <c r="IB34">
        <v>0</v>
      </c>
      <c r="IC34">
        <v>0</v>
      </c>
      <c r="ID34">
        <v>273585.21133879502</v>
      </c>
      <c r="IE34">
        <v>573585.21133879502</v>
      </c>
      <c r="IF34">
        <v>556176.50462920801</v>
      </c>
      <c r="IG34">
        <v>556176.50462920801</v>
      </c>
      <c r="IH34">
        <v>0</v>
      </c>
      <c r="II34">
        <v>516586.98252952599</v>
      </c>
      <c r="IJ34">
        <v>6514266.1040741298</v>
      </c>
      <c r="IK34">
        <v>0</v>
      </c>
      <c r="IL34">
        <v>0</v>
      </c>
      <c r="IM34">
        <v>0</v>
      </c>
      <c r="IN34">
        <v>7896401.0186656201</v>
      </c>
      <c r="IO34">
        <v>99575210.447990194</v>
      </c>
      <c r="IP34">
        <v>107471611.466656</v>
      </c>
      <c r="IQ34">
        <v>536000</v>
      </c>
      <c r="IR34">
        <v>2600000</v>
      </c>
      <c r="IS34">
        <v>0</v>
      </c>
      <c r="IT34">
        <v>0</v>
      </c>
      <c r="IU34">
        <v>0</v>
      </c>
      <c r="IV34">
        <v>3136000</v>
      </c>
      <c r="IW34">
        <v>268000</v>
      </c>
      <c r="IX34">
        <v>1300000</v>
      </c>
      <c r="IY34">
        <v>0</v>
      </c>
      <c r="IZ34">
        <v>0</v>
      </c>
      <c r="JA34">
        <v>0</v>
      </c>
      <c r="JB34">
        <v>1568000</v>
      </c>
      <c r="JC34">
        <v>90000</v>
      </c>
      <c r="JD34">
        <v>434000</v>
      </c>
      <c r="JE34">
        <v>0</v>
      </c>
      <c r="JF34">
        <v>0</v>
      </c>
      <c r="JG34">
        <v>0</v>
      </c>
      <c r="JH34">
        <v>524000</v>
      </c>
    </row>
    <row r="35" spans="2:268" customFormat="1" x14ac:dyDescent="0.25">
      <c r="B35" s="2">
        <f ca="1">OFFSET(tblBaseCF[[#This Row],[Year]],-1,0)+1</f>
        <v>15</v>
      </c>
      <c r="C35" s="2">
        <f ca="1">(tblBaseCF[[#This Row],[Year]]&lt;=term)*1</f>
        <v>1</v>
      </c>
      <c r="D35" s="57">
        <f ca="1">(YEAR(rcd)+tblBaseCF[[#This Row],[Year]]-1)
*tblBaseCF[[#This Row],[PolTermFlag]]</f>
        <v>2039</v>
      </c>
      <c r="E35" s="57">
        <f ca="1">(mainLI_entry_age+tblBaseCF[[#This Row],[Year]]-1)
*tblBaseCF[[#This Row],[PolTermFlag]]</f>
        <v>14</v>
      </c>
      <c r="F35" s="57">
        <f ca="1">IF(tblBaseCF[[#This Row],[Year]]=1,1,OFFSET(tblBaseCF[[#This Row],[DeductFlag]],-1,0))
*tblBaseCF[[#This Row],[PolTermFlag]]</f>
        <v>0</v>
      </c>
      <c r="G3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5" s="57">
        <f ca="1">(tblBaseCF[[#This Row],[Year]]&lt;=acc_ben_term)
*tblBaseCF[[#This Row],[ContFlag]]</f>
        <v>0</v>
      </c>
      <c r="I35" s="57">
        <f ca="1">(tblBaseCF[[#This Row],[Year]]&lt;=tp_term)
*tblBaseCF[[#This Row],[ContFlag]]</f>
        <v>0</v>
      </c>
      <c r="J35" s="57">
        <f ca="1">(tblBaseCF[[#This Row],[Year]]&lt;=ep_term)
*tblBaseCF[[#This Row],[ContFlag]]</f>
        <v>0</v>
      </c>
      <c r="K35" s="57">
        <f ca="1">(tblBaseCF[[#This Row],[Year]]&lt;=em_load_term)*1</f>
        <v>0</v>
      </c>
      <c r="L35" s="57">
        <f ca="1">(tblBaseCF[[#This Row],[Year]]&lt;=pm_load_term)*1</f>
        <v>0</v>
      </c>
      <c r="M35" s="59">
        <f ca="1">IF(tblBaseCF[[#This Row],[Year]]=1,si,OFFSET(tblBaseCF[[#This Row],[EndSI]],-1,0))
*tblBaseCF[[#This Row],[ContFlag]]</f>
        <v>0</v>
      </c>
      <c r="N35" s="59">
        <f ca="1">OFFSET(tblBaseCF[[#This Row],[EndTAV]],-1,0)
*tblBaseCF[[#This Row],[ContFlag]]</f>
        <v>0</v>
      </c>
      <c r="O35" s="59">
        <f ca="1">OFFSET(tblBaseCF[[#This Row],[EndEAV]],-1,0)
*tblBaseCF[[#This Row],[ContFlag]]</f>
        <v>0</v>
      </c>
      <c r="P35" s="60">
        <f ca="1">tblBaseCF[[#This Row],[StartEAV]]+tblBaseCF[[#This Row],[StartTAV]]</f>
        <v>0</v>
      </c>
      <c r="Q35" s="61">
        <f ca="1">IFERROR(INDEX(tblJuvenileLienRate[Rate],MATCH(tblBaseCF[[#This Row],[Age]],tblJuvenileLienRate[Age],0)),1)
*tblBaseCF[[#This Row],[ContFlag]]</f>
        <v>0</v>
      </c>
      <c r="R3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5" s="62">
        <f ca="1">tblBaseCF[[#This Row],[StartSI]]*acc_ben_coeff*tblBaseCF[[#This Row],[JuvenileLienRate]]
*tblBaseCF[[#This Row],[AccBenTermFlag]]</f>
        <v>0</v>
      </c>
      <c r="T35" s="61">
        <f ca="1">(IFERROR(INDEX(tblSurrChrgRate[Rate],MATCH(tblBaseCF[[#This Row],[Year]],tblSurrChrgRate[Year],0)),0)
*tblBaseCF[[#This Row],[ContFlag]])</f>
        <v>0</v>
      </c>
      <c r="U35" s="60">
        <f ca="1">tp*tblBaseCF[[#This Row],[SrrChrgRate]]</f>
        <v>0</v>
      </c>
      <c r="V35" s="63">
        <f ca="1">MAX(tblBaseCF[[#This Row],[StartTAV]]-tblBaseCF[[#This Row],[SVChrg]],0)+tblBaseCF[[#This Row],[StartEAV]]</f>
        <v>0</v>
      </c>
      <c r="W35" s="59">
        <f ca="1">IFERROR(INDEX(tblWithdrawal_Output[Amount],MATCH(tblBaseCF[[#This Row],[Year]],tblWithdrawal_Output[Year],0)),0)
*tblBaseCF[[#This Row],[ContFlag]]</f>
        <v>0</v>
      </c>
      <c r="X35" s="59" t="b">
        <f ca="1">tblBaseCF[[#This Row],[WithdrawalInput]]&gt;0</f>
        <v>0</v>
      </c>
      <c r="Y35" s="59" t="b">
        <f ca="1">AND(tblBaseCF[[#This Row],[1stCheckProceed]],tblBaseCF[[#This Row],[WithdrawalInput]]&lt;=tblBaseCF[[#This Row],[StartPAV]])</f>
        <v>0</v>
      </c>
      <c r="Z35" s="59" t="b">
        <f ca="1">AND(tblBaseCF[[#This Row],[2ndCheckAmount]],(tblBaseCF[[#This Row],[StartPAV]]-tblBaseCF[[#This Row],[WithdrawalInput]])&gt;=min_pav_after_withdrawal)</f>
        <v>0</v>
      </c>
      <c r="AA3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5" s="59" t="b">
        <f ca="1">AND(tblBaseCF[[#This Row],[3rdCheckPAV]],tblBaseCF[[#This Row],[endSITest]]&gt;=min_base_si)</f>
        <v>0</v>
      </c>
      <c r="AC35" s="60">
        <f ca="1">tblBaseCF[[#This Row],[WithdrawalInput]]*tblBaseCF[[#This Row],[4thCheckSI]]</f>
        <v>0</v>
      </c>
      <c r="AD35" s="60">
        <f ca="1">MIN(tblBaseCF[[#This Row],[Withdrawal]],tblBaseCF[[#This Row],[StartEAV]])</f>
        <v>0</v>
      </c>
      <c r="AE35" s="60">
        <f ca="1">tblBaseCF[[#This Row],[Withdrawal]]-tblBaseCF[[#This Row],[EAVWithdrawal]]</f>
        <v>0</v>
      </c>
      <c r="AF35" s="60">
        <f ca="1">IF(tblBaseCF[[#This Row],[4thCheckSI]],tblBaseCF[[#This Row],[endSITest]],tblBaseCF[[#This Row],[StartSI]])</f>
        <v>0</v>
      </c>
      <c r="AG3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5" s="65">
        <f ca="1">IFERROR(INDEX(tblTPAllocChrgRate[Rate],MATCH(tblBaseCF[[#This Row],[Year]],tblTPAllocChrgRate[Year],0)),0)</f>
        <v>0.02</v>
      </c>
      <c r="AI35" s="62">
        <f ca="1">(tp+big_case_bonus_tp*(tblBaseCF[[#This Row],[Year]]=1))
*tblBaseCF[[#This Row],[TPTermFlag]]</f>
        <v>0</v>
      </c>
      <c r="AJ35" s="63">
        <f ca="1">tblBaseCF[[#This Row],[TP]]*tblBaseCF[[#This Row],[TPAllocChrgRate]]</f>
        <v>0</v>
      </c>
      <c r="AK35" s="60">
        <f ca="1">tblBaseCF[[#This Row],[TP]]-tblBaseCF[[#This Row],[TPAllocChrg]]</f>
        <v>0</v>
      </c>
      <c r="AL35" s="65">
        <f ca="1">IFERROR(INDEX(tblEPAllocChrgRate[Rate],MATCH(tblBaseCF[[#This Row],[Year]],tblEPAllocChrgRate[Year],0)),0)</f>
        <v>0.02</v>
      </c>
      <c r="AM35" s="60">
        <f ca="1">ep*tblBaseCF[[#This Row],[EPTermFlag]]</f>
        <v>0</v>
      </c>
      <c r="AN35" s="60">
        <f ca="1">tblBaseCF[[#This Row],[EP]]*tblBaseCF[[#This Row],[EPAllocChrgRate]]</f>
        <v>0</v>
      </c>
      <c r="AO35" s="63">
        <f ca="1">tblBaseCF[[#This Row],[EP]]-tblBaseCF[[#This Row],[EPAllocChrg]]</f>
        <v>0</v>
      </c>
      <c r="AP35" s="62">
        <f ca="1">tblBaseCF[[#This Row],[Ben]]*extra_prem_rate*em_load/1000/(1-tblBaseCF[[#This Row],[EPAllocChrgRate]])
*tblBaseCF[[#This Row],[EMLoadTermFlag]]</f>
        <v>0</v>
      </c>
      <c r="AQ35" s="62">
        <f ca="1">tblBaseCF[[#This Row],[Ben]]*pm_load/1000/(1-tblBaseCF[[#This Row],[EPAllocChrgRate]])
*tblBaseCF[[#This Row],[PMLoadTermFlag]]</f>
        <v>0</v>
      </c>
      <c r="AR35" s="60">
        <f ca="1">ROUNDUP(tblBaseCF[[#This Row],[UnroundedEMLoad]],-3)</f>
        <v>0</v>
      </c>
      <c r="AS35" s="62">
        <f ca="1">ROUNDUP(tblBaseCF[[#This Row],[Ben]]*pm_load/1000/(1-tblBaseCF[[#This Row],[EPAllocChrgRate]]),-3)
*tblBaseCF[[#This Row],[PMLoadTermFlag]]</f>
        <v>0</v>
      </c>
      <c r="AT35" s="60">
        <f ca="1">tblBaseCF[[#This Row],[EMLoad]]+tblBaseCF[[#This Row],[PMLoad]]</f>
        <v>0</v>
      </c>
      <c r="AU35" s="60">
        <f ca="1">tblBaseCF[[#This Row],[Load]]*tblBaseCF[[#This Row],[EPAllocChrgRate]]</f>
        <v>0</v>
      </c>
      <c r="AV35" s="60">
        <f ca="1">tblBaseCF[[#This Row],[Load]]-tblBaseCF[[#This Row],[LoadAllocChrg]]</f>
        <v>0</v>
      </c>
      <c r="AW35" s="60">
        <f ca="1">tblBaseCF[[#This Row],[TP]]+tblBaseCF[[#This Row],[EP]]+tblBaseCF[[#This Row],[Load]]</f>
        <v>0</v>
      </c>
      <c r="AX35" s="60">
        <f ca="1">tblBaseCF[[#This Row],[TPAllocChrg]]+tblBaseCF[[#This Row],[EPAllocChrg]]+tblBaseCF[[#This Row],[LoadAllocChrg]]</f>
        <v>0</v>
      </c>
      <c r="AY35" s="60">
        <f ca="1">tblBaseCF[[#This Row],[TPAlloc]]+tblBaseCF[[#This Row],[EPAlloc]]+tblBaseCF[[#This Row],[LoadAlloc]]</f>
        <v>0</v>
      </c>
      <c r="AZ35" s="60">
        <f ca="1">(OFFSET(tblBaseCF[[#This Row],[AccumTotalPrem]],-1,0)+tblBaseCF[[#This Row],[TotalPrem]])*tblBaseCF[[#This Row],[TPTermFlag]]</f>
        <v>0</v>
      </c>
      <c r="BA35" s="62">
        <f ca="1">(tblBaseCF[[#This Row],[StartTAV]]-tblBaseCF[[#This Row],[TAVWithdrawal]]+tblBaseCF[[#This Row],[TPAlloc]])
*tblBaseCF[[#This Row],[ContFlag]]</f>
        <v>0</v>
      </c>
      <c r="BB35" s="59">
        <f ca="1">(tblBaseCF[[#This Row],[StartEAV]]-tblBaseCF[[#This Row],[EAVWithdrawal]]+tblBaseCF[[#This Row],[EPAlloc]]+tblBaseCF[[#This Row],[LoadAlloc]])
*tblBaseCF[[#This Row],[ContFlag]]</f>
        <v>0</v>
      </c>
      <c r="BC35" s="59">
        <f ca="1">tblBaseCF[[#This Row],[TAVAfterWdrlAlloc]]+tblBaseCF[[#This Row],[EAVAfterWdrlAlloc]]</f>
        <v>0</v>
      </c>
      <c r="BD35" s="66">
        <f t="shared" si="2"/>
        <v>0</v>
      </c>
      <c r="BE35" s="67">
        <f>(1+tblBaseCF[[#This Row],[AnnualIntRate]])^(1/12)-1</f>
        <v>0</v>
      </c>
      <c r="BF35" s="68">
        <f>IFERROR(((1+tblBaseCF[[#This Row],[MonthlyIntRate]])^12-1)/12/(1-1/(1+tblBaseCF[[#This Row],[MonthlyIntRate]])),1)/(1+tblBaseCF[[#This Row],[AnnualIntRate]])</f>
        <v>1</v>
      </c>
      <c r="BG35" s="69">
        <f>PV(tblBaseCF[[#This Row],[MonthlyIntRate]],12,-1/12,,1)</f>
        <v>1</v>
      </c>
      <c r="BH35" s="60">
        <f ca="1">MAX(IF(death_tpd_option="A",tblBaseCF[[#This Row],[Ben]]-tblBaseCF[[#This Row],[StartPAV]],tblBaseCF[[#This Row],[Ben]]),0)</f>
        <v>0</v>
      </c>
      <c r="BI35" s="70">
        <f ca="1">IFERROR(INDEX(tblBaseCOIRate[Rate],MATCH(tblBaseCF[[#This Row],[Age]],tblBaseCOIRate[Age],0)),0)</f>
        <v>8.2000000000004303E-4</v>
      </c>
      <c r="BJ35" s="60">
        <f ca="1">tblBaseCF[[#This Row],[SAR]]*tblBaseCF[[#This Row],[COIRate]]</f>
        <v>0</v>
      </c>
      <c r="BK35" s="62">
        <f ca="1">em_load*tblBaseCF[[#This Row],[pStandardCOI]]
*tblBaseCF[[#This Row],[EMLoadTermFlag]]</f>
        <v>0</v>
      </c>
      <c r="BL35" s="62">
        <f ca="1">pm_load/1000*tblBaseCF[[#This Row],[SAR]]
*tblBaseCF[[#This Row],[PMLoadTermFlag]]</f>
        <v>0</v>
      </c>
      <c r="BM35" s="60">
        <f ca="1">tblBaseCF[[#This Row],[AccBen]]*monthly_acc_coi*12</f>
        <v>0</v>
      </c>
      <c r="BN35" s="60">
        <f ca="1">tblBaseCF[[#This Row],[pStandardCOI]]+tblBaseCF[[#This Row],[pEMLoadCOI]]+tblBaseCF[[#This Row],[pPMLoadCOI]]+tblBaseCF[[#This Row],[pAccCOI]]</f>
        <v>0</v>
      </c>
      <c r="BO35" s="62">
        <f ca="1">IFERROR(INDEX(tblAdminChrg[Amount],MATCH(tblBaseCF[[#This Row],[CalYear]],tblAdminChrg[Cal_Year],0)),0)
*tblBaseCF[[#This Row],[ContFlag]]</f>
        <v>0</v>
      </c>
      <c r="BP35" s="60">
        <f ca="1">tblBaseCF[[#This Row],[pMonthlyAdminChrg]]*12</f>
        <v>0</v>
      </c>
      <c r="BQ35" s="60">
        <f ca="1">tblBaseCF[[#This Row],[pCOI]]+tblBaseCF[[#This Row],[pAdminChrg]]</f>
        <v>0</v>
      </c>
      <c r="BR35" s="60">
        <f ca="1">tblBaseCF[[#This Row],[pNomDeduct]]*tblBaseCF[[#This Row],[Duean1m12]]</f>
        <v>0</v>
      </c>
      <c r="BS35" s="57">
        <f ca="1">(tblBaseCF[[#This Row],[PAVAfterWdrlAlloc]]&gt;=tblBaseCF[[#This Row],[pNomDeduct]])
*tblBaseCF[[#This Row],[ContFlag]]</f>
        <v>0</v>
      </c>
      <c r="BT35" s="60">
        <f ca="1">tblBaseCF[[#This Row],[pStandardCOI]]*tblBaseCF[[#This Row],[DeductFlag]]</f>
        <v>0</v>
      </c>
      <c r="BU35" s="60">
        <f ca="1">tblBaseCF[[#This Row],[pEMLoadCOI]]*tblBaseCF[[#This Row],[DeductFlag]]</f>
        <v>0</v>
      </c>
      <c r="BV35" s="60">
        <f ca="1">tblBaseCF[[#This Row],[pPMLoadCOI]]*tblBaseCF[[#This Row],[DeductFlag]]</f>
        <v>0</v>
      </c>
      <c r="BW35" s="60">
        <f ca="1">tblBaseCF[[#This Row],[pAccCOI]]*tblBaseCF[[#This Row],[DeductFlag]]</f>
        <v>0</v>
      </c>
      <c r="BX35" s="60">
        <f ca="1">tblBaseCF[[#This Row],[pCOI]]*tblBaseCF[[#This Row],[DeductFlag]]</f>
        <v>0</v>
      </c>
      <c r="BY35" s="60">
        <f ca="1">tblBaseCF[[#This Row],[pMonthlyAdminChrg]]*tblBaseCF[[#This Row],[DeductFlag]]</f>
        <v>0</v>
      </c>
      <c r="BZ35" s="60">
        <f ca="1">tblBaseCF[[#This Row],[pAdminChrg]]*tblBaseCF[[#This Row],[DeductFlag]]</f>
        <v>0</v>
      </c>
      <c r="CA35" s="60">
        <f ca="1">tblBaseCF[[#This Row],[pNomDeduct]]*tblBaseCF[[#This Row],[DeductFlag]]</f>
        <v>0</v>
      </c>
      <c r="CB35" s="60">
        <f ca="1">tblBaseCF[[#This Row],[pDeduct]]*tblBaseCF[[#This Row],[DeductFlag]]</f>
        <v>0</v>
      </c>
      <c r="CC35" s="60">
        <f ca="1">MIN(tblBaseCF[[#This Row],[TAVAfterWdrlAlloc]],tblBaseCF[[#This Row],[Deduct]])</f>
        <v>0</v>
      </c>
      <c r="CD35" s="60">
        <f ca="1">tblBaseCF[[#This Row],[Deduct]]-tblBaseCF[[#This Row],[TAVDeduct]]</f>
        <v>0</v>
      </c>
      <c r="CE35" s="69">
        <f ca="1">(tblBaseCF[[#This Row],[TAVAfterWdrlAlloc]]-tblBaseCF[[#This Row],[TAVDeduct]])*tblBaseCF[[#This Row],[AnnualIntRate]]
*tblBaseCF[[#This Row],[DeductFlag]]</f>
        <v>0</v>
      </c>
      <c r="CF35" s="69">
        <f ca="1">(tblBaseCF[[#This Row],[EAVAfterWdrlAlloc]]-tblBaseCF[[#This Row],[EAVDeduct]])*tblBaseCF[[#This Row],[AnnualIntRate]]
*tblBaseCF[[#This Row],[DeductFlag]]</f>
        <v>0</v>
      </c>
      <c r="CG35" s="69">
        <f ca="1">tblBaseCF[[#This Row],[TAVInt]]+tblBaseCF[[#This Row],[EAVInt]]</f>
        <v>0</v>
      </c>
      <c r="CH35" s="62">
        <f ca="1">IFERROR(INDEX(tblLBRate[Rate],MATCH(tblBaseCF[[#This Row],[Year]],tblLBRate[Year],0)),0)
*tblBaseCF[[#This Row],[DeductFlag]]</f>
        <v>0</v>
      </c>
      <c r="CI35" s="60">
        <f ca="1">IFERROR(SUM(OFFSET(tblBaseCF[[#This Row],[TAVWithdrawal]],0,0,-lb_review_period,1)),0)
*(tblBaseCF[[#This Row],[LBRate]]&gt;0)</f>
        <v>0</v>
      </c>
      <c r="CJ35" s="60">
        <f ca="1">(tblBaseCF[[#This Row],[LBRate]]&gt;0)*(tblBaseCF[[#This Row],[LBTAVWithdrawal]]=0)</f>
        <v>0</v>
      </c>
      <c r="CK35" s="62" cm="1">
        <f t="array" aca="1" ref="CK35" ca="1">IF(tblBaseCF[[#This Row],[LBFlag]],
_xlfn.SWITCH(base,
"ILP1",AVERAGE(OFFSET(tblBaseCF[TP],0,0,-lb_review_period,1)),tp),0)
*tblBaseCF[[#This Row],[LBFlag]]</f>
        <v>0</v>
      </c>
      <c r="CL35" s="62">
        <f ca="1">tblBaseCF[[#This Row],[LBBasis]]*tblBaseCF[[#This Row],[LBRate]]</f>
        <v>0</v>
      </c>
      <c r="CM35" s="57" cm="1">
        <f t="array" aca="1" ref="CM35" ca="1">_xlfn.SWITCH(base,
"ILP1",0,($AF135&lt;500000000)*1
+($AF135&gt;=500000000)*($AF135&lt;1000000000)*2
+($AF135&gt;=1000000000)*3)
*tblBaseCF[[#This Row],[DeductFlag]]</f>
        <v>0</v>
      </c>
      <c r="CN35" s="2" t="str">
        <f ca="1">IF(tblBaseCF[[#This Row],[DeductFlag]],base&amp;"_"&amp;tblBaseCF[[#This Row],[SBCode]]&amp;"_"&amp;tblBaseCF[[#This Row],[Year]],"")</f>
        <v/>
      </c>
      <c r="CO35" s="3">
        <f ca="1">IFERROR(INDEX(tblSBRate[Index],MATCH(tblBaseCF[[#This Row],[SBIndex]],tblSBRate[Rate],0)),0)</f>
        <v>0</v>
      </c>
      <c r="CP35" s="63">
        <f ca="1">IFERROR(SUM(OFFSET(tblBaseCF[[#This Row],[TAVWithdrawal]],0,0,-sb_review_period,1)),0)
*(tblBaseCF[[#This Row],[SBRate]]&gt;0)</f>
        <v>0</v>
      </c>
      <c r="CQ35" s="63">
        <f ca="1">(tblBaseCF[[#This Row],[SBRate]]&gt;0)*(tblBaseCF[[#This Row],[SBTAVWithdrawal]]=0)</f>
        <v>0</v>
      </c>
      <c r="CR35" s="59" cm="1">
        <f t="array" aca="1" ref="CR35" ca="1">IF(tblBaseCF[[#This Row],[LBFlag]],
_xlfn.SWITCH(base,
"ILP1",0,tp),0)*tblBaseCF[[#This Row],[SBFlag]]</f>
        <v>0</v>
      </c>
      <c r="CS35" s="63">
        <f ca="1">tblBaseCF[[#This Row],[SBBasis]]*tblBaseCF[[#This Row],[SBRate]]</f>
        <v>0</v>
      </c>
      <c r="CT35" s="63">
        <f ca="1">tblBaseCF[[#This Row],[LB]]+tblBaseCF[[#This Row],[SB]]</f>
        <v>0</v>
      </c>
      <c r="CU35" s="59">
        <f ca="1">tblBaseCF[[#This Row],[TAVAfterWdrlAlloc]]-tblBaseCF[[#This Row],[TAVDeduct]]+tblBaseCF[[#This Row],[TAVInt]]+tblBaseCF[[#This Row],[Bonus]]</f>
        <v>0</v>
      </c>
      <c r="CV35" s="59">
        <f ca="1">tblBaseCF[[#This Row],[EAVAfterWdrlAlloc]]-tblBaseCF[[#This Row],[EAVDeduct]]+tblBaseCF[[#This Row],[EAVInt]]</f>
        <v>0</v>
      </c>
      <c r="CW35" s="63">
        <f ca="1">tblBaseCF[[#This Row],[EndTAV]]+tblBaseCF[[#This Row],[EndEAV]]</f>
        <v>0</v>
      </c>
      <c r="CX35" s="59">
        <f ca="1">INDEX(tblPlanPrem[TP],2)
*tblBaseCF[[#This Row],[TPTermFlag]]</f>
        <v>0</v>
      </c>
      <c r="CY35" s="59">
        <f ca="1">INDEX(tblPlanPrem[EP],2)
*tblBaseCF[[#This Row],[TPTermFlag]]</f>
        <v>0</v>
      </c>
      <c r="CZ35" s="63">
        <f ca="1">ROUNDUP(tblBaseCF[[#This Row],[UnroundedEMLoad]]*INDEX(tblPlanPrem[Factor],2),-3)</f>
        <v>0</v>
      </c>
      <c r="DA35" s="63">
        <f ca="1">ROUNDUP(tblBaseCF[[#This Row],[UnroundedPMLoad]]*INDEX(tblPlanPrem[Factor],2),-3)</f>
        <v>0</v>
      </c>
      <c r="DB35" s="63">
        <f ca="1">tblBaseCF[[#This Row],[SemiAnnualEMLoad]]+tblBaseCF[[#This Row],[SemiAnnualPMLoad]]</f>
        <v>0</v>
      </c>
      <c r="DC35" s="63">
        <f ca="1">tblBaseCF[[#This Row],[SemiAnnualTP]]+tblBaseCF[[#This Row],[SemiAnnualEP]]+tblBaseCF[[#This Row],[SemiAnnualLoad]]</f>
        <v>0</v>
      </c>
      <c r="DD35" s="59">
        <f ca="1">INDEX(tblPlanPrem[TP],3)
*tblBaseCF[[#This Row],[TPTermFlag]]</f>
        <v>0</v>
      </c>
      <c r="DE35" s="59">
        <f ca="1">INDEX(tblPlanPrem[EP],3)
*tblBaseCF[[#This Row],[TPTermFlag]]</f>
        <v>0</v>
      </c>
      <c r="DF35" s="63">
        <f ca="1">ROUNDUP(tblBaseCF[[#This Row],[UnroundedEMLoad]]*INDEX(tblPlanPrem[Factor],3),-3)</f>
        <v>0</v>
      </c>
      <c r="DG35" s="63">
        <f ca="1">ROUNDUP(tblBaseCF[[#This Row],[UnroundedPMLoad]]*INDEX(tblPlanPrem[Factor],3),-3)</f>
        <v>0</v>
      </c>
      <c r="DH35" s="60">
        <f ca="1">tblBaseCF[[#This Row],[QuarterlyEMLoad]]+tblBaseCF[[#This Row],[QuarterlyPMLoad]]</f>
        <v>0</v>
      </c>
      <c r="DI35" s="60">
        <f ca="1">tblBaseCF[[#This Row],[QuarterlyTP]]+tblBaseCF[[#This Row],[QuarterlyEP]]+tblBaseCF[[#This Row],[QuarterlyLoad]]</f>
        <v>0</v>
      </c>
      <c r="DJ35" s="59">
        <f ca="1">INDEX(tblPlanPrem[TP],4)
*tblBaseCF[[#This Row],[TPTermFlag]]</f>
        <v>0</v>
      </c>
      <c r="DK35" s="59">
        <f ca="1">INDEX(tblPlanPrem[EP],4)
*tblBaseCF[[#This Row],[TPTermFlag]]</f>
        <v>0</v>
      </c>
      <c r="DL35" s="63">
        <f ca="1">ROUNDUP(tblBaseCF[[#This Row],[UnroundedEMLoad]]*INDEX(tblPlanPrem[Factor],4),-3)</f>
        <v>0</v>
      </c>
      <c r="DM35" s="63">
        <f ca="1">ROUNDUP(tblBaseCF[[#This Row],[UnroundedPMLoad]]*INDEX(tblPlanPrem[Factor],4),-3)</f>
        <v>0</v>
      </c>
      <c r="DN35" s="60">
        <f ca="1">tblBaseCF[[#This Row],[MonthlyEMLoad]]+tblBaseCF[[#This Row],[MonthlyPMLoad]]</f>
        <v>0</v>
      </c>
      <c r="DO35" s="63">
        <f ca="1">tblBaseCF[[#This Row],[MonthlyTP]]+tblBaseCF[[#This Row],[MonthlyEP]]+tblBaseCF[[#This Row],[MonthlyLoad]]</f>
        <v>0</v>
      </c>
      <c r="DP35" s="3"/>
      <c r="DS35">
        <f t="shared" si="3"/>
        <v>0</v>
      </c>
      <c r="DT35">
        <f t="shared" si="4"/>
        <v>0</v>
      </c>
      <c r="DU35">
        <f t="shared" si="5"/>
        <v>0</v>
      </c>
      <c r="DV35">
        <f ca="1">tblBaseCF[[#This Row],[Year]]</f>
        <v>15</v>
      </c>
      <c r="DW35">
        <f ca="1">tblBaseCF[[#This Row],[Age]]</f>
        <v>14</v>
      </c>
      <c r="DX35">
        <f ca="1">tblBaseCF[[#This Row],[ContFlag]]</f>
        <v>0</v>
      </c>
      <c r="DY35" t="str">
        <f ca="1">tblBaseCF[[#This Row],[ContLog]]</f>
        <v>Insufficient PAV for deduction - Discontinue.</v>
      </c>
      <c r="DZ35">
        <f ca="1">tblBaseCF[[#This Row],[StartTAV]]</f>
        <v>0</v>
      </c>
      <c r="EA35">
        <f ca="1">tblBaseCF[[#This Row],[StartEAV]]</f>
        <v>0</v>
      </c>
      <c r="EB35">
        <f ca="1">tblBaseCF[[#This Row],[StartPAV]]</f>
        <v>0</v>
      </c>
      <c r="EC35">
        <f ca="1">tblBaseCF[[#This Row],[SVChrg]]</f>
        <v>0</v>
      </c>
      <c r="ED35">
        <f ca="1">tblBaseCF[[#This Row],[SV]]</f>
        <v>0</v>
      </c>
      <c r="EE35">
        <f ca="1">tblBaseCF[[#This Row],[Ben]]</f>
        <v>0</v>
      </c>
      <c r="EF35">
        <f ca="1">tblBaseCF[[#This Row],[AccBen]]</f>
        <v>0</v>
      </c>
      <c r="EG35">
        <f ca="1">tblBaseCF[[#This Row],[WithdrawalInput]]</f>
        <v>0</v>
      </c>
      <c r="EH35" t="str">
        <f ca="1">tblBaseCF[[#This Row],[WithdrawalLog]]</f>
        <v>No withdrawal.</v>
      </c>
      <c r="EI35">
        <f ca="1">tblBaseCF[[#This Row],[TAVWithdrawal]]</f>
        <v>0</v>
      </c>
      <c r="EJ35">
        <f ca="1">tblBaseCF[[#This Row],[EAVWithdrawal]]</f>
        <v>0</v>
      </c>
      <c r="EK35">
        <f ca="1">tblBaseCF[[#This Row],[Withdrawal]]</f>
        <v>0</v>
      </c>
      <c r="EL35">
        <f ca="1">tblBaseCF[[#This Row],[TP]]</f>
        <v>0</v>
      </c>
      <c r="EM35">
        <f ca="1">tblBaseCF[[#This Row],[TPAllocChrg]]</f>
        <v>0</v>
      </c>
      <c r="EN35">
        <f ca="1">tblBaseCF[[#This Row],[TPAlloc]]</f>
        <v>0</v>
      </c>
      <c r="EO35">
        <f ca="1">tblBaseCF[[#This Row],[EP]]</f>
        <v>0</v>
      </c>
      <c r="EP35">
        <f ca="1">tblBaseCF[[#This Row],[EPAllocChrg]]</f>
        <v>0</v>
      </c>
      <c r="EQ35">
        <f ca="1">tblBaseCF[[#This Row],[EPAlloc]]</f>
        <v>0</v>
      </c>
      <c r="ER35">
        <f ca="1">tblBaseCF[[#This Row],[EMLoad]]</f>
        <v>0</v>
      </c>
      <c r="ES35">
        <f ca="1">tblBaseCF[[#This Row],[PMLoad]]</f>
        <v>0</v>
      </c>
      <c r="ET35">
        <f ca="1">tblBaseCF[[#This Row],[Load]]</f>
        <v>0</v>
      </c>
      <c r="EU35">
        <f ca="1">tblBaseCF[[#This Row],[LoadAllocChrg]]</f>
        <v>0</v>
      </c>
      <c r="EV35">
        <f ca="1">tblBaseCF[[#This Row],[LoadAlloc]]</f>
        <v>0</v>
      </c>
      <c r="EW35">
        <f ca="1">tblBaseCF[[#This Row],[TotalPrem]]</f>
        <v>0</v>
      </c>
      <c r="EX35">
        <f ca="1">tblBaseCF[[#This Row],[AllocChrg]]</f>
        <v>0</v>
      </c>
      <c r="EY35">
        <f ca="1">tblBaseCF[[#This Row],[Alloc]]</f>
        <v>0</v>
      </c>
      <c r="EZ35">
        <f ca="1">tblBaseCF[[#This Row],[AccumTotalPrem]]</f>
        <v>0</v>
      </c>
      <c r="FA35">
        <f>tblBaseCF[[#This Row],[AnnualIntRate]]</f>
        <v>0</v>
      </c>
      <c r="FB35" s="50">
        <f>tblBaseCF[[#This Row],[Duean1m12]]</f>
        <v>1</v>
      </c>
      <c r="FC35">
        <f ca="1">tblBaseCF[[#This Row],[DeductFlag]]</f>
        <v>0</v>
      </c>
      <c r="FD35">
        <f ca="1">tblBaseCF[[#This Row],[AdminChrg]]</f>
        <v>0</v>
      </c>
      <c r="FE35">
        <f ca="1">tblBaseCF[[#This Row],[StandardCOI]]</f>
        <v>0</v>
      </c>
      <c r="FF35">
        <f ca="1">tblBaseCF[[#This Row],[EMLoadCOI]]</f>
        <v>0</v>
      </c>
      <c r="FG35">
        <f ca="1">tblBaseCF[[#This Row],[PMLoadCOI]]</f>
        <v>0</v>
      </c>
      <c r="FH35">
        <f ca="1">tblBaseCF[[#This Row],[COI]]</f>
        <v>0</v>
      </c>
      <c r="FI35" s="47">
        <f ca="1">tblBaseCF[[#This Row],[NomDeduct]]</f>
        <v>0</v>
      </c>
      <c r="FJ35">
        <f ca="1">tblBaseCF[[#This Row],[Deduct]]</f>
        <v>0</v>
      </c>
      <c r="FK35">
        <f ca="1">tblBaseCF[[#This Row],[TAVDeduct]]</f>
        <v>0</v>
      </c>
      <c r="FL35">
        <f ca="1">tblBaseCF[[#This Row],[EAVDeduct]]</f>
        <v>0</v>
      </c>
      <c r="FM35" s="24">
        <f ca="1">tblBaseCF[[#This Row],[TAVInt]]</f>
        <v>0</v>
      </c>
      <c r="FN35">
        <f ca="1">tblBaseCF[[#This Row],[EAVInt]]</f>
        <v>0</v>
      </c>
      <c r="FO35" s="47">
        <f ca="1">tblBaseCF[[#This Row],[LB]]</f>
        <v>0</v>
      </c>
      <c r="FP35">
        <f ca="1">tblBaseCF[[#This Row],[SB]]</f>
        <v>0</v>
      </c>
      <c r="FQ35">
        <f ca="1">tblBaseCF[[#This Row],[Bonus]]</f>
        <v>0</v>
      </c>
      <c r="FR35">
        <f ca="1">tblBaseCF[[#This Row],[EndTAV]]</f>
        <v>0</v>
      </c>
      <c r="FS35">
        <f ca="1">tblBaseCF[[#This Row],[EndEAV]]</f>
        <v>0</v>
      </c>
      <c r="FT35">
        <f ca="1">tblBaseCF[[#This Row],[EndPAV]]</f>
        <v>0</v>
      </c>
      <c r="FU35">
        <f ca="1">tblBaseCF[[#This Row],[SemiAnnualTP]]</f>
        <v>0</v>
      </c>
      <c r="FV35">
        <f ca="1">tblBaseCF[[#This Row],[SemiAnnualEP]]</f>
        <v>0</v>
      </c>
      <c r="FW35">
        <f ca="1">tblBaseCF[[#This Row],[SemiAnnualEMLoad]]</f>
        <v>0</v>
      </c>
      <c r="FX35">
        <f ca="1">tblBaseCF[[#This Row],[SemiAnnualPMLoad]]</f>
        <v>0</v>
      </c>
      <c r="FY35">
        <f ca="1">tblBaseCF[[#This Row],[SemiAnnualLoad]]</f>
        <v>0</v>
      </c>
      <c r="FZ35">
        <f ca="1">tblBaseCF[[#This Row],[SemiAnnualTotalPrem]]</f>
        <v>0</v>
      </c>
      <c r="GA35">
        <f ca="1">tblBaseCF[[#This Row],[QuarterlyTP]]</f>
        <v>0</v>
      </c>
      <c r="GB35">
        <f ca="1">tblBaseCF[[#This Row],[QuarterlyEP]]</f>
        <v>0</v>
      </c>
      <c r="GC35">
        <f ca="1">tblBaseCF[[#This Row],[QuarterlyEMLoad]]</f>
        <v>0</v>
      </c>
      <c r="GD35">
        <f ca="1">tblBaseCF[[#This Row],[QuarterlyPMLoad]]</f>
        <v>0</v>
      </c>
      <c r="GE35">
        <f ca="1">tblBaseCF[[#This Row],[QuarterlyLoad]]</f>
        <v>0</v>
      </c>
      <c r="GF35">
        <f ca="1">tblBaseCF[[#This Row],[QuarterlyTotalPrem]]</f>
        <v>0</v>
      </c>
      <c r="GG35">
        <f ca="1">tblBaseCF[[#This Row],[MonthlyTP]]</f>
        <v>0</v>
      </c>
      <c r="GH35">
        <f ca="1">tblBaseCF[[#This Row],[MonthlyEP]]</f>
        <v>0</v>
      </c>
      <c r="GI35">
        <f ca="1">tblBaseCF[[#This Row],[MonthlyEMLoad]]</f>
        <v>0</v>
      </c>
      <c r="GJ35">
        <f ca="1">tblBaseCF[[#This Row],[MonthlyPMLoad]]</f>
        <v>0</v>
      </c>
      <c r="GK35">
        <f ca="1">tblBaseCF[[#This Row],[MonthlyLoad]]</f>
        <v>0</v>
      </c>
      <c r="GL35">
        <f ca="1">tblBaseCF[[#This Row],[MonthlyTotalPrem]]</f>
        <v>0</v>
      </c>
      <c r="GO35" t="s">
        <v>134</v>
      </c>
      <c r="GP35" t="s">
        <v>135</v>
      </c>
      <c r="GQ35" t="s">
        <v>502</v>
      </c>
      <c r="GR35">
        <v>15</v>
      </c>
      <c r="GS35">
        <v>14</v>
      </c>
      <c r="GT35">
        <v>1</v>
      </c>
      <c r="GU35" t="s">
        <v>457</v>
      </c>
      <c r="GV35">
        <v>7896401.0186656201</v>
      </c>
      <c r="GW35">
        <v>99575210.447990194</v>
      </c>
      <c r="GX35">
        <v>107471611.466656</v>
      </c>
      <c r="GY35">
        <v>0</v>
      </c>
      <c r="GZ35">
        <v>107471611.466656</v>
      </c>
      <c r="HA35">
        <v>107471611.466656</v>
      </c>
      <c r="HB35">
        <v>303000000</v>
      </c>
      <c r="HC35">
        <v>5000000</v>
      </c>
      <c r="HD35" t="s">
        <v>458</v>
      </c>
      <c r="HE35">
        <v>0</v>
      </c>
      <c r="HF35">
        <v>5000000</v>
      </c>
      <c r="HG35">
        <v>5000000</v>
      </c>
      <c r="HH35">
        <v>1072000</v>
      </c>
      <c r="HI35">
        <v>21440</v>
      </c>
      <c r="HJ35">
        <v>1050560</v>
      </c>
      <c r="HK35">
        <v>5200000</v>
      </c>
      <c r="HL35">
        <v>104000</v>
      </c>
      <c r="HM35">
        <v>5096000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6272000</v>
      </c>
      <c r="HT35">
        <v>125440</v>
      </c>
      <c r="HU35">
        <v>6146560</v>
      </c>
      <c r="HV35">
        <v>94080000</v>
      </c>
      <c r="HW35">
        <v>7.0000000000000007E-2</v>
      </c>
      <c r="HX35">
        <v>0.96964931039809399</v>
      </c>
      <c r="HY35">
        <v>1</v>
      </c>
      <c r="HZ35">
        <v>300000</v>
      </c>
      <c r="IA35">
        <v>0</v>
      </c>
      <c r="IB35">
        <v>0</v>
      </c>
      <c r="IC35">
        <v>0</v>
      </c>
      <c r="ID35">
        <v>272700</v>
      </c>
      <c r="IE35">
        <v>572700</v>
      </c>
      <c r="IF35">
        <v>555318.16006498795</v>
      </c>
      <c r="IG35">
        <v>555318.16006498795</v>
      </c>
      <c r="IH35">
        <v>0</v>
      </c>
      <c r="II35">
        <v>587415.00010204397</v>
      </c>
      <c r="IJ35">
        <v>6976984.7313593198</v>
      </c>
      <c r="IK35">
        <v>0</v>
      </c>
      <c r="IL35">
        <v>0</v>
      </c>
      <c r="IM35">
        <v>0</v>
      </c>
      <c r="IN35">
        <v>8979057.8587026801</v>
      </c>
      <c r="IO35">
        <v>106648195.17935</v>
      </c>
      <c r="IP35">
        <v>115627253.03805199</v>
      </c>
      <c r="IQ35">
        <v>536000</v>
      </c>
      <c r="IR35">
        <v>2600000</v>
      </c>
      <c r="IS35">
        <v>0</v>
      </c>
      <c r="IT35">
        <v>0</v>
      </c>
      <c r="IU35">
        <v>0</v>
      </c>
      <c r="IV35">
        <v>3136000</v>
      </c>
      <c r="IW35">
        <v>268000</v>
      </c>
      <c r="IX35">
        <v>1300000</v>
      </c>
      <c r="IY35">
        <v>0</v>
      </c>
      <c r="IZ35">
        <v>0</v>
      </c>
      <c r="JA35">
        <v>0</v>
      </c>
      <c r="JB35">
        <v>1568000</v>
      </c>
      <c r="JC35">
        <v>90000</v>
      </c>
      <c r="JD35">
        <v>434000</v>
      </c>
      <c r="JE35">
        <v>0</v>
      </c>
      <c r="JF35">
        <v>0</v>
      </c>
      <c r="JG35">
        <v>0</v>
      </c>
      <c r="JH35">
        <v>524000</v>
      </c>
    </row>
    <row r="36" spans="2:268" customFormat="1" x14ac:dyDescent="0.25">
      <c r="B36" s="2">
        <f ca="1">OFFSET(tblBaseCF[[#This Row],[Year]],-1,0)+1</f>
        <v>16</v>
      </c>
      <c r="C36" s="2">
        <f ca="1">(tblBaseCF[[#This Row],[Year]]&lt;=term)*1</f>
        <v>1</v>
      </c>
      <c r="D36" s="57">
        <f ca="1">(YEAR(rcd)+tblBaseCF[[#This Row],[Year]]-1)
*tblBaseCF[[#This Row],[PolTermFlag]]</f>
        <v>2040</v>
      </c>
      <c r="E36" s="57">
        <f ca="1">(mainLI_entry_age+tblBaseCF[[#This Row],[Year]]-1)
*tblBaseCF[[#This Row],[PolTermFlag]]</f>
        <v>15</v>
      </c>
      <c r="F36" s="57">
        <f ca="1">IF(tblBaseCF[[#This Row],[Year]]=1,1,OFFSET(tblBaseCF[[#This Row],[DeductFlag]],-1,0))
*tblBaseCF[[#This Row],[PolTermFlag]]</f>
        <v>0</v>
      </c>
      <c r="G3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6" s="57">
        <f ca="1">(tblBaseCF[[#This Row],[Year]]&lt;=acc_ben_term)
*tblBaseCF[[#This Row],[ContFlag]]</f>
        <v>0</v>
      </c>
      <c r="I36" s="57">
        <f ca="1">(tblBaseCF[[#This Row],[Year]]&lt;=tp_term)
*tblBaseCF[[#This Row],[ContFlag]]</f>
        <v>0</v>
      </c>
      <c r="J36" s="57">
        <f ca="1">(tblBaseCF[[#This Row],[Year]]&lt;=ep_term)
*tblBaseCF[[#This Row],[ContFlag]]</f>
        <v>0</v>
      </c>
      <c r="K36" s="57">
        <f ca="1">(tblBaseCF[[#This Row],[Year]]&lt;=em_load_term)*1</f>
        <v>0</v>
      </c>
      <c r="L36" s="57">
        <f ca="1">(tblBaseCF[[#This Row],[Year]]&lt;=pm_load_term)*1</f>
        <v>0</v>
      </c>
      <c r="M36" s="59">
        <f ca="1">IF(tblBaseCF[[#This Row],[Year]]=1,si,OFFSET(tblBaseCF[[#This Row],[EndSI]],-1,0))
*tblBaseCF[[#This Row],[ContFlag]]</f>
        <v>0</v>
      </c>
      <c r="N36" s="59">
        <f ca="1">OFFSET(tblBaseCF[[#This Row],[EndTAV]],-1,0)
*tblBaseCF[[#This Row],[ContFlag]]</f>
        <v>0</v>
      </c>
      <c r="O36" s="59">
        <f ca="1">OFFSET(tblBaseCF[[#This Row],[EndEAV]],-1,0)
*tblBaseCF[[#This Row],[ContFlag]]</f>
        <v>0</v>
      </c>
      <c r="P36" s="60">
        <f ca="1">tblBaseCF[[#This Row],[StartEAV]]+tblBaseCF[[#This Row],[StartTAV]]</f>
        <v>0</v>
      </c>
      <c r="Q36" s="61">
        <f ca="1">IFERROR(INDEX(tblJuvenileLienRate[Rate],MATCH(tblBaseCF[[#This Row],[Age]],tblJuvenileLienRate[Age],0)),1)
*tblBaseCF[[#This Row],[ContFlag]]</f>
        <v>0</v>
      </c>
      <c r="R3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6" s="62">
        <f ca="1">tblBaseCF[[#This Row],[StartSI]]*acc_ben_coeff*tblBaseCF[[#This Row],[JuvenileLienRate]]
*tblBaseCF[[#This Row],[AccBenTermFlag]]</f>
        <v>0</v>
      </c>
      <c r="T36" s="61">
        <f ca="1">(IFERROR(INDEX(tblSurrChrgRate[Rate],MATCH(tblBaseCF[[#This Row],[Year]],tblSurrChrgRate[Year],0)),0)
*tblBaseCF[[#This Row],[ContFlag]])</f>
        <v>0</v>
      </c>
      <c r="U36" s="60">
        <f ca="1">tp*tblBaseCF[[#This Row],[SrrChrgRate]]</f>
        <v>0</v>
      </c>
      <c r="V36" s="63">
        <f ca="1">MAX(tblBaseCF[[#This Row],[StartTAV]]-tblBaseCF[[#This Row],[SVChrg]],0)+tblBaseCF[[#This Row],[StartEAV]]</f>
        <v>0</v>
      </c>
      <c r="W36" s="59">
        <f ca="1">IFERROR(INDEX(tblWithdrawal_Output[Amount],MATCH(tblBaseCF[[#This Row],[Year]],tblWithdrawal_Output[Year],0)),0)
*tblBaseCF[[#This Row],[ContFlag]]</f>
        <v>0</v>
      </c>
      <c r="X36" s="59" t="b">
        <f ca="1">tblBaseCF[[#This Row],[WithdrawalInput]]&gt;0</f>
        <v>0</v>
      </c>
      <c r="Y36" s="59" t="b">
        <f ca="1">AND(tblBaseCF[[#This Row],[1stCheckProceed]],tblBaseCF[[#This Row],[WithdrawalInput]]&lt;=tblBaseCF[[#This Row],[StartPAV]])</f>
        <v>0</v>
      </c>
      <c r="Z36" s="59" t="b">
        <f ca="1">AND(tblBaseCF[[#This Row],[2ndCheckAmount]],(tblBaseCF[[#This Row],[StartPAV]]-tblBaseCF[[#This Row],[WithdrawalInput]])&gt;=min_pav_after_withdrawal)</f>
        <v>0</v>
      </c>
      <c r="AA3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6" s="59" t="b">
        <f ca="1">AND(tblBaseCF[[#This Row],[3rdCheckPAV]],tblBaseCF[[#This Row],[endSITest]]&gt;=min_base_si)</f>
        <v>0</v>
      </c>
      <c r="AC36" s="60">
        <f ca="1">tblBaseCF[[#This Row],[WithdrawalInput]]*tblBaseCF[[#This Row],[4thCheckSI]]</f>
        <v>0</v>
      </c>
      <c r="AD36" s="60">
        <f ca="1">MIN(tblBaseCF[[#This Row],[Withdrawal]],tblBaseCF[[#This Row],[StartEAV]])</f>
        <v>0</v>
      </c>
      <c r="AE36" s="60">
        <f ca="1">tblBaseCF[[#This Row],[Withdrawal]]-tblBaseCF[[#This Row],[EAVWithdrawal]]</f>
        <v>0</v>
      </c>
      <c r="AF36" s="60">
        <f ca="1">IF(tblBaseCF[[#This Row],[4thCheckSI]],tblBaseCF[[#This Row],[endSITest]],tblBaseCF[[#This Row],[StartSI]])</f>
        <v>0</v>
      </c>
      <c r="AG3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6" s="65">
        <f ca="1">IFERROR(INDEX(tblTPAllocChrgRate[Rate],MATCH(tblBaseCF[[#This Row],[Year]],tblTPAllocChrgRate[Year],0)),0)</f>
        <v>0.02</v>
      </c>
      <c r="AI36" s="62">
        <f ca="1">(tp+big_case_bonus_tp*(tblBaseCF[[#This Row],[Year]]=1))
*tblBaseCF[[#This Row],[TPTermFlag]]</f>
        <v>0</v>
      </c>
      <c r="AJ36" s="63">
        <f ca="1">tblBaseCF[[#This Row],[TP]]*tblBaseCF[[#This Row],[TPAllocChrgRate]]</f>
        <v>0</v>
      </c>
      <c r="AK36" s="60">
        <f ca="1">tblBaseCF[[#This Row],[TP]]-tblBaseCF[[#This Row],[TPAllocChrg]]</f>
        <v>0</v>
      </c>
      <c r="AL36" s="65">
        <f ca="1">IFERROR(INDEX(tblEPAllocChrgRate[Rate],MATCH(tblBaseCF[[#This Row],[Year]],tblEPAllocChrgRate[Year],0)),0)</f>
        <v>0.02</v>
      </c>
      <c r="AM36" s="60">
        <f ca="1">ep*tblBaseCF[[#This Row],[EPTermFlag]]</f>
        <v>0</v>
      </c>
      <c r="AN36" s="60">
        <f ca="1">tblBaseCF[[#This Row],[EP]]*tblBaseCF[[#This Row],[EPAllocChrgRate]]</f>
        <v>0</v>
      </c>
      <c r="AO36" s="63">
        <f ca="1">tblBaseCF[[#This Row],[EP]]-tblBaseCF[[#This Row],[EPAllocChrg]]</f>
        <v>0</v>
      </c>
      <c r="AP36" s="62">
        <f ca="1">tblBaseCF[[#This Row],[Ben]]*extra_prem_rate*em_load/1000/(1-tblBaseCF[[#This Row],[EPAllocChrgRate]])
*tblBaseCF[[#This Row],[EMLoadTermFlag]]</f>
        <v>0</v>
      </c>
      <c r="AQ36" s="62">
        <f ca="1">tblBaseCF[[#This Row],[Ben]]*pm_load/1000/(1-tblBaseCF[[#This Row],[EPAllocChrgRate]])
*tblBaseCF[[#This Row],[PMLoadTermFlag]]</f>
        <v>0</v>
      </c>
      <c r="AR36" s="60">
        <f ca="1">ROUNDUP(tblBaseCF[[#This Row],[UnroundedEMLoad]],-3)</f>
        <v>0</v>
      </c>
      <c r="AS36" s="62">
        <f ca="1">ROUNDUP(tblBaseCF[[#This Row],[Ben]]*pm_load/1000/(1-tblBaseCF[[#This Row],[EPAllocChrgRate]]),-3)
*tblBaseCF[[#This Row],[PMLoadTermFlag]]</f>
        <v>0</v>
      </c>
      <c r="AT36" s="60">
        <f ca="1">tblBaseCF[[#This Row],[EMLoad]]+tblBaseCF[[#This Row],[PMLoad]]</f>
        <v>0</v>
      </c>
      <c r="AU36" s="60">
        <f ca="1">tblBaseCF[[#This Row],[Load]]*tblBaseCF[[#This Row],[EPAllocChrgRate]]</f>
        <v>0</v>
      </c>
      <c r="AV36" s="60">
        <f ca="1">tblBaseCF[[#This Row],[Load]]-tblBaseCF[[#This Row],[LoadAllocChrg]]</f>
        <v>0</v>
      </c>
      <c r="AW36" s="60">
        <f ca="1">tblBaseCF[[#This Row],[TP]]+tblBaseCF[[#This Row],[EP]]+tblBaseCF[[#This Row],[Load]]</f>
        <v>0</v>
      </c>
      <c r="AX36" s="60">
        <f ca="1">tblBaseCF[[#This Row],[TPAllocChrg]]+tblBaseCF[[#This Row],[EPAllocChrg]]+tblBaseCF[[#This Row],[LoadAllocChrg]]</f>
        <v>0</v>
      </c>
      <c r="AY36" s="60">
        <f ca="1">tblBaseCF[[#This Row],[TPAlloc]]+tblBaseCF[[#This Row],[EPAlloc]]+tblBaseCF[[#This Row],[LoadAlloc]]</f>
        <v>0</v>
      </c>
      <c r="AZ36" s="60">
        <f ca="1">(OFFSET(tblBaseCF[[#This Row],[AccumTotalPrem]],-1,0)+tblBaseCF[[#This Row],[TotalPrem]])*tblBaseCF[[#This Row],[TPTermFlag]]</f>
        <v>0</v>
      </c>
      <c r="BA36" s="62">
        <f ca="1">(tblBaseCF[[#This Row],[StartTAV]]-tblBaseCF[[#This Row],[TAVWithdrawal]]+tblBaseCF[[#This Row],[TPAlloc]])
*tblBaseCF[[#This Row],[ContFlag]]</f>
        <v>0</v>
      </c>
      <c r="BB36" s="59">
        <f ca="1">(tblBaseCF[[#This Row],[StartEAV]]-tblBaseCF[[#This Row],[EAVWithdrawal]]+tblBaseCF[[#This Row],[EPAlloc]]+tblBaseCF[[#This Row],[LoadAlloc]])
*tblBaseCF[[#This Row],[ContFlag]]</f>
        <v>0</v>
      </c>
      <c r="BC36" s="59">
        <f ca="1">tblBaseCF[[#This Row],[TAVAfterWdrlAlloc]]+tblBaseCF[[#This Row],[EAVAfterWdrlAlloc]]</f>
        <v>0</v>
      </c>
      <c r="BD36" s="66">
        <f t="shared" si="2"/>
        <v>0</v>
      </c>
      <c r="BE36" s="67">
        <f>(1+tblBaseCF[[#This Row],[AnnualIntRate]])^(1/12)-1</f>
        <v>0</v>
      </c>
      <c r="BF36" s="68">
        <f>IFERROR(((1+tblBaseCF[[#This Row],[MonthlyIntRate]])^12-1)/12/(1-1/(1+tblBaseCF[[#This Row],[MonthlyIntRate]])),1)/(1+tblBaseCF[[#This Row],[AnnualIntRate]])</f>
        <v>1</v>
      </c>
      <c r="BG36" s="69">
        <f>PV(tblBaseCF[[#This Row],[MonthlyIntRate]],12,-1/12,,1)</f>
        <v>1</v>
      </c>
      <c r="BH36" s="60">
        <f ca="1">MAX(IF(death_tpd_option="A",tblBaseCF[[#This Row],[Ben]]-tblBaseCF[[#This Row],[StartPAV]],tblBaseCF[[#This Row],[Ben]]),0)</f>
        <v>0</v>
      </c>
      <c r="BI36" s="70">
        <f ca="1">IFERROR(INDEX(tblBaseCOIRate[Rate],MATCH(tblBaseCF[[#This Row],[Age]],tblBaseCOIRate[Age],0)),0)</f>
        <v>8.7000000000003698E-4</v>
      </c>
      <c r="BJ36" s="60">
        <f ca="1">tblBaseCF[[#This Row],[SAR]]*tblBaseCF[[#This Row],[COIRate]]</f>
        <v>0</v>
      </c>
      <c r="BK36" s="62">
        <f ca="1">em_load*tblBaseCF[[#This Row],[pStandardCOI]]
*tblBaseCF[[#This Row],[EMLoadTermFlag]]</f>
        <v>0</v>
      </c>
      <c r="BL36" s="62">
        <f ca="1">pm_load/1000*tblBaseCF[[#This Row],[SAR]]
*tblBaseCF[[#This Row],[PMLoadTermFlag]]</f>
        <v>0</v>
      </c>
      <c r="BM36" s="60">
        <f ca="1">tblBaseCF[[#This Row],[AccBen]]*monthly_acc_coi*12</f>
        <v>0</v>
      </c>
      <c r="BN36" s="60">
        <f ca="1">tblBaseCF[[#This Row],[pStandardCOI]]+tblBaseCF[[#This Row],[pEMLoadCOI]]+tblBaseCF[[#This Row],[pPMLoadCOI]]+tblBaseCF[[#This Row],[pAccCOI]]</f>
        <v>0</v>
      </c>
      <c r="BO36" s="62">
        <f ca="1">IFERROR(INDEX(tblAdminChrg[Amount],MATCH(tblBaseCF[[#This Row],[CalYear]],tblAdminChrg[Cal_Year],0)),0)
*tblBaseCF[[#This Row],[ContFlag]]</f>
        <v>0</v>
      </c>
      <c r="BP36" s="60">
        <f ca="1">tblBaseCF[[#This Row],[pMonthlyAdminChrg]]*12</f>
        <v>0</v>
      </c>
      <c r="BQ36" s="60">
        <f ca="1">tblBaseCF[[#This Row],[pCOI]]+tblBaseCF[[#This Row],[pAdminChrg]]</f>
        <v>0</v>
      </c>
      <c r="BR36" s="60">
        <f ca="1">tblBaseCF[[#This Row],[pNomDeduct]]*tblBaseCF[[#This Row],[Duean1m12]]</f>
        <v>0</v>
      </c>
      <c r="BS36" s="57">
        <f ca="1">(tblBaseCF[[#This Row],[PAVAfterWdrlAlloc]]&gt;=tblBaseCF[[#This Row],[pNomDeduct]])
*tblBaseCF[[#This Row],[ContFlag]]</f>
        <v>0</v>
      </c>
      <c r="BT36" s="60">
        <f ca="1">tblBaseCF[[#This Row],[pStandardCOI]]*tblBaseCF[[#This Row],[DeductFlag]]</f>
        <v>0</v>
      </c>
      <c r="BU36" s="60">
        <f ca="1">tblBaseCF[[#This Row],[pEMLoadCOI]]*tblBaseCF[[#This Row],[DeductFlag]]</f>
        <v>0</v>
      </c>
      <c r="BV36" s="60">
        <f ca="1">tblBaseCF[[#This Row],[pPMLoadCOI]]*tblBaseCF[[#This Row],[DeductFlag]]</f>
        <v>0</v>
      </c>
      <c r="BW36" s="60">
        <f ca="1">tblBaseCF[[#This Row],[pAccCOI]]*tblBaseCF[[#This Row],[DeductFlag]]</f>
        <v>0</v>
      </c>
      <c r="BX36" s="60">
        <f ca="1">tblBaseCF[[#This Row],[pCOI]]*tblBaseCF[[#This Row],[DeductFlag]]</f>
        <v>0</v>
      </c>
      <c r="BY36" s="60">
        <f ca="1">tblBaseCF[[#This Row],[pMonthlyAdminChrg]]*tblBaseCF[[#This Row],[DeductFlag]]</f>
        <v>0</v>
      </c>
      <c r="BZ36" s="60">
        <f ca="1">tblBaseCF[[#This Row],[pAdminChrg]]*tblBaseCF[[#This Row],[DeductFlag]]</f>
        <v>0</v>
      </c>
      <c r="CA36" s="60">
        <f ca="1">tblBaseCF[[#This Row],[pNomDeduct]]*tblBaseCF[[#This Row],[DeductFlag]]</f>
        <v>0</v>
      </c>
      <c r="CB36" s="60">
        <f ca="1">tblBaseCF[[#This Row],[pDeduct]]*tblBaseCF[[#This Row],[DeductFlag]]</f>
        <v>0</v>
      </c>
      <c r="CC36" s="60">
        <f ca="1">MIN(tblBaseCF[[#This Row],[TAVAfterWdrlAlloc]],tblBaseCF[[#This Row],[Deduct]])</f>
        <v>0</v>
      </c>
      <c r="CD36" s="60">
        <f ca="1">tblBaseCF[[#This Row],[Deduct]]-tblBaseCF[[#This Row],[TAVDeduct]]</f>
        <v>0</v>
      </c>
      <c r="CE36" s="69">
        <f ca="1">(tblBaseCF[[#This Row],[TAVAfterWdrlAlloc]]-tblBaseCF[[#This Row],[TAVDeduct]])*tblBaseCF[[#This Row],[AnnualIntRate]]
*tblBaseCF[[#This Row],[DeductFlag]]</f>
        <v>0</v>
      </c>
      <c r="CF36" s="69">
        <f ca="1">(tblBaseCF[[#This Row],[EAVAfterWdrlAlloc]]-tblBaseCF[[#This Row],[EAVDeduct]])*tblBaseCF[[#This Row],[AnnualIntRate]]
*tblBaseCF[[#This Row],[DeductFlag]]</f>
        <v>0</v>
      </c>
      <c r="CG36" s="69">
        <f ca="1">tblBaseCF[[#This Row],[TAVInt]]+tblBaseCF[[#This Row],[EAVInt]]</f>
        <v>0</v>
      </c>
      <c r="CH36" s="62">
        <f ca="1">IFERROR(INDEX(tblLBRate[Rate],MATCH(tblBaseCF[[#This Row],[Year]],tblLBRate[Year],0)),0)
*tblBaseCF[[#This Row],[DeductFlag]]</f>
        <v>0</v>
      </c>
      <c r="CI36" s="60">
        <f ca="1">IFERROR(SUM(OFFSET(tblBaseCF[[#This Row],[TAVWithdrawal]],0,0,-lb_review_period,1)),0)
*(tblBaseCF[[#This Row],[LBRate]]&gt;0)</f>
        <v>0</v>
      </c>
      <c r="CJ36" s="60">
        <f ca="1">(tblBaseCF[[#This Row],[LBRate]]&gt;0)*(tblBaseCF[[#This Row],[LBTAVWithdrawal]]=0)</f>
        <v>0</v>
      </c>
      <c r="CK36" s="62" cm="1">
        <f t="array" aca="1" ref="CK36" ca="1">IF(tblBaseCF[[#This Row],[LBFlag]],
_xlfn.SWITCH(base,
"ILP1",AVERAGE(OFFSET(tblBaseCF[TP],0,0,-lb_review_period,1)),tp),0)
*tblBaseCF[[#This Row],[LBFlag]]</f>
        <v>0</v>
      </c>
      <c r="CL36" s="62">
        <f ca="1">tblBaseCF[[#This Row],[LBBasis]]*tblBaseCF[[#This Row],[LBRate]]</f>
        <v>0</v>
      </c>
      <c r="CM36" s="57" cm="1">
        <f t="array" aca="1" ref="CM36" ca="1">_xlfn.SWITCH(base,
"ILP1",0,($AF136&lt;500000000)*1
+($AF136&gt;=500000000)*($AF136&lt;1000000000)*2
+($AF136&gt;=1000000000)*3)
*tblBaseCF[[#This Row],[DeductFlag]]</f>
        <v>0</v>
      </c>
      <c r="CN36" s="2" t="str">
        <f ca="1">IF(tblBaseCF[[#This Row],[DeductFlag]],base&amp;"_"&amp;tblBaseCF[[#This Row],[SBCode]]&amp;"_"&amp;tblBaseCF[[#This Row],[Year]],"")</f>
        <v/>
      </c>
      <c r="CO36" s="3">
        <f ca="1">IFERROR(INDEX(tblSBRate[Index],MATCH(tblBaseCF[[#This Row],[SBIndex]],tblSBRate[Rate],0)),0)</f>
        <v>0</v>
      </c>
      <c r="CP36" s="63">
        <f ca="1">IFERROR(SUM(OFFSET(tblBaseCF[[#This Row],[TAVWithdrawal]],0,0,-sb_review_period,1)),0)
*(tblBaseCF[[#This Row],[SBRate]]&gt;0)</f>
        <v>0</v>
      </c>
      <c r="CQ36" s="63">
        <f ca="1">(tblBaseCF[[#This Row],[SBRate]]&gt;0)*(tblBaseCF[[#This Row],[SBTAVWithdrawal]]=0)</f>
        <v>0</v>
      </c>
      <c r="CR36" s="59" cm="1">
        <f t="array" aca="1" ref="CR36" ca="1">IF(tblBaseCF[[#This Row],[LBFlag]],
_xlfn.SWITCH(base,
"ILP1",0,tp),0)*tblBaseCF[[#This Row],[SBFlag]]</f>
        <v>0</v>
      </c>
      <c r="CS36" s="63">
        <f ca="1">tblBaseCF[[#This Row],[SBBasis]]*tblBaseCF[[#This Row],[SBRate]]</f>
        <v>0</v>
      </c>
      <c r="CT36" s="63">
        <f ca="1">tblBaseCF[[#This Row],[LB]]+tblBaseCF[[#This Row],[SB]]</f>
        <v>0</v>
      </c>
      <c r="CU36" s="59">
        <f ca="1">tblBaseCF[[#This Row],[TAVAfterWdrlAlloc]]-tblBaseCF[[#This Row],[TAVDeduct]]+tblBaseCF[[#This Row],[TAVInt]]+tblBaseCF[[#This Row],[Bonus]]</f>
        <v>0</v>
      </c>
      <c r="CV36" s="59">
        <f ca="1">tblBaseCF[[#This Row],[EAVAfterWdrlAlloc]]-tblBaseCF[[#This Row],[EAVDeduct]]+tblBaseCF[[#This Row],[EAVInt]]</f>
        <v>0</v>
      </c>
      <c r="CW36" s="63">
        <f ca="1">tblBaseCF[[#This Row],[EndTAV]]+tblBaseCF[[#This Row],[EndEAV]]</f>
        <v>0</v>
      </c>
      <c r="CX36" s="59">
        <f ca="1">INDEX(tblPlanPrem[TP],2)
*tblBaseCF[[#This Row],[TPTermFlag]]</f>
        <v>0</v>
      </c>
      <c r="CY36" s="59">
        <f ca="1">INDEX(tblPlanPrem[EP],2)
*tblBaseCF[[#This Row],[TPTermFlag]]</f>
        <v>0</v>
      </c>
      <c r="CZ36" s="63">
        <f ca="1">ROUNDUP(tblBaseCF[[#This Row],[UnroundedEMLoad]]*INDEX(tblPlanPrem[Factor],2),-3)</f>
        <v>0</v>
      </c>
      <c r="DA36" s="63">
        <f ca="1">ROUNDUP(tblBaseCF[[#This Row],[UnroundedPMLoad]]*INDEX(tblPlanPrem[Factor],2),-3)</f>
        <v>0</v>
      </c>
      <c r="DB36" s="63">
        <f ca="1">tblBaseCF[[#This Row],[SemiAnnualEMLoad]]+tblBaseCF[[#This Row],[SemiAnnualPMLoad]]</f>
        <v>0</v>
      </c>
      <c r="DC36" s="63">
        <f ca="1">tblBaseCF[[#This Row],[SemiAnnualTP]]+tblBaseCF[[#This Row],[SemiAnnualEP]]+tblBaseCF[[#This Row],[SemiAnnualLoad]]</f>
        <v>0</v>
      </c>
      <c r="DD36" s="59">
        <f ca="1">INDEX(tblPlanPrem[TP],3)
*tblBaseCF[[#This Row],[TPTermFlag]]</f>
        <v>0</v>
      </c>
      <c r="DE36" s="59">
        <f ca="1">INDEX(tblPlanPrem[EP],3)
*tblBaseCF[[#This Row],[TPTermFlag]]</f>
        <v>0</v>
      </c>
      <c r="DF36" s="63">
        <f ca="1">ROUNDUP(tblBaseCF[[#This Row],[UnroundedEMLoad]]*INDEX(tblPlanPrem[Factor],3),-3)</f>
        <v>0</v>
      </c>
      <c r="DG36" s="63">
        <f ca="1">ROUNDUP(tblBaseCF[[#This Row],[UnroundedPMLoad]]*INDEX(tblPlanPrem[Factor],3),-3)</f>
        <v>0</v>
      </c>
      <c r="DH36" s="60">
        <f ca="1">tblBaseCF[[#This Row],[QuarterlyEMLoad]]+tblBaseCF[[#This Row],[QuarterlyPMLoad]]</f>
        <v>0</v>
      </c>
      <c r="DI36" s="60">
        <f ca="1">tblBaseCF[[#This Row],[QuarterlyTP]]+tblBaseCF[[#This Row],[QuarterlyEP]]+tblBaseCF[[#This Row],[QuarterlyLoad]]</f>
        <v>0</v>
      </c>
      <c r="DJ36" s="59">
        <f ca="1">INDEX(tblPlanPrem[TP],4)
*tblBaseCF[[#This Row],[TPTermFlag]]</f>
        <v>0</v>
      </c>
      <c r="DK36" s="59">
        <f ca="1">INDEX(tblPlanPrem[EP],4)
*tblBaseCF[[#This Row],[TPTermFlag]]</f>
        <v>0</v>
      </c>
      <c r="DL36" s="63">
        <f ca="1">ROUNDUP(tblBaseCF[[#This Row],[UnroundedEMLoad]]*INDEX(tblPlanPrem[Factor],4),-3)</f>
        <v>0</v>
      </c>
      <c r="DM36" s="63">
        <f ca="1">ROUNDUP(tblBaseCF[[#This Row],[UnroundedPMLoad]]*INDEX(tblPlanPrem[Factor],4),-3)</f>
        <v>0</v>
      </c>
      <c r="DN36" s="60">
        <f ca="1">tblBaseCF[[#This Row],[MonthlyEMLoad]]+tblBaseCF[[#This Row],[MonthlyPMLoad]]</f>
        <v>0</v>
      </c>
      <c r="DO36" s="63">
        <f ca="1">tblBaseCF[[#This Row],[MonthlyTP]]+tblBaseCF[[#This Row],[MonthlyEP]]+tblBaseCF[[#This Row],[MonthlyLoad]]</f>
        <v>0</v>
      </c>
      <c r="DP36" s="3"/>
      <c r="DS36">
        <f t="shared" si="3"/>
        <v>0</v>
      </c>
      <c r="DT36">
        <f t="shared" si="4"/>
        <v>0</v>
      </c>
      <c r="DU36">
        <f t="shared" si="5"/>
        <v>0</v>
      </c>
      <c r="DV36">
        <f ca="1">tblBaseCF[[#This Row],[Year]]</f>
        <v>16</v>
      </c>
      <c r="DW36">
        <f ca="1">tblBaseCF[[#This Row],[Age]]</f>
        <v>15</v>
      </c>
      <c r="DX36">
        <f ca="1">tblBaseCF[[#This Row],[ContFlag]]</f>
        <v>0</v>
      </c>
      <c r="DY36" t="str">
        <f ca="1">tblBaseCF[[#This Row],[ContLog]]</f>
        <v>Insufficient PAV for deduction - Discontinue.</v>
      </c>
      <c r="DZ36">
        <f ca="1">tblBaseCF[[#This Row],[StartTAV]]</f>
        <v>0</v>
      </c>
      <c r="EA36">
        <f ca="1">tblBaseCF[[#This Row],[StartEAV]]</f>
        <v>0</v>
      </c>
      <c r="EB36">
        <f ca="1">tblBaseCF[[#This Row],[StartPAV]]</f>
        <v>0</v>
      </c>
      <c r="EC36">
        <f ca="1">tblBaseCF[[#This Row],[SVChrg]]</f>
        <v>0</v>
      </c>
      <c r="ED36">
        <f ca="1">tblBaseCF[[#This Row],[SV]]</f>
        <v>0</v>
      </c>
      <c r="EE36">
        <f ca="1">tblBaseCF[[#This Row],[Ben]]</f>
        <v>0</v>
      </c>
      <c r="EF36">
        <f ca="1">tblBaseCF[[#This Row],[AccBen]]</f>
        <v>0</v>
      </c>
      <c r="EG36">
        <f ca="1">tblBaseCF[[#This Row],[WithdrawalInput]]</f>
        <v>0</v>
      </c>
      <c r="EH36" t="str">
        <f ca="1">tblBaseCF[[#This Row],[WithdrawalLog]]</f>
        <v>No withdrawal.</v>
      </c>
      <c r="EI36">
        <f ca="1">tblBaseCF[[#This Row],[TAVWithdrawal]]</f>
        <v>0</v>
      </c>
      <c r="EJ36">
        <f ca="1">tblBaseCF[[#This Row],[EAVWithdrawal]]</f>
        <v>0</v>
      </c>
      <c r="EK36">
        <f ca="1">tblBaseCF[[#This Row],[Withdrawal]]</f>
        <v>0</v>
      </c>
      <c r="EL36">
        <f ca="1">tblBaseCF[[#This Row],[TP]]</f>
        <v>0</v>
      </c>
      <c r="EM36">
        <f ca="1">tblBaseCF[[#This Row],[TPAllocChrg]]</f>
        <v>0</v>
      </c>
      <c r="EN36">
        <f ca="1">tblBaseCF[[#This Row],[TPAlloc]]</f>
        <v>0</v>
      </c>
      <c r="EO36">
        <f ca="1">tblBaseCF[[#This Row],[EP]]</f>
        <v>0</v>
      </c>
      <c r="EP36">
        <f ca="1">tblBaseCF[[#This Row],[EPAllocChrg]]</f>
        <v>0</v>
      </c>
      <c r="EQ36">
        <f ca="1">tblBaseCF[[#This Row],[EPAlloc]]</f>
        <v>0</v>
      </c>
      <c r="ER36">
        <f ca="1">tblBaseCF[[#This Row],[EMLoad]]</f>
        <v>0</v>
      </c>
      <c r="ES36">
        <f ca="1">tblBaseCF[[#This Row],[PMLoad]]</f>
        <v>0</v>
      </c>
      <c r="ET36">
        <f ca="1">tblBaseCF[[#This Row],[Load]]</f>
        <v>0</v>
      </c>
      <c r="EU36">
        <f ca="1">tblBaseCF[[#This Row],[LoadAllocChrg]]</f>
        <v>0</v>
      </c>
      <c r="EV36">
        <f ca="1">tblBaseCF[[#This Row],[LoadAlloc]]</f>
        <v>0</v>
      </c>
      <c r="EW36">
        <f ca="1">tblBaseCF[[#This Row],[TotalPrem]]</f>
        <v>0</v>
      </c>
      <c r="EX36">
        <f ca="1">tblBaseCF[[#This Row],[AllocChrg]]</f>
        <v>0</v>
      </c>
      <c r="EY36">
        <f ca="1">tblBaseCF[[#This Row],[Alloc]]</f>
        <v>0</v>
      </c>
      <c r="EZ36">
        <f ca="1">tblBaseCF[[#This Row],[AccumTotalPrem]]</f>
        <v>0</v>
      </c>
      <c r="FA36">
        <f>tblBaseCF[[#This Row],[AnnualIntRate]]</f>
        <v>0</v>
      </c>
      <c r="FB36" s="50">
        <f>tblBaseCF[[#This Row],[Duean1m12]]</f>
        <v>1</v>
      </c>
      <c r="FC36">
        <f ca="1">tblBaseCF[[#This Row],[DeductFlag]]</f>
        <v>0</v>
      </c>
      <c r="FD36">
        <f ca="1">tblBaseCF[[#This Row],[AdminChrg]]</f>
        <v>0</v>
      </c>
      <c r="FE36">
        <f ca="1">tblBaseCF[[#This Row],[StandardCOI]]</f>
        <v>0</v>
      </c>
      <c r="FF36">
        <f ca="1">tblBaseCF[[#This Row],[EMLoadCOI]]</f>
        <v>0</v>
      </c>
      <c r="FG36">
        <f ca="1">tblBaseCF[[#This Row],[PMLoadCOI]]</f>
        <v>0</v>
      </c>
      <c r="FH36">
        <f ca="1">tblBaseCF[[#This Row],[COI]]</f>
        <v>0</v>
      </c>
      <c r="FI36" s="47">
        <f ca="1">tblBaseCF[[#This Row],[NomDeduct]]</f>
        <v>0</v>
      </c>
      <c r="FJ36">
        <f ca="1">tblBaseCF[[#This Row],[Deduct]]</f>
        <v>0</v>
      </c>
      <c r="FK36">
        <f ca="1">tblBaseCF[[#This Row],[TAVDeduct]]</f>
        <v>0</v>
      </c>
      <c r="FL36">
        <f ca="1">tblBaseCF[[#This Row],[EAVDeduct]]</f>
        <v>0</v>
      </c>
      <c r="FM36" s="24">
        <f ca="1">tblBaseCF[[#This Row],[TAVInt]]</f>
        <v>0</v>
      </c>
      <c r="FN36">
        <f ca="1">tblBaseCF[[#This Row],[EAVInt]]</f>
        <v>0</v>
      </c>
      <c r="FO36" s="47">
        <f ca="1">tblBaseCF[[#This Row],[LB]]</f>
        <v>0</v>
      </c>
      <c r="FP36">
        <f ca="1">tblBaseCF[[#This Row],[SB]]</f>
        <v>0</v>
      </c>
      <c r="FQ36">
        <f ca="1">tblBaseCF[[#This Row],[Bonus]]</f>
        <v>0</v>
      </c>
      <c r="FR36">
        <f ca="1">tblBaseCF[[#This Row],[EndTAV]]</f>
        <v>0</v>
      </c>
      <c r="FS36">
        <f ca="1">tblBaseCF[[#This Row],[EndEAV]]</f>
        <v>0</v>
      </c>
      <c r="FT36">
        <f ca="1">tblBaseCF[[#This Row],[EndPAV]]</f>
        <v>0</v>
      </c>
      <c r="FU36">
        <f ca="1">tblBaseCF[[#This Row],[SemiAnnualTP]]</f>
        <v>0</v>
      </c>
      <c r="FV36">
        <f ca="1">tblBaseCF[[#This Row],[SemiAnnualEP]]</f>
        <v>0</v>
      </c>
      <c r="FW36">
        <f ca="1">tblBaseCF[[#This Row],[SemiAnnualEMLoad]]</f>
        <v>0</v>
      </c>
      <c r="FX36">
        <f ca="1">tblBaseCF[[#This Row],[SemiAnnualPMLoad]]</f>
        <v>0</v>
      </c>
      <c r="FY36">
        <f ca="1">tblBaseCF[[#This Row],[SemiAnnualLoad]]</f>
        <v>0</v>
      </c>
      <c r="FZ36">
        <f ca="1">tblBaseCF[[#This Row],[SemiAnnualTotalPrem]]</f>
        <v>0</v>
      </c>
      <c r="GA36">
        <f ca="1">tblBaseCF[[#This Row],[QuarterlyTP]]</f>
        <v>0</v>
      </c>
      <c r="GB36">
        <f ca="1">tblBaseCF[[#This Row],[QuarterlyEP]]</f>
        <v>0</v>
      </c>
      <c r="GC36">
        <f ca="1">tblBaseCF[[#This Row],[QuarterlyEMLoad]]</f>
        <v>0</v>
      </c>
      <c r="GD36">
        <f ca="1">tblBaseCF[[#This Row],[QuarterlyPMLoad]]</f>
        <v>0</v>
      </c>
      <c r="GE36">
        <f ca="1">tblBaseCF[[#This Row],[QuarterlyLoad]]</f>
        <v>0</v>
      </c>
      <c r="GF36">
        <f ca="1">tblBaseCF[[#This Row],[QuarterlyTotalPrem]]</f>
        <v>0</v>
      </c>
      <c r="GG36">
        <f ca="1">tblBaseCF[[#This Row],[MonthlyTP]]</f>
        <v>0</v>
      </c>
      <c r="GH36">
        <f ca="1">tblBaseCF[[#This Row],[MonthlyEP]]</f>
        <v>0</v>
      </c>
      <c r="GI36">
        <f ca="1">tblBaseCF[[#This Row],[MonthlyEMLoad]]</f>
        <v>0</v>
      </c>
      <c r="GJ36">
        <f ca="1">tblBaseCF[[#This Row],[MonthlyPMLoad]]</f>
        <v>0</v>
      </c>
      <c r="GK36">
        <f ca="1">tblBaseCF[[#This Row],[MonthlyLoad]]</f>
        <v>0</v>
      </c>
      <c r="GL36">
        <f ca="1">tblBaseCF[[#This Row],[MonthlyTotalPrem]]</f>
        <v>0</v>
      </c>
      <c r="GO36" t="s">
        <v>134</v>
      </c>
      <c r="GP36" t="s">
        <v>135</v>
      </c>
      <c r="GQ36" t="s">
        <v>502</v>
      </c>
      <c r="GR36">
        <v>16</v>
      </c>
      <c r="GS36">
        <v>15</v>
      </c>
      <c r="GT36">
        <v>1</v>
      </c>
      <c r="GU36" t="s">
        <v>457</v>
      </c>
      <c r="GV36">
        <v>8979057.8587026801</v>
      </c>
      <c r="GW36">
        <v>106648195.17935</v>
      </c>
      <c r="GX36">
        <v>115627253.03805199</v>
      </c>
      <c r="GY36">
        <v>0</v>
      </c>
      <c r="GZ36">
        <v>115627253.03805199</v>
      </c>
      <c r="HA36">
        <v>115627253.03805199</v>
      </c>
      <c r="HB36">
        <v>303000000</v>
      </c>
      <c r="HC36">
        <v>0</v>
      </c>
      <c r="HD36" t="s">
        <v>137</v>
      </c>
      <c r="HE36">
        <v>0</v>
      </c>
      <c r="HF36">
        <v>0</v>
      </c>
      <c r="HG36">
        <v>0</v>
      </c>
      <c r="HH36">
        <v>1072000</v>
      </c>
      <c r="HI36">
        <v>21440</v>
      </c>
      <c r="HJ36">
        <v>1050560</v>
      </c>
      <c r="HK36">
        <v>5200000</v>
      </c>
      <c r="HL36">
        <v>104000</v>
      </c>
      <c r="HM36">
        <v>5096000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6272000</v>
      </c>
      <c r="HT36">
        <v>125440</v>
      </c>
      <c r="HU36">
        <v>6146560</v>
      </c>
      <c r="HV36">
        <v>100352000</v>
      </c>
      <c r="HW36">
        <v>7.0000000000000007E-2</v>
      </c>
      <c r="HX36">
        <v>0.96964931039809399</v>
      </c>
      <c r="HY36">
        <v>1</v>
      </c>
      <c r="HZ36">
        <v>300000</v>
      </c>
      <c r="IA36">
        <v>0</v>
      </c>
      <c r="IB36">
        <v>0</v>
      </c>
      <c r="IC36">
        <v>0</v>
      </c>
      <c r="ID36">
        <v>272700</v>
      </c>
      <c r="IE36">
        <v>572700</v>
      </c>
      <c r="IF36">
        <v>555318.16006498795</v>
      </c>
      <c r="IG36">
        <v>555318.16006498795</v>
      </c>
      <c r="IH36">
        <v>0</v>
      </c>
      <c r="II36">
        <v>663200.97890463797</v>
      </c>
      <c r="IJ36">
        <v>7822093.6625544699</v>
      </c>
      <c r="IK36">
        <v>257280</v>
      </c>
      <c r="IL36">
        <v>0</v>
      </c>
      <c r="IM36">
        <v>257280</v>
      </c>
      <c r="IN36">
        <v>10394780.677542301</v>
      </c>
      <c r="IO36">
        <v>119566288.841904</v>
      </c>
      <c r="IP36">
        <v>129961069.519446</v>
      </c>
      <c r="IQ36">
        <v>536000</v>
      </c>
      <c r="IR36">
        <v>2600000</v>
      </c>
      <c r="IS36">
        <v>0</v>
      </c>
      <c r="IT36">
        <v>0</v>
      </c>
      <c r="IU36">
        <v>0</v>
      </c>
      <c r="IV36">
        <v>3136000</v>
      </c>
      <c r="IW36">
        <v>268000</v>
      </c>
      <c r="IX36">
        <v>1300000</v>
      </c>
      <c r="IY36">
        <v>0</v>
      </c>
      <c r="IZ36">
        <v>0</v>
      </c>
      <c r="JA36">
        <v>0</v>
      </c>
      <c r="JB36">
        <v>1568000</v>
      </c>
      <c r="JC36">
        <v>90000</v>
      </c>
      <c r="JD36">
        <v>434000</v>
      </c>
      <c r="JE36">
        <v>0</v>
      </c>
      <c r="JF36">
        <v>0</v>
      </c>
      <c r="JG36">
        <v>0</v>
      </c>
      <c r="JH36">
        <v>524000</v>
      </c>
    </row>
    <row r="37" spans="2:268" customFormat="1" x14ac:dyDescent="0.25">
      <c r="B37" s="2">
        <f ca="1">OFFSET(tblBaseCF[[#This Row],[Year]],-1,0)+1</f>
        <v>17</v>
      </c>
      <c r="C37" s="2">
        <f ca="1">(tblBaseCF[[#This Row],[Year]]&lt;=term)*1</f>
        <v>1</v>
      </c>
      <c r="D37" s="57">
        <f ca="1">(YEAR(rcd)+tblBaseCF[[#This Row],[Year]]-1)
*tblBaseCF[[#This Row],[PolTermFlag]]</f>
        <v>2041</v>
      </c>
      <c r="E37" s="57">
        <f ca="1">(mainLI_entry_age+tblBaseCF[[#This Row],[Year]]-1)
*tblBaseCF[[#This Row],[PolTermFlag]]</f>
        <v>16</v>
      </c>
      <c r="F37" s="57">
        <f ca="1">IF(tblBaseCF[[#This Row],[Year]]=1,1,OFFSET(tblBaseCF[[#This Row],[DeductFlag]],-1,0))
*tblBaseCF[[#This Row],[PolTermFlag]]</f>
        <v>0</v>
      </c>
      <c r="G3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7" s="57">
        <f ca="1">(tblBaseCF[[#This Row],[Year]]&lt;=acc_ben_term)
*tblBaseCF[[#This Row],[ContFlag]]</f>
        <v>0</v>
      </c>
      <c r="I37" s="57">
        <f ca="1">(tblBaseCF[[#This Row],[Year]]&lt;=tp_term)
*tblBaseCF[[#This Row],[ContFlag]]</f>
        <v>0</v>
      </c>
      <c r="J37" s="57">
        <f ca="1">(tblBaseCF[[#This Row],[Year]]&lt;=ep_term)
*tblBaseCF[[#This Row],[ContFlag]]</f>
        <v>0</v>
      </c>
      <c r="K37" s="57">
        <f ca="1">(tblBaseCF[[#This Row],[Year]]&lt;=em_load_term)*1</f>
        <v>0</v>
      </c>
      <c r="L37" s="57">
        <f ca="1">(tblBaseCF[[#This Row],[Year]]&lt;=pm_load_term)*1</f>
        <v>0</v>
      </c>
      <c r="M37" s="59">
        <f ca="1">IF(tblBaseCF[[#This Row],[Year]]=1,si,OFFSET(tblBaseCF[[#This Row],[EndSI]],-1,0))
*tblBaseCF[[#This Row],[ContFlag]]</f>
        <v>0</v>
      </c>
      <c r="N37" s="59">
        <f ca="1">OFFSET(tblBaseCF[[#This Row],[EndTAV]],-1,0)
*tblBaseCF[[#This Row],[ContFlag]]</f>
        <v>0</v>
      </c>
      <c r="O37" s="59">
        <f ca="1">OFFSET(tblBaseCF[[#This Row],[EndEAV]],-1,0)
*tblBaseCF[[#This Row],[ContFlag]]</f>
        <v>0</v>
      </c>
      <c r="P37" s="60">
        <f ca="1">tblBaseCF[[#This Row],[StartEAV]]+tblBaseCF[[#This Row],[StartTAV]]</f>
        <v>0</v>
      </c>
      <c r="Q37" s="61">
        <f ca="1">IFERROR(INDEX(tblJuvenileLienRate[Rate],MATCH(tblBaseCF[[#This Row],[Age]],tblJuvenileLienRate[Age],0)),1)
*tblBaseCF[[#This Row],[ContFlag]]</f>
        <v>0</v>
      </c>
      <c r="R3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7" s="62">
        <f ca="1">tblBaseCF[[#This Row],[StartSI]]*acc_ben_coeff*tblBaseCF[[#This Row],[JuvenileLienRate]]
*tblBaseCF[[#This Row],[AccBenTermFlag]]</f>
        <v>0</v>
      </c>
      <c r="T37" s="61">
        <f ca="1">(IFERROR(INDEX(tblSurrChrgRate[Rate],MATCH(tblBaseCF[[#This Row],[Year]],tblSurrChrgRate[Year],0)),0)
*tblBaseCF[[#This Row],[ContFlag]])</f>
        <v>0</v>
      </c>
      <c r="U37" s="60">
        <f ca="1">tp*tblBaseCF[[#This Row],[SrrChrgRate]]</f>
        <v>0</v>
      </c>
      <c r="V37" s="63">
        <f ca="1">MAX(tblBaseCF[[#This Row],[StartTAV]]-tblBaseCF[[#This Row],[SVChrg]],0)+tblBaseCF[[#This Row],[StartEAV]]</f>
        <v>0</v>
      </c>
      <c r="W37" s="59">
        <f ca="1">IFERROR(INDEX(tblWithdrawal_Output[Amount],MATCH(tblBaseCF[[#This Row],[Year]],tblWithdrawal_Output[Year],0)),0)
*tblBaseCF[[#This Row],[ContFlag]]</f>
        <v>0</v>
      </c>
      <c r="X37" s="59" t="b">
        <f ca="1">tblBaseCF[[#This Row],[WithdrawalInput]]&gt;0</f>
        <v>0</v>
      </c>
      <c r="Y37" s="59" t="b">
        <f ca="1">AND(tblBaseCF[[#This Row],[1stCheckProceed]],tblBaseCF[[#This Row],[WithdrawalInput]]&lt;=tblBaseCF[[#This Row],[StartPAV]])</f>
        <v>0</v>
      </c>
      <c r="Z37" s="59" t="b">
        <f ca="1">AND(tblBaseCF[[#This Row],[2ndCheckAmount]],(tblBaseCF[[#This Row],[StartPAV]]-tblBaseCF[[#This Row],[WithdrawalInput]])&gt;=min_pav_after_withdrawal)</f>
        <v>0</v>
      </c>
      <c r="AA3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7" s="59" t="b">
        <f ca="1">AND(tblBaseCF[[#This Row],[3rdCheckPAV]],tblBaseCF[[#This Row],[endSITest]]&gt;=min_base_si)</f>
        <v>0</v>
      </c>
      <c r="AC37" s="60">
        <f ca="1">tblBaseCF[[#This Row],[WithdrawalInput]]*tblBaseCF[[#This Row],[4thCheckSI]]</f>
        <v>0</v>
      </c>
      <c r="AD37" s="60">
        <f ca="1">MIN(tblBaseCF[[#This Row],[Withdrawal]],tblBaseCF[[#This Row],[StartEAV]])</f>
        <v>0</v>
      </c>
      <c r="AE37" s="60">
        <f ca="1">tblBaseCF[[#This Row],[Withdrawal]]-tblBaseCF[[#This Row],[EAVWithdrawal]]</f>
        <v>0</v>
      </c>
      <c r="AF37" s="60">
        <f ca="1">IF(tblBaseCF[[#This Row],[4thCheckSI]],tblBaseCF[[#This Row],[endSITest]],tblBaseCF[[#This Row],[StartSI]])</f>
        <v>0</v>
      </c>
      <c r="AG3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7" s="65">
        <f ca="1">IFERROR(INDEX(tblTPAllocChrgRate[Rate],MATCH(tblBaseCF[[#This Row],[Year]],tblTPAllocChrgRate[Year],0)),0)</f>
        <v>0.02</v>
      </c>
      <c r="AI37" s="62">
        <f ca="1">(tp+big_case_bonus_tp*(tblBaseCF[[#This Row],[Year]]=1))
*tblBaseCF[[#This Row],[TPTermFlag]]</f>
        <v>0</v>
      </c>
      <c r="AJ37" s="63">
        <f ca="1">tblBaseCF[[#This Row],[TP]]*tblBaseCF[[#This Row],[TPAllocChrgRate]]</f>
        <v>0</v>
      </c>
      <c r="AK37" s="60">
        <f ca="1">tblBaseCF[[#This Row],[TP]]-tblBaseCF[[#This Row],[TPAllocChrg]]</f>
        <v>0</v>
      </c>
      <c r="AL37" s="65">
        <f ca="1">IFERROR(INDEX(tblEPAllocChrgRate[Rate],MATCH(tblBaseCF[[#This Row],[Year]],tblEPAllocChrgRate[Year],0)),0)</f>
        <v>0.02</v>
      </c>
      <c r="AM37" s="60">
        <f ca="1">ep*tblBaseCF[[#This Row],[EPTermFlag]]</f>
        <v>0</v>
      </c>
      <c r="AN37" s="60">
        <f ca="1">tblBaseCF[[#This Row],[EP]]*tblBaseCF[[#This Row],[EPAllocChrgRate]]</f>
        <v>0</v>
      </c>
      <c r="AO37" s="63">
        <f ca="1">tblBaseCF[[#This Row],[EP]]-tblBaseCF[[#This Row],[EPAllocChrg]]</f>
        <v>0</v>
      </c>
      <c r="AP37" s="62">
        <f ca="1">tblBaseCF[[#This Row],[Ben]]*extra_prem_rate*em_load/1000/(1-tblBaseCF[[#This Row],[EPAllocChrgRate]])
*tblBaseCF[[#This Row],[EMLoadTermFlag]]</f>
        <v>0</v>
      </c>
      <c r="AQ37" s="62">
        <f ca="1">tblBaseCF[[#This Row],[Ben]]*pm_load/1000/(1-tblBaseCF[[#This Row],[EPAllocChrgRate]])
*tblBaseCF[[#This Row],[PMLoadTermFlag]]</f>
        <v>0</v>
      </c>
      <c r="AR37" s="60">
        <f ca="1">ROUNDUP(tblBaseCF[[#This Row],[UnroundedEMLoad]],-3)</f>
        <v>0</v>
      </c>
      <c r="AS37" s="62">
        <f ca="1">ROUNDUP(tblBaseCF[[#This Row],[Ben]]*pm_load/1000/(1-tblBaseCF[[#This Row],[EPAllocChrgRate]]),-3)
*tblBaseCF[[#This Row],[PMLoadTermFlag]]</f>
        <v>0</v>
      </c>
      <c r="AT37" s="60">
        <f ca="1">tblBaseCF[[#This Row],[EMLoad]]+tblBaseCF[[#This Row],[PMLoad]]</f>
        <v>0</v>
      </c>
      <c r="AU37" s="60">
        <f ca="1">tblBaseCF[[#This Row],[Load]]*tblBaseCF[[#This Row],[EPAllocChrgRate]]</f>
        <v>0</v>
      </c>
      <c r="AV37" s="60">
        <f ca="1">tblBaseCF[[#This Row],[Load]]-tblBaseCF[[#This Row],[LoadAllocChrg]]</f>
        <v>0</v>
      </c>
      <c r="AW37" s="60">
        <f ca="1">tblBaseCF[[#This Row],[TP]]+tblBaseCF[[#This Row],[EP]]+tblBaseCF[[#This Row],[Load]]</f>
        <v>0</v>
      </c>
      <c r="AX37" s="60">
        <f ca="1">tblBaseCF[[#This Row],[TPAllocChrg]]+tblBaseCF[[#This Row],[EPAllocChrg]]+tblBaseCF[[#This Row],[LoadAllocChrg]]</f>
        <v>0</v>
      </c>
      <c r="AY37" s="60">
        <f ca="1">tblBaseCF[[#This Row],[TPAlloc]]+tblBaseCF[[#This Row],[EPAlloc]]+tblBaseCF[[#This Row],[LoadAlloc]]</f>
        <v>0</v>
      </c>
      <c r="AZ37" s="60">
        <f ca="1">(OFFSET(tblBaseCF[[#This Row],[AccumTotalPrem]],-1,0)+tblBaseCF[[#This Row],[TotalPrem]])*tblBaseCF[[#This Row],[TPTermFlag]]</f>
        <v>0</v>
      </c>
      <c r="BA37" s="62">
        <f ca="1">(tblBaseCF[[#This Row],[StartTAV]]-tblBaseCF[[#This Row],[TAVWithdrawal]]+tblBaseCF[[#This Row],[TPAlloc]])
*tblBaseCF[[#This Row],[ContFlag]]</f>
        <v>0</v>
      </c>
      <c r="BB37" s="59">
        <f ca="1">(tblBaseCF[[#This Row],[StartEAV]]-tblBaseCF[[#This Row],[EAVWithdrawal]]+tblBaseCF[[#This Row],[EPAlloc]]+tblBaseCF[[#This Row],[LoadAlloc]])
*tblBaseCF[[#This Row],[ContFlag]]</f>
        <v>0</v>
      </c>
      <c r="BC37" s="59">
        <f ca="1">tblBaseCF[[#This Row],[TAVAfterWdrlAlloc]]+tblBaseCF[[#This Row],[EAVAfterWdrlAlloc]]</f>
        <v>0</v>
      </c>
      <c r="BD37" s="66">
        <f t="shared" si="2"/>
        <v>0</v>
      </c>
      <c r="BE37" s="67">
        <f>(1+tblBaseCF[[#This Row],[AnnualIntRate]])^(1/12)-1</f>
        <v>0</v>
      </c>
      <c r="BF37" s="68">
        <f>IFERROR(((1+tblBaseCF[[#This Row],[MonthlyIntRate]])^12-1)/12/(1-1/(1+tblBaseCF[[#This Row],[MonthlyIntRate]])),1)/(1+tblBaseCF[[#This Row],[AnnualIntRate]])</f>
        <v>1</v>
      </c>
      <c r="BG37" s="69">
        <f>PV(tblBaseCF[[#This Row],[MonthlyIntRate]],12,-1/12,,1)</f>
        <v>1</v>
      </c>
      <c r="BH37" s="60">
        <f ca="1">MAX(IF(death_tpd_option="A",tblBaseCF[[#This Row],[Ben]]-tblBaseCF[[#This Row],[StartPAV]],tblBaseCF[[#This Row],[Ben]]),0)</f>
        <v>0</v>
      </c>
      <c r="BI37" s="70">
        <f ca="1">IFERROR(INDEX(tblBaseCOIRate[Rate],MATCH(tblBaseCF[[#This Row],[Age]],tblBaseCOIRate[Age],0)),0)</f>
        <v>9.2000000000003201E-4</v>
      </c>
      <c r="BJ37" s="60">
        <f ca="1">tblBaseCF[[#This Row],[SAR]]*tblBaseCF[[#This Row],[COIRate]]</f>
        <v>0</v>
      </c>
      <c r="BK37" s="62">
        <f ca="1">em_load*tblBaseCF[[#This Row],[pStandardCOI]]
*tblBaseCF[[#This Row],[EMLoadTermFlag]]</f>
        <v>0</v>
      </c>
      <c r="BL37" s="62">
        <f ca="1">pm_load/1000*tblBaseCF[[#This Row],[SAR]]
*tblBaseCF[[#This Row],[PMLoadTermFlag]]</f>
        <v>0</v>
      </c>
      <c r="BM37" s="60">
        <f ca="1">tblBaseCF[[#This Row],[AccBen]]*monthly_acc_coi*12</f>
        <v>0</v>
      </c>
      <c r="BN37" s="60">
        <f ca="1">tblBaseCF[[#This Row],[pStandardCOI]]+tblBaseCF[[#This Row],[pEMLoadCOI]]+tblBaseCF[[#This Row],[pPMLoadCOI]]+tblBaseCF[[#This Row],[pAccCOI]]</f>
        <v>0</v>
      </c>
      <c r="BO37" s="62">
        <f ca="1">IFERROR(INDEX(tblAdminChrg[Amount],MATCH(tblBaseCF[[#This Row],[CalYear]],tblAdminChrg[Cal_Year],0)),0)
*tblBaseCF[[#This Row],[ContFlag]]</f>
        <v>0</v>
      </c>
      <c r="BP37" s="60">
        <f ca="1">tblBaseCF[[#This Row],[pMonthlyAdminChrg]]*12</f>
        <v>0</v>
      </c>
      <c r="BQ37" s="60">
        <f ca="1">tblBaseCF[[#This Row],[pCOI]]+tblBaseCF[[#This Row],[pAdminChrg]]</f>
        <v>0</v>
      </c>
      <c r="BR37" s="60">
        <f ca="1">tblBaseCF[[#This Row],[pNomDeduct]]*tblBaseCF[[#This Row],[Duean1m12]]</f>
        <v>0</v>
      </c>
      <c r="BS37" s="57">
        <f ca="1">(tblBaseCF[[#This Row],[PAVAfterWdrlAlloc]]&gt;=tblBaseCF[[#This Row],[pNomDeduct]])
*tblBaseCF[[#This Row],[ContFlag]]</f>
        <v>0</v>
      </c>
      <c r="BT37" s="60">
        <f ca="1">tblBaseCF[[#This Row],[pStandardCOI]]*tblBaseCF[[#This Row],[DeductFlag]]</f>
        <v>0</v>
      </c>
      <c r="BU37" s="60">
        <f ca="1">tblBaseCF[[#This Row],[pEMLoadCOI]]*tblBaseCF[[#This Row],[DeductFlag]]</f>
        <v>0</v>
      </c>
      <c r="BV37" s="60">
        <f ca="1">tblBaseCF[[#This Row],[pPMLoadCOI]]*tblBaseCF[[#This Row],[DeductFlag]]</f>
        <v>0</v>
      </c>
      <c r="BW37" s="60">
        <f ca="1">tblBaseCF[[#This Row],[pAccCOI]]*tblBaseCF[[#This Row],[DeductFlag]]</f>
        <v>0</v>
      </c>
      <c r="BX37" s="60">
        <f ca="1">tblBaseCF[[#This Row],[pCOI]]*tblBaseCF[[#This Row],[DeductFlag]]</f>
        <v>0</v>
      </c>
      <c r="BY37" s="60">
        <f ca="1">tblBaseCF[[#This Row],[pMonthlyAdminChrg]]*tblBaseCF[[#This Row],[DeductFlag]]</f>
        <v>0</v>
      </c>
      <c r="BZ37" s="60">
        <f ca="1">tblBaseCF[[#This Row],[pAdminChrg]]*tblBaseCF[[#This Row],[DeductFlag]]</f>
        <v>0</v>
      </c>
      <c r="CA37" s="60">
        <f ca="1">tblBaseCF[[#This Row],[pNomDeduct]]*tblBaseCF[[#This Row],[DeductFlag]]</f>
        <v>0</v>
      </c>
      <c r="CB37" s="60">
        <f ca="1">tblBaseCF[[#This Row],[pDeduct]]*tblBaseCF[[#This Row],[DeductFlag]]</f>
        <v>0</v>
      </c>
      <c r="CC37" s="60">
        <f ca="1">MIN(tblBaseCF[[#This Row],[TAVAfterWdrlAlloc]],tblBaseCF[[#This Row],[Deduct]])</f>
        <v>0</v>
      </c>
      <c r="CD37" s="60">
        <f ca="1">tblBaseCF[[#This Row],[Deduct]]-tblBaseCF[[#This Row],[TAVDeduct]]</f>
        <v>0</v>
      </c>
      <c r="CE37" s="69">
        <f ca="1">(tblBaseCF[[#This Row],[TAVAfterWdrlAlloc]]-tblBaseCF[[#This Row],[TAVDeduct]])*tblBaseCF[[#This Row],[AnnualIntRate]]
*tblBaseCF[[#This Row],[DeductFlag]]</f>
        <v>0</v>
      </c>
      <c r="CF37" s="69">
        <f ca="1">(tblBaseCF[[#This Row],[EAVAfterWdrlAlloc]]-tblBaseCF[[#This Row],[EAVDeduct]])*tblBaseCF[[#This Row],[AnnualIntRate]]
*tblBaseCF[[#This Row],[DeductFlag]]</f>
        <v>0</v>
      </c>
      <c r="CG37" s="69">
        <f ca="1">tblBaseCF[[#This Row],[TAVInt]]+tblBaseCF[[#This Row],[EAVInt]]</f>
        <v>0</v>
      </c>
      <c r="CH37" s="62">
        <f ca="1">IFERROR(INDEX(tblLBRate[Rate],MATCH(tblBaseCF[[#This Row],[Year]],tblLBRate[Year],0)),0)
*tblBaseCF[[#This Row],[DeductFlag]]</f>
        <v>0</v>
      </c>
      <c r="CI37" s="60">
        <f ca="1">IFERROR(SUM(OFFSET(tblBaseCF[[#This Row],[TAVWithdrawal]],0,0,-lb_review_period,1)),0)
*(tblBaseCF[[#This Row],[LBRate]]&gt;0)</f>
        <v>0</v>
      </c>
      <c r="CJ37" s="60">
        <f ca="1">(tblBaseCF[[#This Row],[LBRate]]&gt;0)*(tblBaseCF[[#This Row],[LBTAVWithdrawal]]=0)</f>
        <v>0</v>
      </c>
      <c r="CK37" s="62" cm="1">
        <f t="array" aca="1" ref="CK37" ca="1">IF(tblBaseCF[[#This Row],[LBFlag]],
_xlfn.SWITCH(base,
"ILP1",AVERAGE(OFFSET(tblBaseCF[TP],0,0,-lb_review_period,1)),tp),0)
*tblBaseCF[[#This Row],[LBFlag]]</f>
        <v>0</v>
      </c>
      <c r="CL37" s="62">
        <f ca="1">tblBaseCF[[#This Row],[LBBasis]]*tblBaseCF[[#This Row],[LBRate]]</f>
        <v>0</v>
      </c>
      <c r="CM37" s="57" cm="1">
        <f t="array" aca="1" ref="CM37" ca="1">_xlfn.SWITCH(base,
"ILP1",0,($AF137&lt;500000000)*1
+($AF137&gt;=500000000)*($AF137&lt;1000000000)*2
+($AF137&gt;=1000000000)*3)
*tblBaseCF[[#This Row],[DeductFlag]]</f>
        <v>0</v>
      </c>
      <c r="CN37" s="2" t="str">
        <f ca="1">IF(tblBaseCF[[#This Row],[DeductFlag]],base&amp;"_"&amp;tblBaseCF[[#This Row],[SBCode]]&amp;"_"&amp;tblBaseCF[[#This Row],[Year]],"")</f>
        <v/>
      </c>
      <c r="CO37" s="3">
        <f ca="1">IFERROR(INDEX(tblSBRate[Index],MATCH(tblBaseCF[[#This Row],[SBIndex]],tblSBRate[Rate],0)),0)</f>
        <v>0</v>
      </c>
      <c r="CP37" s="63">
        <f ca="1">IFERROR(SUM(OFFSET(tblBaseCF[[#This Row],[TAVWithdrawal]],0,0,-sb_review_period,1)),0)
*(tblBaseCF[[#This Row],[SBRate]]&gt;0)</f>
        <v>0</v>
      </c>
      <c r="CQ37" s="63">
        <f ca="1">(tblBaseCF[[#This Row],[SBRate]]&gt;0)*(tblBaseCF[[#This Row],[SBTAVWithdrawal]]=0)</f>
        <v>0</v>
      </c>
      <c r="CR37" s="59" cm="1">
        <f t="array" aca="1" ref="CR37" ca="1">IF(tblBaseCF[[#This Row],[LBFlag]],
_xlfn.SWITCH(base,
"ILP1",0,tp),0)*tblBaseCF[[#This Row],[SBFlag]]</f>
        <v>0</v>
      </c>
      <c r="CS37" s="63">
        <f ca="1">tblBaseCF[[#This Row],[SBBasis]]*tblBaseCF[[#This Row],[SBRate]]</f>
        <v>0</v>
      </c>
      <c r="CT37" s="63">
        <f ca="1">tblBaseCF[[#This Row],[LB]]+tblBaseCF[[#This Row],[SB]]</f>
        <v>0</v>
      </c>
      <c r="CU37" s="59">
        <f ca="1">tblBaseCF[[#This Row],[TAVAfterWdrlAlloc]]-tblBaseCF[[#This Row],[TAVDeduct]]+tblBaseCF[[#This Row],[TAVInt]]+tblBaseCF[[#This Row],[Bonus]]</f>
        <v>0</v>
      </c>
      <c r="CV37" s="59">
        <f ca="1">tblBaseCF[[#This Row],[EAVAfterWdrlAlloc]]-tblBaseCF[[#This Row],[EAVDeduct]]+tblBaseCF[[#This Row],[EAVInt]]</f>
        <v>0</v>
      </c>
      <c r="CW37" s="63">
        <f ca="1">tblBaseCF[[#This Row],[EndTAV]]+tblBaseCF[[#This Row],[EndEAV]]</f>
        <v>0</v>
      </c>
      <c r="CX37" s="59">
        <f ca="1">INDEX(tblPlanPrem[TP],2)
*tblBaseCF[[#This Row],[TPTermFlag]]</f>
        <v>0</v>
      </c>
      <c r="CY37" s="59">
        <f ca="1">INDEX(tblPlanPrem[EP],2)
*tblBaseCF[[#This Row],[TPTermFlag]]</f>
        <v>0</v>
      </c>
      <c r="CZ37" s="63">
        <f ca="1">ROUNDUP(tblBaseCF[[#This Row],[UnroundedEMLoad]]*INDEX(tblPlanPrem[Factor],2),-3)</f>
        <v>0</v>
      </c>
      <c r="DA37" s="63">
        <f ca="1">ROUNDUP(tblBaseCF[[#This Row],[UnroundedPMLoad]]*INDEX(tblPlanPrem[Factor],2),-3)</f>
        <v>0</v>
      </c>
      <c r="DB37" s="63">
        <f ca="1">tblBaseCF[[#This Row],[SemiAnnualEMLoad]]+tblBaseCF[[#This Row],[SemiAnnualPMLoad]]</f>
        <v>0</v>
      </c>
      <c r="DC37" s="63">
        <f ca="1">tblBaseCF[[#This Row],[SemiAnnualTP]]+tblBaseCF[[#This Row],[SemiAnnualEP]]+tblBaseCF[[#This Row],[SemiAnnualLoad]]</f>
        <v>0</v>
      </c>
      <c r="DD37" s="59">
        <f ca="1">INDEX(tblPlanPrem[TP],3)
*tblBaseCF[[#This Row],[TPTermFlag]]</f>
        <v>0</v>
      </c>
      <c r="DE37" s="59">
        <f ca="1">INDEX(tblPlanPrem[EP],3)
*tblBaseCF[[#This Row],[TPTermFlag]]</f>
        <v>0</v>
      </c>
      <c r="DF37" s="63">
        <f ca="1">ROUNDUP(tblBaseCF[[#This Row],[UnroundedEMLoad]]*INDEX(tblPlanPrem[Factor],3),-3)</f>
        <v>0</v>
      </c>
      <c r="DG37" s="63">
        <f ca="1">ROUNDUP(tblBaseCF[[#This Row],[UnroundedPMLoad]]*INDEX(tblPlanPrem[Factor],3),-3)</f>
        <v>0</v>
      </c>
      <c r="DH37" s="60">
        <f ca="1">tblBaseCF[[#This Row],[QuarterlyEMLoad]]+tblBaseCF[[#This Row],[QuarterlyPMLoad]]</f>
        <v>0</v>
      </c>
      <c r="DI37" s="60">
        <f ca="1">tblBaseCF[[#This Row],[QuarterlyTP]]+tblBaseCF[[#This Row],[QuarterlyEP]]+tblBaseCF[[#This Row],[QuarterlyLoad]]</f>
        <v>0</v>
      </c>
      <c r="DJ37" s="59">
        <f ca="1">INDEX(tblPlanPrem[TP],4)
*tblBaseCF[[#This Row],[TPTermFlag]]</f>
        <v>0</v>
      </c>
      <c r="DK37" s="59">
        <f ca="1">INDEX(tblPlanPrem[EP],4)
*tblBaseCF[[#This Row],[TPTermFlag]]</f>
        <v>0</v>
      </c>
      <c r="DL37" s="63">
        <f ca="1">ROUNDUP(tblBaseCF[[#This Row],[UnroundedEMLoad]]*INDEX(tblPlanPrem[Factor],4),-3)</f>
        <v>0</v>
      </c>
      <c r="DM37" s="63">
        <f ca="1">ROUNDUP(tblBaseCF[[#This Row],[UnroundedPMLoad]]*INDEX(tblPlanPrem[Factor],4),-3)</f>
        <v>0</v>
      </c>
      <c r="DN37" s="60">
        <f ca="1">tblBaseCF[[#This Row],[MonthlyEMLoad]]+tblBaseCF[[#This Row],[MonthlyPMLoad]]</f>
        <v>0</v>
      </c>
      <c r="DO37" s="63">
        <f ca="1">tblBaseCF[[#This Row],[MonthlyTP]]+tblBaseCF[[#This Row],[MonthlyEP]]+tblBaseCF[[#This Row],[MonthlyLoad]]</f>
        <v>0</v>
      </c>
      <c r="DP37" s="3"/>
      <c r="DS37">
        <f t="shared" si="3"/>
        <v>0</v>
      </c>
      <c r="DT37">
        <f t="shared" si="4"/>
        <v>0</v>
      </c>
      <c r="DU37">
        <f t="shared" si="5"/>
        <v>0</v>
      </c>
      <c r="DV37">
        <f ca="1">tblBaseCF[[#This Row],[Year]]</f>
        <v>17</v>
      </c>
      <c r="DW37">
        <f ca="1">tblBaseCF[[#This Row],[Age]]</f>
        <v>16</v>
      </c>
      <c r="DX37">
        <f ca="1">tblBaseCF[[#This Row],[ContFlag]]</f>
        <v>0</v>
      </c>
      <c r="DY37" t="str">
        <f ca="1">tblBaseCF[[#This Row],[ContLog]]</f>
        <v>Insufficient PAV for deduction - Discontinue.</v>
      </c>
      <c r="DZ37">
        <f ca="1">tblBaseCF[[#This Row],[StartTAV]]</f>
        <v>0</v>
      </c>
      <c r="EA37">
        <f ca="1">tblBaseCF[[#This Row],[StartEAV]]</f>
        <v>0</v>
      </c>
      <c r="EB37">
        <f ca="1">tblBaseCF[[#This Row],[StartPAV]]</f>
        <v>0</v>
      </c>
      <c r="EC37">
        <f ca="1">tblBaseCF[[#This Row],[SVChrg]]</f>
        <v>0</v>
      </c>
      <c r="ED37">
        <f ca="1">tblBaseCF[[#This Row],[SV]]</f>
        <v>0</v>
      </c>
      <c r="EE37">
        <f ca="1">tblBaseCF[[#This Row],[Ben]]</f>
        <v>0</v>
      </c>
      <c r="EF37">
        <f ca="1">tblBaseCF[[#This Row],[AccBen]]</f>
        <v>0</v>
      </c>
      <c r="EG37">
        <f ca="1">tblBaseCF[[#This Row],[WithdrawalInput]]</f>
        <v>0</v>
      </c>
      <c r="EH37" t="str">
        <f ca="1">tblBaseCF[[#This Row],[WithdrawalLog]]</f>
        <v>No withdrawal.</v>
      </c>
      <c r="EI37">
        <f ca="1">tblBaseCF[[#This Row],[TAVWithdrawal]]</f>
        <v>0</v>
      </c>
      <c r="EJ37">
        <f ca="1">tblBaseCF[[#This Row],[EAVWithdrawal]]</f>
        <v>0</v>
      </c>
      <c r="EK37">
        <f ca="1">tblBaseCF[[#This Row],[Withdrawal]]</f>
        <v>0</v>
      </c>
      <c r="EL37">
        <f ca="1">tblBaseCF[[#This Row],[TP]]</f>
        <v>0</v>
      </c>
      <c r="EM37">
        <f ca="1">tblBaseCF[[#This Row],[TPAllocChrg]]</f>
        <v>0</v>
      </c>
      <c r="EN37">
        <f ca="1">tblBaseCF[[#This Row],[TPAlloc]]</f>
        <v>0</v>
      </c>
      <c r="EO37">
        <f ca="1">tblBaseCF[[#This Row],[EP]]</f>
        <v>0</v>
      </c>
      <c r="EP37">
        <f ca="1">tblBaseCF[[#This Row],[EPAllocChrg]]</f>
        <v>0</v>
      </c>
      <c r="EQ37">
        <f ca="1">tblBaseCF[[#This Row],[EPAlloc]]</f>
        <v>0</v>
      </c>
      <c r="ER37">
        <f ca="1">tblBaseCF[[#This Row],[EMLoad]]</f>
        <v>0</v>
      </c>
      <c r="ES37">
        <f ca="1">tblBaseCF[[#This Row],[PMLoad]]</f>
        <v>0</v>
      </c>
      <c r="ET37">
        <f ca="1">tblBaseCF[[#This Row],[Load]]</f>
        <v>0</v>
      </c>
      <c r="EU37">
        <f ca="1">tblBaseCF[[#This Row],[LoadAllocChrg]]</f>
        <v>0</v>
      </c>
      <c r="EV37">
        <f ca="1">tblBaseCF[[#This Row],[LoadAlloc]]</f>
        <v>0</v>
      </c>
      <c r="EW37">
        <f ca="1">tblBaseCF[[#This Row],[TotalPrem]]</f>
        <v>0</v>
      </c>
      <c r="EX37">
        <f ca="1">tblBaseCF[[#This Row],[AllocChrg]]</f>
        <v>0</v>
      </c>
      <c r="EY37">
        <f ca="1">tblBaseCF[[#This Row],[Alloc]]</f>
        <v>0</v>
      </c>
      <c r="EZ37">
        <f ca="1">tblBaseCF[[#This Row],[AccumTotalPrem]]</f>
        <v>0</v>
      </c>
      <c r="FA37">
        <f>tblBaseCF[[#This Row],[AnnualIntRate]]</f>
        <v>0</v>
      </c>
      <c r="FB37" s="50">
        <f>tblBaseCF[[#This Row],[Duean1m12]]</f>
        <v>1</v>
      </c>
      <c r="FC37">
        <f ca="1">tblBaseCF[[#This Row],[DeductFlag]]</f>
        <v>0</v>
      </c>
      <c r="FD37">
        <f ca="1">tblBaseCF[[#This Row],[AdminChrg]]</f>
        <v>0</v>
      </c>
      <c r="FE37">
        <f ca="1">tblBaseCF[[#This Row],[StandardCOI]]</f>
        <v>0</v>
      </c>
      <c r="FF37">
        <f ca="1">tblBaseCF[[#This Row],[EMLoadCOI]]</f>
        <v>0</v>
      </c>
      <c r="FG37">
        <f ca="1">tblBaseCF[[#This Row],[PMLoadCOI]]</f>
        <v>0</v>
      </c>
      <c r="FH37">
        <f ca="1">tblBaseCF[[#This Row],[COI]]</f>
        <v>0</v>
      </c>
      <c r="FI37" s="47">
        <f ca="1">tblBaseCF[[#This Row],[NomDeduct]]</f>
        <v>0</v>
      </c>
      <c r="FJ37">
        <f ca="1">tblBaseCF[[#This Row],[Deduct]]</f>
        <v>0</v>
      </c>
      <c r="FK37">
        <f ca="1">tblBaseCF[[#This Row],[TAVDeduct]]</f>
        <v>0</v>
      </c>
      <c r="FL37">
        <f ca="1">tblBaseCF[[#This Row],[EAVDeduct]]</f>
        <v>0</v>
      </c>
      <c r="FM37" s="24">
        <f ca="1">tblBaseCF[[#This Row],[TAVInt]]</f>
        <v>0</v>
      </c>
      <c r="FN37">
        <f ca="1">tblBaseCF[[#This Row],[EAVInt]]</f>
        <v>0</v>
      </c>
      <c r="FO37" s="47">
        <f ca="1">tblBaseCF[[#This Row],[LB]]</f>
        <v>0</v>
      </c>
      <c r="FP37">
        <f ca="1">tblBaseCF[[#This Row],[SB]]</f>
        <v>0</v>
      </c>
      <c r="FQ37">
        <f ca="1">tblBaseCF[[#This Row],[Bonus]]</f>
        <v>0</v>
      </c>
      <c r="FR37">
        <f ca="1">tblBaseCF[[#This Row],[EndTAV]]</f>
        <v>0</v>
      </c>
      <c r="FS37">
        <f ca="1">tblBaseCF[[#This Row],[EndEAV]]</f>
        <v>0</v>
      </c>
      <c r="FT37">
        <f ca="1">tblBaseCF[[#This Row],[EndPAV]]</f>
        <v>0</v>
      </c>
      <c r="FU37">
        <f ca="1">tblBaseCF[[#This Row],[SemiAnnualTP]]</f>
        <v>0</v>
      </c>
      <c r="FV37">
        <f ca="1">tblBaseCF[[#This Row],[SemiAnnualEP]]</f>
        <v>0</v>
      </c>
      <c r="FW37">
        <f ca="1">tblBaseCF[[#This Row],[SemiAnnualEMLoad]]</f>
        <v>0</v>
      </c>
      <c r="FX37">
        <f ca="1">tblBaseCF[[#This Row],[SemiAnnualPMLoad]]</f>
        <v>0</v>
      </c>
      <c r="FY37">
        <f ca="1">tblBaseCF[[#This Row],[SemiAnnualLoad]]</f>
        <v>0</v>
      </c>
      <c r="FZ37">
        <f ca="1">tblBaseCF[[#This Row],[SemiAnnualTotalPrem]]</f>
        <v>0</v>
      </c>
      <c r="GA37">
        <f ca="1">tblBaseCF[[#This Row],[QuarterlyTP]]</f>
        <v>0</v>
      </c>
      <c r="GB37">
        <f ca="1">tblBaseCF[[#This Row],[QuarterlyEP]]</f>
        <v>0</v>
      </c>
      <c r="GC37">
        <f ca="1">tblBaseCF[[#This Row],[QuarterlyEMLoad]]</f>
        <v>0</v>
      </c>
      <c r="GD37">
        <f ca="1">tblBaseCF[[#This Row],[QuarterlyPMLoad]]</f>
        <v>0</v>
      </c>
      <c r="GE37">
        <f ca="1">tblBaseCF[[#This Row],[QuarterlyLoad]]</f>
        <v>0</v>
      </c>
      <c r="GF37">
        <f ca="1">tblBaseCF[[#This Row],[QuarterlyTotalPrem]]</f>
        <v>0</v>
      </c>
      <c r="GG37">
        <f ca="1">tblBaseCF[[#This Row],[MonthlyTP]]</f>
        <v>0</v>
      </c>
      <c r="GH37">
        <f ca="1">tblBaseCF[[#This Row],[MonthlyEP]]</f>
        <v>0</v>
      </c>
      <c r="GI37">
        <f ca="1">tblBaseCF[[#This Row],[MonthlyEMLoad]]</f>
        <v>0</v>
      </c>
      <c r="GJ37">
        <f ca="1">tblBaseCF[[#This Row],[MonthlyPMLoad]]</f>
        <v>0</v>
      </c>
      <c r="GK37">
        <f ca="1">tblBaseCF[[#This Row],[MonthlyLoad]]</f>
        <v>0</v>
      </c>
      <c r="GL37">
        <f ca="1">tblBaseCF[[#This Row],[MonthlyTotalPrem]]</f>
        <v>0</v>
      </c>
      <c r="GO37" t="s">
        <v>134</v>
      </c>
      <c r="GP37" t="s">
        <v>135</v>
      </c>
      <c r="GQ37" t="s">
        <v>502</v>
      </c>
      <c r="GR37">
        <v>17</v>
      </c>
      <c r="GS37">
        <v>16</v>
      </c>
      <c r="GT37">
        <v>1</v>
      </c>
      <c r="GU37" t="s">
        <v>457</v>
      </c>
      <c r="GV37">
        <v>10394780.677542301</v>
      </c>
      <c r="GW37">
        <v>119566288.841904</v>
      </c>
      <c r="GX37">
        <v>129961069.519446</v>
      </c>
      <c r="GY37">
        <v>0</v>
      </c>
      <c r="GZ37">
        <v>129961069.519446</v>
      </c>
      <c r="HA37">
        <v>129961069.519446</v>
      </c>
      <c r="HB37">
        <v>303000000</v>
      </c>
      <c r="HC37">
        <v>0</v>
      </c>
      <c r="HD37" t="s">
        <v>137</v>
      </c>
      <c r="HE37">
        <v>0</v>
      </c>
      <c r="HF37">
        <v>0</v>
      </c>
      <c r="HG37">
        <v>0</v>
      </c>
      <c r="HH37">
        <v>1072000</v>
      </c>
      <c r="HI37">
        <v>21440</v>
      </c>
      <c r="HJ37">
        <v>1050560</v>
      </c>
      <c r="HK37">
        <v>5200000</v>
      </c>
      <c r="HL37">
        <v>104000</v>
      </c>
      <c r="HM37">
        <v>5096000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6272000</v>
      </c>
      <c r="HT37">
        <v>125440</v>
      </c>
      <c r="HU37">
        <v>6146560</v>
      </c>
      <c r="HV37">
        <v>106624000</v>
      </c>
      <c r="HW37">
        <v>7.0000000000000007E-2</v>
      </c>
      <c r="HX37">
        <v>0.96964931039809399</v>
      </c>
      <c r="HY37">
        <v>1</v>
      </c>
      <c r="HZ37">
        <v>300000</v>
      </c>
      <c r="IA37">
        <v>0</v>
      </c>
      <c r="IB37">
        <v>0</v>
      </c>
      <c r="IC37">
        <v>0</v>
      </c>
      <c r="ID37">
        <v>272700</v>
      </c>
      <c r="IE37">
        <v>572700</v>
      </c>
      <c r="IF37">
        <v>555318.16006498795</v>
      </c>
      <c r="IG37">
        <v>555318.16006498795</v>
      </c>
      <c r="IH37">
        <v>0</v>
      </c>
      <c r="II37">
        <v>762301.57622341404</v>
      </c>
      <c r="IJ37">
        <v>8726360.2189332806</v>
      </c>
      <c r="IK37">
        <v>0</v>
      </c>
      <c r="IL37">
        <v>0</v>
      </c>
      <c r="IM37">
        <v>0</v>
      </c>
      <c r="IN37">
        <v>11652324.0937008</v>
      </c>
      <c r="IO37">
        <v>133388649.060837</v>
      </c>
      <c r="IP37">
        <v>145040973.15453801</v>
      </c>
      <c r="IQ37">
        <v>536000</v>
      </c>
      <c r="IR37">
        <v>2600000</v>
      </c>
      <c r="IS37">
        <v>0</v>
      </c>
      <c r="IT37">
        <v>0</v>
      </c>
      <c r="IU37">
        <v>0</v>
      </c>
      <c r="IV37">
        <v>3136000</v>
      </c>
      <c r="IW37">
        <v>268000</v>
      </c>
      <c r="IX37">
        <v>1300000</v>
      </c>
      <c r="IY37">
        <v>0</v>
      </c>
      <c r="IZ37">
        <v>0</v>
      </c>
      <c r="JA37">
        <v>0</v>
      </c>
      <c r="JB37">
        <v>1568000</v>
      </c>
      <c r="JC37">
        <v>90000</v>
      </c>
      <c r="JD37">
        <v>434000</v>
      </c>
      <c r="JE37">
        <v>0</v>
      </c>
      <c r="JF37">
        <v>0</v>
      </c>
      <c r="JG37">
        <v>0</v>
      </c>
      <c r="JH37">
        <v>524000</v>
      </c>
    </row>
    <row r="38" spans="2:268" customFormat="1" x14ac:dyDescent="0.25">
      <c r="B38" s="2">
        <f ca="1">OFFSET(tblBaseCF[[#This Row],[Year]],-1,0)+1</f>
        <v>18</v>
      </c>
      <c r="C38" s="2">
        <f ca="1">(tblBaseCF[[#This Row],[Year]]&lt;=term)*1</f>
        <v>1</v>
      </c>
      <c r="D38" s="57">
        <f ca="1">(YEAR(rcd)+tblBaseCF[[#This Row],[Year]]-1)
*tblBaseCF[[#This Row],[PolTermFlag]]</f>
        <v>2042</v>
      </c>
      <c r="E38" s="57">
        <f ca="1">(mainLI_entry_age+tblBaseCF[[#This Row],[Year]]-1)
*tblBaseCF[[#This Row],[PolTermFlag]]</f>
        <v>17</v>
      </c>
      <c r="F38" s="57">
        <f ca="1">IF(tblBaseCF[[#This Row],[Year]]=1,1,OFFSET(tblBaseCF[[#This Row],[DeductFlag]],-1,0))
*tblBaseCF[[#This Row],[PolTermFlag]]</f>
        <v>0</v>
      </c>
      <c r="G3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8" s="57">
        <f ca="1">(tblBaseCF[[#This Row],[Year]]&lt;=acc_ben_term)
*tblBaseCF[[#This Row],[ContFlag]]</f>
        <v>0</v>
      </c>
      <c r="I38" s="57">
        <f ca="1">(tblBaseCF[[#This Row],[Year]]&lt;=tp_term)
*tblBaseCF[[#This Row],[ContFlag]]</f>
        <v>0</v>
      </c>
      <c r="J38" s="57">
        <f ca="1">(tblBaseCF[[#This Row],[Year]]&lt;=ep_term)
*tblBaseCF[[#This Row],[ContFlag]]</f>
        <v>0</v>
      </c>
      <c r="K38" s="57">
        <f ca="1">(tblBaseCF[[#This Row],[Year]]&lt;=em_load_term)*1</f>
        <v>0</v>
      </c>
      <c r="L38" s="57">
        <f ca="1">(tblBaseCF[[#This Row],[Year]]&lt;=pm_load_term)*1</f>
        <v>0</v>
      </c>
      <c r="M38" s="59">
        <f ca="1">IF(tblBaseCF[[#This Row],[Year]]=1,si,OFFSET(tblBaseCF[[#This Row],[EndSI]],-1,0))
*tblBaseCF[[#This Row],[ContFlag]]</f>
        <v>0</v>
      </c>
      <c r="N38" s="59">
        <f ca="1">OFFSET(tblBaseCF[[#This Row],[EndTAV]],-1,0)
*tblBaseCF[[#This Row],[ContFlag]]</f>
        <v>0</v>
      </c>
      <c r="O38" s="59">
        <f ca="1">OFFSET(tblBaseCF[[#This Row],[EndEAV]],-1,0)
*tblBaseCF[[#This Row],[ContFlag]]</f>
        <v>0</v>
      </c>
      <c r="P38" s="60">
        <f ca="1">tblBaseCF[[#This Row],[StartEAV]]+tblBaseCF[[#This Row],[StartTAV]]</f>
        <v>0</v>
      </c>
      <c r="Q38" s="61">
        <f ca="1">IFERROR(INDEX(tblJuvenileLienRate[Rate],MATCH(tblBaseCF[[#This Row],[Age]],tblJuvenileLienRate[Age],0)),1)
*tblBaseCF[[#This Row],[ContFlag]]</f>
        <v>0</v>
      </c>
      <c r="R3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8" s="62">
        <f ca="1">tblBaseCF[[#This Row],[StartSI]]*acc_ben_coeff*tblBaseCF[[#This Row],[JuvenileLienRate]]
*tblBaseCF[[#This Row],[AccBenTermFlag]]</f>
        <v>0</v>
      </c>
      <c r="T38" s="61">
        <f ca="1">(IFERROR(INDEX(tblSurrChrgRate[Rate],MATCH(tblBaseCF[[#This Row],[Year]],tblSurrChrgRate[Year],0)),0)
*tblBaseCF[[#This Row],[ContFlag]])</f>
        <v>0</v>
      </c>
      <c r="U38" s="60">
        <f ca="1">tp*tblBaseCF[[#This Row],[SrrChrgRate]]</f>
        <v>0</v>
      </c>
      <c r="V38" s="63">
        <f ca="1">MAX(tblBaseCF[[#This Row],[StartTAV]]-tblBaseCF[[#This Row],[SVChrg]],0)+tblBaseCF[[#This Row],[StartEAV]]</f>
        <v>0</v>
      </c>
      <c r="W38" s="59">
        <f ca="1">IFERROR(INDEX(tblWithdrawal_Output[Amount],MATCH(tblBaseCF[[#This Row],[Year]],tblWithdrawal_Output[Year],0)),0)
*tblBaseCF[[#This Row],[ContFlag]]</f>
        <v>0</v>
      </c>
      <c r="X38" s="59" t="b">
        <f ca="1">tblBaseCF[[#This Row],[WithdrawalInput]]&gt;0</f>
        <v>0</v>
      </c>
      <c r="Y38" s="59" t="b">
        <f ca="1">AND(tblBaseCF[[#This Row],[1stCheckProceed]],tblBaseCF[[#This Row],[WithdrawalInput]]&lt;=tblBaseCF[[#This Row],[StartPAV]])</f>
        <v>0</v>
      </c>
      <c r="Z38" s="59" t="b">
        <f ca="1">AND(tblBaseCF[[#This Row],[2ndCheckAmount]],(tblBaseCF[[#This Row],[StartPAV]]-tblBaseCF[[#This Row],[WithdrawalInput]])&gt;=min_pav_after_withdrawal)</f>
        <v>0</v>
      </c>
      <c r="AA3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8" s="59" t="b">
        <f ca="1">AND(tblBaseCF[[#This Row],[3rdCheckPAV]],tblBaseCF[[#This Row],[endSITest]]&gt;=min_base_si)</f>
        <v>0</v>
      </c>
      <c r="AC38" s="60">
        <f ca="1">tblBaseCF[[#This Row],[WithdrawalInput]]*tblBaseCF[[#This Row],[4thCheckSI]]</f>
        <v>0</v>
      </c>
      <c r="AD38" s="60">
        <f ca="1">MIN(tblBaseCF[[#This Row],[Withdrawal]],tblBaseCF[[#This Row],[StartEAV]])</f>
        <v>0</v>
      </c>
      <c r="AE38" s="60">
        <f ca="1">tblBaseCF[[#This Row],[Withdrawal]]-tblBaseCF[[#This Row],[EAVWithdrawal]]</f>
        <v>0</v>
      </c>
      <c r="AF38" s="60">
        <f ca="1">IF(tblBaseCF[[#This Row],[4thCheckSI]],tblBaseCF[[#This Row],[endSITest]],tblBaseCF[[#This Row],[StartSI]])</f>
        <v>0</v>
      </c>
      <c r="AG3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8" s="65">
        <f ca="1">IFERROR(INDEX(tblTPAllocChrgRate[Rate],MATCH(tblBaseCF[[#This Row],[Year]],tblTPAllocChrgRate[Year],0)),0)</f>
        <v>0.02</v>
      </c>
      <c r="AI38" s="62">
        <f ca="1">(tp+big_case_bonus_tp*(tblBaseCF[[#This Row],[Year]]=1))
*tblBaseCF[[#This Row],[TPTermFlag]]</f>
        <v>0</v>
      </c>
      <c r="AJ38" s="63">
        <f ca="1">tblBaseCF[[#This Row],[TP]]*tblBaseCF[[#This Row],[TPAllocChrgRate]]</f>
        <v>0</v>
      </c>
      <c r="AK38" s="60">
        <f ca="1">tblBaseCF[[#This Row],[TP]]-tblBaseCF[[#This Row],[TPAllocChrg]]</f>
        <v>0</v>
      </c>
      <c r="AL38" s="65">
        <f ca="1">IFERROR(INDEX(tblEPAllocChrgRate[Rate],MATCH(tblBaseCF[[#This Row],[Year]],tblEPAllocChrgRate[Year],0)),0)</f>
        <v>0.02</v>
      </c>
      <c r="AM38" s="60">
        <f ca="1">ep*tblBaseCF[[#This Row],[EPTermFlag]]</f>
        <v>0</v>
      </c>
      <c r="AN38" s="60">
        <f ca="1">tblBaseCF[[#This Row],[EP]]*tblBaseCF[[#This Row],[EPAllocChrgRate]]</f>
        <v>0</v>
      </c>
      <c r="AO38" s="63">
        <f ca="1">tblBaseCF[[#This Row],[EP]]-tblBaseCF[[#This Row],[EPAllocChrg]]</f>
        <v>0</v>
      </c>
      <c r="AP38" s="62">
        <f ca="1">tblBaseCF[[#This Row],[Ben]]*extra_prem_rate*em_load/1000/(1-tblBaseCF[[#This Row],[EPAllocChrgRate]])
*tblBaseCF[[#This Row],[EMLoadTermFlag]]</f>
        <v>0</v>
      </c>
      <c r="AQ38" s="62">
        <f ca="1">tblBaseCF[[#This Row],[Ben]]*pm_load/1000/(1-tblBaseCF[[#This Row],[EPAllocChrgRate]])
*tblBaseCF[[#This Row],[PMLoadTermFlag]]</f>
        <v>0</v>
      </c>
      <c r="AR38" s="60">
        <f ca="1">ROUNDUP(tblBaseCF[[#This Row],[UnroundedEMLoad]],-3)</f>
        <v>0</v>
      </c>
      <c r="AS38" s="62">
        <f ca="1">ROUNDUP(tblBaseCF[[#This Row],[Ben]]*pm_load/1000/(1-tblBaseCF[[#This Row],[EPAllocChrgRate]]),-3)
*tblBaseCF[[#This Row],[PMLoadTermFlag]]</f>
        <v>0</v>
      </c>
      <c r="AT38" s="60">
        <f ca="1">tblBaseCF[[#This Row],[EMLoad]]+tblBaseCF[[#This Row],[PMLoad]]</f>
        <v>0</v>
      </c>
      <c r="AU38" s="60">
        <f ca="1">tblBaseCF[[#This Row],[Load]]*tblBaseCF[[#This Row],[EPAllocChrgRate]]</f>
        <v>0</v>
      </c>
      <c r="AV38" s="60">
        <f ca="1">tblBaseCF[[#This Row],[Load]]-tblBaseCF[[#This Row],[LoadAllocChrg]]</f>
        <v>0</v>
      </c>
      <c r="AW38" s="60">
        <f ca="1">tblBaseCF[[#This Row],[TP]]+tblBaseCF[[#This Row],[EP]]+tblBaseCF[[#This Row],[Load]]</f>
        <v>0</v>
      </c>
      <c r="AX38" s="60">
        <f ca="1">tblBaseCF[[#This Row],[TPAllocChrg]]+tblBaseCF[[#This Row],[EPAllocChrg]]+tblBaseCF[[#This Row],[LoadAllocChrg]]</f>
        <v>0</v>
      </c>
      <c r="AY38" s="60">
        <f ca="1">tblBaseCF[[#This Row],[TPAlloc]]+tblBaseCF[[#This Row],[EPAlloc]]+tblBaseCF[[#This Row],[LoadAlloc]]</f>
        <v>0</v>
      </c>
      <c r="AZ38" s="60">
        <f ca="1">(OFFSET(tblBaseCF[[#This Row],[AccumTotalPrem]],-1,0)+tblBaseCF[[#This Row],[TotalPrem]])*tblBaseCF[[#This Row],[TPTermFlag]]</f>
        <v>0</v>
      </c>
      <c r="BA38" s="62">
        <f ca="1">(tblBaseCF[[#This Row],[StartTAV]]-tblBaseCF[[#This Row],[TAVWithdrawal]]+tblBaseCF[[#This Row],[TPAlloc]])
*tblBaseCF[[#This Row],[ContFlag]]</f>
        <v>0</v>
      </c>
      <c r="BB38" s="59">
        <f ca="1">(tblBaseCF[[#This Row],[StartEAV]]-tblBaseCF[[#This Row],[EAVWithdrawal]]+tblBaseCF[[#This Row],[EPAlloc]]+tblBaseCF[[#This Row],[LoadAlloc]])
*tblBaseCF[[#This Row],[ContFlag]]</f>
        <v>0</v>
      </c>
      <c r="BC38" s="59">
        <f ca="1">tblBaseCF[[#This Row],[TAVAfterWdrlAlloc]]+tblBaseCF[[#This Row],[EAVAfterWdrlAlloc]]</f>
        <v>0</v>
      </c>
      <c r="BD38" s="66">
        <f t="shared" si="2"/>
        <v>0</v>
      </c>
      <c r="BE38" s="67">
        <f>(1+tblBaseCF[[#This Row],[AnnualIntRate]])^(1/12)-1</f>
        <v>0</v>
      </c>
      <c r="BF38" s="68">
        <f>IFERROR(((1+tblBaseCF[[#This Row],[MonthlyIntRate]])^12-1)/12/(1-1/(1+tblBaseCF[[#This Row],[MonthlyIntRate]])),1)/(1+tblBaseCF[[#This Row],[AnnualIntRate]])</f>
        <v>1</v>
      </c>
      <c r="BG38" s="69">
        <f>PV(tblBaseCF[[#This Row],[MonthlyIntRate]],12,-1/12,,1)</f>
        <v>1</v>
      </c>
      <c r="BH38" s="60">
        <f ca="1">MAX(IF(death_tpd_option="A",tblBaseCF[[#This Row],[Ben]]-tblBaseCF[[#This Row],[StartPAV]],tblBaseCF[[#This Row],[Ben]]),0)</f>
        <v>0</v>
      </c>
      <c r="BI38" s="70">
        <f ca="1">IFERROR(INDEX(tblBaseCOIRate[Rate],MATCH(tblBaseCF[[#This Row],[Age]],tblBaseCOIRate[Age],0)),0)</f>
        <v>9.5999999999996099E-4</v>
      </c>
      <c r="BJ38" s="60">
        <f ca="1">tblBaseCF[[#This Row],[SAR]]*tblBaseCF[[#This Row],[COIRate]]</f>
        <v>0</v>
      </c>
      <c r="BK38" s="62">
        <f ca="1">em_load*tblBaseCF[[#This Row],[pStandardCOI]]
*tblBaseCF[[#This Row],[EMLoadTermFlag]]</f>
        <v>0</v>
      </c>
      <c r="BL38" s="62">
        <f ca="1">pm_load/1000*tblBaseCF[[#This Row],[SAR]]
*tblBaseCF[[#This Row],[PMLoadTermFlag]]</f>
        <v>0</v>
      </c>
      <c r="BM38" s="60">
        <f ca="1">tblBaseCF[[#This Row],[AccBen]]*monthly_acc_coi*12</f>
        <v>0</v>
      </c>
      <c r="BN38" s="60">
        <f ca="1">tblBaseCF[[#This Row],[pStandardCOI]]+tblBaseCF[[#This Row],[pEMLoadCOI]]+tblBaseCF[[#This Row],[pPMLoadCOI]]+tblBaseCF[[#This Row],[pAccCOI]]</f>
        <v>0</v>
      </c>
      <c r="BO38" s="62">
        <f ca="1">IFERROR(INDEX(tblAdminChrg[Amount],MATCH(tblBaseCF[[#This Row],[CalYear]],tblAdminChrg[Cal_Year],0)),0)
*tblBaseCF[[#This Row],[ContFlag]]</f>
        <v>0</v>
      </c>
      <c r="BP38" s="60">
        <f ca="1">tblBaseCF[[#This Row],[pMonthlyAdminChrg]]*12</f>
        <v>0</v>
      </c>
      <c r="BQ38" s="60">
        <f ca="1">tblBaseCF[[#This Row],[pCOI]]+tblBaseCF[[#This Row],[pAdminChrg]]</f>
        <v>0</v>
      </c>
      <c r="BR38" s="60">
        <f ca="1">tblBaseCF[[#This Row],[pNomDeduct]]*tblBaseCF[[#This Row],[Duean1m12]]</f>
        <v>0</v>
      </c>
      <c r="BS38" s="57">
        <f ca="1">(tblBaseCF[[#This Row],[PAVAfterWdrlAlloc]]&gt;=tblBaseCF[[#This Row],[pNomDeduct]])
*tblBaseCF[[#This Row],[ContFlag]]</f>
        <v>0</v>
      </c>
      <c r="BT38" s="60">
        <f ca="1">tblBaseCF[[#This Row],[pStandardCOI]]*tblBaseCF[[#This Row],[DeductFlag]]</f>
        <v>0</v>
      </c>
      <c r="BU38" s="60">
        <f ca="1">tblBaseCF[[#This Row],[pEMLoadCOI]]*tblBaseCF[[#This Row],[DeductFlag]]</f>
        <v>0</v>
      </c>
      <c r="BV38" s="60">
        <f ca="1">tblBaseCF[[#This Row],[pPMLoadCOI]]*tblBaseCF[[#This Row],[DeductFlag]]</f>
        <v>0</v>
      </c>
      <c r="BW38" s="60">
        <f ca="1">tblBaseCF[[#This Row],[pAccCOI]]*tblBaseCF[[#This Row],[DeductFlag]]</f>
        <v>0</v>
      </c>
      <c r="BX38" s="60">
        <f ca="1">tblBaseCF[[#This Row],[pCOI]]*tblBaseCF[[#This Row],[DeductFlag]]</f>
        <v>0</v>
      </c>
      <c r="BY38" s="60">
        <f ca="1">tblBaseCF[[#This Row],[pMonthlyAdminChrg]]*tblBaseCF[[#This Row],[DeductFlag]]</f>
        <v>0</v>
      </c>
      <c r="BZ38" s="60">
        <f ca="1">tblBaseCF[[#This Row],[pAdminChrg]]*tblBaseCF[[#This Row],[DeductFlag]]</f>
        <v>0</v>
      </c>
      <c r="CA38" s="60">
        <f ca="1">tblBaseCF[[#This Row],[pNomDeduct]]*tblBaseCF[[#This Row],[DeductFlag]]</f>
        <v>0</v>
      </c>
      <c r="CB38" s="60">
        <f ca="1">tblBaseCF[[#This Row],[pDeduct]]*tblBaseCF[[#This Row],[DeductFlag]]</f>
        <v>0</v>
      </c>
      <c r="CC38" s="60">
        <f ca="1">MIN(tblBaseCF[[#This Row],[TAVAfterWdrlAlloc]],tblBaseCF[[#This Row],[Deduct]])</f>
        <v>0</v>
      </c>
      <c r="CD38" s="60">
        <f ca="1">tblBaseCF[[#This Row],[Deduct]]-tblBaseCF[[#This Row],[TAVDeduct]]</f>
        <v>0</v>
      </c>
      <c r="CE38" s="69">
        <f ca="1">(tblBaseCF[[#This Row],[TAVAfterWdrlAlloc]]-tblBaseCF[[#This Row],[TAVDeduct]])*tblBaseCF[[#This Row],[AnnualIntRate]]
*tblBaseCF[[#This Row],[DeductFlag]]</f>
        <v>0</v>
      </c>
      <c r="CF38" s="69">
        <f ca="1">(tblBaseCF[[#This Row],[EAVAfterWdrlAlloc]]-tblBaseCF[[#This Row],[EAVDeduct]])*tblBaseCF[[#This Row],[AnnualIntRate]]
*tblBaseCF[[#This Row],[DeductFlag]]</f>
        <v>0</v>
      </c>
      <c r="CG38" s="69">
        <f ca="1">tblBaseCF[[#This Row],[TAVInt]]+tblBaseCF[[#This Row],[EAVInt]]</f>
        <v>0</v>
      </c>
      <c r="CH38" s="62">
        <f ca="1">IFERROR(INDEX(tblLBRate[Rate],MATCH(tblBaseCF[[#This Row],[Year]],tblLBRate[Year],0)),0)
*tblBaseCF[[#This Row],[DeductFlag]]</f>
        <v>0</v>
      </c>
      <c r="CI38" s="60">
        <f ca="1">IFERROR(SUM(OFFSET(tblBaseCF[[#This Row],[TAVWithdrawal]],0,0,-lb_review_period,1)),0)
*(tblBaseCF[[#This Row],[LBRate]]&gt;0)</f>
        <v>0</v>
      </c>
      <c r="CJ38" s="60">
        <f ca="1">(tblBaseCF[[#This Row],[LBRate]]&gt;0)*(tblBaseCF[[#This Row],[LBTAVWithdrawal]]=0)</f>
        <v>0</v>
      </c>
      <c r="CK38" s="62" cm="1">
        <f t="array" aca="1" ref="CK38" ca="1">IF(tblBaseCF[[#This Row],[LBFlag]],
_xlfn.SWITCH(base,
"ILP1",AVERAGE(OFFSET(tblBaseCF[TP],0,0,-lb_review_period,1)),tp),0)
*tblBaseCF[[#This Row],[LBFlag]]</f>
        <v>0</v>
      </c>
      <c r="CL38" s="62">
        <f ca="1">tblBaseCF[[#This Row],[LBBasis]]*tblBaseCF[[#This Row],[LBRate]]</f>
        <v>0</v>
      </c>
      <c r="CM38" s="57" cm="1">
        <f t="array" aca="1" ref="CM38" ca="1">_xlfn.SWITCH(base,
"ILP1",0,($AF138&lt;500000000)*1
+($AF138&gt;=500000000)*($AF138&lt;1000000000)*2
+($AF138&gt;=1000000000)*3)
*tblBaseCF[[#This Row],[DeductFlag]]</f>
        <v>0</v>
      </c>
      <c r="CN38" s="2" t="str">
        <f ca="1">IF(tblBaseCF[[#This Row],[DeductFlag]],base&amp;"_"&amp;tblBaseCF[[#This Row],[SBCode]]&amp;"_"&amp;tblBaseCF[[#This Row],[Year]],"")</f>
        <v/>
      </c>
      <c r="CO38" s="3">
        <f ca="1">IFERROR(INDEX(tblSBRate[Index],MATCH(tblBaseCF[[#This Row],[SBIndex]],tblSBRate[Rate],0)),0)</f>
        <v>0</v>
      </c>
      <c r="CP38" s="63">
        <f ca="1">IFERROR(SUM(OFFSET(tblBaseCF[[#This Row],[TAVWithdrawal]],0,0,-sb_review_period,1)),0)
*(tblBaseCF[[#This Row],[SBRate]]&gt;0)</f>
        <v>0</v>
      </c>
      <c r="CQ38" s="63">
        <f ca="1">(tblBaseCF[[#This Row],[SBRate]]&gt;0)*(tblBaseCF[[#This Row],[SBTAVWithdrawal]]=0)</f>
        <v>0</v>
      </c>
      <c r="CR38" s="59" cm="1">
        <f t="array" aca="1" ref="CR38" ca="1">IF(tblBaseCF[[#This Row],[LBFlag]],
_xlfn.SWITCH(base,
"ILP1",0,tp),0)*tblBaseCF[[#This Row],[SBFlag]]</f>
        <v>0</v>
      </c>
      <c r="CS38" s="63">
        <f ca="1">tblBaseCF[[#This Row],[SBBasis]]*tblBaseCF[[#This Row],[SBRate]]</f>
        <v>0</v>
      </c>
      <c r="CT38" s="63">
        <f ca="1">tblBaseCF[[#This Row],[LB]]+tblBaseCF[[#This Row],[SB]]</f>
        <v>0</v>
      </c>
      <c r="CU38" s="59">
        <f ca="1">tblBaseCF[[#This Row],[TAVAfterWdrlAlloc]]-tblBaseCF[[#This Row],[TAVDeduct]]+tblBaseCF[[#This Row],[TAVInt]]+tblBaseCF[[#This Row],[Bonus]]</f>
        <v>0</v>
      </c>
      <c r="CV38" s="59">
        <f ca="1">tblBaseCF[[#This Row],[EAVAfterWdrlAlloc]]-tblBaseCF[[#This Row],[EAVDeduct]]+tblBaseCF[[#This Row],[EAVInt]]</f>
        <v>0</v>
      </c>
      <c r="CW38" s="63">
        <f ca="1">tblBaseCF[[#This Row],[EndTAV]]+tblBaseCF[[#This Row],[EndEAV]]</f>
        <v>0</v>
      </c>
      <c r="CX38" s="59">
        <f ca="1">INDEX(tblPlanPrem[TP],2)
*tblBaseCF[[#This Row],[TPTermFlag]]</f>
        <v>0</v>
      </c>
      <c r="CY38" s="59">
        <f ca="1">INDEX(tblPlanPrem[EP],2)
*tblBaseCF[[#This Row],[TPTermFlag]]</f>
        <v>0</v>
      </c>
      <c r="CZ38" s="63">
        <f ca="1">ROUNDUP(tblBaseCF[[#This Row],[UnroundedEMLoad]]*INDEX(tblPlanPrem[Factor],2),-3)</f>
        <v>0</v>
      </c>
      <c r="DA38" s="63">
        <f ca="1">ROUNDUP(tblBaseCF[[#This Row],[UnroundedPMLoad]]*INDEX(tblPlanPrem[Factor],2),-3)</f>
        <v>0</v>
      </c>
      <c r="DB38" s="63">
        <f ca="1">tblBaseCF[[#This Row],[SemiAnnualEMLoad]]+tblBaseCF[[#This Row],[SemiAnnualPMLoad]]</f>
        <v>0</v>
      </c>
      <c r="DC38" s="63">
        <f ca="1">tblBaseCF[[#This Row],[SemiAnnualTP]]+tblBaseCF[[#This Row],[SemiAnnualEP]]+tblBaseCF[[#This Row],[SemiAnnualLoad]]</f>
        <v>0</v>
      </c>
      <c r="DD38" s="59">
        <f ca="1">INDEX(tblPlanPrem[TP],3)
*tblBaseCF[[#This Row],[TPTermFlag]]</f>
        <v>0</v>
      </c>
      <c r="DE38" s="59">
        <f ca="1">INDEX(tblPlanPrem[EP],3)
*tblBaseCF[[#This Row],[TPTermFlag]]</f>
        <v>0</v>
      </c>
      <c r="DF38" s="63">
        <f ca="1">ROUNDUP(tblBaseCF[[#This Row],[UnroundedEMLoad]]*INDEX(tblPlanPrem[Factor],3),-3)</f>
        <v>0</v>
      </c>
      <c r="DG38" s="63">
        <f ca="1">ROUNDUP(tblBaseCF[[#This Row],[UnroundedPMLoad]]*INDEX(tblPlanPrem[Factor],3),-3)</f>
        <v>0</v>
      </c>
      <c r="DH38" s="60">
        <f ca="1">tblBaseCF[[#This Row],[QuarterlyEMLoad]]+tblBaseCF[[#This Row],[QuarterlyPMLoad]]</f>
        <v>0</v>
      </c>
      <c r="DI38" s="60">
        <f ca="1">tblBaseCF[[#This Row],[QuarterlyTP]]+tblBaseCF[[#This Row],[QuarterlyEP]]+tblBaseCF[[#This Row],[QuarterlyLoad]]</f>
        <v>0</v>
      </c>
      <c r="DJ38" s="59">
        <f ca="1">INDEX(tblPlanPrem[TP],4)
*tblBaseCF[[#This Row],[TPTermFlag]]</f>
        <v>0</v>
      </c>
      <c r="DK38" s="59">
        <f ca="1">INDEX(tblPlanPrem[EP],4)
*tblBaseCF[[#This Row],[TPTermFlag]]</f>
        <v>0</v>
      </c>
      <c r="DL38" s="63">
        <f ca="1">ROUNDUP(tblBaseCF[[#This Row],[UnroundedEMLoad]]*INDEX(tblPlanPrem[Factor],4),-3)</f>
        <v>0</v>
      </c>
      <c r="DM38" s="63">
        <f ca="1">ROUNDUP(tblBaseCF[[#This Row],[UnroundedPMLoad]]*INDEX(tblPlanPrem[Factor],4),-3)</f>
        <v>0</v>
      </c>
      <c r="DN38" s="60">
        <f ca="1">tblBaseCF[[#This Row],[MonthlyEMLoad]]+tblBaseCF[[#This Row],[MonthlyPMLoad]]</f>
        <v>0</v>
      </c>
      <c r="DO38" s="63">
        <f ca="1">tblBaseCF[[#This Row],[MonthlyTP]]+tblBaseCF[[#This Row],[MonthlyEP]]+tblBaseCF[[#This Row],[MonthlyLoad]]</f>
        <v>0</v>
      </c>
      <c r="DP38" s="3"/>
      <c r="DS38">
        <f t="shared" si="3"/>
        <v>0</v>
      </c>
      <c r="DT38">
        <f t="shared" si="4"/>
        <v>0</v>
      </c>
      <c r="DU38">
        <f t="shared" si="5"/>
        <v>0</v>
      </c>
      <c r="DV38">
        <f ca="1">tblBaseCF[[#This Row],[Year]]</f>
        <v>18</v>
      </c>
      <c r="DW38">
        <f ca="1">tblBaseCF[[#This Row],[Age]]</f>
        <v>17</v>
      </c>
      <c r="DX38">
        <f ca="1">tblBaseCF[[#This Row],[ContFlag]]</f>
        <v>0</v>
      </c>
      <c r="DY38" t="str">
        <f ca="1">tblBaseCF[[#This Row],[ContLog]]</f>
        <v>Insufficient PAV for deduction - Discontinue.</v>
      </c>
      <c r="DZ38">
        <f ca="1">tblBaseCF[[#This Row],[StartTAV]]</f>
        <v>0</v>
      </c>
      <c r="EA38">
        <f ca="1">tblBaseCF[[#This Row],[StartEAV]]</f>
        <v>0</v>
      </c>
      <c r="EB38">
        <f ca="1">tblBaseCF[[#This Row],[StartPAV]]</f>
        <v>0</v>
      </c>
      <c r="EC38">
        <f ca="1">tblBaseCF[[#This Row],[SVChrg]]</f>
        <v>0</v>
      </c>
      <c r="ED38">
        <f ca="1">tblBaseCF[[#This Row],[SV]]</f>
        <v>0</v>
      </c>
      <c r="EE38">
        <f ca="1">tblBaseCF[[#This Row],[Ben]]</f>
        <v>0</v>
      </c>
      <c r="EF38">
        <f ca="1">tblBaseCF[[#This Row],[AccBen]]</f>
        <v>0</v>
      </c>
      <c r="EG38">
        <f ca="1">tblBaseCF[[#This Row],[WithdrawalInput]]</f>
        <v>0</v>
      </c>
      <c r="EH38" t="str">
        <f ca="1">tblBaseCF[[#This Row],[WithdrawalLog]]</f>
        <v>No withdrawal.</v>
      </c>
      <c r="EI38">
        <f ca="1">tblBaseCF[[#This Row],[TAVWithdrawal]]</f>
        <v>0</v>
      </c>
      <c r="EJ38">
        <f ca="1">tblBaseCF[[#This Row],[EAVWithdrawal]]</f>
        <v>0</v>
      </c>
      <c r="EK38">
        <f ca="1">tblBaseCF[[#This Row],[Withdrawal]]</f>
        <v>0</v>
      </c>
      <c r="EL38">
        <f ca="1">tblBaseCF[[#This Row],[TP]]</f>
        <v>0</v>
      </c>
      <c r="EM38">
        <f ca="1">tblBaseCF[[#This Row],[TPAllocChrg]]</f>
        <v>0</v>
      </c>
      <c r="EN38">
        <f ca="1">tblBaseCF[[#This Row],[TPAlloc]]</f>
        <v>0</v>
      </c>
      <c r="EO38">
        <f ca="1">tblBaseCF[[#This Row],[EP]]</f>
        <v>0</v>
      </c>
      <c r="EP38">
        <f ca="1">tblBaseCF[[#This Row],[EPAllocChrg]]</f>
        <v>0</v>
      </c>
      <c r="EQ38">
        <f ca="1">tblBaseCF[[#This Row],[EPAlloc]]</f>
        <v>0</v>
      </c>
      <c r="ER38">
        <f ca="1">tblBaseCF[[#This Row],[EMLoad]]</f>
        <v>0</v>
      </c>
      <c r="ES38">
        <f ca="1">tblBaseCF[[#This Row],[PMLoad]]</f>
        <v>0</v>
      </c>
      <c r="ET38">
        <f ca="1">tblBaseCF[[#This Row],[Load]]</f>
        <v>0</v>
      </c>
      <c r="EU38">
        <f ca="1">tblBaseCF[[#This Row],[LoadAllocChrg]]</f>
        <v>0</v>
      </c>
      <c r="EV38">
        <f ca="1">tblBaseCF[[#This Row],[LoadAlloc]]</f>
        <v>0</v>
      </c>
      <c r="EW38">
        <f ca="1">tblBaseCF[[#This Row],[TotalPrem]]</f>
        <v>0</v>
      </c>
      <c r="EX38">
        <f ca="1">tblBaseCF[[#This Row],[AllocChrg]]</f>
        <v>0</v>
      </c>
      <c r="EY38">
        <f ca="1">tblBaseCF[[#This Row],[Alloc]]</f>
        <v>0</v>
      </c>
      <c r="EZ38">
        <f ca="1">tblBaseCF[[#This Row],[AccumTotalPrem]]</f>
        <v>0</v>
      </c>
      <c r="FA38">
        <f>tblBaseCF[[#This Row],[AnnualIntRate]]</f>
        <v>0</v>
      </c>
      <c r="FB38" s="50">
        <f>tblBaseCF[[#This Row],[Duean1m12]]</f>
        <v>1</v>
      </c>
      <c r="FC38">
        <f ca="1">tblBaseCF[[#This Row],[DeductFlag]]</f>
        <v>0</v>
      </c>
      <c r="FD38">
        <f ca="1">tblBaseCF[[#This Row],[AdminChrg]]</f>
        <v>0</v>
      </c>
      <c r="FE38">
        <f ca="1">tblBaseCF[[#This Row],[StandardCOI]]</f>
        <v>0</v>
      </c>
      <c r="FF38">
        <f ca="1">tblBaseCF[[#This Row],[EMLoadCOI]]</f>
        <v>0</v>
      </c>
      <c r="FG38">
        <f ca="1">tblBaseCF[[#This Row],[PMLoadCOI]]</f>
        <v>0</v>
      </c>
      <c r="FH38">
        <f ca="1">tblBaseCF[[#This Row],[COI]]</f>
        <v>0</v>
      </c>
      <c r="FI38" s="47">
        <f ca="1">tblBaseCF[[#This Row],[NomDeduct]]</f>
        <v>0</v>
      </c>
      <c r="FJ38">
        <f ca="1">tblBaseCF[[#This Row],[Deduct]]</f>
        <v>0</v>
      </c>
      <c r="FK38">
        <f ca="1">tblBaseCF[[#This Row],[TAVDeduct]]</f>
        <v>0</v>
      </c>
      <c r="FL38">
        <f ca="1">tblBaseCF[[#This Row],[EAVDeduct]]</f>
        <v>0</v>
      </c>
      <c r="FM38" s="24">
        <f ca="1">tblBaseCF[[#This Row],[TAVInt]]</f>
        <v>0</v>
      </c>
      <c r="FN38">
        <f ca="1">tblBaseCF[[#This Row],[EAVInt]]</f>
        <v>0</v>
      </c>
      <c r="FO38" s="47">
        <f ca="1">tblBaseCF[[#This Row],[LB]]</f>
        <v>0</v>
      </c>
      <c r="FP38">
        <f ca="1">tblBaseCF[[#This Row],[SB]]</f>
        <v>0</v>
      </c>
      <c r="FQ38">
        <f ca="1">tblBaseCF[[#This Row],[Bonus]]</f>
        <v>0</v>
      </c>
      <c r="FR38">
        <f ca="1">tblBaseCF[[#This Row],[EndTAV]]</f>
        <v>0</v>
      </c>
      <c r="FS38">
        <f ca="1">tblBaseCF[[#This Row],[EndEAV]]</f>
        <v>0</v>
      </c>
      <c r="FT38">
        <f ca="1">tblBaseCF[[#This Row],[EndPAV]]</f>
        <v>0</v>
      </c>
      <c r="FU38">
        <f ca="1">tblBaseCF[[#This Row],[SemiAnnualTP]]</f>
        <v>0</v>
      </c>
      <c r="FV38">
        <f ca="1">tblBaseCF[[#This Row],[SemiAnnualEP]]</f>
        <v>0</v>
      </c>
      <c r="FW38">
        <f ca="1">tblBaseCF[[#This Row],[SemiAnnualEMLoad]]</f>
        <v>0</v>
      </c>
      <c r="FX38">
        <f ca="1">tblBaseCF[[#This Row],[SemiAnnualPMLoad]]</f>
        <v>0</v>
      </c>
      <c r="FY38">
        <f ca="1">tblBaseCF[[#This Row],[SemiAnnualLoad]]</f>
        <v>0</v>
      </c>
      <c r="FZ38">
        <f ca="1">tblBaseCF[[#This Row],[SemiAnnualTotalPrem]]</f>
        <v>0</v>
      </c>
      <c r="GA38">
        <f ca="1">tblBaseCF[[#This Row],[QuarterlyTP]]</f>
        <v>0</v>
      </c>
      <c r="GB38">
        <f ca="1">tblBaseCF[[#This Row],[QuarterlyEP]]</f>
        <v>0</v>
      </c>
      <c r="GC38">
        <f ca="1">tblBaseCF[[#This Row],[QuarterlyEMLoad]]</f>
        <v>0</v>
      </c>
      <c r="GD38">
        <f ca="1">tblBaseCF[[#This Row],[QuarterlyPMLoad]]</f>
        <v>0</v>
      </c>
      <c r="GE38">
        <f ca="1">tblBaseCF[[#This Row],[QuarterlyLoad]]</f>
        <v>0</v>
      </c>
      <c r="GF38">
        <f ca="1">tblBaseCF[[#This Row],[QuarterlyTotalPrem]]</f>
        <v>0</v>
      </c>
      <c r="GG38">
        <f ca="1">tblBaseCF[[#This Row],[MonthlyTP]]</f>
        <v>0</v>
      </c>
      <c r="GH38">
        <f ca="1">tblBaseCF[[#This Row],[MonthlyEP]]</f>
        <v>0</v>
      </c>
      <c r="GI38">
        <f ca="1">tblBaseCF[[#This Row],[MonthlyEMLoad]]</f>
        <v>0</v>
      </c>
      <c r="GJ38">
        <f ca="1">tblBaseCF[[#This Row],[MonthlyPMLoad]]</f>
        <v>0</v>
      </c>
      <c r="GK38">
        <f ca="1">tblBaseCF[[#This Row],[MonthlyLoad]]</f>
        <v>0</v>
      </c>
      <c r="GL38">
        <f ca="1">tblBaseCF[[#This Row],[MonthlyTotalPrem]]</f>
        <v>0</v>
      </c>
      <c r="GO38" t="s">
        <v>134</v>
      </c>
      <c r="GP38" t="s">
        <v>135</v>
      </c>
      <c r="GQ38" t="s">
        <v>502</v>
      </c>
      <c r="GR38">
        <v>18</v>
      </c>
      <c r="GS38">
        <v>17</v>
      </c>
      <c r="GT38">
        <v>1</v>
      </c>
      <c r="GU38" t="s">
        <v>457</v>
      </c>
      <c r="GV38">
        <v>11652324.0937008</v>
      </c>
      <c r="GW38">
        <v>133388649.060837</v>
      </c>
      <c r="GX38">
        <v>145040973.15453801</v>
      </c>
      <c r="GY38">
        <v>0</v>
      </c>
      <c r="GZ38">
        <v>145040973.15453801</v>
      </c>
      <c r="HA38">
        <v>145040973.15453801</v>
      </c>
      <c r="HB38">
        <v>303000000</v>
      </c>
      <c r="HC38">
        <v>0</v>
      </c>
      <c r="HD38" t="s">
        <v>137</v>
      </c>
      <c r="HE38">
        <v>0</v>
      </c>
      <c r="HF38">
        <v>0</v>
      </c>
      <c r="HG38">
        <v>0</v>
      </c>
      <c r="HH38">
        <v>1072000</v>
      </c>
      <c r="HI38">
        <v>21440</v>
      </c>
      <c r="HJ38">
        <v>1050560</v>
      </c>
      <c r="HK38">
        <v>5200000</v>
      </c>
      <c r="HL38">
        <v>104000</v>
      </c>
      <c r="HM38">
        <v>5096000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6272000</v>
      </c>
      <c r="HT38">
        <v>125440</v>
      </c>
      <c r="HU38">
        <v>6146560</v>
      </c>
      <c r="HV38">
        <v>112896000</v>
      </c>
      <c r="HW38">
        <v>7.0000000000000007E-2</v>
      </c>
      <c r="HX38">
        <v>0.96964931039809399</v>
      </c>
      <c r="HY38">
        <v>1</v>
      </c>
      <c r="HZ38">
        <v>300000</v>
      </c>
      <c r="IA38">
        <v>0</v>
      </c>
      <c r="IB38">
        <v>0</v>
      </c>
      <c r="IC38">
        <v>0</v>
      </c>
      <c r="ID38">
        <v>272700</v>
      </c>
      <c r="IE38">
        <v>572700</v>
      </c>
      <c r="IF38">
        <v>555318.16006498795</v>
      </c>
      <c r="IG38">
        <v>555318.16006498795</v>
      </c>
      <c r="IH38">
        <v>0</v>
      </c>
      <c r="II38">
        <v>850329.61535450397</v>
      </c>
      <c r="IJ38">
        <v>9693925.43425861</v>
      </c>
      <c r="IK38">
        <v>0</v>
      </c>
      <c r="IL38">
        <v>0</v>
      </c>
      <c r="IM38">
        <v>0</v>
      </c>
      <c r="IN38">
        <v>12997895.5489903</v>
      </c>
      <c r="IO38">
        <v>148178574.495096</v>
      </c>
      <c r="IP38">
        <v>161176470.04408601</v>
      </c>
      <c r="IQ38">
        <v>536000</v>
      </c>
      <c r="IR38">
        <v>2600000</v>
      </c>
      <c r="IS38">
        <v>0</v>
      </c>
      <c r="IT38">
        <v>0</v>
      </c>
      <c r="IU38">
        <v>0</v>
      </c>
      <c r="IV38">
        <v>3136000</v>
      </c>
      <c r="IW38">
        <v>268000</v>
      </c>
      <c r="IX38">
        <v>1300000</v>
      </c>
      <c r="IY38">
        <v>0</v>
      </c>
      <c r="IZ38">
        <v>0</v>
      </c>
      <c r="JA38">
        <v>0</v>
      </c>
      <c r="JB38">
        <v>1568000</v>
      </c>
      <c r="JC38">
        <v>90000</v>
      </c>
      <c r="JD38">
        <v>434000</v>
      </c>
      <c r="JE38">
        <v>0</v>
      </c>
      <c r="JF38">
        <v>0</v>
      </c>
      <c r="JG38">
        <v>0</v>
      </c>
      <c r="JH38">
        <v>524000</v>
      </c>
    </row>
    <row r="39" spans="2:268" customFormat="1" x14ac:dyDescent="0.25">
      <c r="B39" s="2">
        <f ca="1">OFFSET(tblBaseCF[[#This Row],[Year]],-1,0)+1</f>
        <v>19</v>
      </c>
      <c r="C39" s="2">
        <f ca="1">(tblBaseCF[[#This Row],[Year]]&lt;=term)*1</f>
        <v>1</v>
      </c>
      <c r="D39" s="57">
        <f ca="1">(YEAR(rcd)+tblBaseCF[[#This Row],[Year]]-1)
*tblBaseCF[[#This Row],[PolTermFlag]]</f>
        <v>2043</v>
      </c>
      <c r="E39" s="57">
        <f ca="1">(mainLI_entry_age+tblBaseCF[[#This Row],[Year]]-1)
*tblBaseCF[[#This Row],[PolTermFlag]]</f>
        <v>18</v>
      </c>
      <c r="F39" s="57">
        <f ca="1">IF(tblBaseCF[[#This Row],[Year]]=1,1,OFFSET(tblBaseCF[[#This Row],[DeductFlag]],-1,0))
*tblBaseCF[[#This Row],[PolTermFlag]]</f>
        <v>0</v>
      </c>
      <c r="G3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39" s="57">
        <f ca="1">(tblBaseCF[[#This Row],[Year]]&lt;=acc_ben_term)
*tblBaseCF[[#This Row],[ContFlag]]</f>
        <v>0</v>
      </c>
      <c r="I39" s="57">
        <f ca="1">(tblBaseCF[[#This Row],[Year]]&lt;=tp_term)
*tblBaseCF[[#This Row],[ContFlag]]</f>
        <v>0</v>
      </c>
      <c r="J39" s="57">
        <f ca="1">(tblBaseCF[[#This Row],[Year]]&lt;=ep_term)
*tblBaseCF[[#This Row],[ContFlag]]</f>
        <v>0</v>
      </c>
      <c r="K39" s="57">
        <f ca="1">(tblBaseCF[[#This Row],[Year]]&lt;=em_load_term)*1</f>
        <v>0</v>
      </c>
      <c r="L39" s="57">
        <f ca="1">(tblBaseCF[[#This Row],[Year]]&lt;=pm_load_term)*1</f>
        <v>0</v>
      </c>
      <c r="M39" s="59">
        <f ca="1">IF(tblBaseCF[[#This Row],[Year]]=1,si,OFFSET(tblBaseCF[[#This Row],[EndSI]],-1,0))
*tblBaseCF[[#This Row],[ContFlag]]</f>
        <v>0</v>
      </c>
      <c r="N39" s="59">
        <f ca="1">OFFSET(tblBaseCF[[#This Row],[EndTAV]],-1,0)
*tblBaseCF[[#This Row],[ContFlag]]</f>
        <v>0</v>
      </c>
      <c r="O39" s="59">
        <f ca="1">OFFSET(tblBaseCF[[#This Row],[EndEAV]],-1,0)
*tblBaseCF[[#This Row],[ContFlag]]</f>
        <v>0</v>
      </c>
      <c r="P39" s="60">
        <f ca="1">tblBaseCF[[#This Row],[StartEAV]]+tblBaseCF[[#This Row],[StartTAV]]</f>
        <v>0</v>
      </c>
      <c r="Q39" s="61">
        <f ca="1">IFERROR(INDEX(tblJuvenileLienRate[Rate],MATCH(tblBaseCF[[#This Row],[Age]],tblJuvenileLienRate[Age],0)),1)
*tblBaseCF[[#This Row],[ContFlag]]</f>
        <v>0</v>
      </c>
      <c r="R3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39" s="62">
        <f ca="1">tblBaseCF[[#This Row],[StartSI]]*acc_ben_coeff*tblBaseCF[[#This Row],[JuvenileLienRate]]
*tblBaseCF[[#This Row],[AccBenTermFlag]]</f>
        <v>0</v>
      </c>
      <c r="T39" s="61">
        <f ca="1">(IFERROR(INDEX(tblSurrChrgRate[Rate],MATCH(tblBaseCF[[#This Row],[Year]],tblSurrChrgRate[Year],0)),0)
*tblBaseCF[[#This Row],[ContFlag]])</f>
        <v>0</v>
      </c>
      <c r="U39" s="60">
        <f ca="1">tp*tblBaseCF[[#This Row],[SrrChrgRate]]</f>
        <v>0</v>
      </c>
      <c r="V39" s="63">
        <f ca="1">MAX(tblBaseCF[[#This Row],[StartTAV]]-tblBaseCF[[#This Row],[SVChrg]],0)+tblBaseCF[[#This Row],[StartEAV]]</f>
        <v>0</v>
      </c>
      <c r="W39" s="59">
        <f ca="1">IFERROR(INDEX(tblWithdrawal_Output[Amount],MATCH(tblBaseCF[[#This Row],[Year]],tblWithdrawal_Output[Year],0)),0)
*tblBaseCF[[#This Row],[ContFlag]]</f>
        <v>0</v>
      </c>
      <c r="X39" s="59" t="b">
        <f ca="1">tblBaseCF[[#This Row],[WithdrawalInput]]&gt;0</f>
        <v>0</v>
      </c>
      <c r="Y39" s="59" t="b">
        <f ca="1">AND(tblBaseCF[[#This Row],[1stCheckProceed]],tblBaseCF[[#This Row],[WithdrawalInput]]&lt;=tblBaseCF[[#This Row],[StartPAV]])</f>
        <v>0</v>
      </c>
      <c r="Z39" s="59" t="b">
        <f ca="1">AND(tblBaseCF[[#This Row],[2ndCheckAmount]],(tblBaseCF[[#This Row],[StartPAV]]-tblBaseCF[[#This Row],[WithdrawalInput]])&gt;=min_pav_after_withdrawal)</f>
        <v>0</v>
      </c>
      <c r="AA3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39" s="59" t="b">
        <f ca="1">AND(tblBaseCF[[#This Row],[3rdCheckPAV]],tblBaseCF[[#This Row],[endSITest]]&gt;=min_base_si)</f>
        <v>0</v>
      </c>
      <c r="AC39" s="60">
        <f ca="1">tblBaseCF[[#This Row],[WithdrawalInput]]*tblBaseCF[[#This Row],[4thCheckSI]]</f>
        <v>0</v>
      </c>
      <c r="AD39" s="60">
        <f ca="1">MIN(tblBaseCF[[#This Row],[Withdrawal]],tblBaseCF[[#This Row],[StartEAV]])</f>
        <v>0</v>
      </c>
      <c r="AE39" s="60">
        <f ca="1">tblBaseCF[[#This Row],[Withdrawal]]-tblBaseCF[[#This Row],[EAVWithdrawal]]</f>
        <v>0</v>
      </c>
      <c r="AF39" s="60">
        <f ca="1">IF(tblBaseCF[[#This Row],[4thCheckSI]],tblBaseCF[[#This Row],[endSITest]],tblBaseCF[[#This Row],[StartSI]])</f>
        <v>0</v>
      </c>
      <c r="AG3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39" s="65">
        <f ca="1">IFERROR(INDEX(tblTPAllocChrgRate[Rate],MATCH(tblBaseCF[[#This Row],[Year]],tblTPAllocChrgRate[Year],0)),0)</f>
        <v>0.02</v>
      </c>
      <c r="AI39" s="62">
        <f ca="1">(tp+big_case_bonus_tp*(tblBaseCF[[#This Row],[Year]]=1))
*tblBaseCF[[#This Row],[TPTermFlag]]</f>
        <v>0</v>
      </c>
      <c r="AJ39" s="63">
        <f ca="1">tblBaseCF[[#This Row],[TP]]*tblBaseCF[[#This Row],[TPAllocChrgRate]]</f>
        <v>0</v>
      </c>
      <c r="AK39" s="60">
        <f ca="1">tblBaseCF[[#This Row],[TP]]-tblBaseCF[[#This Row],[TPAllocChrg]]</f>
        <v>0</v>
      </c>
      <c r="AL39" s="65">
        <f ca="1">IFERROR(INDEX(tblEPAllocChrgRate[Rate],MATCH(tblBaseCF[[#This Row],[Year]],tblEPAllocChrgRate[Year],0)),0)</f>
        <v>0.02</v>
      </c>
      <c r="AM39" s="60">
        <f ca="1">ep*tblBaseCF[[#This Row],[EPTermFlag]]</f>
        <v>0</v>
      </c>
      <c r="AN39" s="60">
        <f ca="1">tblBaseCF[[#This Row],[EP]]*tblBaseCF[[#This Row],[EPAllocChrgRate]]</f>
        <v>0</v>
      </c>
      <c r="AO39" s="63">
        <f ca="1">tblBaseCF[[#This Row],[EP]]-tblBaseCF[[#This Row],[EPAllocChrg]]</f>
        <v>0</v>
      </c>
      <c r="AP39" s="62">
        <f ca="1">tblBaseCF[[#This Row],[Ben]]*extra_prem_rate*em_load/1000/(1-tblBaseCF[[#This Row],[EPAllocChrgRate]])
*tblBaseCF[[#This Row],[EMLoadTermFlag]]</f>
        <v>0</v>
      </c>
      <c r="AQ39" s="62">
        <f ca="1">tblBaseCF[[#This Row],[Ben]]*pm_load/1000/(1-tblBaseCF[[#This Row],[EPAllocChrgRate]])
*tblBaseCF[[#This Row],[PMLoadTermFlag]]</f>
        <v>0</v>
      </c>
      <c r="AR39" s="60">
        <f ca="1">ROUNDUP(tblBaseCF[[#This Row],[UnroundedEMLoad]],-3)</f>
        <v>0</v>
      </c>
      <c r="AS39" s="62">
        <f ca="1">ROUNDUP(tblBaseCF[[#This Row],[Ben]]*pm_load/1000/(1-tblBaseCF[[#This Row],[EPAllocChrgRate]]),-3)
*tblBaseCF[[#This Row],[PMLoadTermFlag]]</f>
        <v>0</v>
      </c>
      <c r="AT39" s="60">
        <f ca="1">tblBaseCF[[#This Row],[EMLoad]]+tblBaseCF[[#This Row],[PMLoad]]</f>
        <v>0</v>
      </c>
      <c r="AU39" s="60">
        <f ca="1">tblBaseCF[[#This Row],[Load]]*tblBaseCF[[#This Row],[EPAllocChrgRate]]</f>
        <v>0</v>
      </c>
      <c r="AV39" s="60">
        <f ca="1">tblBaseCF[[#This Row],[Load]]-tblBaseCF[[#This Row],[LoadAllocChrg]]</f>
        <v>0</v>
      </c>
      <c r="AW39" s="60">
        <f ca="1">tblBaseCF[[#This Row],[TP]]+tblBaseCF[[#This Row],[EP]]+tblBaseCF[[#This Row],[Load]]</f>
        <v>0</v>
      </c>
      <c r="AX39" s="60">
        <f ca="1">tblBaseCF[[#This Row],[TPAllocChrg]]+tblBaseCF[[#This Row],[EPAllocChrg]]+tblBaseCF[[#This Row],[LoadAllocChrg]]</f>
        <v>0</v>
      </c>
      <c r="AY39" s="60">
        <f ca="1">tblBaseCF[[#This Row],[TPAlloc]]+tblBaseCF[[#This Row],[EPAlloc]]+tblBaseCF[[#This Row],[LoadAlloc]]</f>
        <v>0</v>
      </c>
      <c r="AZ39" s="60">
        <f ca="1">(OFFSET(tblBaseCF[[#This Row],[AccumTotalPrem]],-1,0)+tblBaseCF[[#This Row],[TotalPrem]])*tblBaseCF[[#This Row],[TPTermFlag]]</f>
        <v>0</v>
      </c>
      <c r="BA39" s="62">
        <f ca="1">(tblBaseCF[[#This Row],[StartTAV]]-tblBaseCF[[#This Row],[TAVWithdrawal]]+tblBaseCF[[#This Row],[TPAlloc]])
*tblBaseCF[[#This Row],[ContFlag]]</f>
        <v>0</v>
      </c>
      <c r="BB39" s="59">
        <f ca="1">(tblBaseCF[[#This Row],[StartEAV]]-tblBaseCF[[#This Row],[EAVWithdrawal]]+tblBaseCF[[#This Row],[EPAlloc]]+tblBaseCF[[#This Row],[LoadAlloc]])
*tblBaseCF[[#This Row],[ContFlag]]</f>
        <v>0</v>
      </c>
      <c r="BC39" s="59">
        <f ca="1">tblBaseCF[[#This Row],[TAVAfterWdrlAlloc]]+tblBaseCF[[#This Row],[EAVAfterWdrlAlloc]]</f>
        <v>0</v>
      </c>
      <c r="BD39" s="66">
        <f t="shared" si="2"/>
        <v>0</v>
      </c>
      <c r="BE39" s="67">
        <f>(1+tblBaseCF[[#This Row],[AnnualIntRate]])^(1/12)-1</f>
        <v>0</v>
      </c>
      <c r="BF39" s="68">
        <f>IFERROR(((1+tblBaseCF[[#This Row],[MonthlyIntRate]])^12-1)/12/(1-1/(1+tblBaseCF[[#This Row],[MonthlyIntRate]])),1)/(1+tblBaseCF[[#This Row],[AnnualIntRate]])</f>
        <v>1</v>
      </c>
      <c r="BG39" s="69">
        <f>PV(tblBaseCF[[#This Row],[MonthlyIntRate]],12,-1/12,,1)</f>
        <v>1</v>
      </c>
      <c r="BH39" s="60">
        <f ca="1">MAX(IF(death_tpd_option="A",tblBaseCF[[#This Row],[Ben]]-tblBaseCF[[#This Row],[StartPAV]],tblBaseCF[[#This Row],[Ben]]),0)</f>
        <v>0</v>
      </c>
      <c r="BI39" s="70">
        <f ca="1">IFERROR(INDEX(tblBaseCOIRate[Rate],MATCH(tblBaseCF[[#This Row],[Age]],tblBaseCOIRate[Age],0)),0)</f>
        <v>1E-3</v>
      </c>
      <c r="BJ39" s="60">
        <f ca="1">tblBaseCF[[#This Row],[SAR]]*tblBaseCF[[#This Row],[COIRate]]</f>
        <v>0</v>
      </c>
      <c r="BK39" s="62">
        <f ca="1">em_load*tblBaseCF[[#This Row],[pStandardCOI]]
*tblBaseCF[[#This Row],[EMLoadTermFlag]]</f>
        <v>0</v>
      </c>
      <c r="BL39" s="62">
        <f ca="1">pm_load/1000*tblBaseCF[[#This Row],[SAR]]
*tblBaseCF[[#This Row],[PMLoadTermFlag]]</f>
        <v>0</v>
      </c>
      <c r="BM39" s="60">
        <f ca="1">tblBaseCF[[#This Row],[AccBen]]*monthly_acc_coi*12</f>
        <v>0</v>
      </c>
      <c r="BN39" s="60">
        <f ca="1">tblBaseCF[[#This Row],[pStandardCOI]]+tblBaseCF[[#This Row],[pEMLoadCOI]]+tblBaseCF[[#This Row],[pPMLoadCOI]]+tblBaseCF[[#This Row],[pAccCOI]]</f>
        <v>0</v>
      </c>
      <c r="BO39" s="62">
        <f ca="1">IFERROR(INDEX(tblAdminChrg[Amount],MATCH(tblBaseCF[[#This Row],[CalYear]],tblAdminChrg[Cal_Year],0)),0)
*tblBaseCF[[#This Row],[ContFlag]]</f>
        <v>0</v>
      </c>
      <c r="BP39" s="60">
        <f ca="1">tblBaseCF[[#This Row],[pMonthlyAdminChrg]]*12</f>
        <v>0</v>
      </c>
      <c r="BQ39" s="60">
        <f ca="1">tblBaseCF[[#This Row],[pCOI]]+tblBaseCF[[#This Row],[pAdminChrg]]</f>
        <v>0</v>
      </c>
      <c r="BR39" s="60">
        <f ca="1">tblBaseCF[[#This Row],[pNomDeduct]]*tblBaseCF[[#This Row],[Duean1m12]]</f>
        <v>0</v>
      </c>
      <c r="BS39" s="57">
        <f ca="1">(tblBaseCF[[#This Row],[PAVAfterWdrlAlloc]]&gt;=tblBaseCF[[#This Row],[pNomDeduct]])
*tblBaseCF[[#This Row],[ContFlag]]</f>
        <v>0</v>
      </c>
      <c r="BT39" s="60">
        <f ca="1">tblBaseCF[[#This Row],[pStandardCOI]]*tblBaseCF[[#This Row],[DeductFlag]]</f>
        <v>0</v>
      </c>
      <c r="BU39" s="60">
        <f ca="1">tblBaseCF[[#This Row],[pEMLoadCOI]]*tblBaseCF[[#This Row],[DeductFlag]]</f>
        <v>0</v>
      </c>
      <c r="BV39" s="60">
        <f ca="1">tblBaseCF[[#This Row],[pPMLoadCOI]]*tblBaseCF[[#This Row],[DeductFlag]]</f>
        <v>0</v>
      </c>
      <c r="BW39" s="60">
        <f ca="1">tblBaseCF[[#This Row],[pAccCOI]]*tblBaseCF[[#This Row],[DeductFlag]]</f>
        <v>0</v>
      </c>
      <c r="BX39" s="60">
        <f ca="1">tblBaseCF[[#This Row],[pCOI]]*tblBaseCF[[#This Row],[DeductFlag]]</f>
        <v>0</v>
      </c>
      <c r="BY39" s="60">
        <f ca="1">tblBaseCF[[#This Row],[pMonthlyAdminChrg]]*tblBaseCF[[#This Row],[DeductFlag]]</f>
        <v>0</v>
      </c>
      <c r="BZ39" s="60">
        <f ca="1">tblBaseCF[[#This Row],[pAdminChrg]]*tblBaseCF[[#This Row],[DeductFlag]]</f>
        <v>0</v>
      </c>
      <c r="CA39" s="60">
        <f ca="1">tblBaseCF[[#This Row],[pNomDeduct]]*tblBaseCF[[#This Row],[DeductFlag]]</f>
        <v>0</v>
      </c>
      <c r="CB39" s="60">
        <f ca="1">tblBaseCF[[#This Row],[pDeduct]]*tblBaseCF[[#This Row],[DeductFlag]]</f>
        <v>0</v>
      </c>
      <c r="CC39" s="60">
        <f ca="1">MIN(tblBaseCF[[#This Row],[TAVAfterWdrlAlloc]],tblBaseCF[[#This Row],[Deduct]])</f>
        <v>0</v>
      </c>
      <c r="CD39" s="60">
        <f ca="1">tblBaseCF[[#This Row],[Deduct]]-tblBaseCF[[#This Row],[TAVDeduct]]</f>
        <v>0</v>
      </c>
      <c r="CE39" s="69">
        <f ca="1">(tblBaseCF[[#This Row],[TAVAfterWdrlAlloc]]-tblBaseCF[[#This Row],[TAVDeduct]])*tblBaseCF[[#This Row],[AnnualIntRate]]
*tblBaseCF[[#This Row],[DeductFlag]]</f>
        <v>0</v>
      </c>
      <c r="CF39" s="69">
        <f ca="1">(tblBaseCF[[#This Row],[EAVAfterWdrlAlloc]]-tblBaseCF[[#This Row],[EAVDeduct]])*tblBaseCF[[#This Row],[AnnualIntRate]]
*tblBaseCF[[#This Row],[DeductFlag]]</f>
        <v>0</v>
      </c>
      <c r="CG39" s="69">
        <f ca="1">tblBaseCF[[#This Row],[TAVInt]]+tblBaseCF[[#This Row],[EAVInt]]</f>
        <v>0</v>
      </c>
      <c r="CH39" s="62">
        <f ca="1">IFERROR(INDEX(tblLBRate[Rate],MATCH(tblBaseCF[[#This Row],[Year]],tblLBRate[Year],0)),0)
*tblBaseCF[[#This Row],[DeductFlag]]</f>
        <v>0</v>
      </c>
      <c r="CI39" s="60">
        <f ca="1">IFERROR(SUM(OFFSET(tblBaseCF[[#This Row],[TAVWithdrawal]],0,0,-lb_review_period,1)),0)
*(tblBaseCF[[#This Row],[LBRate]]&gt;0)</f>
        <v>0</v>
      </c>
      <c r="CJ39" s="60">
        <f ca="1">(tblBaseCF[[#This Row],[LBRate]]&gt;0)*(tblBaseCF[[#This Row],[LBTAVWithdrawal]]=0)</f>
        <v>0</v>
      </c>
      <c r="CK39" s="62" cm="1">
        <f t="array" aca="1" ref="CK39" ca="1">IF(tblBaseCF[[#This Row],[LBFlag]],
_xlfn.SWITCH(base,
"ILP1",AVERAGE(OFFSET(tblBaseCF[TP],0,0,-lb_review_period,1)),tp),0)
*tblBaseCF[[#This Row],[LBFlag]]</f>
        <v>0</v>
      </c>
      <c r="CL39" s="62">
        <f ca="1">tblBaseCF[[#This Row],[LBBasis]]*tblBaseCF[[#This Row],[LBRate]]</f>
        <v>0</v>
      </c>
      <c r="CM39" s="57" cm="1">
        <f t="array" aca="1" ref="CM39" ca="1">_xlfn.SWITCH(base,
"ILP1",0,($AF139&lt;500000000)*1
+($AF139&gt;=500000000)*($AF139&lt;1000000000)*2
+($AF139&gt;=1000000000)*3)
*tblBaseCF[[#This Row],[DeductFlag]]</f>
        <v>0</v>
      </c>
      <c r="CN39" s="2" t="str">
        <f ca="1">IF(tblBaseCF[[#This Row],[DeductFlag]],base&amp;"_"&amp;tblBaseCF[[#This Row],[SBCode]]&amp;"_"&amp;tblBaseCF[[#This Row],[Year]],"")</f>
        <v/>
      </c>
      <c r="CO39" s="3">
        <f ca="1">IFERROR(INDEX(tblSBRate[Index],MATCH(tblBaseCF[[#This Row],[SBIndex]],tblSBRate[Rate],0)),0)</f>
        <v>0</v>
      </c>
      <c r="CP39" s="63">
        <f ca="1">IFERROR(SUM(OFFSET(tblBaseCF[[#This Row],[TAVWithdrawal]],0,0,-sb_review_period,1)),0)
*(tblBaseCF[[#This Row],[SBRate]]&gt;0)</f>
        <v>0</v>
      </c>
      <c r="CQ39" s="63">
        <f ca="1">(tblBaseCF[[#This Row],[SBRate]]&gt;0)*(tblBaseCF[[#This Row],[SBTAVWithdrawal]]=0)</f>
        <v>0</v>
      </c>
      <c r="CR39" s="59" cm="1">
        <f t="array" aca="1" ref="CR39" ca="1">IF(tblBaseCF[[#This Row],[LBFlag]],
_xlfn.SWITCH(base,
"ILP1",0,tp),0)*tblBaseCF[[#This Row],[SBFlag]]</f>
        <v>0</v>
      </c>
      <c r="CS39" s="63">
        <f ca="1">tblBaseCF[[#This Row],[SBBasis]]*tblBaseCF[[#This Row],[SBRate]]</f>
        <v>0</v>
      </c>
      <c r="CT39" s="63">
        <f ca="1">tblBaseCF[[#This Row],[LB]]+tblBaseCF[[#This Row],[SB]]</f>
        <v>0</v>
      </c>
      <c r="CU39" s="59">
        <f ca="1">tblBaseCF[[#This Row],[TAVAfterWdrlAlloc]]-tblBaseCF[[#This Row],[TAVDeduct]]+tblBaseCF[[#This Row],[TAVInt]]+tblBaseCF[[#This Row],[Bonus]]</f>
        <v>0</v>
      </c>
      <c r="CV39" s="59">
        <f ca="1">tblBaseCF[[#This Row],[EAVAfterWdrlAlloc]]-tblBaseCF[[#This Row],[EAVDeduct]]+tblBaseCF[[#This Row],[EAVInt]]</f>
        <v>0</v>
      </c>
      <c r="CW39" s="63">
        <f ca="1">tblBaseCF[[#This Row],[EndTAV]]+tblBaseCF[[#This Row],[EndEAV]]</f>
        <v>0</v>
      </c>
      <c r="CX39" s="59">
        <f ca="1">INDEX(tblPlanPrem[TP],2)
*tblBaseCF[[#This Row],[TPTermFlag]]</f>
        <v>0</v>
      </c>
      <c r="CY39" s="59">
        <f ca="1">INDEX(tblPlanPrem[EP],2)
*tblBaseCF[[#This Row],[TPTermFlag]]</f>
        <v>0</v>
      </c>
      <c r="CZ39" s="63">
        <f ca="1">ROUNDUP(tblBaseCF[[#This Row],[UnroundedEMLoad]]*INDEX(tblPlanPrem[Factor],2),-3)</f>
        <v>0</v>
      </c>
      <c r="DA39" s="63">
        <f ca="1">ROUNDUP(tblBaseCF[[#This Row],[UnroundedPMLoad]]*INDEX(tblPlanPrem[Factor],2),-3)</f>
        <v>0</v>
      </c>
      <c r="DB39" s="63">
        <f ca="1">tblBaseCF[[#This Row],[SemiAnnualEMLoad]]+tblBaseCF[[#This Row],[SemiAnnualPMLoad]]</f>
        <v>0</v>
      </c>
      <c r="DC39" s="63">
        <f ca="1">tblBaseCF[[#This Row],[SemiAnnualTP]]+tblBaseCF[[#This Row],[SemiAnnualEP]]+tblBaseCF[[#This Row],[SemiAnnualLoad]]</f>
        <v>0</v>
      </c>
      <c r="DD39" s="59">
        <f ca="1">INDEX(tblPlanPrem[TP],3)
*tblBaseCF[[#This Row],[TPTermFlag]]</f>
        <v>0</v>
      </c>
      <c r="DE39" s="59">
        <f ca="1">INDEX(tblPlanPrem[EP],3)
*tblBaseCF[[#This Row],[TPTermFlag]]</f>
        <v>0</v>
      </c>
      <c r="DF39" s="63">
        <f ca="1">ROUNDUP(tblBaseCF[[#This Row],[UnroundedEMLoad]]*INDEX(tblPlanPrem[Factor],3),-3)</f>
        <v>0</v>
      </c>
      <c r="DG39" s="63">
        <f ca="1">ROUNDUP(tblBaseCF[[#This Row],[UnroundedPMLoad]]*INDEX(tblPlanPrem[Factor],3),-3)</f>
        <v>0</v>
      </c>
      <c r="DH39" s="60">
        <f ca="1">tblBaseCF[[#This Row],[QuarterlyEMLoad]]+tblBaseCF[[#This Row],[QuarterlyPMLoad]]</f>
        <v>0</v>
      </c>
      <c r="DI39" s="60">
        <f ca="1">tblBaseCF[[#This Row],[QuarterlyTP]]+tblBaseCF[[#This Row],[QuarterlyEP]]+tblBaseCF[[#This Row],[QuarterlyLoad]]</f>
        <v>0</v>
      </c>
      <c r="DJ39" s="59">
        <f ca="1">INDEX(tblPlanPrem[TP],4)
*tblBaseCF[[#This Row],[TPTermFlag]]</f>
        <v>0</v>
      </c>
      <c r="DK39" s="59">
        <f ca="1">INDEX(tblPlanPrem[EP],4)
*tblBaseCF[[#This Row],[TPTermFlag]]</f>
        <v>0</v>
      </c>
      <c r="DL39" s="63">
        <f ca="1">ROUNDUP(tblBaseCF[[#This Row],[UnroundedEMLoad]]*INDEX(tblPlanPrem[Factor],4),-3)</f>
        <v>0</v>
      </c>
      <c r="DM39" s="63">
        <f ca="1">ROUNDUP(tblBaseCF[[#This Row],[UnroundedPMLoad]]*INDEX(tblPlanPrem[Factor],4),-3)</f>
        <v>0</v>
      </c>
      <c r="DN39" s="60">
        <f ca="1">tblBaseCF[[#This Row],[MonthlyEMLoad]]+tblBaseCF[[#This Row],[MonthlyPMLoad]]</f>
        <v>0</v>
      </c>
      <c r="DO39" s="63">
        <f ca="1">tblBaseCF[[#This Row],[MonthlyTP]]+tblBaseCF[[#This Row],[MonthlyEP]]+tblBaseCF[[#This Row],[MonthlyLoad]]</f>
        <v>0</v>
      </c>
      <c r="DP39" s="3"/>
      <c r="DS39">
        <f t="shared" si="3"/>
        <v>0</v>
      </c>
      <c r="DT39">
        <f t="shared" si="4"/>
        <v>0</v>
      </c>
      <c r="DU39">
        <f t="shared" si="5"/>
        <v>0</v>
      </c>
      <c r="DV39">
        <f ca="1">tblBaseCF[[#This Row],[Year]]</f>
        <v>19</v>
      </c>
      <c r="DW39">
        <f ca="1">tblBaseCF[[#This Row],[Age]]</f>
        <v>18</v>
      </c>
      <c r="DX39">
        <f ca="1">tblBaseCF[[#This Row],[ContFlag]]</f>
        <v>0</v>
      </c>
      <c r="DY39" t="str">
        <f ca="1">tblBaseCF[[#This Row],[ContLog]]</f>
        <v>Insufficient PAV for deduction - Discontinue.</v>
      </c>
      <c r="DZ39">
        <f ca="1">tblBaseCF[[#This Row],[StartTAV]]</f>
        <v>0</v>
      </c>
      <c r="EA39">
        <f ca="1">tblBaseCF[[#This Row],[StartEAV]]</f>
        <v>0</v>
      </c>
      <c r="EB39">
        <f ca="1">tblBaseCF[[#This Row],[StartPAV]]</f>
        <v>0</v>
      </c>
      <c r="EC39">
        <f ca="1">tblBaseCF[[#This Row],[SVChrg]]</f>
        <v>0</v>
      </c>
      <c r="ED39">
        <f ca="1">tblBaseCF[[#This Row],[SV]]</f>
        <v>0</v>
      </c>
      <c r="EE39">
        <f ca="1">tblBaseCF[[#This Row],[Ben]]</f>
        <v>0</v>
      </c>
      <c r="EF39">
        <f ca="1">tblBaseCF[[#This Row],[AccBen]]</f>
        <v>0</v>
      </c>
      <c r="EG39">
        <f ca="1">tblBaseCF[[#This Row],[WithdrawalInput]]</f>
        <v>0</v>
      </c>
      <c r="EH39" t="str">
        <f ca="1">tblBaseCF[[#This Row],[WithdrawalLog]]</f>
        <v>No withdrawal.</v>
      </c>
      <c r="EI39">
        <f ca="1">tblBaseCF[[#This Row],[TAVWithdrawal]]</f>
        <v>0</v>
      </c>
      <c r="EJ39">
        <f ca="1">tblBaseCF[[#This Row],[EAVWithdrawal]]</f>
        <v>0</v>
      </c>
      <c r="EK39">
        <f ca="1">tblBaseCF[[#This Row],[Withdrawal]]</f>
        <v>0</v>
      </c>
      <c r="EL39">
        <f ca="1">tblBaseCF[[#This Row],[TP]]</f>
        <v>0</v>
      </c>
      <c r="EM39">
        <f ca="1">tblBaseCF[[#This Row],[TPAllocChrg]]</f>
        <v>0</v>
      </c>
      <c r="EN39">
        <f ca="1">tblBaseCF[[#This Row],[TPAlloc]]</f>
        <v>0</v>
      </c>
      <c r="EO39">
        <f ca="1">tblBaseCF[[#This Row],[EP]]</f>
        <v>0</v>
      </c>
      <c r="EP39">
        <f ca="1">tblBaseCF[[#This Row],[EPAllocChrg]]</f>
        <v>0</v>
      </c>
      <c r="EQ39">
        <f ca="1">tblBaseCF[[#This Row],[EPAlloc]]</f>
        <v>0</v>
      </c>
      <c r="ER39">
        <f ca="1">tblBaseCF[[#This Row],[EMLoad]]</f>
        <v>0</v>
      </c>
      <c r="ES39">
        <f ca="1">tblBaseCF[[#This Row],[PMLoad]]</f>
        <v>0</v>
      </c>
      <c r="ET39">
        <f ca="1">tblBaseCF[[#This Row],[Load]]</f>
        <v>0</v>
      </c>
      <c r="EU39">
        <f ca="1">tblBaseCF[[#This Row],[LoadAllocChrg]]</f>
        <v>0</v>
      </c>
      <c r="EV39">
        <f ca="1">tblBaseCF[[#This Row],[LoadAlloc]]</f>
        <v>0</v>
      </c>
      <c r="EW39">
        <f ca="1">tblBaseCF[[#This Row],[TotalPrem]]</f>
        <v>0</v>
      </c>
      <c r="EX39">
        <f ca="1">tblBaseCF[[#This Row],[AllocChrg]]</f>
        <v>0</v>
      </c>
      <c r="EY39">
        <f ca="1">tblBaseCF[[#This Row],[Alloc]]</f>
        <v>0</v>
      </c>
      <c r="EZ39">
        <f ca="1">tblBaseCF[[#This Row],[AccumTotalPrem]]</f>
        <v>0</v>
      </c>
      <c r="FA39">
        <f>tblBaseCF[[#This Row],[AnnualIntRate]]</f>
        <v>0</v>
      </c>
      <c r="FB39" s="50">
        <f>tblBaseCF[[#This Row],[Duean1m12]]</f>
        <v>1</v>
      </c>
      <c r="FC39">
        <f ca="1">tblBaseCF[[#This Row],[DeductFlag]]</f>
        <v>0</v>
      </c>
      <c r="FD39">
        <f ca="1">tblBaseCF[[#This Row],[AdminChrg]]</f>
        <v>0</v>
      </c>
      <c r="FE39">
        <f ca="1">tblBaseCF[[#This Row],[StandardCOI]]</f>
        <v>0</v>
      </c>
      <c r="FF39">
        <f ca="1">tblBaseCF[[#This Row],[EMLoadCOI]]</f>
        <v>0</v>
      </c>
      <c r="FG39">
        <f ca="1">tblBaseCF[[#This Row],[PMLoadCOI]]</f>
        <v>0</v>
      </c>
      <c r="FH39">
        <f ca="1">tblBaseCF[[#This Row],[COI]]</f>
        <v>0</v>
      </c>
      <c r="FI39" s="47">
        <f ca="1">tblBaseCF[[#This Row],[NomDeduct]]</f>
        <v>0</v>
      </c>
      <c r="FJ39">
        <f ca="1">tblBaseCF[[#This Row],[Deduct]]</f>
        <v>0</v>
      </c>
      <c r="FK39">
        <f ca="1">tblBaseCF[[#This Row],[TAVDeduct]]</f>
        <v>0</v>
      </c>
      <c r="FL39">
        <f ca="1">tblBaseCF[[#This Row],[EAVDeduct]]</f>
        <v>0</v>
      </c>
      <c r="FM39" s="24">
        <f ca="1">tblBaseCF[[#This Row],[TAVInt]]</f>
        <v>0</v>
      </c>
      <c r="FN39">
        <f ca="1">tblBaseCF[[#This Row],[EAVInt]]</f>
        <v>0</v>
      </c>
      <c r="FO39" s="47">
        <f ca="1">tblBaseCF[[#This Row],[LB]]</f>
        <v>0</v>
      </c>
      <c r="FP39">
        <f ca="1">tblBaseCF[[#This Row],[SB]]</f>
        <v>0</v>
      </c>
      <c r="FQ39">
        <f ca="1">tblBaseCF[[#This Row],[Bonus]]</f>
        <v>0</v>
      </c>
      <c r="FR39">
        <f ca="1">tblBaseCF[[#This Row],[EndTAV]]</f>
        <v>0</v>
      </c>
      <c r="FS39">
        <f ca="1">tblBaseCF[[#This Row],[EndEAV]]</f>
        <v>0</v>
      </c>
      <c r="FT39">
        <f ca="1">tblBaseCF[[#This Row],[EndPAV]]</f>
        <v>0</v>
      </c>
      <c r="FU39">
        <f ca="1">tblBaseCF[[#This Row],[SemiAnnualTP]]</f>
        <v>0</v>
      </c>
      <c r="FV39">
        <f ca="1">tblBaseCF[[#This Row],[SemiAnnualEP]]</f>
        <v>0</v>
      </c>
      <c r="FW39">
        <f ca="1">tblBaseCF[[#This Row],[SemiAnnualEMLoad]]</f>
        <v>0</v>
      </c>
      <c r="FX39">
        <f ca="1">tblBaseCF[[#This Row],[SemiAnnualPMLoad]]</f>
        <v>0</v>
      </c>
      <c r="FY39">
        <f ca="1">tblBaseCF[[#This Row],[SemiAnnualLoad]]</f>
        <v>0</v>
      </c>
      <c r="FZ39">
        <f ca="1">tblBaseCF[[#This Row],[SemiAnnualTotalPrem]]</f>
        <v>0</v>
      </c>
      <c r="GA39">
        <f ca="1">tblBaseCF[[#This Row],[QuarterlyTP]]</f>
        <v>0</v>
      </c>
      <c r="GB39">
        <f ca="1">tblBaseCF[[#This Row],[QuarterlyEP]]</f>
        <v>0</v>
      </c>
      <c r="GC39">
        <f ca="1">tblBaseCF[[#This Row],[QuarterlyEMLoad]]</f>
        <v>0</v>
      </c>
      <c r="GD39">
        <f ca="1">tblBaseCF[[#This Row],[QuarterlyPMLoad]]</f>
        <v>0</v>
      </c>
      <c r="GE39">
        <f ca="1">tblBaseCF[[#This Row],[QuarterlyLoad]]</f>
        <v>0</v>
      </c>
      <c r="GF39">
        <f ca="1">tblBaseCF[[#This Row],[QuarterlyTotalPrem]]</f>
        <v>0</v>
      </c>
      <c r="GG39">
        <f ca="1">tblBaseCF[[#This Row],[MonthlyTP]]</f>
        <v>0</v>
      </c>
      <c r="GH39">
        <f ca="1">tblBaseCF[[#This Row],[MonthlyEP]]</f>
        <v>0</v>
      </c>
      <c r="GI39">
        <f ca="1">tblBaseCF[[#This Row],[MonthlyEMLoad]]</f>
        <v>0</v>
      </c>
      <c r="GJ39">
        <f ca="1">tblBaseCF[[#This Row],[MonthlyPMLoad]]</f>
        <v>0</v>
      </c>
      <c r="GK39">
        <f ca="1">tblBaseCF[[#This Row],[MonthlyLoad]]</f>
        <v>0</v>
      </c>
      <c r="GL39">
        <f ca="1">tblBaseCF[[#This Row],[MonthlyTotalPrem]]</f>
        <v>0</v>
      </c>
      <c r="GO39" t="s">
        <v>134</v>
      </c>
      <c r="GP39" t="s">
        <v>135</v>
      </c>
      <c r="GQ39" t="s">
        <v>502</v>
      </c>
      <c r="GR39">
        <v>19</v>
      </c>
      <c r="GS39">
        <v>18</v>
      </c>
      <c r="GT39">
        <v>1</v>
      </c>
      <c r="GU39" t="s">
        <v>457</v>
      </c>
      <c r="GV39">
        <v>12997895.5489903</v>
      </c>
      <c r="GW39">
        <v>148178574.495096</v>
      </c>
      <c r="GX39">
        <v>161176470.04408601</v>
      </c>
      <c r="GY39">
        <v>0</v>
      </c>
      <c r="GZ39">
        <v>161176470.04408601</v>
      </c>
      <c r="HA39">
        <v>161176470.04408601</v>
      </c>
      <c r="HB39">
        <v>303000000</v>
      </c>
      <c r="HC39">
        <v>0</v>
      </c>
      <c r="HD39" t="s">
        <v>137</v>
      </c>
      <c r="HE39">
        <v>0</v>
      </c>
      <c r="HF39">
        <v>0</v>
      </c>
      <c r="HG39">
        <v>0</v>
      </c>
      <c r="HH39">
        <v>1072000</v>
      </c>
      <c r="HI39">
        <v>21440</v>
      </c>
      <c r="HJ39">
        <v>1050560</v>
      </c>
      <c r="HK39">
        <v>5200000</v>
      </c>
      <c r="HL39">
        <v>104000</v>
      </c>
      <c r="HM39">
        <v>5096000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6272000</v>
      </c>
      <c r="HT39">
        <v>125440</v>
      </c>
      <c r="HU39">
        <v>6146560</v>
      </c>
      <c r="HV39">
        <v>119168000</v>
      </c>
      <c r="HW39">
        <v>7.0000000000000007E-2</v>
      </c>
      <c r="HX39">
        <v>0.96964931039809399</v>
      </c>
      <c r="HY39">
        <v>1</v>
      </c>
      <c r="HZ39">
        <v>300000</v>
      </c>
      <c r="IA39">
        <v>0</v>
      </c>
      <c r="IB39">
        <v>0</v>
      </c>
      <c r="IC39">
        <v>0</v>
      </c>
      <c r="ID39">
        <v>272700</v>
      </c>
      <c r="IE39">
        <v>572700</v>
      </c>
      <c r="IF39">
        <v>555318.16006498795</v>
      </c>
      <c r="IG39">
        <v>555318.16006498795</v>
      </c>
      <c r="IH39">
        <v>0</v>
      </c>
      <c r="II39">
        <v>944519.61722477002</v>
      </c>
      <c r="IJ39">
        <v>10729220.214656699</v>
      </c>
      <c r="IK39">
        <v>0</v>
      </c>
      <c r="IL39">
        <v>0</v>
      </c>
      <c r="IM39">
        <v>0</v>
      </c>
      <c r="IN39">
        <v>14437657.0061501</v>
      </c>
      <c r="IO39">
        <v>164003794.70975301</v>
      </c>
      <c r="IP39">
        <v>178441451.71590301</v>
      </c>
      <c r="IQ39">
        <v>536000</v>
      </c>
      <c r="IR39">
        <v>2600000</v>
      </c>
      <c r="IS39">
        <v>0</v>
      </c>
      <c r="IT39">
        <v>0</v>
      </c>
      <c r="IU39">
        <v>0</v>
      </c>
      <c r="IV39">
        <v>3136000</v>
      </c>
      <c r="IW39">
        <v>268000</v>
      </c>
      <c r="IX39">
        <v>1300000</v>
      </c>
      <c r="IY39">
        <v>0</v>
      </c>
      <c r="IZ39">
        <v>0</v>
      </c>
      <c r="JA39">
        <v>0</v>
      </c>
      <c r="JB39">
        <v>1568000</v>
      </c>
      <c r="JC39">
        <v>90000</v>
      </c>
      <c r="JD39">
        <v>434000</v>
      </c>
      <c r="JE39">
        <v>0</v>
      </c>
      <c r="JF39">
        <v>0</v>
      </c>
      <c r="JG39">
        <v>0</v>
      </c>
      <c r="JH39">
        <v>524000</v>
      </c>
    </row>
    <row r="40" spans="2:268" customFormat="1" x14ac:dyDescent="0.25">
      <c r="B40" s="2">
        <f ca="1">OFFSET(tblBaseCF[[#This Row],[Year]],-1,0)+1</f>
        <v>20</v>
      </c>
      <c r="C40" s="2">
        <f ca="1">(tblBaseCF[[#This Row],[Year]]&lt;=term)*1</f>
        <v>1</v>
      </c>
      <c r="D40" s="57">
        <f ca="1">(YEAR(rcd)+tblBaseCF[[#This Row],[Year]]-1)
*tblBaseCF[[#This Row],[PolTermFlag]]</f>
        <v>2044</v>
      </c>
      <c r="E40" s="57">
        <f ca="1">(mainLI_entry_age+tblBaseCF[[#This Row],[Year]]-1)
*tblBaseCF[[#This Row],[PolTermFlag]]</f>
        <v>19</v>
      </c>
      <c r="F40" s="57">
        <f ca="1">IF(tblBaseCF[[#This Row],[Year]]=1,1,OFFSET(tblBaseCF[[#This Row],[DeductFlag]],-1,0))
*tblBaseCF[[#This Row],[PolTermFlag]]</f>
        <v>0</v>
      </c>
      <c r="G4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0" s="57">
        <f ca="1">(tblBaseCF[[#This Row],[Year]]&lt;=acc_ben_term)
*tblBaseCF[[#This Row],[ContFlag]]</f>
        <v>0</v>
      </c>
      <c r="I40" s="57">
        <f ca="1">(tblBaseCF[[#This Row],[Year]]&lt;=tp_term)
*tblBaseCF[[#This Row],[ContFlag]]</f>
        <v>0</v>
      </c>
      <c r="J40" s="57">
        <f ca="1">(tblBaseCF[[#This Row],[Year]]&lt;=ep_term)
*tblBaseCF[[#This Row],[ContFlag]]</f>
        <v>0</v>
      </c>
      <c r="K40" s="57">
        <f ca="1">(tblBaseCF[[#This Row],[Year]]&lt;=em_load_term)*1</f>
        <v>0</v>
      </c>
      <c r="L40" s="57">
        <f ca="1">(tblBaseCF[[#This Row],[Year]]&lt;=pm_load_term)*1</f>
        <v>0</v>
      </c>
      <c r="M40" s="59">
        <f ca="1">IF(tblBaseCF[[#This Row],[Year]]=1,si,OFFSET(tblBaseCF[[#This Row],[EndSI]],-1,0))
*tblBaseCF[[#This Row],[ContFlag]]</f>
        <v>0</v>
      </c>
      <c r="N40" s="59">
        <f ca="1">OFFSET(tblBaseCF[[#This Row],[EndTAV]],-1,0)
*tblBaseCF[[#This Row],[ContFlag]]</f>
        <v>0</v>
      </c>
      <c r="O40" s="59">
        <f ca="1">OFFSET(tblBaseCF[[#This Row],[EndEAV]],-1,0)
*tblBaseCF[[#This Row],[ContFlag]]</f>
        <v>0</v>
      </c>
      <c r="P40" s="60">
        <f ca="1">tblBaseCF[[#This Row],[StartEAV]]+tblBaseCF[[#This Row],[StartTAV]]</f>
        <v>0</v>
      </c>
      <c r="Q40" s="61">
        <f ca="1">IFERROR(INDEX(tblJuvenileLienRate[Rate],MATCH(tblBaseCF[[#This Row],[Age]],tblJuvenileLienRate[Age],0)),1)
*tblBaseCF[[#This Row],[ContFlag]]</f>
        <v>0</v>
      </c>
      <c r="R4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0" s="62">
        <f ca="1">tblBaseCF[[#This Row],[StartSI]]*acc_ben_coeff*tblBaseCF[[#This Row],[JuvenileLienRate]]
*tblBaseCF[[#This Row],[AccBenTermFlag]]</f>
        <v>0</v>
      </c>
      <c r="T40" s="61">
        <f ca="1">(IFERROR(INDEX(tblSurrChrgRate[Rate],MATCH(tblBaseCF[[#This Row],[Year]],tblSurrChrgRate[Year],0)),0)
*tblBaseCF[[#This Row],[ContFlag]])</f>
        <v>0</v>
      </c>
      <c r="U40" s="60">
        <f ca="1">tp*tblBaseCF[[#This Row],[SrrChrgRate]]</f>
        <v>0</v>
      </c>
      <c r="V40" s="63">
        <f ca="1">MAX(tblBaseCF[[#This Row],[StartTAV]]-tblBaseCF[[#This Row],[SVChrg]],0)+tblBaseCF[[#This Row],[StartEAV]]</f>
        <v>0</v>
      </c>
      <c r="W40" s="59">
        <f ca="1">IFERROR(INDEX(tblWithdrawal_Output[Amount],MATCH(tblBaseCF[[#This Row],[Year]],tblWithdrawal_Output[Year],0)),0)
*tblBaseCF[[#This Row],[ContFlag]]</f>
        <v>0</v>
      </c>
      <c r="X40" s="59" t="b">
        <f ca="1">tblBaseCF[[#This Row],[WithdrawalInput]]&gt;0</f>
        <v>0</v>
      </c>
      <c r="Y40" s="59" t="b">
        <f ca="1">AND(tblBaseCF[[#This Row],[1stCheckProceed]],tblBaseCF[[#This Row],[WithdrawalInput]]&lt;=tblBaseCF[[#This Row],[StartPAV]])</f>
        <v>0</v>
      </c>
      <c r="Z40" s="59" t="b">
        <f ca="1">AND(tblBaseCF[[#This Row],[2ndCheckAmount]],(tblBaseCF[[#This Row],[StartPAV]]-tblBaseCF[[#This Row],[WithdrawalInput]])&gt;=min_pav_after_withdrawal)</f>
        <v>0</v>
      </c>
      <c r="AA4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0" s="59" t="b">
        <f ca="1">AND(tblBaseCF[[#This Row],[3rdCheckPAV]],tblBaseCF[[#This Row],[endSITest]]&gt;=min_base_si)</f>
        <v>0</v>
      </c>
      <c r="AC40" s="60">
        <f ca="1">tblBaseCF[[#This Row],[WithdrawalInput]]*tblBaseCF[[#This Row],[4thCheckSI]]</f>
        <v>0</v>
      </c>
      <c r="AD40" s="60">
        <f ca="1">MIN(tblBaseCF[[#This Row],[Withdrawal]],tblBaseCF[[#This Row],[StartEAV]])</f>
        <v>0</v>
      </c>
      <c r="AE40" s="60">
        <f ca="1">tblBaseCF[[#This Row],[Withdrawal]]-tblBaseCF[[#This Row],[EAVWithdrawal]]</f>
        <v>0</v>
      </c>
      <c r="AF40" s="60">
        <f ca="1">IF(tblBaseCF[[#This Row],[4thCheckSI]],tblBaseCF[[#This Row],[endSITest]],tblBaseCF[[#This Row],[StartSI]])</f>
        <v>0</v>
      </c>
      <c r="AG4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0" s="65">
        <f ca="1">IFERROR(INDEX(tblTPAllocChrgRate[Rate],MATCH(tblBaseCF[[#This Row],[Year]],tblTPAllocChrgRate[Year],0)),0)</f>
        <v>0.02</v>
      </c>
      <c r="AI40" s="62">
        <f ca="1">(tp+big_case_bonus_tp*(tblBaseCF[[#This Row],[Year]]=1))
*tblBaseCF[[#This Row],[TPTermFlag]]</f>
        <v>0</v>
      </c>
      <c r="AJ40" s="63">
        <f ca="1">tblBaseCF[[#This Row],[TP]]*tblBaseCF[[#This Row],[TPAllocChrgRate]]</f>
        <v>0</v>
      </c>
      <c r="AK40" s="60">
        <f ca="1">tblBaseCF[[#This Row],[TP]]-tblBaseCF[[#This Row],[TPAllocChrg]]</f>
        <v>0</v>
      </c>
      <c r="AL40" s="65">
        <f ca="1">IFERROR(INDEX(tblEPAllocChrgRate[Rate],MATCH(tblBaseCF[[#This Row],[Year]],tblEPAllocChrgRate[Year],0)),0)</f>
        <v>0.02</v>
      </c>
      <c r="AM40" s="60">
        <f ca="1">ep*tblBaseCF[[#This Row],[EPTermFlag]]</f>
        <v>0</v>
      </c>
      <c r="AN40" s="60">
        <f ca="1">tblBaseCF[[#This Row],[EP]]*tblBaseCF[[#This Row],[EPAllocChrgRate]]</f>
        <v>0</v>
      </c>
      <c r="AO40" s="63">
        <f ca="1">tblBaseCF[[#This Row],[EP]]-tblBaseCF[[#This Row],[EPAllocChrg]]</f>
        <v>0</v>
      </c>
      <c r="AP40" s="62">
        <f ca="1">tblBaseCF[[#This Row],[Ben]]*extra_prem_rate*em_load/1000/(1-tblBaseCF[[#This Row],[EPAllocChrgRate]])
*tblBaseCF[[#This Row],[EMLoadTermFlag]]</f>
        <v>0</v>
      </c>
      <c r="AQ40" s="62">
        <f ca="1">tblBaseCF[[#This Row],[Ben]]*pm_load/1000/(1-tblBaseCF[[#This Row],[EPAllocChrgRate]])
*tblBaseCF[[#This Row],[PMLoadTermFlag]]</f>
        <v>0</v>
      </c>
      <c r="AR40" s="60">
        <f ca="1">ROUNDUP(tblBaseCF[[#This Row],[UnroundedEMLoad]],-3)</f>
        <v>0</v>
      </c>
      <c r="AS40" s="62">
        <f ca="1">ROUNDUP(tblBaseCF[[#This Row],[Ben]]*pm_load/1000/(1-tblBaseCF[[#This Row],[EPAllocChrgRate]]),-3)
*tblBaseCF[[#This Row],[PMLoadTermFlag]]</f>
        <v>0</v>
      </c>
      <c r="AT40" s="60">
        <f ca="1">tblBaseCF[[#This Row],[EMLoad]]+tblBaseCF[[#This Row],[PMLoad]]</f>
        <v>0</v>
      </c>
      <c r="AU40" s="60">
        <f ca="1">tblBaseCF[[#This Row],[Load]]*tblBaseCF[[#This Row],[EPAllocChrgRate]]</f>
        <v>0</v>
      </c>
      <c r="AV40" s="60">
        <f ca="1">tblBaseCF[[#This Row],[Load]]-tblBaseCF[[#This Row],[LoadAllocChrg]]</f>
        <v>0</v>
      </c>
      <c r="AW40" s="60">
        <f ca="1">tblBaseCF[[#This Row],[TP]]+tblBaseCF[[#This Row],[EP]]+tblBaseCF[[#This Row],[Load]]</f>
        <v>0</v>
      </c>
      <c r="AX40" s="60">
        <f ca="1">tblBaseCF[[#This Row],[TPAllocChrg]]+tblBaseCF[[#This Row],[EPAllocChrg]]+tblBaseCF[[#This Row],[LoadAllocChrg]]</f>
        <v>0</v>
      </c>
      <c r="AY40" s="60">
        <f ca="1">tblBaseCF[[#This Row],[TPAlloc]]+tblBaseCF[[#This Row],[EPAlloc]]+tblBaseCF[[#This Row],[LoadAlloc]]</f>
        <v>0</v>
      </c>
      <c r="AZ40" s="60">
        <f ca="1">(OFFSET(tblBaseCF[[#This Row],[AccumTotalPrem]],-1,0)+tblBaseCF[[#This Row],[TotalPrem]])*tblBaseCF[[#This Row],[TPTermFlag]]</f>
        <v>0</v>
      </c>
      <c r="BA40" s="62">
        <f ca="1">(tblBaseCF[[#This Row],[StartTAV]]-tblBaseCF[[#This Row],[TAVWithdrawal]]+tblBaseCF[[#This Row],[TPAlloc]])
*tblBaseCF[[#This Row],[ContFlag]]</f>
        <v>0</v>
      </c>
      <c r="BB40" s="59">
        <f ca="1">(tblBaseCF[[#This Row],[StartEAV]]-tblBaseCF[[#This Row],[EAVWithdrawal]]+tblBaseCF[[#This Row],[EPAlloc]]+tblBaseCF[[#This Row],[LoadAlloc]])
*tblBaseCF[[#This Row],[ContFlag]]</f>
        <v>0</v>
      </c>
      <c r="BC40" s="59">
        <f ca="1">tblBaseCF[[#This Row],[TAVAfterWdrlAlloc]]+tblBaseCF[[#This Row],[EAVAfterWdrlAlloc]]</f>
        <v>0</v>
      </c>
      <c r="BD40" s="66">
        <f t="shared" si="2"/>
        <v>0</v>
      </c>
      <c r="BE40" s="67">
        <f>(1+tblBaseCF[[#This Row],[AnnualIntRate]])^(1/12)-1</f>
        <v>0</v>
      </c>
      <c r="BF40" s="68">
        <f>IFERROR(((1+tblBaseCF[[#This Row],[MonthlyIntRate]])^12-1)/12/(1-1/(1+tblBaseCF[[#This Row],[MonthlyIntRate]])),1)/(1+tblBaseCF[[#This Row],[AnnualIntRate]])</f>
        <v>1</v>
      </c>
      <c r="BG40" s="69">
        <f>PV(tblBaseCF[[#This Row],[MonthlyIntRate]],12,-1/12,,1)</f>
        <v>1</v>
      </c>
      <c r="BH40" s="60">
        <f ca="1">MAX(IF(death_tpd_option="A",tblBaseCF[[#This Row],[Ben]]-tblBaseCF[[#This Row],[StartPAV]],tblBaseCF[[#This Row],[Ben]]),0)</f>
        <v>0</v>
      </c>
      <c r="BI40" s="70">
        <f ca="1">IFERROR(INDEX(tblBaseCOIRate[Rate],MATCH(tblBaseCF[[#This Row],[Age]],tblBaseCOIRate[Age],0)),0)</f>
        <v>1.0299999999999799E-3</v>
      </c>
      <c r="BJ40" s="60">
        <f ca="1">tblBaseCF[[#This Row],[SAR]]*tblBaseCF[[#This Row],[COIRate]]</f>
        <v>0</v>
      </c>
      <c r="BK40" s="62">
        <f ca="1">em_load*tblBaseCF[[#This Row],[pStandardCOI]]
*tblBaseCF[[#This Row],[EMLoadTermFlag]]</f>
        <v>0</v>
      </c>
      <c r="BL40" s="62">
        <f ca="1">pm_load/1000*tblBaseCF[[#This Row],[SAR]]
*tblBaseCF[[#This Row],[PMLoadTermFlag]]</f>
        <v>0</v>
      </c>
      <c r="BM40" s="60">
        <f ca="1">tblBaseCF[[#This Row],[AccBen]]*monthly_acc_coi*12</f>
        <v>0</v>
      </c>
      <c r="BN40" s="60">
        <f ca="1">tblBaseCF[[#This Row],[pStandardCOI]]+tblBaseCF[[#This Row],[pEMLoadCOI]]+tblBaseCF[[#This Row],[pPMLoadCOI]]+tblBaseCF[[#This Row],[pAccCOI]]</f>
        <v>0</v>
      </c>
      <c r="BO40" s="62">
        <f ca="1">IFERROR(INDEX(tblAdminChrg[Amount],MATCH(tblBaseCF[[#This Row],[CalYear]],tblAdminChrg[Cal_Year],0)),0)
*tblBaseCF[[#This Row],[ContFlag]]</f>
        <v>0</v>
      </c>
      <c r="BP40" s="60">
        <f ca="1">tblBaseCF[[#This Row],[pMonthlyAdminChrg]]*12</f>
        <v>0</v>
      </c>
      <c r="BQ40" s="60">
        <f ca="1">tblBaseCF[[#This Row],[pCOI]]+tblBaseCF[[#This Row],[pAdminChrg]]</f>
        <v>0</v>
      </c>
      <c r="BR40" s="60">
        <f ca="1">tblBaseCF[[#This Row],[pNomDeduct]]*tblBaseCF[[#This Row],[Duean1m12]]</f>
        <v>0</v>
      </c>
      <c r="BS40" s="57">
        <f ca="1">(tblBaseCF[[#This Row],[PAVAfterWdrlAlloc]]&gt;=tblBaseCF[[#This Row],[pNomDeduct]])
*tblBaseCF[[#This Row],[ContFlag]]</f>
        <v>0</v>
      </c>
      <c r="BT40" s="60">
        <f ca="1">tblBaseCF[[#This Row],[pStandardCOI]]*tblBaseCF[[#This Row],[DeductFlag]]</f>
        <v>0</v>
      </c>
      <c r="BU40" s="60">
        <f ca="1">tblBaseCF[[#This Row],[pEMLoadCOI]]*tblBaseCF[[#This Row],[DeductFlag]]</f>
        <v>0</v>
      </c>
      <c r="BV40" s="60">
        <f ca="1">tblBaseCF[[#This Row],[pPMLoadCOI]]*tblBaseCF[[#This Row],[DeductFlag]]</f>
        <v>0</v>
      </c>
      <c r="BW40" s="60">
        <f ca="1">tblBaseCF[[#This Row],[pAccCOI]]*tblBaseCF[[#This Row],[DeductFlag]]</f>
        <v>0</v>
      </c>
      <c r="BX40" s="60">
        <f ca="1">tblBaseCF[[#This Row],[pCOI]]*tblBaseCF[[#This Row],[DeductFlag]]</f>
        <v>0</v>
      </c>
      <c r="BY40" s="60">
        <f ca="1">tblBaseCF[[#This Row],[pMonthlyAdminChrg]]*tblBaseCF[[#This Row],[DeductFlag]]</f>
        <v>0</v>
      </c>
      <c r="BZ40" s="60">
        <f ca="1">tblBaseCF[[#This Row],[pAdminChrg]]*tblBaseCF[[#This Row],[DeductFlag]]</f>
        <v>0</v>
      </c>
      <c r="CA40" s="60">
        <f ca="1">tblBaseCF[[#This Row],[pNomDeduct]]*tblBaseCF[[#This Row],[DeductFlag]]</f>
        <v>0</v>
      </c>
      <c r="CB40" s="60">
        <f ca="1">tblBaseCF[[#This Row],[pDeduct]]*tblBaseCF[[#This Row],[DeductFlag]]</f>
        <v>0</v>
      </c>
      <c r="CC40" s="60">
        <f ca="1">MIN(tblBaseCF[[#This Row],[TAVAfterWdrlAlloc]],tblBaseCF[[#This Row],[Deduct]])</f>
        <v>0</v>
      </c>
      <c r="CD40" s="60">
        <f ca="1">tblBaseCF[[#This Row],[Deduct]]-tblBaseCF[[#This Row],[TAVDeduct]]</f>
        <v>0</v>
      </c>
      <c r="CE40" s="69">
        <f ca="1">(tblBaseCF[[#This Row],[TAVAfterWdrlAlloc]]-tblBaseCF[[#This Row],[TAVDeduct]])*tblBaseCF[[#This Row],[AnnualIntRate]]
*tblBaseCF[[#This Row],[DeductFlag]]</f>
        <v>0</v>
      </c>
      <c r="CF40" s="69">
        <f ca="1">(tblBaseCF[[#This Row],[EAVAfterWdrlAlloc]]-tblBaseCF[[#This Row],[EAVDeduct]])*tblBaseCF[[#This Row],[AnnualIntRate]]
*tblBaseCF[[#This Row],[DeductFlag]]</f>
        <v>0</v>
      </c>
      <c r="CG40" s="69">
        <f ca="1">tblBaseCF[[#This Row],[TAVInt]]+tblBaseCF[[#This Row],[EAVInt]]</f>
        <v>0</v>
      </c>
      <c r="CH40" s="62">
        <f ca="1">IFERROR(INDEX(tblLBRate[Rate],MATCH(tblBaseCF[[#This Row],[Year]],tblLBRate[Year],0)),0)
*tblBaseCF[[#This Row],[DeductFlag]]</f>
        <v>0</v>
      </c>
      <c r="CI40" s="60">
        <f ca="1">IFERROR(SUM(OFFSET(tblBaseCF[[#This Row],[TAVWithdrawal]],0,0,-lb_review_period,1)),0)
*(tblBaseCF[[#This Row],[LBRate]]&gt;0)</f>
        <v>0</v>
      </c>
      <c r="CJ40" s="60">
        <f ca="1">(tblBaseCF[[#This Row],[LBRate]]&gt;0)*(tblBaseCF[[#This Row],[LBTAVWithdrawal]]=0)</f>
        <v>0</v>
      </c>
      <c r="CK40" s="62" cm="1">
        <f t="array" aca="1" ref="CK40" ca="1">IF(tblBaseCF[[#This Row],[LBFlag]],
_xlfn.SWITCH(base,
"ILP1",AVERAGE(OFFSET(tblBaseCF[TP],0,0,-lb_review_period,1)),tp),0)
*tblBaseCF[[#This Row],[LBFlag]]</f>
        <v>0</v>
      </c>
      <c r="CL40" s="62">
        <f ca="1">tblBaseCF[[#This Row],[LBBasis]]*tblBaseCF[[#This Row],[LBRate]]</f>
        <v>0</v>
      </c>
      <c r="CM40" s="57" cm="1">
        <f t="array" aca="1" ref="CM40" ca="1">_xlfn.SWITCH(base,
"ILP1",0,($AF140&lt;500000000)*1
+($AF140&gt;=500000000)*($AF140&lt;1000000000)*2
+($AF140&gt;=1000000000)*3)
*tblBaseCF[[#This Row],[DeductFlag]]</f>
        <v>0</v>
      </c>
      <c r="CN40" s="2" t="str">
        <f ca="1">IF(tblBaseCF[[#This Row],[DeductFlag]],base&amp;"_"&amp;tblBaseCF[[#This Row],[SBCode]]&amp;"_"&amp;tblBaseCF[[#This Row],[Year]],"")</f>
        <v/>
      </c>
      <c r="CO40" s="3">
        <f ca="1">IFERROR(INDEX(tblSBRate[Index],MATCH(tblBaseCF[[#This Row],[SBIndex]],tblSBRate[Rate],0)),0)</f>
        <v>0</v>
      </c>
      <c r="CP40" s="63">
        <f ca="1">IFERROR(SUM(OFFSET(tblBaseCF[[#This Row],[TAVWithdrawal]],0,0,-sb_review_period,1)),0)
*(tblBaseCF[[#This Row],[SBRate]]&gt;0)</f>
        <v>0</v>
      </c>
      <c r="CQ40" s="63">
        <f ca="1">(tblBaseCF[[#This Row],[SBRate]]&gt;0)*(tblBaseCF[[#This Row],[SBTAVWithdrawal]]=0)</f>
        <v>0</v>
      </c>
      <c r="CR40" s="59" cm="1">
        <f t="array" aca="1" ref="CR40" ca="1">IF(tblBaseCF[[#This Row],[LBFlag]],
_xlfn.SWITCH(base,
"ILP1",0,tp),0)*tblBaseCF[[#This Row],[SBFlag]]</f>
        <v>0</v>
      </c>
      <c r="CS40" s="63">
        <f ca="1">tblBaseCF[[#This Row],[SBBasis]]*tblBaseCF[[#This Row],[SBRate]]</f>
        <v>0</v>
      </c>
      <c r="CT40" s="63">
        <f ca="1">tblBaseCF[[#This Row],[LB]]+tblBaseCF[[#This Row],[SB]]</f>
        <v>0</v>
      </c>
      <c r="CU40" s="59">
        <f ca="1">tblBaseCF[[#This Row],[TAVAfterWdrlAlloc]]-tblBaseCF[[#This Row],[TAVDeduct]]+tblBaseCF[[#This Row],[TAVInt]]+tblBaseCF[[#This Row],[Bonus]]</f>
        <v>0</v>
      </c>
      <c r="CV40" s="59">
        <f ca="1">tblBaseCF[[#This Row],[EAVAfterWdrlAlloc]]-tblBaseCF[[#This Row],[EAVDeduct]]+tblBaseCF[[#This Row],[EAVInt]]</f>
        <v>0</v>
      </c>
      <c r="CW40" s="63">
        <f ca="1">tblBaseCF[[#This Row],[EndTAV]]+tblBaseCF[[#This Row],[EndEAV]]</f>
        <v>0</v>
      </c>
      <c r="CX40" s="59">
        <f ca="1">INDEX(tblPlanPrem[TP],2)
*tblBaseCF[[#This Row],[TPTermFlag]]</f>
        <v>0</v>
      </c>
      <c r="CY40" s="59">
        <f ca="1">INDEX(tblPlanPrem[EP],2)
*tblBaseCF[[#This Row],[TPTermFlag]]</f>
        <v>0</v>
      </c>
      <c r="CZ40" s="63">
        <f ca="1">ROUNDUP(tblBaseCF[[#This Row],[UnroundedEMLoad]]*INDEX(tblPlanPrem[Factor],2),-3)</f>
        <v>0</v>
      </c>
      <c r="DA40" s="63">
        <f ca="1">ROUNDUP(tblBaseCF[[#This Row],[UnroundedPMLoad]]*INDEX(tblPlanPrem[Factor],2),-3)</f>
        <v>0</v>
      </c>
      <c r="DB40" s="63">
        <f ca="1">tblBaseCF[[#This Row],[SemiAnnualEMLoad]]+tblBaseCF[[#This Row],[SemiAnnualPMLoad]]</f>
        <v>0</v>
      </c>
      <c r="DC40" s="63">
        <f ca="1">tblBaseCF[[#This Row],[SemiAnnualTP]]+tblBaseCF[[#This Row],[SemiAnnualEP]]+tblBaseCF[[#This Row],[SemiAnnualLoad]]</f>
        <v>0</v>
      </c>
      <c r="DD40" s="59">
        <f ca="1">INDEX(tblPlanPrem[TP],3)
*tblBaseCF[[#This Row],[TPTermFlag]]</f>
        <v>0</v>
      </c>
      <c r="DE40" s="59">
        <f ca="1">INDEX(tblPlanPrem[EP],3)
*tblBaseCF[[#This Row],[TPTermFlag]]</f>
        <v>0</v>
      </c>
      <c r="DF40" s="63">
        <f ca="1">ROUNDUP(tblBaseCF[[#This Row],[UnroundedEMLoad]]*INDEX(tblPlanPrem[Factor],3),-3)</f>
        <v>0</v>
      </c>
      <c r="DG40" s="63">
        <f ca="1">ROUNDUP(tblBaseCF[[#This Row],[UnroundedPMLoad]]*INDEX(tblPlanPrem[Factor],3),-3)</f>
        <v>0</v>
      </c>
      <c r="DH40" s="60">
        <f ca="1">tblBaseCF[[#This Row],[QuarterlyEMLoad]]+tblBaseCF[[#This Row],[QuarterlyPMLoad]]</f>
        <v>0</v>
      </c>
      <c r="DI40" s="60">
        <f ca="1">tblBaseCF[[#This Row],[QuarterlyTP]]+tblBaseCF[[#This Row],[QuarterlyEP]]+tblBaseCF[[#This Row],[QuarterlyLoad]]</f>
        <v>0</v>
      </c>
      <c r="DJ40" s="59">
        <f ca="1">INDEX(tblPlanPrem[TP],4)
*tblBaseCF[[#This Row],[TPTermFlag]]</f>
        <v>0</v>
      </c>
      <c r="DK40" s="59">
        <f ca="1">INDEX(tblPlanPrem[EP],4)
*tblBaseCF[[#This Row],[TPTermFlag]]</f>
        <v>0</v>
      </c>
      <c r="DL40" s="63">
        <f ca="1">ROUNDUP(tblBaseCF[[#This Row],[UnroundedEMLoad]]*INDEX(tblPlanPrem[Factor],4),-3)</f>
        <v>0</v>
      </c>
      <c r="DM40" s="63">
        <f ca="1">ROUNDUP(tblBaseCF[[#This Row],[UnroundedPMLoad]]*INDEX(tblPlanPrem[Factor],4),-3)</f>
        <v>0</v>
      </c>
      <c r="DN40" s="60">
        <f ca="1">tblBaseCF[[#This Row],[MonthlyEMLoad]]+tblBaseCF[[#This Row],[MonthlyPMLoad]]</f>
        <v>0</v>
      </c>
      <c r="DO40" s="63">
        <f ca="1">tblBaseCF[[#This Row],[MonthlyTP]]+tblBaseCF[[#This Row],[MonthlyEP]]+tblBaseCF[[#This Row],[MonthlyLoad]]</f>
        <v>0</v>
      </c>
      <c r="DP40" s="3"/>
      <c r="DS40">
        <f t="shared" si="3"/>
        <v>0</v>
      </c>
      <c r="DT40">
        <f t="shared" si="4"/>
        <v>0</v>
      </c>
      <c r="DU40">
        <f t="shared" si="5"/>
        <v>0</v>
      </c>
      <c r="DV40">
        <f ca="1">tblBaseCF[[#This Row],[Year]]</f>
        <v>20</v>
      </c>
      <c r="DW40">
        <f ca="1">tblBaseCF[[#This Row],[Age]]</f>
        <v>19</v>
      </c>
      <c r="DX40">
        <f ca="1">tblBaseCF[[#This Row],[ContFlag]]</f>
        <v>0</v>
      </c>
      <c r="DY40" t="str">
        <f ca="1">tblBaseCF[[#This Row],[ContLog]]</f>
        <v>Insufficient PAV for deduction - Discontinue.</v>
      </c>
      <c r="DZ40">
        <f ca="1">tblBaseCF[[#This Row],[StartTAV]]</f>
        <v>0</v>
      </c>
      <c r="EA40">
        <f ca="1">tblBaseCF[[#This Row],[StartEAV]]</f>
        <v>0</v>
      </c>
      <c r="EB40">
        <f ca="1">tblBaseCF[[#This Row],[StartPAV]]</f>
        <v>0</v>
      </c>
      <c r="EC40">
        <f ca="1">tblBaseCF[[#This Row],[SVChrg]]</f>
        <v>0</v>
      </c>
      <c r="ED40">
        <f ca="1">tblBaseCF[[#This Row],[SV]]</f>
        <v>0</v>
      </c>
      <c r="EE40">
        <f ca="1">tblBaseCF[[#This Row],[Ben]]</f>
        <v>0</v>
      </c>
      <c r="EF40">
        <f ca="1">tblBaseCF[[#This Row],[AccBen]]</f>
        <v>0</v>
      </c>
      <c r="EG40">
        <f ca="1">tblBaseCF[[#This Row],[WithdrawalInput]]</f>
        <v>0</v>
      </c>
      <c r="EH40" t="str">
        <f ca="1">tblBaseCF[[#This Row],[WithdrawalLog]]</f>
        <v>No withdrawal.</v>
      </c>
      <c r="EI40">
        <f ca="1">tblBaseCF[[#This Row],[TAVWithdrawal]]</f>
        <v>0</v>
      </c>
      <c r="EJ40">
        <f ca="1">tblBaseCF[[#This Row],[EAVWithdrawal]]</f>
        <v>0</v>
      </c>
      <c r="EK40">
        <f ca="1">tblBaseCF[[#This Row],[Withdrawal]]</f>
        <v>0</v>
      </c>
      <c r="EL40">
        <f ca="1">tblBaseCF[[#This Row],[TP]]</f>
        <v>0</v>
      </c>
      <c r="EM40">
        <f ca="1">tblBaseCF[[#This Row],[TPAllocChrg]]</f>
        <v>0</v>
      </c>
      <c r="EN40">
        <f ca="1">tblBaseCF[[#This Row],[TPAlloc]]</f>
        <v>0</v>
      </c>
      <c r="EO40">
        <f ca="1">tblBaseCF[[#This Row],[EP]]</f>
        <v>0</v>
      </c>
      <c r="EP40">
        <f ca="1">tblBaseCF[[#This Row],[EPAllocChrg]]</f>
        <v>0</v>
      </c>
      <c r="EQ40">
        <f ca="1">tblBaseCF[[#This Row],[EPAlloc]]</f>
        <v>0</v>
      </c>
      <c r="ER40">
        <f ca="1">tblBaseCF[[#This Row],[EMLoad]]</f>
        <v>0</v>
      </c>
      <c r="ES40">
        <f ca="1">tblBaseCF[[#This Row],[PMLoad]]</f>
        <v>0</v>
      </c>
      <c r="ET40">
        <f ca="1">tblBaseCF[[#This Row],[Load]]</f>
        <v>0</v>
      </c>
      <c r="EU40">
        <f ca="1">tblBaseCF[[#This Row],[LoadAllocChrg]]</f>
        <v>0</v>
      </c>
      <c r="EV40">
        <f ca="1">tblBaseCF[[#This Row],[LoadAlloc]]</f>
        <v>0</v>
      </c>
      <c r="EW40">
        <f ca="1">tblBaseCF[[#This Row],[TotalPrem]]</f>
        <v>0</v>
      </c>
      <c r="EX40">
        <f ca="1">tblBaseCF[[#This Row],[AllocChrg]]</f>
        <v>0</v>
      </c>
      <c r="EY40">
        <f ca="1">tblBaseCF[[#This Row],[Alloc]]</f>
        <v>0</v>
      </c>
      <c r="EZ40">
        <f ca="1">tblBaseCF[[#This Row],[AccumTotalPrem]]</f>
        <v>0</v>
      </c>
      <c r="FA40">
        <f>tblBaseCF[[#This Row],[AnnualIntRate]]</f>
        <v>0</v>
      </c>
      <c r="FB40" s="50">
        <f>tblBaseCF[[#This Row],[Duean1m12]]</f>
        <v>1</v>
      </c>
      <c r="FC40">
        <f ca="1">tblBaseCF[[#This Row],[DeductFlag]]</f>
        <v>0</v>
      </c>
      <c r="FD40">
        <f ca="1">tblBaseCF[[#This Row],[AdminChrg]]</f>
        <v>0</v>
      </c>
      <c r="FE40">
        <f ca="1">tblBaseCF[[#This Row],[StandardCOI]]</f>
        <v>0</v>
      </c>
      <c r="FF40">
        <f ca="1">tblBaseCF[[#This Row],[EMLoadCOI]]</f>
        <v>0</v>
      </c>
      <c r="FG40">
        <f ca="1">tblBaseCF[[#This Row],[PMLoadCOI]]</f>
        <v>0</v>
      </c>
      <c r="FH40">
        <f ca="1">tblBaseCF[[#This Row],[COI]]</f>
        <v>0</v>
      </c>
      <c r="FI40" s="47">
        <f ca="1">tblBaseCF[[#This Row],[NomDeduct]]</f>
        <v>0</v>
      </c>
      <c r="FJ40">
        <f ca="1">tblBaseCF[[#This Row],[Deduct]]</f>
        <v>0</v>
      </c>
      <c r="FK40">
        <f ca="1">tblBaseCF[[#This Row],[TAVDeduct]]</f>
        <v>0</v>
      </c>
      <c r="FL40">
        <f ca="1">tblBaseCF[[#This Row],[EAVDeduct]]</f>
        <v>0</v>
      </c>
      <c r="FM40" s="24">
        <f ca="1">tblBaseCF[[#This Row],[TAVInt]]</f>
        <v>0</v>
      </c>
      <c r="FN40">
        <f ca="1">tblBaseCF[[#This Row],[EAVInt]]</f>
        <v>0</v>
      </c>
      <c r="FO40" s="47">
        <f ca="1">tblBaseCF[[#This Row],[LB]]</f>
        <v>0</v>
      </c>
      <c r="FP40">
        <f ca="1">tblBaseCF[[#This Row],[SB]]</f>
        <v>0</v>
      </c>
      <c r="FQ40">
        <f ca="1">tblBaseCF[[#This Row],[Bonus]]</f>
        <v>0</v>
      </c>
      <c r="FR40">
        <f ca="1">tblBaseCF[[#This Row],[EndTAV]]</f>
        <v>0</v>
      </c>
      <c r="FS40">
        <f ca="1">tblBaseCF[[#This Row],[EndEAV]]</f>
        <v>0</v>
      </c>
      <c r="FT40">
        <f ca="1">tblBaseCF[[#This Row],[EndPAV]]</f>
        <v>0</v>
      </c>
      <c r="FU40">
        <f ca="1">tblBaseCF[[#This Row],[SemiAnnualTP]]</f>
        <v>0</v>
      </c>
      <c r="FV40">
        <f ca="1">tblBaseCF[[#This Row],[SemiAnnualEP]]</f>
        <v>0</v>
      </c>
      <c r="FW40">
        <f ca="1">tblBaseCF[[#This Row],[SemiAnnualEMLoad]]</f>
        <v>0</v>
      </c>
      <c r="FX40">
        <f ca="1">tblBaseCF[[#This Row],[SemiAnnualPMLoad]]</f>
        <v>0</v>
      </c>
      <c r="FY40">
        <f ca="1">tblBaseCF[[#This Row],[SemiAnnualLoad]]</f>
        <v>0</v>
      </c>
      <c r="FZ40">
        <f ca="1">tblBaseCF[[#This Row],[SemiAnnualTotalPrem]]</f>
        <v>0</v>
      </c>
      <c r="GA40">
        <f ca="1">tblBaseCF[[#This Row],[QuarterlyTP]]</f>
        <v>0</v>
      </c>
      <c r="GB40">
        <f ca="1">tblBaseCF[[#This Row],[QuarterlyEP]]</f>
        <v>0</v>
      </c>
      <c r="GC40">
        <f ca="1">tblBaseCF[[#This Row],[QuarterlyEMLoad]]</f>
        <v>0</v>
      </c>
      <c r="GD40">
        <f ca="1">tblBaseCF[[#This Row],[QuarterlyPMLoad]]</f>
        <v>0</v>
      </c>
      <c r="GE40">
        <f ca="1">tblBaseCF[[#This Row],[QuarterlyLoad]]</f>
        <v>0</v>
      </c>
      <c r="GF40">
        <f ca="1">tblBaseCF[[#This Row],[QuarterlyTotalPrem]]</f>
        <v>0</v>
      </c>
      <c r="GG40">
        <f ca="1">tblBaseCF[[#This Row],[MonthlyTP]]</f>
        <v>0</v>
      </c>
      <c r="GH40">
        <f ca="1">tblBaseCF[[#This Row],[MonthlyEP]]</f>
        <v>0</v>
      </c>
      <c r="GI40">
        <f ca="1">tblBaseCF[[#This Row],[MonthlyEMLoad]]</f>
        <v>0</v>
      </c>
      <c r="GJ40">
        <f ca="1">tblBaseCF[[#This Row],[MonthlyPMLoad]]</f>
        <v>0</v>
      </c>
      <c r="GK40">
        <f ca="1">tblBaseCF[[#This Row],[MonthlyLoad]]</f>
        <v>0</v>
      </c>
      <c r="GL40">
        <f ca="1">tblBaseCF[[#This Row],[MonthlyTotalPrem]]</f>
        <v>0</v>
      </c>
      <c r="GO40" t="s">
        <v>134</v>
      </c>
      <c r="GP40" t="s">
        <v>135</v>
      </c>
      <c r="GQ40" t="s">
        <v>502</v>
      </c>
      <c r="GR40">
        <v>20</v>
      </c>
      <c r="GS40">
        <v>19</v>
      </c>
      <c r="GT40">
        <v>1</v>
      </c>
      <c r="GU40" t="s">
        <v>457</v>
      </c>
      <c r="GV40">
        <v>14437657.0061501</v>
      </c>
      <c r="GW40">
        <v>164003794.70975301</v>
      </c>
      <c r="GX40">
        <v>178441451.71590301</v>
      </c>
      <c r="GY40">
        <v>0</v>
      </c>
      <c r="GZ40">
        <v>178441451.71590301</v>
      </c>
      <c r="HA40">
        <v>178441451.71590301</v>
      </c>
      <c r="HB40">
        <v>303000000</v>
      </c>
      <c r="HC40">
        <v>10000000</v>
      </c>
      <c r="HD40" t="s">
        <v>458</v>
      </c>
      <c r="HE40">
        <v>0</v>
      </c>
      <c r="HF40">
        <v>10000000</v>
      </c>
      <c r="HG40">
        <v>10000000</v>
      </c>
      <c r="HH40">
        <v>1072000</v>
      </c>
      <c r="HI40">
        <v>21440</v>
      </c>
      <c r="HJ40">
        <v>1050560</v>
      </c>
      <c r="HK40">
        <v>5200000</v>
      </c>
      <c r="HL40">
        <v>104000</v>
      </c>
      <c r="HM40">
        <v>5096000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6272000</v>
      </c>
      <c r="HT40">
        <v>125440</v>
      </c>
      <c r="HU40">
        <v>6146560</v>
      </c>
      <c r="HV40">
        <v>125440000</v>
      </c>
      <c r="HW40">
        <v>7.0000000000000007E-2</v>
      </c>
      <c r="HX40">
        <v>0.96964931039809399</v>
      </c>
      <c r="HY40">
        <v>1</v>
      </c>
      <c r="HZ40">
        <v>300000</v>
      </c>
      <c r="IA40">
        <v>0</v>
      </c>
      <c r="IB40">
        <v>0</v>
      </c>
      <c r="IC40">
        <v>0</v>
      </c>
      <c r="ID40">
        <v>272700</v>
      </c>
      <c r="IE40">
        <v>572700</v>
      </c>
      <c r="IF40">
        <v>555318.16006498795</v>
      </c>
      <c r="IG40">
        <v>555318.16006498795</v>
      </c>
      <c r="IH40">
        <v>0</v>
      </c>
      <c r="II40">
        <v>1045302.91922595</v>
      </c>
      <c r="IJ40">
        <v>11136985.629682699</v>
      </c>
      <c r="IK40">
        <v>321600</v>
      </c>
      <c r="IL40">
        <v>0</v>
      </c>
      <c r="IM40">
        <v>321600</v>
      </c>
      <c r="IN40">
        <v>16299801.765311001</v>
      </c>
      <c r="IO40">
        <v>170236780.33943501</v>
      </c>
      <c r="IP40">
        <v>186536582.10474601</v>
      </c>
      <c r="IQ40">
        <v>536000</v>
      </c>
      <c r="IR40">
        <v>2600000</v>
      </c>
      <c r="IS40">
        <v>0</v>
      </c>
      <c r="IT40">
        <v>0</v>
      </c>
      <c r="IU40">
        <v>0</v>
      </c>
      <c r="IV40">
        <v>3136000</v>
      </c>
      <c r="IW40">
        <v>268000</v>
      </c>
      <c r="IX40">
        <v>1300000</v>
      </c>
      <c r="IY40">
        <v>0</v>
      </c>
      <c r="IZ40">
        <v>0</v>
      </c>
      <c r="JA40">
        <v>0</v>
      </c>
      <c r="JB40">
        <v>1568000</v>
      </c>
      <c r="JC40">
        <v>90000</v>
      </c>
      <c r="JD40">
        <v>434000</v>
      </c>
      <c r="JE40">
        <v>0</v>
      </c>
      <c r="JF40">
        <v>0</v>
      </c>
      <c r="JG40">
        <v>0</v>
      </c>
      <c r="JH40">
        <v>524000</v>
      </c>
    </row>
    <row r="41" spans="2:268" customFormat="1" x14ac:dyDescent="0.25">
      <c r="B41" s="2">
        <f ca="1">OFFSET(tblBaseCF[[#This Row],[Year]],-1,0)+1</f>
        <v>21</v>
      </c>
      <c r="C41" s="2">
        <f ca="1">(tblBaseCF[[#This Row],[Year]]&lt;=term)*1</f>
        <v>1</v>
      </c>
      <c r="D41" s="57">
        <f ca="1">(YEAR(rcd)+tblBaseCF[[#This Row],[Year]]-1)
*tblBaseCF[[#This Row],[PolTermFlag]]</f>
        <v>2045</v>
      </c>
      <c r="E41" s="57">
        <f ca="1">(mainLI_entry_age+tblBaseCF[[#This Row],[Year]]-1)
*tblBaseCF[[#This Row],[PolTermFlag]]</f>
        <v>20</v>
      </c>
      <c r="F41" s="57">
        <f ca="1">IF(tblBaseCF[[#This Row],[Year]]=1,1,OFFSET(tblBaseCF[[#This Row],[DeductFlag]],-1,0))
*tblBaseCF[[#This Row],[PolTermFlag]]</f>
        <v>0</v>
      </c>
      <c r="G4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1" s="57">
        <f ca="1">(tblBaseCF[[#This Row],[Year]]&lt;=acc_ben_term)
*tblBaseCF[[#This Row],[ContFlag]]</f>
        <v>0</v>
      </c>
      <c r="I41" s="57">
        <f ca="1">(tblBaseCF[[#This Row],[Year]]&lt;=tp_term)
*tblBaseCF[[#This Row],[ContFlag]]</f>
        <v>0</v>
      </c>
      <c r="J41" s="57">
        <f ca="1">(tblBaseCF[[#This Row],[Year]]&lt;=ep_term)
*tblBaseCF[[#This Row],[ContFlag]]</f>
        <v>0</v>
      </c>
      <c r="K41" s="57">
        <f ca="1">(tblBaseCF[[#This Row],[Year]]&lt;=em_load_term)*1</f>
        <v>0</v>
      </c>
      <c r="L41" s="57">
        <f ca="1">(tblBaseCF[[#This Row],[Year]]&lt;=pm_load_term)*1</f>
        <v>0</v>
      </c>
      <c r="M41" s="59">
        <f ca="1">IF(tblBaseCF[[#This Row],[Year]]=1,si,OFFSET(tblBaseCF[[#This Row],[EndSI]],-1,0))
*tblBaseCF[[#This Row],[ContFlag]]</f>
        <v>0</v>
      </c>
      <c r="N41" s="59">
        <f ca="1">OFFSET(tblBaseCF[[#This Row],[EndTAV]],-1,0)
*tblBaseCF[[#This Row],[ContFlag]]</f>
        <v>0</v>
      </c>
      <c r="O41" s="59">
        <f ca="1">OFFSET(tblBaseCF[[#This Row],[EndEAV]],-1,0)
*tblBaseCF[[#This Row],[ContFlag]]</f>
        <v>0</v>
      </c>
      <c r="P41" s="60">
        <f ca="1">tblBaseCF[[#This Row],[StartEAV]]+tblBaseCF[[#This Row],[StartTAV]]</f>
        <v>0</v>
      </c>
      <c r="Q41" s="61">
        <f ca="1">IFERROR(INDEX(tblJuvenileLienRate[Rate],MATCH(tblBaseCF[[#This Row],[Age]],tblJuvenileLienRate[Age],0)),1)
*tblBaseCF[[#This Row],[ContFlag]]</f>
        <v>0</v>
      </c>
      <c r="R4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1" s="62">
        <f ca="1">tblBaseCF[[#This Row],[StartSI]]*acc_ben_coeff*tblBaseCF[[#This Row],[JuvenileLienRate]]
*tblBaseCF[[#This Row],[AccBenTermFlag]]</f>
        <v>0</v>
      </c>
      <c r="T41" s="61">
        <f ca="1">(IFERROR(INDEX(tblSurrChrgRate[Rate],MATCH(tblBaseCF[[#This Row],[Year]],tblSurrChrgRate[Year],0)),0)
*tblBaseCF[[#This Row],[ContFlag]])</f>
        <v>0</v>
      </c>
      <c r="U41" s="60">
        <f ca="1">tp*tblBaseCF[[#This Row],[SrrChrgRate]]</f>
        <v>0</v>
      </c>
      <c r="V41" s="63">
        <f ca="1">MAX(tblBaseCF[[#This Row],[StartTAV]]-tblBaseCF[[#This Row],[SVChrg]],0)+tblBaseCF[[#This Row],[StartEAV]]</f>
        <v>0</v>
      </c>
      <c r="W41" s="59">
        <f ca="1">IFERROR(INDEX(tblWithdrawal_Output[Amount],MATCH(tblBaseCF[[#This Row],[Year]],tblWithdrawal_Output[Year],0)),0)
*tblBaseCF[[#This Row],[ContFlag]]</f>
        <v>0</v>
      </c>
      <c r="X41" s="59" t="b">
        <f ca="1">tblBaseCF[[#This Row],[WithdrawalInput]]&gt;0</f>
        <v>0</v>
      </c>
      <c r="Y41" s="59" t="b">
        <f ca="1">AND(tblBaseCF[[#This Row],[1stCheckProceed]],tblBaseCF[[#This Row],[WithdrawalInput]]&lt;=tblBaseCF[[#This Row],[StartPAV]])</f>
        <v>0</v>
      </c>
      <c r="Z41" s="59" t="b">
        <f ca="1">AND(tblBaseCF[[#This Row],[2ndCheckAmount]],(tblBaseCF[[#This Row],[StartPAV]]-tblBaseCF[[#This Row],[WithdrawalInput]])&gt;=min_pav_after_withdrawal)</f>
        <v>0</v>
      </c>
      <c r="AA4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1" s="59" t="b">
        <f ca="1">AND(tblBaseCF[[#This Row],[3rdCheckPAV]],tblBaseCF[[#This Row],[endSITest]]&gt;=min_base_si)</f>
        <v>0</v>
      </c>
      <c r="AC41" s="60">
        <f ca="1">tblBaseCF[[#This Row],[WithdrawalInput]]*tblBaseCF[[#This Row],[4thCheckSI]]</f>
        <v>0</v>
      </c>
      <c r="AD41" s="60">
        <f ca="1">MIN(tblBaseCF[[#This Row],[Withdrawal]],tblBaseCF[[#This Row],[StartEAV]])</f>
        <v>0</v>
      </c>
      <c r="AE41" s="60">
        <f ca="1">tblBaseCF[[#This Row],[Withdrawal]]-tblBaseCF[[#This Row],[EAVWithdrawal]]</f>
        <v>0</v>
      </c>
      <c r="AF41" s="60">
        <f ca="1">IF(tblBaseCF[[#This Row],[4thCheckSI]],tblBaseCF[[#This Row],[endSITest]],tblBaseCF[[#This Row],[StartSI]])</f>
        <v>0</v>
      </c>
      <c r="AG4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1" s="65">
        <f ca="1">IFERROR(INDEX(tblTPAllocChrgRate[Rate],MATCH(tblBaseCF[[#This Row],[Year]],tblTPAllocChrgRate[Year],0)),0)</f>
        <v>0.02</v>
      </c>
      <c r="AI41" s="62">
        <f ca="1">(tp+big_case_bonus_tp*(tblBaseCF[[#This Row],[Year]]=1))
*tblBaseCF[[#This Row],[TPTermFlag]]</f>
        <v>0</v>
      </c>
      <c r="AJ41" s="63">
        <f ca="1">tblBaseCF[[#This Row],[TP]]*tblBaseCF[[#This Row],[TPAllocChrgRate]]</f>
        <v>0</v>
      </c>
      <c r="AK41" s="60">
        <f ca="1">tblBaseCF[[#This Row],[TP]]-tblBaseCF[[#This Row],[TPAllocChrg]]</f>
        <v>0</v>
      </c>
      <c r="AL41" s="65">
        <f ca="1">IFERROR(INDEX(tblEPAllocChrgRate[Rate],MATCH(tblBaseCF[[#This Row],[Year]],tblEPAllocChrgRate[Year],0)),0)</f>
        <v>0.02</v>
      </c>
      <c r="AM41" s="60">
        <f ca="1">ep*tblBaseCF[[#This Row],[EPTermFlag]]</f>
        <v>0</v>
      </c>
      <c r="AN41" s="60">
        <f ca="1">tblBaseCF[[#This Row],[EP]]*tblBaseCF[[#This Row],[EPAllocChrgRate]]</f>
        <v>0</v>
      </c>
      <c r="AO41" s="63">
        <f ca="1">tblBaseCF[[#This Row],[EP]]-tblBaseCF[[#This Row],[EPAllocChrg]]</f>
        <v>0</v>
      </c>
      <c r="AP41" s="62">
        <f ca="1">tblBaseCF[[#This Row],[Ben]]*extra_prem_rate*em_load/1000/(1-tblBaseCF[[#This Row],[EPAllocChrgRate]])
*tblBaseCF[[#This Row],[EMLoadTermFlag]]</f>
        <v>0</v>
      </c>
      <c r="AQ41" s="62">
        <f ca="1">tblBaseCF[[#This Row],[Ben]]*pm_load/1000/(1-tblBaseCF[[#This Row],[EPAllocChrgRate]])
*tblBaseCF[[#This Row],[PMLoadTermFlag]]</f>
        <v>0</v>
      </c>
      <c r="AR41" s="60">
        <f ca="1">ROUNDUP(tblBaseCF[[#This Row],[UnroundedEMLoad]],-3)</f>
        <v>0</v>
      </c>
      <c r="AS41" s="62">
        <f ca="1">ROUNDUP(tblBaseCF[[#This Row],[Ben]]*pm_load/1000/(1-tblBaseCF[[#This Row],[EPAllocChrgRate]]),-3)
*tblBaseCF[[#This Row],[PMLoadTermFlag]]</f>
        <v>0</v>
      </c>
      <c r="AT41" s="60">
        <f ca="1">tblBaseCF[[#This Row],[EMLoad]]+tblBaseCF[[#This Row],[PMLoad]]</f>
        <v>0</v>
      </c>
      <c r="AU41" s="60">
        <f ca="1">tblBaseCF[[#This Row],[Load]]*tblBaseCF[[#This Row],[EPAllocChrgRate]]</f>
        <v>0</v>
      </c>
      <c r="AV41" s="60">
        <f ca="1">tblBaseCF[[#This Row],[Load]]-tblBaseCF[[#This Row],[LoadAllocChrg]]</f>
        <v>0</v>
      </c>
      <c r="AW41" s="60">
        <f ca="1">tblBaseCF[[#This Row],[TP]]+tblBaseCF[[#This Row],[EP]]+tblBaseCF[[#This Row],[Load]]</f>
        <v>0</v>
      </c>
      <c r="AX41" s="60">
        <f ca="1">tblBaseCF[[#This Row],[TPAllocChrg]]+tblBaseCF[[#This Row],[EPAllocChrg]]+tblBaseCF[[#This Row],[LoadAllocChrg]]</f>
        <v>0</v>
      </c>
      <c r="AY41" s="60">
        <f ca="1">tblBaseCF[[#This Row],[TPAlloc]]+tblBaseCF[[#This Row],[EPAlloc]]+tblBaseCF[[#This Row],[LoadAlloc]]</f>
        <v>0</v>
      </c>
      <c r="AZ41" s="60">
        <f ca="1">(OFFSET(tblBaseCF[[#This Row],[AccumTotalPrem]],-1,0)+tblBaseCF[[#This Row],[TotalPrem]])*tblBaseCF[[#This Row],[TPTermFlag]]</f>
        <v>0</v>
      </c>
      <c r="BA41" s="62">
        <f ca="1">(tblBaseCF[[#This Row],[StartTAV]]-tblBaseCF[[#This Row],[TAVWithdrawal]]+tblBaseCF[[#This Row],[TPAlloc]])
*tblBaseCF[[#This Row],[ContFlag]]</f>
        <v>0</v>
      </c>
      <c r="BB41" s="59">
        <f ca="1">(tblBaseCF[[#This Row],[StartEAV]]-tblBaseCF[[#This Row],[EAVWithdrawal]]+tblBaseCF[[#This Row],[EPAlloc]]+tblBaseCF[[#This Row],[LoadAlloc]])
*tblBaseCF[[#This Row],[ContFlag]]</f>
        <v>0</v>
      </c>
      <c r="BC41" s="59">
        <f ca="1">tblBaseCF[[#This Row],[TAVAfterWdrlAlloc]]+tblBaseCF[[#This Row],[EAVAfterWdrlAlloc]]</f>
        <v>0</v>
      </c>
      <c r="BD41" s="66">
        <f t="shared" si="2"/>
        <v>0</v>
      </c>
      <c r="BE41" s="67">
        <f>(1+tblBaseCF[[#This Row],[AnnualIntRate]])^(1/12)-1</f>
        <v>0</v>
      </c>
      <c r="BF41" s="68">
        <f>IFERROR(((1+tblBaseCF[[#This Row],[MonthlyIntRate]])^12-1)/12/(1-1/(1+tblBaseCF[[#This Row],[MonthlyIntRate]])),1)/(1+tblBaseCF[[#This Row],[AnnualIntRate]])</f>
        <v>1</v>
      </c>
      <c r="BG41" s="69">
        <f>PV(tblBaseCF[[#This Row],[MonthlyIntRate]],12,-1/12,,1)</f>
        <v>1</v>
      </c>
      <c r="BH41" s="60">
        <f ca="1">MAX(IF(death_tpd_option="A",tblBaseCF[[#This Row],[Ben]]-tblBaseCF[[#This Row],[StartPAV]],tblBaseCF[[#This Row],[Ben]]),0)</f>
        <v>0</v>
      </c>
      <c r="BI41" s="70">
        <f ca="1">IFERROR(INDEX(tblBaseCOIRate[Rate],MATCH(tblBaseCF[[#This Row],[Age]],tblBaseCOIRate[Age],0)),0)</f>
        <v>1.06000000000006E-3</v>
      </c>
      <c r="BJ41" s="60">
        <f ca="1">tblBaseCF[[#This Row],[SAR]]*tblBaseCF[[#This Row],[COIRate]]</f>
        <v>0</v>
      </c>
      <c r="BK41" s="62">
        <f ca="1">em_load*tblBaseCF[[#This Row],[pStandardCOI]]
*tblBaseCF[[#This Row],[EMLoadTermFlag]]</f>
        <v>0</v>
      </c>
      <c r="BL41" s="62">
        <f ca="1">pm_load/1000*tblBaseCF[[#This Row],[SAR]]
*tblBaseCF[[#This Row],[PMLoadTermFlag]]</f>
        <v>0</v>
      </c>
      <c r="BM41" s="60">
        <f ca="1">tblBaseCF[[#This Row],[AccBen]]*monthly_acc_coi*12</f>
        <v>0</v>
      </c>
      <c r="BN41" s="60">
        <f ca="1">tblBaseCF[[#This Row],[pStandardCOI]]+tblBaseCF[[#This Row],[pEMLoadCOI]]+tblBaseCF[[#This Row],[pPMLoadCOI]]+tblBaseCF[[#This Row],[pAccCOI]]</f>
        <v>0</v>
      </c>
      <c r="BO41" s="62">
        <f ca="1">IFERROR(INDEX(tblAdminChrg[Amount],MATCH(tblBaseCF[[#This Row],[CalYear]],tblAdminChrg[Cal_Year],0)),0)
*tblBaseCF[[#This Row],[ContFlag]]</f>
        <v>0</v>
      </c>
      <c r="BP41" s="60">
        <f ca="1">tblBaseCF[[#This Row],[pMonthlyAdminChrg]]*12</f>
        <v>0</v>
      </c>
      <c r="BQ41" s="60">
        <f ca="1">tblBaseCF[[#This Row],[pCOI]]+tblBaseCF[[#This Row],[pAdminChrg]]</f>
        <v>0</v>
      </c>
      <c r="BR41" s="60">
        <f ca="1">tblBaseCF[[#This Row],[pNomDeduct]]*tblBaseCF[[#This Row],[Duean1m12]]</f>
        <v>0</v>
      </c>
      <c r="BS41" s="57">
        <f ca="1">(tblBaseCF[[#This Row],[PAVAfterWdrlAlloc]]&gt;=tblBaseCF[[#This Row],[pNomDeduct]])
*tblBaseCF[[#This Row],[ContFlag]]</f>
        <v>0</v>
      </c>
      <c r="BT41" s="60">
        <f ca="1">tblBaseCF[[#This Row],[pStandardCOI]]*tblBaseCF[[#This Row],[DeductFlag]]</f>
        <v>0</v>
      </c>
      <c r="BU41" s="60">
        <f ca="1">tblBaseCF[[#This Row],[pEMLoadCOI]]*tblBaseCF[[#This Row],[DeductFlag]]</f>
        <v>0</v>
      </c>
      <c r="BV41" s="60">
        <f ca="1">tblBaseCF[[#This Row],[pPMLoadCOI]]*tblBaseCF[[#This Row],[DeductFlag]]</f>
        <v>0</v>
      </c>
      <c r="BW41" s="60">
        <f ca="1">tblBaseCF[[#This Row],[pAccCOI]]*tblBaseCF[[#This Row],[DeductFlag]]</f>
        <v>0</v>
      </c>
      <c r="BX41" s="60">
        <f ca="1">tblBaseCF[[#This Row],[pCOI]]*tblBaseCF[[#This Row],[DeductFlag]]</f>
        <v>0</v>
      </c>
      <c r="BY41" s="60">
        <f ca="1">tblBaseCF[[#This Row],[pMonthlyAdminChrg]]*tblBaseCF[[#This Row],[DeductFlag]]</f>
        <v>0</v>
      </c>
      <c r="BZ41" s="60">
        <f ca="1">tblBaseCF[[#This Row],[pAdminChrg]]*tblBaseCF[[#This Row],[DeductFlag]]</f>
        <v>0</v>
      </c>
      <c r="CA41" s="60">
        <f ca="1">tblBaseCF[[#This Row],[pNomDeduct]]*tblBaseCF[[#This Row],[DeductFlag]]</f>
        <v>0</v>
      </c>
      <c r="CB41" s="60">
        <f ca="1">tblBaseCF[[#This Row],[pDeduct]]*tblBaseCF[[#This Row],[DeductFlag]]</f>
        <v>0</v>
      </c>
      <c r="CC41" s="60">
        <f ca="1">MIN(tblBaseCF[[#This Row],[TAVAfterWdrlAlloc]],tblBaseCF[[#This Row],[Deduct]])</f>
        <v>0</v>
      </c>
      <c r="CD41" s="60">
        <f ca="1">tblBaseCF[[#This Row],[Deduct]]-tblBaseCF[[#This Row],[TAVDeduct]]</f>
        <v>0</v>
      </c>
      <c r="CE41" s="69">
        <f ca="1">(tblBaseCF[[#This Row],[TAVAfterWdrlAlloc]]-tblBaseCF[[#This Row],[TAVDeduct]])*tblBaseCF[[#This Row],[AnnualIntRate]]
*tblBaseCF[[#This Row],[DeductFlag]]</f>
        <v>0</v>
      </c>
      <c r="CF41" s="69">
        <f ca="1">(tblBaseCF[[#This Row],[EAVAfterWdrlAlloc]]-tblBaseCF[[#This Row],[EAVDeduct]])*tblBaseCF[[#This Row],[AnnualIntRate]]
*tblBaseCF[[#This Row],[DeductFlag]]</f>
        <v>0</v>
      </c>
      <c r="CG41" s="69">
        <f ca="1">tblBaseCF[[#This Row],[TAVInt]]+tblBaseCF[[#This Row],[EAVInt]]</f>
        <v>0</v>
      </c>
      <c r="CH41" s="62">
        <f ca="1">IFERROR(INDEX(tblLBRate[Rate],MATCH(tblBaseCF[[#This Row],[Year]],tblLBRate[Year],0)),0)
*tblBaseCF[[#This Row],[DeductFlag]]</f>
        <v>0</v>
      </c>
      <c r="CI41" s="60">
        <f ca="1">IFERROR(SUM(OFFSET(tblBaseCF[[#This Row],[TAVWithdrawal]],0,0,-lb_review_period,1)),0)
*(tblBaseCF[[#This Row],[LBRate]]&gt;0)</f>
        <v>0</v>
      </c>
      <c r="CJ41" s="60">
        <f ca="1">(tblBaseCF[[#This Row],[LBRate]]&gt;0)*(tblBaseCF[[#This Row],[LBTAVWithdrawal]]=0)</f>
        <v>0</v>
      </c>
      <c r="CK41" s="62" cm="1">
        <f t="array" aca="1" ref="CK41" ca="1">IF(tblBaseCF[[#This Row],[LBFlag]],
_xlfn.SWITCH(base,
"ILP1",AVERAGE(OFFSET(tblBaseCF[TP],0,0,-lb_review_period,1)),tp),0)
*tblBaseCF[[#This Row],[LBFlag]]</f>
        <v>0</v>
      </c>
      <c r="CL41" s="62">
        <f ca="1">tblBaseCF[[#This Row],[LBBasis]]*tblBaseCF[[#This Row],[LBRate]]</f>
        <v>0</v>
      </c>
      <c r="CM41" s="57" cm="1">
        <f t="array" aca="1" ref="CM41" ca="1">_xlfn.SWITCH(base,
"ILP1",0,($AF141&lt;500000000)*1
+($AF141&gt;=500000000)*($AF141&lt;1000000000)*2
+($AF141&gt;=1000000000)*3)
*tblBaseCF[[#This Row],[DeductFlag]]</f>
        <v>0</v>
      </c>
      <c r="CN41" s="2" t="str">
        <f ca="1">IF(tblBaseCF[[#This Row],[DeductFlag]],base&amp;"_"&amp;tblBaseCF[[#This Row],[SBCode]]&amp;"_"&amp;tblBaseCF[[#This Row],[Year]],"")</f>
        <v/>
      </c>
      <c r="CO41" s="3">
        <f ca="1">IFERROR(INDEX(tblSBRate[Index],MATCH(tblBaseCF[[#This Row],[SBIndex]],tblSBRate[Rate],0)),0)</f>
        <v>0</v>
      </c>
      <c r="CP41" s="63">
        <f ca="1">IFERROR(SUM(OFFSET(tblBaseCF[[#This Row],[TAVWithdrawal]],0,0,-sb_review_period,1)),0)
*(tblBaseCF[[#This Row],[SBRate]]&gt;0)</f>
        <v>0</v>
      </c>
      <c r="CQ41" s="63">
        <f ca="1">(tblBaseCF[[#This Row],[SBRate]]&gt;0)*(tblBaseCF[[#This Row],[SBTAVWithdrawal]]=0)</f>
        <v>0</v>
      </c>
      <c r="CR41" s="59" cm="1">
        <f t="array" aca="1" ref="CR41" ca="1">IF(tblBaseCF[[#This Row],[LBFlag]],
_xlfn.SWITCH(base,
"ILP1",0,tp),0)*tblBaseCF[[#This Row],[SBFlag]]</f>
        <v>0</v>
      </c>
      <c r="CS41" s="63">
        <f ca="1">tblBaseCF[[#This Row],[SBBasis]]*tblBaseCF[[#This Row],[SBRate]]</f>
        <v>0</v>
      </c>
      <c r="CT41" s="63">
        <f ca="1">tblBaseCF[[#This Row],[LB]]+tblBaseCF[[#This Row],[SB]]</f>
        <v>0</v>
      </c>
      <c r="CU41" s="59">
        <f ca="1">tblBaseCF[[#This Row],[TAVAfterWdrlAlloc]]-tblBaseCF[[#This Row],[TAVDeduct]]+tblBaseCF[[#This Row],[TAVInt]]+tblBaseCF[[#This Row],[Bonus]]</f>
        <v>0</v>
      </c>
      <c r="CV41" s="59">
        <f ca="1">tblBaseCF[[#This Row],[EAVAfterWdrlAlloc]]-tblBaseCF[[#This Row],[EAVDeduct]]+tblBaseCF[[#This Row],[EAVInt]]</f>
        <v>0</v>
      </c>
      <c r="CW41" s="63">
        <f ca="1">tblBaseCF[[#This Row],[EndTAV]]+tblBaseCF[[#This Row],[EndEAV]]</f>
        <v>0</v>
      </c>
      <c r="CX41" s="59">
        <f ca="1">INDEX(tblPlanPrem[TP],2)
*tblBaseCF[[#This Row],[TPTermFlag]]</f>
        <v>0</v>
      </c>
      <c r="CY41" s="59">
        <f ca="1">INDEX(tblPlanPrem[EP],2)
*tblBaseCF[[#This Row],[TPTermFlag]]</f>
        <v>0</v>
      </c>
      <c r="CZ41" s="63">
        <f ca="1">ROUNDUP(tblBaseCF[[#This Row],[UnroundedEMLoad]]*INDEX(tblPlanPrem[Factor],2),-3)</f>
        <v>0</v>
      </c>
      <c r="DA41" s="63">
        <f ca="1">ROUNDUP(tblBaseCF[[#This Row],[UnroundedPMLoad]]*INDEX(tblPlanPrem[Factor],2),-3)</f>
        <v>0</v>
      </c>
      <c r="DB41" s="63">
        <f ca="1">tblBaseCF[[#This Row],[SemiAnnualEMLoad]]+tblBaseCF[[#This Row],[SemiAnnualPMLoad]]</f>
        <v>0</v>
      </c>
      <c r="DC41" s="63">
        <f ca="1">tblBaseCF[[#This Row],[SemiAnnualTP]]+tblBaseCF[[#This Row],[SemiAnnualEP]]+tblBaseCF[[#This Row],[SemiAnnualLoad]]</f>
        <v>0</v>
      </c>
      <c r="DD41" s="59">
        <f ca="1">INDEX(tblPlanPrem[TP],3)
*tblBaseCF[[#This Row],[TPTermFlag]]</f>
        <v>0</v>
      </c>
      <c r="DE41" s="59">
        <f ca="1">INDEX(tblPlanPrem[EP],3)
*tblBaseCF[[#This Row],[TPTermFlag]]</f>
        <v>0</v>
      </c>
      <c r="DF41" s="63">
        <f ca="1">ROUNDUP(tblBaseCF[[#This Row],[UnroundedEMLoad]]*INDEX(tblPlanPrem[Factor],3),-3)</f>
        <v>0</v>
      </c>
      <c r="DG41" s="63">
        <f ca="1">ROUNDUP(tblBaseCF[[#This Row],[UnroundedPMLoad]]*INDEX(tblPlanPrem[Factor],3),-3)</f>
        <v>0</v>
      </c>
      <c r="DH41" s="60">
        <f ca="1">tblBaseCF[[#This Row],[QuarterlyEMLoad]]+tblBaseCF[[#This Row],[QuarterlyPMLoad]]</f>
        <v>0</v>
      </c>
      <c r="DI41" s="60">
        <f ca="1">tblBaseCF[[#This Row],[QuarterlyTP]]+tblBaseCF[[#This Row],[QuarterlyEP]]+tblBaseCF[[#This Row],[QuarterlyLoad]]</f>
        <v>0</v>
      </c>
      <c r="DJ41" s="59">
        <f ca="1">INDEX(tblPlanPrem[TP],4)
*tblBaseCF[[#This Row],[TPTermFlag]]</f>
        <v>0</v>
      </c>
      <c r="DK41" s="59">
        <f ca="1">INDEX(tblPlanPrem[EP],4)
*tblBaseCF[[#This Row],[TPTermFlag]]</f>
        <v>0</v>
      </c>
      <c r="DL41" s="63">
        <f ca="1">ROUNDUP(tblBaseCF[[#This Row],[UnroundedEMLoad]]*INDEX(tblPlanPrem[Factor],4),-3)</f>
        <v>0</v>
      </c>
      <c r="DM41" s="63">
        <f ca="1">ROUNDUP(tblBaseCF[[#This Row],[UnroundedPMLoad]]*INDEX(tblPlanPrem[Factor],4),-3)</f>
        <v>0</v>
      </c>
      <c r="DN41" s="60">
        <f ca="1">tblBaseCF[[#This Row],[MonthlyEMLoad]]+tblBaseCF[[#This Row],[MonthlyPMLoad]]</f>
        <v>0</v>
      </c>
      <c r="DO41" s="63">
        <f ca="1">tblBaseCF[[#This Row],[MonthlyTP]]+tblBaseCF[[#This Row],[MonthlyEP]]+tblBaseCF[[#This Row],[MonthlyLoad]]</f>
        <v>0</v>
      </c>
      <c r="DP41" s="3"/>
      <c r="DS41">
        <f t="shared" si="3"/>
        <v>0</v>
      </c>
      <c r="DT41">
        <f t="shared" si="4"/>
        <v>0</v>
      </c>
      <c r="DU41">
        <f t="shared" si="5"/>
        <v>0</v>
      </c>
      <c r="DV41">
        <f ca="1">tblBaseCF[[#This Row],[Year]]</f>
        <v>21</v>
      </c>
      <c r="DW41">
        <f ca="1">tblBaseCF[[#This Row],[Age]]</f>
        <v>20</v>
      </c>
      <c r="DX41">
        <f ca="1">tblBaseCF[[#This Row],[ContFlag]]</f>
        <v>0</v>
      </c>
      <c r="DY41" t="str">
        <f ca="1">tblBaseCF[[#This Row],[ContLog]]</f>
        <v>Insufficient PAV for deduction - Discontinue.</v>
      </c>
      <c r="DZ41">
        <f ca="1">tblBaseCF[[#This Row],[StartTAV]]</f>
        <v>0</v>
      </c>
      <c r="EA41">
        <f ca="1">tblBaseCF[[#This Row],[StartEAV]]</f>
        <v>0</v>
      </c>
      <c r="EB41">
        <f ca="1">tblBaseCF[[#This Row],[StartPAV]]</f>
        <v>0</v>
      </c>
      <c r="EC41">
        <f ca="1">tblBaseCF[[#This Row],[SVChrg]]</f>
        <v>0</v>
      </c>
      <c r="ED41">
        <f ca="1">tblBaseCF[[#This Row],[SV]]</f>
        <v>0</v>
      </c>
      <c r="EE41">
        <f ca="1">tblBaseCF[[#This Row],[Ben]]</f>
        <v>0</v>
      </c>
      <c r="EF41">
        <f ca="1">tblBaseCF[[#This Row],[AccBen]]</f>
        <v>0</v>
      </c>
      <c r="EG41">
        <f ca="1">tblBaseCF[[#This Row],[WithdrawalInput]]</f>
        <v>0</v>
      </c>
      <c r="EH41" t="str">
        <f ca="1">tblBaseCF[[#This Row],[WithdrawalLog]]</f>
        <v>No withdrawal.</v>
      </c>
      <c r="EI41">
        <f ca="1">tblBaseCF[[#This Row],[TAVWithdrawal]]</f>
        <v>0</v>
      </c>
      <c r="EJ41">
        <f ca="1">tblBaseCF[[#This Row],[EAVWithdrawal]]</f>
        <v>0</v>
      </c>
      <c r="EK41">
        <f ca="1">tblBaseCF[[#This Row],[Withdrawal]]</f>
        <v>0</v>
      </c>
      <c r="EL41">
        <f ca="1">tblBaseCF[[#This Row],[TP]]</f>
        <v>0</v>
      </c>
      <c r="EM41">
        <f ca="1">tblBaseCF[[#This Row],[TPAllocChrg]]</f>
        <v>0</v>
      </c>
      <c r="EN41">
        <f ca="1">tblBaseCF[[#This Row],[TPAlloc]]</f>
        <v>0</v>
      </c>
      <c r="EO41">
        <f ca="1">tblBaseCF[[#This Row],[EP]]</f>
        <v>0</v>
      </c>
      <c r="EP41">
        <f ca="1">tblBaseCF[[#This Row],[EPAllocChrg]]</f>
        <v>0</v>
      </c>
      <c r="EQ41">
        <f ca="1">tblBaseCF[[#This Row],[EPAlloc]]</f>
        <v>0</v>
      </c>
      <c r="ER41">
        <f ca="1">tblBaseCF[[#This Row],[EMLoad]]</f>
        <v>0</v>
      </c>
      <c r="ES41">
        <f ca="1">tblBaseCF[[#This Row],[PMLoad]]</f>
        <v>0</v>
      </c>
      <c r="ET41">
        <f ca="1">tblBaseCF[[#This Row],[Load]]</f>
        <v>0</v>
      </c>
      <c r="EU41">
        <f ca="1">tblBaseCF[[#This Row],[LoadAllocChrg]]</f>
        <v>0</v>
      </c>
      <c r="EV41">
        <f ca="1">tblBaseCF[[#This Row],[LoadAlloc]]</f>
        <v>0</v>
      </c>
      <c r="EW41">
        <f ca="1">tblBaseCF[[#This Row],[TotalPrem]]</f>
        <v>0</v>
      </c>
      <c r="EX41">
        <f ca="1">tblBaseCF[[#This Row],[AllocChrg]]</f>
        <v>0</v>
      </c>
      <c r="EY41">
        <f ca="1">tblBaseCF[[#This Row],[Alloc]]</f>
        <v>0</v>
      </c>
      <c r="EZ41">
        <f ca="1">tblBaseCF[[#This Row],[AccumTotalPrem]]</f>
        <v>0</v>
      </c>
      <c r="FA41">
        <f>tblBaseCF[[#This Row],[AnnualIntRate]]</f>
        <v>0</v>
      </c>
      <c r="FB41" s="50">
        <f>tblBaseCF[[#This Row],[Duean1m12]]</f>
        <v>1</v>
      </c>
      <c r="FC41">
        <f ca="1">tblBaseCF[[#This Row],[DeductFlag]]</f>
        <v>0</v>
      </c>
      <c r="FD41">
        <f ca="1">tblBaseCF[[#This Row],[AdminChrg]]</f>
        <v>0</v>
      </c>
      <c r="FE41">
        <f ca="1">tblBaseCF[[#This Row],[StandardCOI]]</f>
        <v>0</v>
      </c>
      <c r="FF41">
        <f ca="1">tblBaseCF[[#This Row],[EMLoadCOI]]</f>
        <v>0</v>
      </c>
      <c r="FG41">
        <f ca="1">tblBaseCF[[#This Row],[PMLoadCOI]]</f>
        <v>0</v>
      </c>
      <c r="FH41">
        <f ca="1">tblBaseCF[[#This Row],[COI]]</f>
        <v>0</v>
      </c>
      <c r="FI41" s="47">
        <f ca="1">tblBaseCF[[#This Row],[NomDeduct]]</f>
        <v>0</v>
      </c>
      <c r="FJ41">
        <f ca="1">tblBaseCF[[#This Row],[Deduct]]</f>
        <v>0</v>
      </c>
      <c r="FK41">
        <f ca="1">tblBaseCF[[#This Row],[TAVDeduct]]</f>
        <v>0</v>
      </c>
      <c r="FL41">
        <f ca="1">tblBaseCF[[#This Row],[EAVDeduct]]</f>
        <v>0</v>
      </c>
      <c r="FM41" s="24">
        <f ca="1">tblBaseCF[[#This Row],[TAVInt]]</f>
        <v>0</v>
      </c>
      <c r="FN41">
        <f ca="1">tblBaseCF[[#This Row],[EAVInt]]</f>
        <v>0</v>
      </c>
      <c r="FO41" s="47">
        <f ca="1">tblBaseCF[[#This Row],[LB]]</f>
        <v>0</v>
      </c>
      <c r="FP41">
        <f ca="1">tblBaseCF[[#This Row],[SB]]</f>
        <v>0</v>
      </c>
      <c r="FQ41">
        <f ca="1">tblBaseCF[[#This Row],[Bonus]]</f>
        <v>0</v>
      </c>
      <c r="FR41">
        <f ca="1">tblBaseCF[[#This Row],[EndTAV]]</f>
        <v>0</v>
      </c>
      <c r="FS41">
        <f ca="1">tblBaseCF[[#This Row],[EndEAV]]</f>
        <v>0</v>
      </c>
      <c r="FT41">
        <f ca="1">tblBaseCF[[#This Row],[EndPAV]]</f>
        <v>0</v>
      </c>
      <c r="FU41">
        <f ca="1">tblBaseCF[[#This Row],[SemiAnnualTP]]</f>
        <v>0</v>
      </c>
      <c r="FV41">
        <f ca="1">tblBaseCF[[#This Row],[SemiAnnualEP]]</f>
        <v>0</v>
      </c>
      <c r="FW41">
        <f ca="1">tblBaseCF[[#This Row],[SemiAnnualEMLoad]]</f>
        <v>0</v>
      </c>
      <c r="FX41">
        <f ca="1">tblBaseCF[[#This Row],[SemiAnnualPMLoad]]</f>
        <v>0</v>
      </c>
      <c r="FY41">
        <f ca="1">tblBaseCF[[#This Row],[SemiAnnualLoad]]</f>
        <v>0</v>
      </c>
      <c r="FZ41">
        <f ca="1">tblBaseCF[[#This Row],[SemiAnnualTotalPrem]]</f>
        <v>0</v>
      </c>
      <c r="GA41">
        <f ca="1">tblBaseCF[[#This Row],[QuarterlyTP]]</f>
        <v>0</v>
      </c>
      <c r="GB41">
        <f ca="1">tblBaseCF[[#This Row],[QuarterlyEP]]</f>
        <v>0</v>
      </c>
      <c r="GC41">
        <f ca="1">tblBaseCF[[#This Row],[QuarterlyEMLoad]]</f>
        <v>0</v>
      </c>
      <c r="GD41">
        <f ca="1">tblBaseCF[[#This Row],[QuarterlyPMLoad]]</f>
        <v>0</v>
      </c>
      <c r="GE41">
        <f ca="1">tblBaseCF[[#This Row],[QuarterlyLoad]]</f>
        <v>0</v>
      </c>
      <c r="GF41">
        <f ca="1">tblBaseCF[[#This Row],[QuarterlyTotalPrem]]</f>
        <v>0</v>
      </c>
      <c r="GG41">
        <f ca="1">tblBaseCF[[#This Row],[MonthlyTP]]</f>
        <v>0</v>
      </c>
      <c r="GH41">
        <f ca="1">tblBaseCF[[#This Row],[MonthlyEP]]</f>
        <v>0</v>
      </c>
      <c r="GI41">
        <f ca="1">tblBaseCF[[#This Row],[MonthlyEMLoad]]</f>
        <v>0</v>
      </c>
      <c r="GJ41">
        <f ca="1">tblBaseCF[[#This Row],[MonthlyPMLoad]]</f>
        <v>0</v>
      </c>
      <c r="GK41">
        <f ca="1">tblBaseCF[[#This Row],[MonthlyLoad]]</f>
        <v>0</v>
      </c>
      <c r="GL41">
        <f ca="1">tblBaseCF[[#This Row],[MonthlyTotalPrem]]</f>
        <v>0</v>
      </c>
      <c r="GO41" t="s">
        <v>134</v>
      </c>
      <c r="GP41" t="s">
        <v>135</v>
      </c>
      <c r="GQ41" t="s">
        <v>502</v>
      </c>
      <c r="GR41">
        <v>21</v>
      </c>
      <c r="GS41">
        <v>20</v>
      </c>
      <c r="GT41">
        <v>1</v>
      </c>
      <c r="GU41" t="s">
        <v>457</v>
      </c>
      <c r="GV41">
        <v>16299801.765311001</v>
      </c>
      <c r="GW41">
        <v>170236780.33943501</v>
      </c>
      <c r="GX41">
        <v>186536582.10474601</v>
      </c>
      <c r="GY41">
        <v>0</v>
      </c>
      <c r="GZ41">
        <v>186536582.10474601</v>
      </c>
      <c r="HA41">
        <v>186536582.10474601</v>
      </c>
      <c r="HB41">
        <v>303000000</v>
      </c>
      <c r="HC41">
        <v>10000000</v>
      </c>
      <c r="HD41" t="s">
        <v>458</v>
      </c>
      <c r="HE41">
        <v>0</v>
      </c>
      <c r="HF41">
        <v>10000000</v>
      </c>
      <c r="HG41">
        <v>10000000</v>
      </c>
      <c r="HH41">
        <v>1072000</v>
      </c>
      <c r="HI41">
        <v>21440</v>
      </c>
      <c r="HJ41">
        <v>1050560</v>
      </c>
      <c r="HK41">
        <v>5200000</v>
      </c>
      <c r="HL41">
        <v>104000</v>
      </c>
      <c r="HM41">
        <v>5096000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6272000</v>
      </c>
      <c r="HT41">
        <v>125440</v>
      </c>
      <c r="HU41">
        <v>6146560</v>
      </c>
      <c r="HV41">
        <v>131712000</v>
      </c>
      <c r="HW41">
        <v>7.0000000000000007E-2</v>
      </c>
      <c r="HX41">
        <v>0.96964931039809399</v>
      </c>
      <c r="HY41">
        <v>1</v>
      </c>
      <c r="HZ41">
        <v>300000</v>
      </c>
      <c r="IA41">
        <v>0</v>
      </c>
      <c r="IB41">
        <v>0</v>
      </c>
      <c r="IC41">
        <v>0</v>
      </c>
      <c r="ID41">
        <v>272700</v>
      </c>
      <c r="IE41">
        <v>572700</v>
      </c>
      <c r="IF41">
        <v>555318.16006498795</v>
      </c>
      <c r="IG41">
        <v>555318.16006498795</v>
      </c>
      <c r="IH41">
        <v>0</v>
      </c>
      <c r="II41">
        <v>1175653.0523672199</v>
      </c>
      <c r="IJ41">
        <v>11573294.623760501</v>
      </c>
      <c r="IK41">
        <v>0</v>
      </c>
      <c r="IL41">
        <v>0</v>
      </c>
      <c r="IM41">
        <v>0</v>
      </c>
      <c r="IN41">
        <v>17970696.6576133</v>
      </c>
      <c r="IO41">
        <v>176906074.96319601</v>
      </c>
      <c r="IP41">
        <v>194876771.62080899</v>
      </c>
      <c r="IQ41">
        <v>536000</v>
      </c>
      <c r="IR41">
        <v>2600000</v>
      </c>
      <c r="IS41">
        <v>0</v>
      </c>
      <c r="IT41">
        <v>0</v>
      </c>
      <c r="IU41">
        <v>0</v>
      </c>
      <c r="IV41">
        <v>3136000</v>
      </c>
      <c r="IW41">
        <v>268000</v>
      </c>
      <c r="IX41">
        <v>1300000</v>
      </c>
      <c r="IY41">
        <v>0</v>
      </c>
      <c r="IZ41">
        <v>0</v>
      </c>
      <c r="JA41">
        <v>0</v>
      </c>
      <c r="JB41">
        <v>1568000</v>
      </c>
      <c r="JC41">
        <v>90000</v>
      </c>
      <c r="JD41">
        <v>434000</v>
      </c>
      <c r="JE41">
        <v>0</v>
      </c>
      <c r="JF41">
        <v>0</v>
      </c>
      <c r="JG41">
        <v>0</v>
      </c>
      <c r="JH41">
        <v>524000</v>
      </c>
    </row>
    <row r="42" spans="2:268" customFormat="1" x14ac:dyDescent="0.25">
      <c r="B42" s="2">
        <f ca="1">OFFSET(tblBaseCF[[#This Row],[Year]],-1,0)+1</f>
        <v>22</v>
      </c>
      <c r="C42" s="2">
        <f ca="1">(tblBaseCF[[#This Row],[Year]]&lt;=term)*1</f>
        <v>1</v>
      </c>
      <c r="D42" s="57">
        <f ca="1">(YEAR(rcd)+tblBaseCF[[#This Row],[Year]]-1)
*tblBaseCF[[#This Row],[PolTermFlag]]</f>
        <v>2046</v>
      </c>
      <c r="E42" s="57">
        <f ca="1">(mainLI_entry_age+tblBaseCF[[#This Row],[Year]]-1)
*tblBaseCF[[#This Row],[PolTermFlag]]</f>
        <v>21</v>
      </c>
      <c r="F42" s="57">
        <f ca="1">IF(tblBaseCF[[#This Row],[Year]]=1,1,OFFSET(tblBaseCF[[#This Row],[DeductFlag]],-1,0))
*tblBaseCF[[#This Row],[PolTermFlag]]</f>
        <v>0</v>
      </c>
      <c r="G4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2" s="57">
        <f ca="1">(tblBaseCF[[#This Row],[Year]]&lt;=acc_ben_term)
*tblBaseCF[[#This Row],[ContFlag]]</f>
        <v>0</v>
      </c>
      <c r="I42" s="57">
        <f ca="1">(tblBaseCF[[#This Row],[Year]]&lt;=tp_term)
*tblBaseCF[[#This Row],[ContFlag]]</f>
        <v>0</v>
      </c>
      <c r="J42" s="57">
        <f ca="1">(tblBaseCF[[#This Row],[Year]]&lt;=ep_term)
*tblBaseCF[[#This Row],[ContFlag]]</f>
        <v>0</v>
      </c>
      <c r="K42" s="57">
        <f ca="1">(tblBaseCF[[#This Row],[Year]]&lt;=em_load_term)*1</f>
        <v>0</v>
      </c>
      <c r="L42" s="57">
        <f ca="1">(tblBaseCF[[#This Row],[Year]]&lt;=pm_load_term)*1</f>
        <v>0</v>
      </c>
      <c r="M42" s="59">
        <f ca="1">IF(tblBaseCF[[#This Row],[Year]]=1,si,OFFSET(tblBaseCF[[#This Row],[EndSI]],-1,0))
*tblBaseCF[[#This Row],[ContFlag]]</f>
        <v>0</v>
      </c>
      <c r="N42" s="59">
        <f ca="1">OFFSET(tblBaseCF[[#This Row],[EndTAV]],-1,0)
*tblBaseCF[[#This Row],[ContFlag]]</f>
        <v>0</v>
      </c>
      <c r="O42" s="59">
        <f ca="1">OFFSET(tblBaseCF[[#This Row],[EndEAV]],-1,0)
*tblBaseCF[[#This Row],[ContFlag]]</f>
        <v>0</v>
      </c>
      <c r="P42" s="60">
        <f ca="1">tblBaseCF[[#This Row],[StartEAV]]+tblBaseCF[[#This Row],[StartTAV]]</f>
        <v>0</v>
      </c>
      <c r="Q42" s="61">
        <f ca="1">IFERROR(INDEX(tblJuvenileLienRate[Rate],MATCH(tblBaseCF[[#This Row],[Age]],tblJuvenileLienRate[Age],0)),1)
*tblBaseCF[[#This Row],[ContFlag]]</f>
        <v>0</v>
      </c>
      <c r="R4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2" s="62">
        <f ca="1">tblBaseCF[[#This Row],[StartSI]]*acc_ben_coeff*tblBaseCF[[#This Row],[JuvenileLienRate]]
*tblBaseCF[[#This Row],[AccBenTermFlag]]</f>
        <v>0</v>
      </c>
      <c r="T42" s="61">
        <f ca="1">(IFERROR(INDEX(tblSurrChrgRate[Rate],MATCH(tblBaseCF[[#This Row],[Year]],tblSurrChrgRate[Year],0)),0)
*tblBaseCF[[#This Row],[ContFlag]])</f>
        <v>0</v>
      </c>
      <c r="U42" s="60">
        <f ca="1">tp*tblBaseCF[[#This Row],[SrrChrgRate]]</f>
        <v>0</v>
      </c>
      <c r="V42" s="63">
        <f ca="1">MAX(tblBaseCF[[#This Row],[StartTAV]]-tblBaseCF[[#This Row],[SVChrg]],0)+tblBaseCF[[#This Row],[StartEAV]]</f>
        <v>0</v>
      </c>
      <c r="W42" s="59">
        <f ca="1">IFERROR(INDEX(tblWithdrawal_Output[Amount],MATCH(tblBaseCF[[#This Row],[Year]],tblWithdrawal_Output[Year],0)),0)
*tblBaseCF[[#This Row],[ContFlag]]</f>
        <v>0</v>
      </c>
      <c r="X42" s="59" t="b">
        <f ca="1">tblBaseCF[[#This Row],[WithdrawalInput]]&gt;0</f>
        <v>0</v>
      </c>
      <c r="Y42" s="59" t="b">
        <f ca="1">AND(tblBaseCF[[#This Row],[1stCheckProceed]],tblBaseCF[[#This Row],[WithdrawalInput]]&lt;=tblBaseCF[[#This Row],[StartPAV]])</f>
        <v>0</v>
      </c>
      <c r="Z42" s="59" t="b">
        <f ca="1">AND(tblBaseCF[[#This Row],[2ndCheckAmount]],(tblBaseCF[[#This Row],[StartPAV]]-tblBaseCF[[#This Row],[WithdrawalInput]])&gt;=min_pav_after_withdrawal)</f>
        <v>0</v>
      </c>
      <c r="AA4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2" s="59" t="b">
        <f ca="1">AND(tblBaseCF[[#This Row],[3rdCheckPAV]],tblBaseCF[[#This Row],[endSITest]]&gt;=min_base_si)</f>
        <v>0</v>
      </c>
      <c r="AC42" s="60">
        <f ca="1">tblBaseCF[[#This Row],[WithdrawalInput]]*tblBaseCF[[#This Row],[4thCheckSI]]</f>
        <v>0</v>
      </c>
      <c r="AD42" s="60">
        <f ca="1">MIN(tblBaseCF[[#This Row],[Withdrawal]],tblBaseCF[[#This Row],[StartEAV]])</f>
        <v>0</v>
      </c>
      <c r="AE42" s="60">
        <f ca="1">tblBaseCF[[#This Row],[Withdrawal]]-tblBaseCF[[#This Row],[EAVWithdrawal]]</f>
        <v>0</v>
      </c>
      <c r="AF42" s="60">
        <f ca="1">IF(tblBaseCF[[#This Row],[4thCheckSI]],tblBaseCF[[#This Row],[endSITest]],tblBaseCF[[#This Row],[StartSI]])</f>
        <v>0</v>
      </c>
      <c r="AG4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2" s="65">
        <f ca="1">IFERROR(INDEX(tblTPAllocChrgRate[Rate],MATCH(tblBaseCF[[#This Row],[Year]],tblTPAllocChrgRate[Year],0)),0)</f>
        <v>0.02</v>
      </c>
      <c r="AI42" s="62">
        <f ca="1">(tp+big_case_bonus_tp*(tblBaseCF[[#This Row],[Year]]=1))
*tblBaseCF[[#This Row],[TPTermFlag]]</f>
        <v>0</v>
      </c>
      <c r="AJ42" s="63">
        <f ca="1">tblBaseCF[[#This Row],[TP]]*tblBaseCF[[#This Row],[TPAllocChrgRate]]</f>
        <v>0</v>
      </c>
      <c r="AK42" s="60">
        <f ca="1">tblBaseCF[[#This Row],[TP]]-tblBaseCF[[#This Row],[TPAllocChrg]]</f>
        <v>0</v>
      </c>
      <c r="AL42" s="65">
        <f ca="1">IFERROR(INDEX(tblEPAllocChrgRate[Rate],MATCH(tblBaseCF[[#This Row],[Year]],tblEPAllocChrgRate[Year],0)),0)</f>
        <v>0.02</v>
      </c>
      <c r="AM42" s="60">
        <f ca="1">ep*tblBaseCF[[#This Row],[EPTermFlag]]</f>
        <v>0</v>
      </c>
      <c r="AN42" s="60">
        <f ca="1">tblBaseCF[[#This Row],[EP]]*tblBaseCF[[#This Row],[EPAllocChrgRate]]</f>
        <v>0</v>
      </c>
      <c r="AO42" s="63">
        <f ca="1">tblBaseCF[[#This Row],[EP]]-tblBaseCF[[#This Row],[EPAllocChrg]]</f>
        <v>0</v>
      </c>
      <c r="AP42" s="62">
        <f ca="1">tblBaseCF[[#This Row],[Ben]]*extra_prem_rate*em_load/1000/(1-tblBaseCF[[#This Row],[EPAllocChrgRate]])
*tblBaseCF[[#This Row],[EMLoadTermFlag]]</f>
        <v>0</v>
      </c>
      <c r="AQ42" s="62">
        <f ca="1">tblBaseCF[[#This Row],[Ben]]*pm_load/1000/(1-tblBaseCF[[#This Row],[EPAllocChrgRate]])
*tblBaseCF[[#This Row],[PMLoadTermFlag]]</f>
        <v>0</v>
      </c>
      <c r="AR42" s="60">
        <f ca="1">ROUNDUP(tblBaseCF[[#This Row],[UnroundedEMLoad]],-3)</f>
        <v>0</v>
      </c>
      <c r="AS42" s="62">
        <f ca="1">ROUNDUP(tblBaseCF[[#This Row],[Ben]]*pm_load/1000/(1-tblBaseCF[[#This Row],[EPAllocChrgRate]]),-3)
*tblBaseCF[[#This Row],[PMLoadTermFlag]]</f>
        <v>0</v>
      </c>
      <c r="AT42" s="60">
        <f ca="1">tblBaseCF[[#This Row],[EMLoad]]+tblBaseCF[[#This Row],[PMLoad]]</f>
        <v>0</v>
      </c>
      <c r="AU42" s="60">
        <f ca="1">tblBaseCF[[#This Row],[Load]]*tblBaseCF[[#This Row],[EPAllocChrgRate]]</f>
        <v>0</v>
      </c>
      <c r="AV42" s="60">
        <f ca="1">tblBaseCF[[#This Row],[Load]]-tblBaseCF[[#This Row],[LoadAllocChrg]]</f>
        <v>0</v>
      </c>
      <c r="AW42" s="60">
        <f ca="1">tblBaseCF[[#This Row],[TP]]+tblBaseCF[[#This Row],[EP]]+tblBaseCF[[#This Row],[Load]]</f>
        <v>0</v>
      </c>
      <c r="AX42" s="60">
        <f ca="1">tblBaseCF[[#This Row],[TPAllocChrg]]+tblBaseCF[[#This Row],[EPAllocChrg]]+tblBaseCF[[#This Row],[LoadAllocChrg]]</f>
        <v>0</v>
      </c>
      <c r="AY42" s="60">
        <f ca="1">tblBaseCF[[#This Row],[TPAlloc]]+tblBaseCF[[#This Row],[EPAlloc]]+tblBaseCF[[#This Row],[LoadAlloc]]</f>
        <v>0</v>
      </c>
      <c r="AZ42" s="60">
        <f ca="1">(OFFSET(tblBaseCF[[#This Row],[AccumTotalPrem]],-1,0)+tblBaseCF[[#This Row],[TotalPrem]])*tblBaseCF[[#This Row],[TPTermFlag]]</f>
        <v>0</v>
      </c>
      <c r="BA42" s="62">
        <f ca="1">(tblBaseCF[[#This Row],[StartTAV]]-tblBaseCF[[#This Row],[TAVWithdrawal]]+tblBaseCF[[#This Row],[TPAlloc]])
*tblBaseCF[[#This Row],[ContFlag]]</f>
        <v>0</v>
      </c>
      <c r="BB42" s="59">
        <f ca="1">(tblBaseCF[[#This Row],[StartEAV]]-tblBaseCF[[#This Row],[EAVWithdrawal]]+tblBaseCF[[#This Row],[EPAlloc]]+tblBaseCF[[#This Row],[LoadAlloc]])
*tblBaseCF[[#This Row],[ContFlag]]</f>
        <v>0</v>
      </c>
      <c r="BC42" s="59">
        <f ca="1">tblBaseCF[[#This Row],[TAVAfterWdrlAlloc]]+tblBaseCF[[#This Row],[EAVAfterWdrlAlloc]]</f>
        <v>0</v>
      </c>
      <c r="BD42" s="66">
        <f t="shared" si="2"/>
        <v>0</v>
      </c>
      <c r="BE42" s="67">
        <f>(1+tblBaseCF[[#This Row],[AnnualIntRate]])^(1/12)-1</f>
        <v>0</v>
      </c>
      <c r="BF42" s="68">
        <f>IFERROR(((1+tblBaseCF[[#This Row],[MonthlyIntRate]])^12-1)/12/(1-1/(1+tblBaseCF[[#This Row],[MonthlyIntRate]])),1)/(1+tblBaseCF[[#This Row],[AnnualIntRate]])</f>
        <v>1</v>
      </c>
      <c r="BG42" s="69">
        <f>PV(tblBaseCF[[#This Row],[MonthlyIntRate]],12,-1/12,,1)</f>
        <v>1</v>
      </c>
      <c r="BH42" s="60">
        <f ca="1">MAX(IF(death_tpd_option="A",tblBaseCF[[#This Row],[Ben]]-tblBaseCF[[#This Row],[StartPAV]],tblBaseCF[[#This Row],[Ben]]),0)</f>
        <v>0</v>
      </c>
      <c r="BI42" s="70">
        <f ca="1">IFERROR(INDEX(tblBaseCOIRate[Rate],MATCH(tblBaseCF[[#This Row],[Age]],tblBaseCOIRate[Age],0)),0)</f>
        <v>1.0799999999999701E-3</v>
      </c>
      <c r="BJ42" s="60">
        <f ca="1">tblBaseCF[[#This Row],[SAR]]*tblBaseCF[[#This Row],[COIRate]]</f>
        <v>0</v>
      </c>
      <c r="BK42" s="62">
        <f ca="1">em_load*tblBaseCF[[#This Row],[pStandardCOI]]
*tblBaseCF[[#This Row],[EMLoadTermFlag]]</f>
        <v>0</v>
      </c>
      <c r="BL42" s="62">
        <f ca="1">pm_load/1000*tblBaseCF[[#This Row],[SAR]]
*tblBaseCF[[#This Row],[PMLoadTermFlag]]</f>
        <v>0</v>
      </c>
      <c r="BM42" s="60">
        <f ca="1">tblBaseCF[[#This Row],[AccBen]]*monthly_acc_coi*12</f>
        <v>0</v>
      </c>
      <c r="BN42" s="60">
        <f ca="1">tblBaseCF[[#This Row],[pStandardCOI]]+tblBaseCF[[#This Row],[pEMLoadCOI]]+tblBaseCF[[#This Row],[pPMLoadCOI]]+tblBaseCF[[#This Row],[pAccCOI]]</f>
        <v>0</v>
      </c>
      <c r="BO42" s="62">
        <f ca="1">IFERROR(INDEX(tblAdminChrg[Amount],MATCH(tblBaseCF[[#This Row],[CalYear]],tblAdminChrg[Cal_Year],0)),0)
*tblBaseCF[[#This Row],[ContFlag]]</f>
        <v>0</v>
      </c>
      <c r="BP42" s="60">
        <f ca="1">tblBaseCF[[#This Row],[pMonthlyAdminChrg]]*12</f>
        <v>0</v>
      </c>
      <c r="BQ42" s="60">
        <f ca="1">tblBaseCF[[#This Row],[pCOI]]+tblBaseCF[[#This Row],[pAdminChrg]]</f>
        <v>0</v>
      </c>
      <c r="BR42" s="60">
        <f ca="1">tblBaseCF[[#This Row],[pNomDeduct]]*tblBaseCF[[#This Row],[Duean1m12]]</f>
        <v>0</v>
      </c>
      <c r="BS42" s="57">
        <f ca="1">(tblBaseCF[[#This Row],[PAVAfterWdrlAlloc]]&gt;=tblBaseCF[[#This Row],[pNomDeduct]])
*tblBaseCF[[#This Row],[ContFlag]]</f>
        <v>0</v>
      </c>
      <c r="BT42" s="60">
        <f ca="1">tblBaseCF[[#This Row],[pStandardCOI]]*tblBaseCF[[#This Row],[DeductFlag]]</f>
        <v>0</v>
      </c>
      <c r="BU42" s="60">
        <f ca="1">tblBaseCF[[#This Row],[pEMLoadCOI]]*tblBaseCF[[#This Row],[DeductFlag]]</f>
        <v>0</v>
      </c>
      <c r="BV42" s="60">
        <f ca="1">tblBaseCF[[#This Row],[pPMLoadCOI]]*tblBaseCF[[#This Row],[DeductFlag]]</f>
        <v>0</v>
      </c>
      <c r="BW42" s="60">
        <f ca="1">tblBaseCF[[#This Row],[pAccCOI]]*tblBaseCF[[#This Row],[DeductFlag]]</f>
        <v>0</v>
      </c>
      <c r="BX42" s="60">
        <f ca="1">tblBaseCF[[#This Row],[pCOI]]*tblBaseCF[[#This Row],[DeductFlag]]</f>
        <v>0</v>
      </c>
      <c r="BY42" s="60">
        <f ca="1">tblBaseCF[[#This Row],[pMonthlyAdminChrg]]*tblBaseCF[[#This Row],[DeductFlag]]</f>
        <v>0</v>
      </c>
      <c r="BZ42" s="60">
        <f ca="1">tblBaseCF[[#This Row],[pAdminChrg]]*tblBaseCF[[#This Row],[DeductFlag]]</f>
        <v>0</v>
      </c>
      <c r="CA42" s="60">
        <f ca="1">tblBaseCF[[#This Row],[pNomDeduct]]*tblBaseCF[[#This Row],[DeductFlag]]</f>
        <v>0</v>
      </c>
      <c r="CB42" s="60">
        <f ca="1">tblBaseCF[[#This Row],[pDeduct]]*tblBaseCF[[#This Row],[DeductFlag]]</f>
        <v>0</v>
      </c>
      <c r="CC42" s="60">
        <f ca="1">MIN(tblBaseCF[[#This Row],[TAVAfterWdrlAlloc]],tblBaseCF[[#This Row],[Deduct]])</f>
        <v>0</v>
      </c>
      <c r="CD42" s="60">
        <f ca="1">tblBaseCF[[#This Row],[Deduct]]-tblBaseCF[[#This Row],[TAVDeduct]]</f>
        <v>0</v>
      </c>
      <c r="CE42" s="69">
        <f ca="1">(tblBaseCF[[#This Row],[TAVAfterWdrlAlloc]]-tblBaseCF[[#This Row],[TAVDeduct]])*tblBaseCF[[#This Row],[AnnualIntRate]]
*tblBaseCF[[#This Row],[DeductFlag]]</f>
        <v>0</v>
      </c>
      <c r="CF42" s="69">
        <f ca="1">(tblBaseCF[[#This Row],[EAVAfterWdrlAlloc]]-tblBaseCF[[#This Row],[EAVDeduct]])*tblBaseCF[[#This Row],[AnnualIntRate]]
*tblBaseCF[[#This Row],[DeductFlag]]</f>
        <v>0</v>
      </c>
      <c r="CG42" s="69">
        <f ca="1">tblBaseCF[[#This Row],[TAVInt]]+tblBaseCF[[#This Row],[EAVInt]]</f>
        <v>0</v>
      </c>
      <c r="CH42" s="62">
        <f ca="1">IFERROR(INDEX(tblLBRate[Rate],MATCH(tblBaseCF[[#This Row],[Year]],tblLBRate[Year],0)),0)
*tblBaseCF[[#This Row],[DeductFlag]]</f>
        <v>0</v>
      </c>
      <c r="CI42" s="60">
        <f ca="1">IFERROR(SUM(OFFSET(tblBaseCF[[#This Row],[TAVWithdrawal]],0,0,-lb_review_period,1)),0)
*(tblBaseCF[[#This Row],[LBRate]]&gt;0)</f>
        <v>0</v>
      </c>
      <c r="CJ42" s="60">
        <f ca="1">(tblBaseCF[[#This Row],[LBRate]]&gt;0)*(tblBaseCF[[#This Row],[LBTAVWithdrawal]]=0)</f>
        <v>0</v>
      </c>
      <c r="CK42" s="62" cm="1">
        <f t="array" aca="1" ref="CK42" ca="1">IF(tblBaseCF[[#This Row],[LBFlag]],
_xlfn.SWITCH(base,
"ILP1",AVERAGE(OFFSET(tblBaseCF[TP],0,0,-lb_review_period,1)),tp),0)
*tblBaseCF[[#This Row],[LBFlag]]</f>
        <v>0</v>
      </c>
      <c r="CL42" s="62">
        <f ca="1">tblBaseCF[[#This Row],[LBBasis]]*tblBaseCF[[#This Row],[LBRate]]</f>
        <v>0</v>
      </c>
      <c r="CM42" s="57" cm="1">
        <f t="array" aca="1" ref="CM42" ca="1">_xlfn.SWITCH(base,
"ILP1",0,($AF142&lt;500000000)*1
+($AF142&gt;=500000000)*($AF142&lt;1000000000)*2
+($AF142&gt;=1000000000)*3)
*tblBaseCF[[#This Row],[DeductFlag]]</f>
        <v>0</v>
      </c>
      <c r="CN42" s="2" t="str">
        <f ca="1">IF(tblBaseCF[[#This Row],[DeductFlag]],base&amp;"_"&amp;tblBaseCF[[#This Row],[SBCode]]&amp;"_"&amp;tblBaseCF[[#This Row],[Year]],"")</f>
        <v/>
      </c>
      <c r="CO42" s="3">
        <f ca="1">IFERROR(INDEX(tblSBRate[Index],MATCH(tblBaseCF[[#This Row],[SBIndex]],tblSBRate[Rate],0)),0)</f>
        <v>0</v>
      </c>
      <c r="CP42" s="63">
        <f ca="1">IFERROR(SUM(OFFSET(tblBaseCF[[#This Row],[TAVWithdrawal]],0,0,-sb_review_period,1)),0)
*(tblBaseCF[[#This Row],[SBRate]]&gt;0)</f>
        <v>0</v>
      </c>
      <c r="CQ42" s="63">
        <f ca="1">(tblBaseCF[[#This Row],[SBRate]]&gt;0)*(tblBaseCF[[#This Row],[SBTAVWithdrawal]]=0)</f>
        <v>0</v>
      </c>
      <c r="CR42" s="59" cm="1">
        <f t="array" aca="1" ref="CR42" ca="1">IF(tblBaseCF[[#This Row],[LBFlag]],
_xlfn.SWITCH(base,
"ILP1",0,tp),0)*tblBaseCF[[#This Row],[SBFlag]]</f>
        <v>0</v>
      </c>
      <c r="CS42" s="63">
        <f ca="1">tblBaseCF[[#This Row],[SBBasis]]*tblBaseCF[[#This Row],[SBRate]]</f>
        <v>0</v>
      </c>
      <c r="CT42" s="63">
        <f ca="1">tblBaseCF[[#This Row],[LB]]+tblBaseCF[[#This Row],[SB]]</f>
        <v>0</v>
      </c>
      <c r="CU42" s="59">
        <f ca="1">tblBaseCF[[#This Row],[TAVAfterWdrlAlloc]]-tblBaseCF[[#This Row],[TAVDeduct]]+tblBaseCF[[#This Row],[TAVInt]]+tblBaseCF[[#This Row],[Bonus]]</f>
        <v>0</v>
      </c>
      <c r="CV42" s="59">
        <f ca="1">tblBaseCF[[#This Row],[EAVAfterWdrlAlloc]]-tblBaseCF[[#This Row],[EAVDeduct]]+tblBaseCF[[#This Row],[EAVInt]]</f>
        <v>0</v>
      </c>
      <c r="CW42" s="63">
        <f ca="1">tblBaseCF[[#This Row],[EndTAV]]+tblBaseCF[[#This Row],[EndEAV]]</f>
        <v>0</v>
      </c>
      <c r="CX42" s="59">
        <f ca="1">INDEX(tblPlanPrem[TP],2)
*tblBaseCF[[#This Row],[TPTermFlag]]</f>
        <v>0</v>
      </c>
      <c r="CY42" s="59">
        <f ca="1">INDEX(tblPlanPrem[EP],2)
*tblBaseCF[[#This Row],[TPTermFlag]]</f>
        <v>0</v>
      </c>
      <c r="CZ42" s="63">
        <f ca="1">ROUNDUP(tblBaseCF[[#This Row],[UnroundedEMLoad]]*INDEX(tblPlanPrem[Factor],2),-3)</f>
        <v>0</v>
      </c>
      <c r="DA42" s="63">
        <f ca="1">ROUNDUP(tblBaseCF[[#This Row],[UnroundedPMLoad]]*INDEX(tblPlanPrem[Factor],2),-3)</f>
        <v>0</v>
      </c>
      <c r="DB42" s="63">
        <f ca="1">tblBaseCF[[#This Row],[SemiAnnualEMLoad]]+tblBaseCF[[#This Row],[SemiAnnualPMLoad]]</f>
        <v>0</v>
      </c>
      <c r="DC42" s="63">
        <f ca="1">tblBaseCF[[#This Row],[SemiAnnualTP]]+tblBaseCF[[#This Row],[SemiAnnualEP]]+tblBaseCF[[#This Row],[SemiAnnualLoad]]</f>
        <v>0</v>
      </c>
      <c r="DD42" s="59">
        <f ca="1">INDEX(tblPlanPrem[TP],3)
*tblBaseCF[[#This Row],[TPTermFlag]]</f>
        <v>0</v>
      </c>
      <c r="DE42" s="59">
        <f ca="1">INDEX(tblPlanPrem[EP],3)
*tblBaseCF[[#This Row],[TPTermFlag]]</f>
        <v>0</v>
      </c>
      <c r="DF42" s="63">
        <f ca="1">ROUNDUP(tblBaseCF[[#This Row],[UnroundedEMLoad]]*INDEX(tblPlanPrem[Factor],3),-3)</f>
        <v>0</v>
      </c>
      <c r="DG42" s="63">
        <f ca="1">ROUNDUP(tblBaseCF[[#This Row],[UnroundedPMLoad]]*INDEX(tblPlanPrem[Factor],3),-3)</f>
        <v>0</v>
      </c>
      <c r="DH42" s="60">
        <f ca="1">tblBaseCF[[#This Row],[QuarterlyEMLoad]]+tblBaseCF[[#This Row],[QuarterlyPMLoad]]</f>
        <v>0</v>
      </c>
      <c r="DI42" s="60">
        <f ca="1">tblBaseCF[[#This Row],[QuarterlyTP]]+tblBaseCF[[#This Row],[QuarterlyEP]]+tblBaseCF[[#This Row],[QuarterlyLoad]]</f>
        <v>0</v>
      </c>
      <c r="DJ42" s="59">
        <f ca="1">INDEX(tblPlanPrem[TP],4)
*tblBaseCF[[#This Row],[TPTermFlag]]</f>
        <v>0</v>
      </c>
      <c r="DK42" s="59">
        <f ca="1">INDEX(tblPlanPrem[EP],4)
*tblBaseCF[[#This Row],[TPTermFlag]]</f>
        <v>0</v>
      </c>
      <c r="DL42" s="63">
        <f ca="1">ROUNDUP(tblBaseCF[[#This Row],[UnroundedEMLoad]]*INDEX(tblPlanPrem[Factor],4),-3)</f>
        <v>0</v>
      </c>
      <c r="DM42" s="63">
        <f ca="1">ROUNDUP(tblBaseCF[[#This Row],[UnroundedPMLoad]]*INDEX(tblPlanPrem[Factor],4),-3)</f>
        <v>0</v>
      </c>
      <c r="DN42" s="60">
        <f ca="1">tblBaseCF[[#This Row],[MonthlyEMLoad]]+tblBaseCF[[#This Row],[MonthlyPMLoad]]</f>
        <v>0</v>
      </c>
      <c r="DO42" s="63">
        <f ca="1">tblBaseCF[[#This Row],[MonthlyTP]]+tblBaseCF[[#This Row],[MonthlyEP]]+tblBaseCF[[#This Row],[MonthlyLoad]]</f>
        <v>0</v>
      </c>
      <c r="DP42" s="3"/>
      <c r="DS42">
        <f t="shared" si="3"/>
        <v>0</v>
      </c>
      <c r="DT42">
        <f t="shared" si="4"/>
        <v>0</v>
      </c>
      <c r="DU42">
        <f t="shared" si="5"/>
        <v>0</v>
      </c>
      <c r="DV42">
        <f ca="1">tblBaseCF[[#This Row],[Year]]</f>
        <v>22</v>
      </c>
      <c r="DW42">
        <f ca="1">tblBaseCF[[#This Row],[Age]]</f>
        <v>21</v>
      </c>
      <c r="DX42">
        <f ca="1">tblBaseCF[[#This Row],[ContFlag]]</f>
        <v>0</v>
      </c>
      <c r="DY42" t="str">
        <f ca="1">tblBaseCF[[#This Row],[ContLog]]</f>
        <v>Insufficient PAV for deduction - Discontinue.</v>
      </c>
      <c r="DZ42">
        <f ca="1">tblBaseCF[[#This Row],[StartTAV]]</f>
        <v>0</v>
      </c>
      <c r="EA42">
        <f ca="1">tblBaseCF[[#This Row],[StartEAV]]</f>
        <v>0</v>
      </c>
      <c r="EB42">
        <f ca="1">tblBaseCF[[#This Row],[StartPAV]]</f>
        <v>0</v>
      </c>
      <c r="EC42">
        <f ca="1">tblBaseCF[[#This Row],[SVChrg]]</f>
        <v>0</v>
      </c>
      <c r="ED42">
        <f ca="1">tblBaseCF[[#This Row],[SV]]</f>
        <v>0</v>
      </c>
      <c r="EE42">
        <f ca="1">tblBaseCF[[#This Row],[Ben]]</f>
        <v>0</v>
      </c>
      <c r="EF42">
        <f ca="1">tblBaseCF[[#This Row],[AccBen]]</f>
        <v>0</v>
      </c>
      <c r="EG42">
        <f ca="1">tblBaseCF[[#This Row],[WithdrawalInput]]</f>
        <v>0</v>
      </c>
      <c r="EH42" t="str">
        <f ca="1">tblBaseCF[[#This Row],[WithdrawalLog]]</f>
        <v>No withdrawal.</v>
      </c>
      <c r="EI42">
        <f ca="1">tblBaseCF[[#This Row],[TAVWithdrawal]]</f>
        <v>0</v>
      </c>
      <c r="EJ42">
        <f ca="1">tblBaseCF[[#This Row],[EAVWithdrawal]]</f>
        <v>0</v>
      </c>
      <c r="EK42">
        <f ca="1">tblBaseCF[[#This Row],[Withdrawal]]</f>
        <v>0</v>
      </c>
      <c r="EL42">
        <f ca="1">tblBaseCF[[#This Row],[TP]]</f>
        <v>0</v>
      </c>
      <c r="EM42">
        <f ca="1">tblBaseCF[[#This Row],[TPAllocChrg]]</f>
        <v>0</v>
      </c>
      <c r="EN42">
        <f ca="1">tblBaseCF[[#This Row],[TPAlloc]]</f>
        <v>0</v>
      </c>
      <c r="EO42">
        <f ca="1">tblBaseCF[[#This Row],[EP]]</f>
        <v>0</v>
      </c>
      <c r="EP42">
        <f ca="1">tblBaseCF[[#This Row],[EPAllocChrg]]</f>
        <v>0</v>
      </c>
      <c r="EQ42">
        <f ca="1">tblBaseCF[[#This Row],[EPAlloc]]</f>
        <v>0</v>
      </c>
      <c r="ER42">
        <f ca="1">tblBaseCF[[#This Row],[EMLoad]]</f>
        <v>0</v>
      </c>
      <c r="ES42">
        <f ca="1">tblBaseCF[[#This Row],[PMLoad]]</f>
        <v>0</v>
      </c>
      <c r="ET42">
        <f ca="1">tblBaseCF[[#This Row],[Load]]</f>
        <v>0</v>
      </c>
      <c r="EU42">
        <f ca="1">tblBaseCF[[#This Row],[LoadAllocChrg]]</f>
        <v>0</v>
      </c>
      <c r="EV42">
        <f ca="1">tblBaseCF[[#This Row],[LoadAlloc]]</f>
        <v>0</v>
      </c>
      <c r="EW42">
        <f ca="1">tblBaseCF[[#This Row],[TotalPrem]]</f>
        <v>0</v>
      </c>
      <c r="EX42">
        <f ca="1">tblBaseCF[[#This Row],[AllocChrg]]</f>
        <v>0</v>
      </c>
      <c r="EY42">
        <f ca="1">tblBaseCF[[#This Row],[Alloc]]</f>
        <v>0</v>
      </c>
      <c r="EZ42">
        <f ca="1">tblBaseCF[[#This Row],[AccumTotalPrem]]</f>
        <v>0</v>
      </c>
      <c r="FA42">
        <f>tblBaseCF[[#This Row],[AnnualIntRate]]</f>
        <v>0</v>
      </c>
      <c r="FB42" s="50">
        <f>tblBaseCF[[#This Row],[Duean1m12]]</f>
        <v>1</v>
      </c>
      <c r="FC42">
        <f ca="1">tblBaseCF[[#This Row],[DeductFlag]]</f>
        <v>0</v>
      </c>
      <c r="FD42">
        <f ca="1">tblBaseCF[[#This Row],[AdminChrg]]</f>
        <v>0</v>
      </c>
      <c r="FE42">
        <f ca="1">tblBaseCF[[#This Row],[StandardCOI]]</f>
        <v>0</v>
      </c>
      <c r="FF42">
        <f ca="1">tblBaseCF[[#This Row],[EMLoadCOI]]</f>
        <v>0</v>
      </c>
      <c r="FG42">
        <f ca="1">tblBaseCF[[#This Row],[PMLoadCOI]]</f>
        <v>0</v>
      </c>
      <c r="FH42">
        <f ca="1">tblBaseCF[[#This Row],[COI]]</f>
        <v>0</v>
      </c>
      <c r="FI42" s="47">
        <f ca="1">tblBaseCF[[#This Row],[NomDeduct]]</f>
        <v>0</v>
      </c>
      <c r="FJ42">
        <f ca="1">tblBaseCF[[#This Row],[Deduct]]</f>
        <v>0</v>
      </c>
      <c r="FK42">
        <f ca="1">tblBaseCF[[#This Row],[TAVDeduct]]</f>
        <v>0</v>
      </c>
      <c r="FL42">
        <f ca="1">tblBaseCF[[#This Row],[EAVDeduct]]</f>
        <v>0</v>
      </c>
      <c r="FM42" s="24">
        <f ca="1">tblBaseCF[[#This Row],[TAVInt]]</f>
        <v>0</v>
      </c>
      <c r="FN42">
        <f ca="1">tblBaseCF[[#This Row],[EAVInt]]</f>
        <v>0</v>
      </c>
      <c r="FO42" s="47">
        <f ca="1">tblBaseCF[[#This Row],[LB]]</f>
        <v>0</v>
      </c>
      <c r="FP42">
        <f ca="1">tblBaseCF[[#This Row],[SB]]</f>
        <v>0</v>
      </c>
      <c r="FQ42">
        <f ca="1">tblBaseCF[[#This Row],[Bonus]]</f>
        <v>0</v>
      </c>
      <c r="FR42">
        <f ca="1">tblBaseCF[[#This Row],[EndTAV]]</f>
        <v>0</v>
      </c>
      <c r="FS42">
        <f ca="1">tblBaseCF[[#This Row],[EndEAV]]</f>
        <v>0</v>
      </c>
      <c r="FT42">
        <f ca="1">tblBaseCF[[#This Row],[EndPAV]]</f>
        <v>0</v>
      </c>
      <c r="FU42">
        <f ca="1">tblBaseCF[[#This Row],[SemiAnnualTP]]</f>
        <v>0</v>
      </c>
      <c r="FV42">
        <f ca="1">tblBaseCF[[#This Row],[SemiAnnualEP]]</f>
        <v>0</v>
      </c>
      <c r="FW42">
        <f ca="1">tblBaseCF[[#This Row],[SemiAnnualEMLoad]]</f>
        <v>0</v>
      </c>
      <c r="FX42">
        <f ca="1">tblBaseCF[[#This Row],[SemiAnnualPMLoad]]</f>
        <v>0</v>
      </c>
      <c r="FY42">
        <f ca="1">tblBaseCF[[#This Row],[SemiAnnualLoad]]</f>
        <v>0</v>
      </c>
      <c r="FZ42">
        <f ca="1">tblBaseCF[[#This Row],[SemiAnnualTotalPrem]]</f>
        <v>0</v>
      </c>
      <c r="GA42">
        <f ca="1">tblBaseCF[[#This Row],[QuarterlyTP]]</f>
        <v>0</v>
      </c>
      <c r="GB42">
        <f ca="1">tblBaseCF[[#This Row],[QuarterlyEP]]</f>
        <v>0</v>
      </c>
      <c r="GC42">
        <f ca="1">tblBaseCF[[#This Row],[QuarterlyEMLoad]]</f>
        <v>0</v>
      </c>
      <c r="GD42">
        <f ca="1">tblBaseCF[[#This Row],[QuarterlyPMLoad]]</f>
        <v>0</v>
      </c>
      <c r="GE42">
        <f ca="1">tblBaseCF[[#This Row],[QuarterlyLoad]]</f>
        <v>0</v>
      </c>
      <c r="GF42">
        <f ca="1">tblBaseCF[[#This Row],[QuarterlyTotalPrem]]</f>
        <v>0</v>
      </c>
      <c r="GG42">
        <f ca="1">tblBaseCF[[#This Row],[MonthlyTP]]</f>
        <v>0</v>
      </c>
      <c r="GH42">
        <f ca="1">tblBaseCF[[#This Row],[MonthlyEP]]</f>
        <v>0</v>
      </c>
      <c r="GI42">
        <f ca="1">tblBaseCF[[#This Row],[MonthlyEMLoad]]</f>
        <v>0</v>
      </c>
      <c r="GJ42">
        <f ca="1">tblBaseCF[[#This Row],[MonthlyPMLoad]]</f>
        <v>0</v>
      </c>
      <c r="GK42">
        <f ca="1">tblBaseCF[[#This Row],[MonthlyLoad]]</f>
        <v>0</v>
      </c>
      <c r="GL42">
        <f ca="1">tblBaseCF[[#This Row],[MonthlyTotalPrem]]</f>
        <v>0</v>
      </c>
      <c r="GO42" t="s">
        <v>134</v>
      </c>
      <c r="GP42" t="s">
        <v>135</v>
      </c>
      <c r="GQ42" t="s">
        <v>502</v>
      </c>
      <c r="GR42">
        <v>22</v>
      </c>
      <c r="GS42">
        <v>21</v>
      </c>
      <c r="GT42">
        <v>1</v>
      </c>
      <c r="GU42" t="s">
        <v>457</v>
      </c>
      <c r="GV42">
        <v>17970696.6576133</v>
      </c>
      <c r="GW42">
        <v>176906074.96319601</v>
      </c>
      <c r="GX42">
        <v>194876771.62080899</v>
      </c>
      <c r="GY42">
        <v>0</v>
      </c>
      <c r="GZ42">
        <v>194876771.62080899</v>
      </c>
      <c r="HA42">
        <v>194876771.62080899</v>
      </c>
      <c r="HB42">
        <v>303000000</v>
      </c>
      <c r="HC42">
        <v>10000000</v>
      </c>
      <c r="HD42" t="s">
        <v>458</v>
      </c>
      <c r="HE42">
        <v>0</v>
      </c>
      <c r="HF42">
        <v>10000000</v>
      </c>
      <c r="HG42">
        <v>10000000</v>
      </c>
      <c r="HH42">
        <v>1072000</v>
      </c>
      <c r="HI42">
        <v>21440</v>
      </c>
      <c r="HJ42">
        <v>1050560</v>
      </c>
      <c r="HK42">
        <v>5200000</v>
      </c>
      <c r="HL42">
        <v>104000</v>
      </c>
      <c r="HM42">
        <v>5096000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6272000</v>
      </c>
      <c r="HT42">
        <v>125440</v>
      </c>
      <c r="HU42">
        <v>6146560</v>
      </c>
      <c r="HV42">
        <v>137984000</v>
      </c>
      <c r="HW42">
        <v>7.0000000000000007E-2</v>
      </c>
      <c r="HX42">
        <v>0.96964931039809399</v>
      </c>
      <c r="HY42">
        <v>1</v>
      </c>
      <c r="HZ42">
        <v>300000</v>
      </c>
      <c r="IA42">
        <v>0</v>
      </c>
      <c r="IB42">
        <v>0</v>
      </c>
      <c r="IC42">
        <v>0</v>
      </c>
      <c r="ID42">
        <v>272700</v>
      </c>
      <c r="IE42">
        <v>572700</v>
      </c>
      <c r="IF42">
        <v>555318.16006498795</v>
      </c>
      <c r="IG42">
        <v>555318.16006498795</v>
      </c>
      <c r="IH42">
        <v>0</v>
      </c>
      <c r="II42">
        <v>1292615.6948283799</v>
      </c>
      <c r="IJ42">
        <v>12040145.247423699</v>
      </c>
      <c r="IK42">
        <v>0</v>
      </c>
      <c r="IL42">
        <v>0</v>
      </c>
      <c r="IM42">
        <v>0</v>
      </c>
      <c r="IN42">
        <v>19758554.192376599</v>
      </c>
      <c r="IO42">
        <v>184042220.21061999</v>
      </c>
      <c r="IP42">
        <v>203800774.402996</v>
      </c>
      <c r="IQ42">
        <v>536000</v>
      </c>
      <c r="IR42">
        <v>2600000</v>
      </c>
      <c r="IS42">
        <v>0</v>
      </c>
      <c r="IT42">
        <v>0</v>
      </c>
      <c r="IU42">
        <v>0</v>
      </c>
      <c r="IV42">
        <v>3136000</v>
      </c>
      <c r="IW42">
        <v>268000</v>
      </c>
      <c r="IX42">
        <v>1300000</v>
      </c>
      <c r="IY42">
        <v>0</v>
      </c>
      <c r="IZ42">
        <v>0</v>
      </c>
      <c r="JA42">
        <v>0</v>
      </c>
      <c r="JB42">
        <v>1568000</v>
      </c>
      <c r="JC42">
        <v>90000</v>
      </c>
      <c r="JD42">
        <v>434000</v>
      </c>
      <c r="JE42">
        <v>0</v>
      </c>
      <c r="JF42">
        <v>0</v>
      </c>
      <c r="JG42">
        <v>0</v>
      </c>
      <c r="JH42">
        <v>524000</v>
      </c>
    </row>
    <row r="43" spans="2:268" customFormat="1" x14ac:dyDescent="0.25">
      <c r="B43" s="2">
        <f ca="1">OFFSET(tblBaseCF[[#This Row],[Year]],-1,0)+1</f>
        <v>23</v>
      </c>
      <c r="C43" s="2">
        <f ca="1">(tblBaseCF[[#This Row],[Year]]&lt;=term)*1</f>
        <v>1</v>
      </c>
      <c r="D43" s="57">
        <f ca="1">(YEAR(rcd)+tblBaseCF[[#This Row],[Year]]-1)
*tblBaseCF[[#This Row],[PolTermFlag]]</f>
        <v>2047</v>
      </c>
      <c r="E43" s="57">
        <f ca="1">(mainLI_entry_age+tblBaseCF[[#This Row],[Year]]-1)
*tblBaseCF[[#This Row],[PolTermFlag]]</f>
        <v>22</v>
      </c>
      <c r="F43" s="57">
        <f ca="1">IF(tblBaseCF[[#This Row],[Year]]=1,1,OFFSET(tblBaseCF[[#This Row],[DeductFlag]],-1,0))
*tblBaseCF[[#This Row],[PolTermFlag]]</f>
        <v>0</v>
      </c>
      <c r="G4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3" s="57">
        <f ca="1">(tblBaseCF[[#This Row],[Year]]&lt;=acc_ben_term)
*tblBaseCF[[#This Row],[ContFlag]]</f>
        <v>0</v>
      </c>
      <c r="I43" s="57">
        <f ca="1">(tblBaseCF[[#This Row],[Year]]&lt;=tp_term)
*tblBaseCF[[#This Row],[ContFlag]]</f>
        <v>0</v>
      </c>
      <c r="J43" s="57">
        <f ca="1">(tblBaseCF[[#This Row],[Year]]&lt;=ep_term)
*tblBaseCF[[#This Row],[ContFlag]]</f>
        <v>0</v>
      </c>
      <c r="K43" s="57">
        <f ca="1">(tblBaseCF[[#This Row],[Year]]&lt;=em_load_term)*1</f>
        <v>0</v>
      </c>
      <c r="L43" s="57">
        <f ca="1">(tblBaseCF[[#This Row],[Year]]&lt;=pm_load_term)*1</f>
        <v>0</v>
      </c>
      <c r="M43" s="59">
        <f ca="1">IF(tblBaseCF[[#This Row],[Year]]=1,si,OFFSET(tblBaseCF[[#This Row],[EndSI]],-1,0))
*tblBaseCF[[#This Row],[ContFlag]]</f>
        <v>0</v>
      </c>
      <c r="N43" s="59">
        <f ca="1">OFFSET(tblBaseCF[[#This Row],[EndTAV]],-1,0)
*tblBaseCF[[#This Row],[ContFlag]]</f>
        <v>0</v>
      </c>
      <c r="O43" s="59">
        <f ca="1">OFFSET(tblBaseCF[[#This Row],[EndEAV]],-1,0)
*tblBaseCF[[#This Row],[ContFlag]]</f>
        <v>0</v>
      </c>
      <c r="P43" s="60">
        <f ca="1">tblBaseCF[[#This Row],[StartEAV]]+tblBaseCF[[#This Row],[StartTAV]]</f>
        <v>0</v>
      </c>
      <c r="Q43" s="61">
        <f ca="1">IFERROR(INDEX(tblJuvenileLienRate[Rate],MATCH(tblBaseCF[[#This Row],[Age]],tblJuvenileLienRate[Age],0)),1)
*tblBaseCF[[#This Row],[ContFlag]]</f>
        <v>0</v>
      </c>
      <c r="R4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3" s="62">
        <f ca="1">tblBaseCF[[#This Row],[StartSI]]*acc_ben_coeff*tblBaseCF[[#This Row],[JuvenileLienRate]]
*tblBaseCF[[#This Row],[AccBenTermFlag]]</f>
        <v>0</v>
      </c>
      <c r="T43" s="61">
        <f ca="1">(IFERROR(INDEX(tblSurrChrgRate[Rate],MATCH(tblBaseCF[[#This Row],[Year]],tblSurrChrgRate[Year],0)),0)
*tblBaseCF[[#This Row],[ContFlag]])</f>
        <v>0</v>
      </c>
      <c r="U43" s="60">
        <f ca="1">tp*tblBaseCF[[#This Row],[SrrChrgRate]]</f>
        <v>0</v>
      </c>
      <c r="V43" s="63">
        <f ca="1">MAX(tblBaseCF[[#This Row],[StartTAV]]-tblBaseCF[[#This Row],[SVChrg]],0)+tblBaseCF[[#This Row],[StartEAV]]</f>
        <v>0</v>
      </c>
      <c r="W43" s="59">
        <f ca="1">IFERROR(INDEX(tblWithdrawal_Output[Amount],MATCH(tblBaseCF[[#This Row],[Year]],tblWithdrawal_Output[Year],0)),0)
*tblBaseCF[[#This Row],[ContFlag]]</f>
        <v>0</v>
      </c>
      <c r="X43" s="59" t="b">
        <f ca="1">tblBaseCF[[#This Row],[WithdrawalInput]]&gt;0</f>
        <v>0</v>
      </c>
      <c r="Y43" s="59" t="b">
        <f ca="1">AND(tblBaseCF[[#This Row],[1stCheckProceed]],tblBaseCF[[#This Row],[WithdrawalInput]]&lt;=tblBaseCF[[#This Row],[StartPAV]])</f>
        <v>0</v>
      </c>
      <c r="Z43" s="59" t="b">
        <f ca="1">AND(tblBaseCF[[#This Row],[2ndCheckAmount]],(tblBaseCF[[#This Row],[StartPAV]]-tblBaseCF[[#This Row],[WithdrawalInput]])&gt;=min_pav_after_withdrawal)</f>
        <v>0</v>
      </c>
      <c r="AA4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3" s="59" t="b">
        <f ca="1">AND(tblBaseCF[[#This Row],[3rdCheckPAV]],tblBaseCF[[#This Row],[endSITest]]&gt;=min_base_si)</f>
        <v>0</v>
      </c>
      <c r="AC43" s="60">
        <f ca="1">tblBaseCF[[#This Row],[WithdrawalInput]]*tblBaseCF[[#This Row],[4thCheckSI]]</f>
        <v>0</v>
      </c>
      <c r="AD43" s="60">
        <f ca="1">MIN(tblBaseCF[[#This Row],[Withdrawal]],tblBaseCF[[#This Row],[StartEAV]])</f>
        <v>0</v>
      </c>
      <c r="AE43" s="60">
        <f ca="1">tblBaseCF[[#This Row],[Withdrawal]]-tblBaseCF[[#This Row],[EAVWithdrawal]]</f>
        <v>0</v>
      </c>
      <c r="AF43" s="60">
        <f ca="1">IF(tblBaseCF[[#This Row],[4thCheckSI]],tblBaseCF[[#This Row],[endSITest]],tblBaseCF[[#This Row],[StartSI]])</f>
        <v>0</v>
      </c>
      <c r="AG4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3" s="65">
        <f ca="1">IFERROR(INDEX(tblTPAllocChrgRate[Rate],MATCH(tblBaseCF[[#This Row],[Year]],tblTPAllocChrgRate[Year],0)),0)</f>
        <v>0.02</v>
      </c>
      <c r="AI43" s="62">
        <f ca="1">(tp+big_case_bonus_tp*(tblBaseCF[[#This Row],[Year]]=1))
*tblBaseCF[[#This Row],[TPTermFlag]]</f>
        <v>0</v>
      </c>
      <c r="AJ43" s="63">
        <f ca="1">tblBaseCF[[#This Row],[TP]]*tblBaseCF[[#This Row],[TPAllocChrgRate]]</f>
        <v>0</v>
      </c>
      <c r="AK43" s="60">
        <f ca="1">tblBaseCF[[#This Row],[TP]]-tblBaseCF[[#This Row],[TPAllocChrg]]</f>
        <v>0</v>
      </c>
      <c r="AL43" s="65">
        <f ca="1">IFERROR(INDEX(tblEPAllocChrgRate[Rate],MATCH(tblBaseCF[[#This Row],[Year]],tblEPAllocChrgRate[Year],0)),0)</f>
        <v>0.02</v>
      </c>
      <c r="AM43" s="60">
        <f ca="1">ep*tblBaseCF[[#This Row],[EPTermFlag]]</f>
        <v>0</v>
      </c>
      <c r="AN43" s="60">
        <f ca="1">tblBaseCF[[#This Row],[EP]]*tblBaseCF[[#This Row],[EPAllocChrgRate]]</f>
        <v>0</v>
      </c>
      <c r="AO43" s="63">
        <f ca="1">tblBaseCF[[#This Row],[EP]]-tblBaseCF[[#This Row],[EPAllocChrg]]</f>
        <v>0</v>
      </c>
      <c r="AP43" s="62">
        <f ca="1">tblBaseCF[[#This Row],[Ben]]*extra_prem_rate*em_load/1000/(1-tblBaseCF[[#This Row],[EPAllocChrgRate]])
*tblBaseCF[[#This Row],[EMLoadTermFlag]]</f>
        <v>0</v>
      </c>
      <c r="AQ43" s="62">
        <f ca="1">tblBaseCF[[#This Row],[Ben]]*pm_load/1000/(1-tblBaseCF[[#This Row],[EPAllocChrgRate]])
*tblBaseCF[[#This Row],[PMLoadTermFlag]]</f>
        <v>0</v>
      </c>
      <c r="AR43" s="60">
        <f ca="1">ROUNDUP(tblBaseCF[[#This Row],[UnroundedEMLoad]],-3)</f>
        <v>0</v>
      </c>
      <c r="AS43" s="62">
        <f ca="1">ROUNDUP(tblBaseCF[[#This Row],[Ben]]*pm_load/1000/(1-tblBaseCF[[#This Row],[EPAllocChrgRate]]),-3)
*tblBaseCF[[#This Row],[PMLoadTermFlag]]</f>
        <v>0</v>
      </c>
      <c r="AT43" s="60">
        <f ca="1">tblBaseCF[[#This Row],[EMLoad]]+tblBaseCF[[#This Row],[PMLoad]]</f>
        <v>0</v>
      </c>
      <c r="AU43" s="60">
        <f ca="1">tblBaseCF[[#This Row],[Load]]*tblBaseCF[[#This Row],[EPAllocChrgRate]]</f>
        <v>0</v>
      </c>
      <c r="AV43" s="60">
        <f ca="1">tblBaseCF[[#This Row],[Load]]-tblBaseCF[[#This Row],[LoadAllocChrg]]</f>
        <v>0</v>
      </c>
      <c r="AW43" s="60">
        <f ca="1">tblBaseCF[[#This Row],[TP]]+tblBaseCF[[#This Row],[EP]]+tblBaseCF[[#This Row],[Load]]</f>
        <v>0</v>
      </c>
      <c r="AX43" s="60">
        <f ca="1">tblBaseCF[[#This Row],[TPAllocChrg]]+tblBaseCF[[#This Row],[EPAllocChrg]]+tblBaseCF[[#This Row],[LoadAllocChrg]]</f>
        <v>0</v>
      </c>
      <c r="AY43" s="60">
        <f ca="1">tblBaseCF[[#This Row],[TPAlloc]]+tblBaseCF[[#This Row],[EPAlloc]]+tblBaseCF[[#This Row],[LoadAlloc]]</f>
        <v>0</v>
      </c>
      <c r="AZ43" s="60">
        <f ca="1">(OFFSET(tblBaseCF[[#This Row],[AccumTotalPrem]],-1,0)+tblBaseCF[[#This Row],[TotalPrem]])*tblBaseCF[[#This Row],[TPTermFlag]]</f>
        <v>0</v>
      </c>
      <c r="BA43" s="62">
        <f ca="1">(tblBaseCF[[#This Row],[StartTAV]]-tblBaseCF[[#This Row],[TAVWithdrawal]]+tblBaseCF[[#This Row],[TPAlloc]])
*tblBaseCF[[#This Row],[ContFlag]]</f>
        <v>0</v>
      </c>
      <c r="BB43" s="59">
        <f ca="1">(tblBaseCF[[#This Row],[StartEAV]]-tblBaseCF[[#This Row],[EAVWithdrawal]]+tblBaseCF[[#This Row],[EPAlloc]]+tblBaseCF[[#This Row],[LoadAlloc]])
*tblBaseCF[[#This Row],[ContFlag]]</f>
        <v>0</v>
      </c>
      <c r="BC43" s="59">
        <f ca="1">tblBaseCF[[#This Row],[TAVAfterWdrlAlloc]]+tblBaseCF[[#This Row],[EAVAfterWdrlAlloc]]</f>
        <v>0</v>
      </c>
      <c r="BD43" s="66">
        <f t="shared" si="2"/>
        <v>0</v>
      </c>
      <c r="BE43" s="67">
        <f>(1+tblBaseCF[[#This Row],[AnnualIntRate]])^(1/12)-1</f>
        <v>0</v>
      </c>
      <c r="BF43" s="68">
        <f>IFERROR(((1+tblBaseCF[[#This Row],[MonthlyIntRate]])^12-1)/12/(1-1/(1+tblBaseCF[[#This Row],[MonthlyIntRate]])),1)/(1+tblBaseCF[[#This Row],[AnnualIntRate]])</f>
        <v>1</v>
      </c>
      <c r="BG43" s="69">
        <f>PV(tblBaseCF[[#This Row],[MonthlyIntRate]],12,-1/12,,1)</f>
        <v>1</v>
      </c>
      <c r="BH43" s="60">
        <f ca="1">MAX(IF(death_tpd_option="A",tblBaseCF[[#This Row],[Ben]]-tblBaseCF[[#This Row],[StartPAV]],tblBaseCF[[#This Row],[Ben]]),0)</f>
        <v>0</v>
      </c>
      <c r="BI43" s="70">
        <f ca="1">IFERROR(INDEX(tblBaseCOIRate[Rate],MATCH(tblBaseCF[[#This Row],[Age]],tblBaseCOIRate[Age],0)),0)</f>
        <v>1.0999999999999901E-3</v>
      </c>
      <c r="BJ43" s="60">
        <f ca="1">tblBaseCF[[#This Row],[SAR]]*tblBaseCF[[#This Row],[COIRate]]</f>
        <v>0</v>
      </c>
      <c r="BK43" s="62">
        <f ca="1">em_load*tblBaseCF[[#This Row],[pStandardCOI]]
*tblBaseCF[[#This Row],[EMLoadTermFlag]]</f>
        <v>0</v>
      </c>
      <c r="BL43" s="62">
        <f ca="1">pm_load/1000*tblBaseCF[[#This Row],[SAR]]
*tblBaseCF[[#This Row],[PMLoadTermFlag]]</f>
        <v>0</v>
      </c>
      <c r="BM43" s="60">
        <f ca="1">tblBaseCF[[#This Row],[AccBen]]*monthly_acc_coi*12</f>
        <v>0</v>
      </c>
      <c r="BN43" s="60">
        <f ca="1">tblBaseCF[[#This Row],[pStandardCOI]]+tblBaseCF[[#This Row],[pEMLoadCOI]]+tblBaseCF[[#This Row],[pPMLoadCOI]]+tblBaseCF[[#This Row],[pAccCOI]]</f>
        <v>0</v>
      </c>
      <c r="BO43" s="62">
        <f ca="1">IFERROR(INDEX(tblAdminChrg[Amount],MATCH(tblBaseCF[[#This Row],[CalYear]],tblAdminChrg[Cal_Year],0)),0)
*tblBaseCF[[#This Row],[ContFlag]]</f>
        <v>0</v>
      </c>
      <c r="BP43" s="60">
        <f ca="1">tblBaseCF[[#This Row],[pMonthlyAdminChrg]]*12</f>
        <v>0</v>
      </c>
      <c r="BQ43" s="60">
        <f ca="1">tblBaseCF[[#This Row],[pCOI]]+tblBaseCF[[#This Row],[pAdminChrg]]</f>
        <v>0</v>
      </c>
      <c r="BR43" s="60">
        <f ca="1">tblBaseCF[[#This Row],[pNomDeduct]]*tblBaseCF[[#This Row],[Duean1m12]]</f>
        <v>0</v>
      </c>
      <c r="BS43" s="57">
        <f ca="1">(tblBaseCF[[#This Row],[PAVAfterWdrlAlloc]]&gt;=tblBaseCF[[#This Row],[pNomDeduct]])
*tblBaseCF[[#This Row],[ContFlag]]</f>
        <v>0</v>
      </c>
      <c r="BT43" s="60">
        <f ca="1">tblBaseCF[[#This Row],[pStandardCOI]]*tblBaseCF[[#This Row],[DeductFlag]]</f>
        <v>0</v>
      </c>
      <c r="BU43" s="60">
        <f ca="1">tblBaseCF[[#This Row],[pEMLoadCOI]]*tblBaseCF[[#This Row],[DeductFlag]]</f>
        <v>0</v>
      </c>
      <c r="BV43" s="60">
        <f ca="1">tblBaseCF[[#This Row],[pPMLoadCOI]]*tblBaseCF[[#This Row],[DeductFlag]]</f>
        <v>0</v>
      </c>
      <c r="BW43" s="60">
        <f ca="1">tblBaseCF[[#This Row],[pAccCOI]]*tblBaseCF[[#This Row],[DeductFlag]]</f>
        <v>0</v>
      </c>
      <c r="BX43" s="60">
        <f ca="1">tblBaseCF[[#This Row],[pCOI]]*tblBaseCF[[#This Row],[DeductFlag]]</f>
        <v>0</v>
      </c>
      <c r="BY43" s="60">
        <f ca="1">tblBaseCF[[#This Row],[pMonthlyAdminChrg]]*tblBaseCF[[#This Row],[DeductFlag]]</f>
        <v>0</v>
      </c>
      <c r="BZ43" s="60">
        <f ca="1">tblBaseCF[[#This Row],[pAdminChrg]]*tblBaseCF[[#This Row],[DeductFlag]]</f>
        <v>0</v>
      </c>
      <c r="CA43" s="60">
        <f ca="1">tblBaseCF[[#This Row],[pNomDeduct]]*tblBaseCF[[#This Row],[DeductFlag]]</f>
        <v>0</v>
      </c>
      <c r="CB43" s="60">
        <f ca="1">tblBaseCF[[#This Row],[pDeduct]]*tblBaseCF[[#This Row],[DeductFlag]]</f>
        <v>0</v>
      </c>
      <c r="CC43" s="60">
        <f ca="1">MIN(tblBaseCF[[#This Row],[TAVAfterWdrlAlloc]],tblBaseCF[[#This Row],[Deduct]])</f>
        <v>0</v>
      </c>
      <c r="CD43" s="60">
        <f ca="1">tblBaseCF[[#This Row],[Deduct]]-tblBaseCF[[#This Row],[TAVDeduct]]</f>
        <v>0</v>
      </c>
      <c r="CE43" s="69">
        <f ca="1">(tblBaseCF[[#This Row],[TAVAfterWdrlAlloc]]-tblBaseCF[[#This Row],[TAVDeduct]])*tblBaseCF[[#This Row],[AnnualIntRate]]
*tblBaseCF[[#This Row],[DeductFlag]]</f>
        <v>0</v>
      </c>
      <c r="CF43" s="69">
        <f ca="1">(tblBaseCF[[#This Row],[EAVAfterWdrlAlloc]]-tblBaseCF[[#This Row],[EAVDeduct]])*tblBaseCF[[#This Row],[AnnualIntRate]]
*tblBaseCF[[#This Row],[DeductFlag]]</f>
        <v>0</v>
      </c>
      <c r="CG43" s="69">
        <f ca="1">tblBaseCF[[#This Row],[TAVInt]]+tblBaseCF[[#This Row],[EAVInt]]</f>
        <v>0</v>
      </c>
      <c r="CH43" s="62">
        <f ca="1">IFERROR(INDEX(tblLBRate[Rate],MATCH(tblBaseCF[[#This Row],[Year]],tblLBRate[Year],0)),0)
*tblBaseCF[[#This Row],[DeductFlag]]</f>
        <v>0</v>
      </c>
      <c r="CI43" s="60">
        <f ca="1">IFERROR(SUM(OFFSET(tblBaseCF[[#This Row],[TAVWithdrawal]],0,0,-lb_review_period,1)),0)
*(tblBaseCF[[#This Row],[LBRate]]&gt;0)</f>
        <v>0</v>
      </c>
      <c r="CJ43" s="60">
        <f ca="1">(tblBaseCF[[#This Row],[LBRate]]&gt;0)*(tblBaseCF[[#This Row],[LBTAVWithdrawal]]=0)</f>
        <v>0</v>
      </c>
      <c r="CK43" s="62" cm="1">
        <f t="array" aca="1" ref="CK43" ca="1">IF(tblBaseCF[[#This Row],[LBFlag]],
_xlfn.SWITCH(base,
"ILP1",AVERAGE(OFFSET(tblBaseCF[TP],0,0,-lb_review_period,1)),tp),0)
*tblBaseCF[[#This Row],[LBFlag]]</f>
        <v>0</v>
      </c>
      <c r="CL43" s="62">
        <f ca="1">tblBaseCF[[#This Row],[LBBasis]]*tblBaseCF[[#This Row],[LBRate]]</f>
        <v>0</v>
      </c>
      <c r="CM43" s="57" cm="1">
        <f t="array" aca="1" ref="CM43" ca="1">_xlfn.SWITCH(base,
"ILP1",0,($AF143&lt;500000000)*1
+($AF143&gt;=500000000)*($AF143&lt;1000000000)*2
+($AF143&gt;=1000000000)*3)
*tblBaseCF[[#This Row],[DeductFlag]]</f>
        <v>0</v>
      </c>
      <c r="CN43" s="2" t="str">
        <f ca="1">IF(tblBaseCF[[#This Row],[DeductFlag]],base&amp;"_"&amp;tblBaseCF[[#This Row],[SBCode]]&amp;"_"&amp;tblBaseCF[[#This Row],[Year]],"")</f>
        <v/>
      </c>
      <c r="CO43" s="3">
        <f ca="1">IFERROR(INDEX(tblSBRate[Index],MATCH(tblBaseCF[[#This Row],[SBIndex]],tblSBRate[Rate],0)),0)</f>
        <v>0</v>
      </c>
      <c r="CP43" s="63">
        <f ca="1">IFERROR(SUM(OFFSET(tblBaseCF[[#This Row],[TAVWithdrawal]],0,0,-sb_review_period,1)),0)
*(tblBaseCF[[#This Row],[SBRate]]&gt;0)</f>
        <v>0</v>
      </c>
      <c r="CQ43" s="63">
        <f ca="1">(tblBaseCF[[#This Row],[SBRate]]&gt;0)*(tblBaseCF[[#This Row],[SBTAVWithdrawal]]=0)</f>
        <v>0</v>
      </c>
      <c r="CR43" s="59" cm="1">
        <f t="array" aca="1" ref="CR43" ca="1">IF(tblBaseCF[[#This Row],[LBFlag]],
_xlfn.SWITCH(base,
"ILP1",0,tp),0)*tblBaseCF[[#This Row],[SBFlag]]</f>
        <v>0</v>
      </c>
      <c r="CS43" s="63">
        <f ca="1">tblBaseCF[[#This Row],[SBBasis]]*tblBaseCF[[#This Row],[SBRate]]</f>
        <v>0</v>
      </c>
      <c r="CT43" s="63">
        <f ca="1">tblBaseCF[[#This Row],[LB]]+tblBaseCF[[#This Row],[SB]]</f>
        <v>0</v>
      </c>
      <c r="CU43" s="59">
        <f ca="1">tblBaseCF[[#This Row],[TAVAfterWdrlAlloc]]-tblBaseCF[[#This Row],[TAVDeduct]]+tblBaseCF[[#This Row],[TAVInt]]+tblBaseCF[[#This Row],[Bonus]]</f>
        <v>0</v>
      </c>
      <c r="CV43" s="59">
        <f ca="1">tblBaseCF[[#This Row],[EAVAfterWdrlAlloc]]-tblBaseCF[[#This Row],[EAVDeduct]]+tblBaseCF[[#This Row],[EAVInt]]</f>
        <v>0</v>
      </c>
      <c r="CW43" s="63">
        <f ca="1">tblBaseCF[[#This Row],[EndTAV]]+tblBaseCF[[#This Row],[EndEAV]]</f>
        <v>0</v>
      </c>
      <c r="CX43" s="59">
        <f ca="1">INDEX(tblPlanPrem[TP],2)
*tblBaseCF[[#This Row],[TPTermFlag]]</f>
        <v>0</v>
      </c>
      <c r="CY43" s="59">
        <f ca="1">INDEX(tblPlanPrem[EP],2)
*tblBaseCF[[#This Row],[TPTermFlag]]</f>
        <v>0</v>
      </c>
      <c r="CZ43" s="63">
        <f ca="1">ROUNDUP(tblBaseCF[[#This Row],[UnroundedEMLoad]]*INDEX(tblPlanPrem[Factor],2),-3)</f>
        <v>0</v>
      </c>
      <c r="DA43" s="63">
        <f ca="1">ROUNDUP(tblBaseCF[[#This Row],[UnroundedPMLoad]]*INDEX(tblPlanPrem[Factor],2),-3)</f>
        <v>0</v>
      </c>
      <c r="DB43" s="63">
        <f ca="1">tblBaseCF[[#This Row],[SemiAnnualEMLoad]]+tblBaseCF[[#This Row],[SemiAnnualPMLoad]]</f>
        <v>0</v>
      </c>
      <c r="DC43" s="63">
        <f ca="1">tblBaseCF[[#This Row],[SemiAnnualTP]]+tblBaseCF[[#This Row],[SemiAnnualEP]]+tblBaseCF[[#This Row],[SemiAnnualLoad]]</f>
        <v>0</v>
      </c>
      <c r="DD43" s="59">
        <f ca="1">INDEX(tblPlanPrem[TP],3)
*tblBaseCF[[#This Row],[TPTermFlag]]</f>
        <v>0</v>
      </c>
      <c r="DE43" s="59">
        <f ca="1">INDEX(tblPlanPrem[EP],3)
*tblBaseCF[[#This Row],[TPTermFlag]]</f>
        <v>0</v>
      </c>
      <c r="DF43" s="63">
        <f ca="1">ROUNDUP(tblBaseCF[[#This Row],[UnroundedEMLoad]]*INDEX(tblPlanPrem[Factor],3),-3)</f>
        <v>0</v>
      </c>
      <c r="DG43" s="63">
        <f ca="1">ROUNDUP(tblBaseCF[[#This Row],[UnroundedPMLoad]]*INDEX(tblPlanPrem[Factor],3),-3)</f>
        <v>0</v>
      </c>
      <c r="DH43" s="60">
        <f ca="1">tblBaseCF[[#This Row],[QuarterlyEMLoad]]+tblBaseCF[[#This Row],[QuarterlyPMLoad]]</f>
        <v>0</v>
      </c>
      <c r="DI43" s="60">
        <f ca="1">tblBaseCF[[#This Row],[QuarterlyTP]]+tblBaseCF[[#This Row],[QuarterlyEP]]+tblBaseCF[[#This Row],[QuarterlyLoad]]</f>
        <v>0</v>
      </c>
      <c r="DJ43" s="59">
        <f ca="1">INDEX(tblPlanPrem[TP],4)
*tblBaseCF[[#This Row],[TPTermFlag]]</f>
        <v>0</v>
      </c>
      <c r="DK43" s="59">
        <f ca="1">INDEX(tblPlanPrem[EP],4)
*tblBaseCF[[#This Row],[TPTermFlag]]</f>
        <v>0</v>
      </c>
      <c r="DL43" s="63">
        <f ca="1">ROUNDUP(tblBaseCF[[#This Row],[UnroundedEMLoad]]*INDEX(tblPlanPrem[Factor],4),-3)</f>
        <v>0</v>
      </c>
      <c r="DM43" s="63">
        <f ca="1">ROUNDUP(tblBaseCF[[#This Row],[UnroundedPMLoad]]*INDEX(tblPlanPrem[Factor],4),-3)</f>
        <v>0</v>
      </c>
      <c r="DN43" s="60">
        <f ca="1">tblBaseCF[[#This Row],[MonthlyEMLoad]]+tblBaseCF[[#This Row],[MonthlyPMLoad]]</f>
        <v>0</v>
      </c>
      <c r="DO43" s="63">
        <f ca="1">tblBaseCF[[#This Row],[MonthlyTP]]+tblBaseCF[[#This Row],[MonthlyEP]]+tblBaseCF[[#This Row],[MonthlyLoad]]</f>
        <v>0</v>
      </c>
      <c r="DP43" s="3"/>
      <c r="DS43">
        <f t="shared" si="3"/>
        <v>0</v>
      </c>
      <c r="DT43">
        <f t="shared" si="4"/>
        <v>0</v>
      </c>
      <c r="DU43">
        <f t="shared" si="5"/>
        <v>0</v>
      </c>
      <c r="DV43">
        <f ca="1">tblBaseCF[[#This Row],[Year]]</f>
        <v>23</v>
      </c>
      <c r="DW43">
        <f ca="1">tblBaseCF[[#This Row],[Age]]</f>
        <v>22</v>
      </c>
      <c r="DX43">
        <f ca="1">tblBaseCF[[#This Row],[ContFlag]]</f>
        <v>0</v>
      </c>
      <c r="DY43" t="str">
        <f ca="1">tblBaseCF[[#This Row],[ContLog]]</f>
        <v>Insufficient PAV for deduction - Discontinue.</v>
      </c>
      <c r="DZ43">
        <f ca="1">tblBaseCF[[#This Row],[StartTAV]]</f>
        <v>0</v>
      </c>
      <c r="EA43">
        <f ca="1">tblBaseCF[[#This Row],[StartEAV]]</f>
        <v>0</v>
      </c>
      <c r="EB43">
        <f ca="1">tblBaseCF[[#This Row],[StartPAV]]</f>
        <v>0</v>
      </c>
      <c r="EC43">
        <f ca="1">tblBaseCF[[#This Row],[SVChrg]]</f>
        <v>0</v>
      </c>
      <c r="ED43">
        <f ca="1">tblBaseCF[[#This Row],[SV]]</f>
        <v>0</v>
      </c>
      <c r="EE43">
        <f ca="1">tblBaseCF[[#This Row],[Ben]]</f>
        <v>0</v>
      </c>
      <c r="EF43">
        <f ca="1">tblBaseCF[[#This Row],[AccBen]]</f>
        <v>0</v>
      </c>
      <c r="EG43">
        <f ca="1">tblBaseCF[[#This Row],[WithdrawalInput]]</f>
        <v>0</v>
      </c>
      <c r="EH43" t="str">
        <f ca="1">tblBaseCF[[#This Row],[WithdrawalLog]]</f>
        <v>No withdrawal.</v>
      </c>
      <c r="EI43">
        <f ca="1">tblBaseCF[[#This Row],[TAVWithdrawal]]</f>
        <v>0</v>
      </c>
      <c r="EJ43">
        <f ca="1">tblBaseCF[[#This Row],[EAVWithdrawal]]</f>
        <v>0</v>
      </c>
      <c r="EK43">
        <f ca="1">tblBaseCF[[#This Row],[Withdrawal]]</f>
        <v>0</v>
      </c>
      <c r="EL43">
        <f ca="1">tblBaseCF[[#This Row],[TP]]</f>
        <v>0</v>
      </c>
      <c r="EM43">
        <f ca="1">tblBaseCF[[#This Row],[TPAllocChrg]]</f>
        <v>0</v>
      </c>
      <c r="EN43">
        <f ca="1">tblBaseCF[[#This Row],[TPAlloc]]</f>
        <v>0</v>
      </c>
      <c r="EO43">
        <f ca="1">tblBaseCF[[#This Row],[EP]]</f>
        <v>0</v>
      </c>
      <c r="EP43">
        <f ca="1">tblBaseCF[[#This Row],[EPAllocChrg]]</f>
        <v>0</v>
      </c>
      <c r="EQ43">
        <f ca="1">tblBaseCF[[#This Row],[EPAlloc]]</f>
        <v>0</v>
      </c>
      <c r="ER43">
        <f ca="1">tblBaseCF[[#This Row],[EMLoad]]</f>
        <v>0</v>
      </c>
      <c r="ES43">
        <f ca="1">tblBaseCF[[#This Row],[PMLoad]]</f>
        <v>0</v>
      </c>
      <c r="ET43">
        <f ca="1">tblBaseCF[[#This Row],[Load]]</f>
        <v>0</v>
      </c>
      <c r="EU43">
        <f ca="1">tblBaseCF[[#This Row],[LoadAllocChrg]]</f>
        <v>0</v>
      </c>
      <c r="EV43">
        <f ca="1">tblBaseCF[[#This Row],[LoadAlloc]]</f>
        <v>0</v>
      </c>
      <c r="EW43">
        <f ca="1">tblBaseCF[[#This Row],[TotalPrem]]</f>
        <v>0</v>
      </c>
      <c r="EX43">
        <f ca="1">tblBaseCF[[#This Row],[AllocChrg]]</f>
        <v>0</v>
      </c>
      <c r="EY43">
        <f ca="1">tblBaseCF[[#This Row],[Alloc]]</f>
        <v>0</v>
      </c>
      <c r="EZ43">
        <f ca="1">tblBaseCF[[#This Row],[AccumTotalPrem]]</f>
        <v>0</v>
      </c>
      <c r="FA43">
        <f>tblBaseCF[[#This Row],[AnnualIntRate]]</f>
        <v>0</v>
      </c>
      <c r="FB43" s="50">
        <f>tblBaseCF[[#This Row],[Duean1m12]]</f>
        <v>1</v>
      </c>
      <c r="FC43">
        <f ca="1">tblBaseCF[[#This Row],[DeductFlag]]</f>
        <v>0</v>
      </c>
      <c r="FD43">
        <f ca="1">tblBaseCF[[#This Row],[AdminChrg]]</f>
        <v>0</v>
      </c>
      <c r="FE43">
        <f ca="1">tblBaseCF[[#This Row],[StandardCOI]]</f>
        <v>0</v>
      </c>
      <c r="FF43">
        <f ca="1">tblBaseCF[[#This Row],[EMLoadCOI]]</f>
        <v>0</v>
      </c>
      <c r="FG43">
        <f ca="1">tblBaseCF[[#This Row],[PMLoadCOI]]</f>
        <v>0</v>
      </c>
      <c r="FH43">
        <f ca="1">tblBaseCF[[#This Row],[COI]]</f>
        <v>0</v>
      </c>
      <c r="FI43" s="47">
        <f ca="1">tblBaseCF[[#This Row],[NomDeduct]]</f>
        <v>0</v>
      </c>
      <c r="FJ43">
        <f ca="1">tblBaseCF[[#This Row],[Deduct]]</f>
        <v>0</v>
      </c>
      <c r="FK43">
        <f ca="1">tblBaseCF[[#This Row],[TAVDeduct]]</f>
        <v>0</v>
      </c>
      <c r="FL43">
        <f ca="1">tblBaseCF[[#This Row],[EAVDeduct]]</f>
        <v>0</v>
      </c>
      <c r="FM43" s="24">
        <f ca="1">tblBaseCF[[#This Row],[TAVInt]]</f>
        <v>0</v>
      </c>
      <c r="FN43">
        <f ca="1">tblBaseCF[[#This Row],[EAVInt]]</f>
        <v>0</v>
      </c>
      <c r="FO43" s="47">
        <f ca="1">tblBaseCF[[#This Row],[LB]]</f>
        <v>0</v>
      </c>
      <c r="FP43">
        <f ca="1">tblBaseCF[[#This Row],[SB]]</f>
        <v>0</v>
      </c>
      <c r="FQ43">
        <f ca="1">tblBaseCF[[#This Row],[Bonus]]</f>
        <v>0</v>
      </c>
      <c r="FR43">
        <f ca="1">tblBaseCF[[#This Row],[EndTAV]]</f>
        <v>0</v>
      </c>
      <c r="FS43">
        <f ca="1">tblBaseCF[[#This Row],[EndEAV]]</f>
        <v>0</v>
      </c>
      <c r="FT43">
        <f ca="1">tblBaseCF[[#This Row],[EndPAV]]</f>
        <v>0</v>
      </c>
      <c r="FU43">
        <f ca="1">tblBaseCF[[#This Row],[SemiAnnualTP]]</f>
        <v>0</v>
      </c>
      <c r="FV43">
        <f ca="1">tblBaseCF[[#This Row],[SemiAnnualEP]]</f>
        <v>0</v>
      </c>
      <c r="FW43">
        <f ca="1">tblBaseCF[[#This Row],[SemiAnnualEMLoad]]</f>
        <v>0</v>
      </c>
      <c r="FX43">
        <f ca="1">tblBaseCF[[#This Row],[SemiAnnualPMLoad]]</f>
        <v>0</v>
      </c>
      <c r="FY43">
        <f ca="1">tblBaseCF[[#This Row],[SemiAnnualLoad]]</f>
        <v>0</v>
      </c>
      <c r="FZ43">
        <f ca="1">tblBaseCF[[#This Row],[SemiAnnualTotalPrem]]</f>
        <v>0</v>
      </c>
      <c r="GA43">
        <f ca="1">tblBaseCF[[#This Row],[QuarterlyTP]]</f>
        <v>0</v>
      </c>
      <c r="GB43">
        <f ca="1">tblBaseCF[[#This Row],[QuarterlyEP]]</f>
        <v>0</v>
      </c>
      <c r="GC43">
        <f ca="1">tblBaseCF[[#This Row],[QuarterlyEMLoad]]</f>
        <v>0</v>
      </c>
      <c r="GD43">
        <f ca="1">tblBaseCF[[#This Row],[QuarterlyPMLoad]]</f>
        <v>0</v>
      </c>
      <c r="GE43">
        <f ca="1">tblBaseCF[[#This Row],[QuarterlyLoad]]</f>
        <v>0</v>
      </c>
      <c r="GF43">
        <f ca="1">tblBaseCF[[#This Row],[QuarterlyTotalPrem]]</f>
        <v>0</v>
      </c>
      <c r="GG43">
        <f ca="1">tblBaseCF[[#This Row],[MonthlyTP]]</f>
        <v>0</v>
      </c>
      <c r="GH43">
        <f ca="1">tblBaseCF[[#This Row],[MonthlyEP]]</f>
        <v>0</v>
      </c>
      <c r="GI43">
        <f ca="1">tblBaseCF[[#This Row],[MonthlyEMLoad]]</f>
        <v>0</v>
      </c>
      <c r="GJ43">
        <f ca="1">tblBaseCF[[#This Row],[MonthlyPMLoad]]</f>
        <v>0</v>
      </c>
      <c r="GK43">
        <f ca="1">tblBaseCF[[#This Row],[MonthlyLoad]]</f>
        <v>0</v>
      </c>
      <c r="GL43">
        <f ca="1">tblBaseCF[[#This Row],[MonthlyTotalPrem]]</f>
        <v>0</v>
      </c>
      <c r="GO43" t="s">
        <v>134</v>
      </c>
      <c r="GP43" t="s">
        <v>135</v>
      </c>
      <c r="GQ43" t="s">
        <v>502</v>
      </c>
      <c r="GR43">
        <v>23</v>
      </c>
      <c r="GS43">
        <v>22</v>
      </c>
      <c r="GT43">
        <v>1</v>
      </c>
      <c r="GU43" t="s">
        <v>457</v>
      </c>
      <c r="GV43">
        <v>19758554.192376599</v>
      </c>
      <c r="GW43">
        <v>184042220.21061999</v>
      </c>
      <c r="GX43">
        <v>203800774.402996</v>
      </c>
      <c r="GY43">
        <v>0</v>
      </c>
      <c r="GZ43">
        <v>203800774.402996</v>
      </c>
      <c r="HA43">
        <v>203800774.402996</v>
      </c>
      <c r="HB43">
        <v>303000000</v>
      </c>
      <c r="HC43">
        <v>10000000</v>
      </c>
      <c r="HD43" t="s">
        <v>458</v>
      </c>
      <c r="HE43">
        <v>0</v>
      </c>
      <c r="HF43">
        <v>10000000</v>
      </c>
      <c r="HG43">
        <v>10000000</v>
      </c>
      <c r="HH43">
        <v>1072000</v>
      </c>
      <c r="HI43">
        <v>21440</v>
      </c>
      <c r="HJ43">
        <v>1050560</v>
      </c>
      <c r="HK43">
        <v>5200000</v>
      </c>
      <c r="HL43">
        <v>104000</v>
      </c>
      <c r="HM43">
        <v>5096000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6272000</v>
      </c>
      <c r="HT43">
        <v>125440</v>
      </c>
      <c r="HU43">
        <v>6146560</v>
      </c>
      <c r="HV43">
        <v>144256000</v>
      </c>
      <c r="HW43">
        <v>7.0000000000000007E-2</v>
      </c>
      <c r="HX43">
        <v>0.96964931039809399</v>
      </c>
      <c r="HY43">
        <v>1</v>
      </c>
      <c r="HZ43">
        <v>300000</v>
      </c>
      <c r="IA43">
        <v>0</v>
      </c>
      <c r="IB43">
        <v>0</v>
      </c>
      <c r="IC43">
        <v>0</v>
      </c>
      <c r="ID43">
        <v>272700</v>
      </c>
      <c r="IE43">
        <v>572700</v>
      </c>
      <c r="IF43">
        <v>555318.16006498795</v>
      </c>
      <c r="IG43">
        <v>555318.16006498795</v>
      </c>
      <c r="IH43">
        <v>0</v>
      </c>
      <c r="II43">
        <v>1417765.72226182</v>
      </c>
      <c r="IJ43">
        <v>12539675.414743399</v>
      </c>
      <c r="IK43">
        <v>0</v>
      </c>
      <c r="IL43">
        <v>0</v>
      </c>
      <c r="IM43">
        <v>0</v>
      </c>
      <c r="IN43">
        <v>21671561.754573502</v>
      </c>
      <c r="IO43">
        <v>191677895.62536299</v>
      </c>
      <c r="IP43">
        <v>213349457.37993601</v>
      </c>
      <c r="IQ43">
        <v>536000</v>
      </c>
      <c r="IR43">
        <v>2600000</v>
      </c>
      <c r="IS43">
        <v>0</v>
      </c>
      <c r="IT43">
        <v>0</v>
      </c>
      <c r="IU43">
        <v>0</v>
      </c>
      <c r="IV43">
        <v>3136000</v>
      </c>
      <c r="IW43">
        <v>268000</v>
      </c>
      <c r="IX43">
        <v>1300000</v>
      </c>
      <c r="IY43">
        <v>0</v>
      </c>
      <c r="IZ43">
        <v>0</v>
      </c>
      <c r="JA43">
        <v>0</v>
      </c>
      <c r="JB43">
        <v>1568000</v>
      </c>
      <c r="JC43">
        <v>90000</v>
      </c>
      <c r="JD43">
        <v>434000</v>
      </c>
      <c r="JE43">
        <v>0</v>
      </c>
      <c r="JF43">
        <v>0</v>
      </c>
      <c r="JG43">
        <v>0</v>
      </c>
      <c r="JH43">
        <v>524000</v>
      </c>
    </row>
    <row r="44" spans="2:268" customFormat="1" x14ac:dyDescent="0.25">
      <c r="B44" s="2">
        <f ca="1">OFFSET(tblBaseCF[[#This Row],[Year]],-1,0)+1</f>
        <v>24</v>
      </c>
      <c r="C44" s="2">
        <f ca="1">(tblBaseCF[[#This Row],[Year]]&lt;=term)*1</f>
        <v>1</v>
      </c>
      <c r="D44" s="57">
        <f ca="1">(YEAR(rcd)+tblBaseCF[[#This Row],[Year]]-1)
*tblBaseCF[[#This Row],[PolTermFlag]]</f>
        <v>2048</v>
      </c>
      <c r="E44" s="57">
        <f ca="1">(mainLI_entry_age+tblBaseCF[[#This Row],[Year]]-1)
*tblBaseCF[[#This Row],[PolTermFlag]]</f>
        <v>23</v>
      </c>
      <c r="F44" s="57">
        <f ca="1">IF(tblBaseCF[[#This Row],[Year]]=1,1,OFFSET(tblBaseCF[[#This Row],[DeductFlag]],-1,0))
*tblBaseCF[[#This Row],[PolTermFlag]]</f>
        <v>0</v>
      </c>
      <c r="G4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4" s="57">
        <f ca="1">(tblBaseCF[[#This Row],[Year]]&lt;=acc_ben_term)
*tblBaseCF[[#This Row],[ContFlag]]</f>
        <v>0</v>
      </c>
      <c r="I44" s="57">
        <f ca="1">(tblBaseCF[[#This Row],[Year]]&lt;=tp_term)
*tblBaseCF[[#This Row],[ContFlag]]</f>
        <v>0</v>
      </c>
      <c r="J44" s="57">
        <f ca="1">(tblBaseCF[[#This Row],[Year]]&lt;=ep_term)
*tblBaseCF[[#This Row],[ContFlag]]</f>
        <v>0</v>
      </c>
      <c r="K44" s="57">
        <f ca="1">(tblBaseCF[[#This Row],[Year]]&lt;=em_load_term)*1</f>
        <v>0</v>
      </c>
      <c r="L44" s="57">
        <f ca="1">(tblBaseCF[[#This Row],[Year]]&lt;=pm_load_term)*1</f>
        <v>0</v>
      </c>
      <c r="M44" s="59">
        <f ca="1">IF(tblBaseCF[[#This Row],[Year]]=1,si,OFFSET(tblBaseCF[[#This Row],[EndSI]],-1,0))
*tblBaseCF[[#This Row],[ContFlag]]</f>
        <v>0</v>
      </c>
      <c r="N44" s="59">
        <f ca="1">OFFSET(tblBaseCF[[#This Row],[EndTAV]],-1,0)
*tblBaseCF[[#This Row],[ContFlag]]</f>
        <v>0</v>
      </c>
      <c r="O44" s="59">
        <f ca="1">OFFSET(tblBaseCF[[#This Row],[EndEAV]],-1,0)
*tblBaseCF[[#This Row],[ContFlag]]</f>
        <v>0</v>
      </c>
      <c r="P44" s="60">
        <f ca="1">tblBaseCF[[#This Row],[StartEAV]]+tblBaseCF[[#This Row],[StartTAV]]</f>
        <v>0</v>
      </c>
      <c r="Q44" s="61">
        <f ca="1">IFERROR(INDEX(tblJuvenileLienRate[Rate],MATCH(tblBaseCF[[#This Row],[Age]],tblJuvenileLienRate[Age],0)),1)
*tblBaseCF[[#This Row],[ContFlag]]</f>
        <v>0</v>
      </c>
      <c r="R4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4" s="62">
        <f ca="1">tblBaseCF[[#This Row],[StartSI]]*acc_ben_coeff*tblBaseCF[[#This Row],[JuvenileLienRate]]
*tblBaseCF[[#This Row],[AccBenTermFlag]]</f>
        <v>0</v>
      </c>
      <c r="T44" s="61">
        <f ca="1">(IFERROR(INDEX(tblSurrChrgRate[Rate],MATCH(tblBaseCF[[#This Row],[Year]],tblSurrChrgRate[Year],0)),0)
*tblBaseCF[[#This Row],[ContFlag]])</f>
        <v>0</v>
      </c>
      <c r="U44" s="60">
        <f ca="1">tp*tblBaseCF[[#This Row],[SrrChrgRate]]</f>
        <v>0</v>
      </c>
      <c r="V44" s="63">
        <f ca="1">MAX(tblBaseCF[[#This Row],[StartTAV]]-tblBaseCF[[#This Row],[SVChrg]],0)+tblBaseCF[[#This Row],[StartEAV]]</f>
        <v>0</v>
      </c>
      <c r="W44" s="59">
        <f ca="1">IFERROR(INDEX(tblWithdrawal_Output[Amount],MATCH(tblBaseCF[[#This Row],[Year]],tblWithdrawal_Output[Year],0)),0)
*tblBaseCF[[#This Row],[ContFlag]]</f>
        <v>0</v>
      </c>
      <c r="X44" s="59" t="b">
        <f ca="1">tblBaseCF[[#This Row],[WithdrawalInput]]&gt;0</f>
        <v>0</v>
      </c>
      <c r="Y44" s="59" t="b">
        <f ca="1">AND(tblBaseCF[[#This Row],[1stCheckProceed]],tblBaseCF[[#This Row],[WithdrawalInput]]&lt;=tblBaseCF[[#This Row],[StartPAV]])</f>
        <v>0</v>
      </c>
      <c r="Z44" s="59" t="b">
        <f ca="1">AND(tblBaseCF[[#This Row],[2ndCheckAmount]],(tblBaseCF[[#This Row],[StartPAV]]-tblBaseCF[[#This Row],[WithdrawalInput]])&gt;=min_pav_after_withdrawal)</f>
        <v>0</v>
      </c>
      <c r="AA4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4" s="59" t="b">
        <f ca="1">AND(tblBaseCF[[#This Row],[3rdCheckPAV]],tblBaseCF[[#This Row],[endSITest]]&gt;=min_base_si)</f>
        <v>0</v>
      </c>
      <c r="AC44" s="60">
        <f ca="1">tblBaseCF[[#This Row],[WithdrawalInput]]*tblBaseCF[[#This Row],[4thCheckSI]]</f>
        <v>0</v>
      </c>
      <c r="AD44" s="60">
        <f ca="1">MIN(tblBaseCF[[#This Row],[Withdrawal]],tblBaseCF[[#This Row],[StartEAV]])</f>
        <v>0</v>
      </c>
      <c r="AE44" s="60">
        <f ca="1">tblBaseCF[[#This Row],[Withdrawal]]-tblBaseCF[[#This Row],[EAVWithdrawal]]</f>
        <v>0</v>
      </c>
      <c r="AF44" s="60">
        <f ca="1">IF(tblBaseCF[[#This Row],[4thCheckSI]],tblBaseCF[[#This Row],[endSITest]],tblBaseCF[[#This Row],[StartSI]])</f>
        <v>0</v>
      </c>
      <c r="AG4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4" s="65">
        <f ca="1">IFERROR(INDEX(tblTPAllocChrgRate[Rate],MATCH(tblBaseCF[[#This Row],[Year]],tblTPAllocChrgRate[Year],0)),0)</f>
        <v>0.02</v>
      </c>
      <c r="AI44" s="62">
        <f ca="1">(tp+big_case_bonus_tp*(tblBaseCF[[#This Row],[Year]]=1))
*tblBaseCF[[#This Row],[TPTermFlag]]</f>
        <v>0</v>
      </c>
      <c r="AJ44" s="63">
        <f ca="1">tblBaseCF[[#This Row],[TP]]*tblBaseCF[[#This Row],[TPAllocChrgRate]]</f>
        <v>0</v>
      </c>
      <c r="AK44" s="60">
        <f ca="1">tblBaseCF[[#This Row],[TP]]-tblBaseCF[[#This Row],[TPAllocChrg]]</f>
        <v>0</v>
      </c>
      <c r="AL44" s="65">
        <f ca="1">IFERROR(INDEX(tblEPAllocChrgRate[Rate],MATCH(tblBaseCF[[#This Row],[Year]],tblEPAllocChrgRate[Year],0)),0)</f>
        <v>0.02</v>
      </c>
      <c r="AM44" s="60">
        <f ca="1">ep*tblBaseCF[[#This Row],[EPTermFlag]]</f>
        <v>0</v>
      </c>
      <c r="AN44" s="60">
        <f ca="1">tblBaseCF[[#This Row],[EP]]*tblBaseCF[[#This Row],[EPAllocChrgRate]]</f>
        <v>0</v>
      </c>
      <c r="AO44" s="63">
        <f ca="1">tblBaseCF[[#This Row],[EP]]-tblBaseCF[[#This Row],[EPAllocChrg]]</f>
        <v>0</v>
      </c>
      <c r="AP44" s="62">
        <f ca="1">tblBaseCF[[#This Row],[Ben]]*extra_prem_rate*em_load/1000/(1-tblBaseCF[[#This Row],[EPAllocChrgRate]])
*tblBaseCF[[#This Row],[EMLoadTermFlag]]</f>
        <v>0</v>
      </c>
      <c r="AQ44" s="62">
        <f ca="1">tblBaseCF[[#This Row],[Ben]]*pm_load/1000/(1-tblBaseCF[[#This Row],[EPAllocChrgRate]])
*tblBaseCF[[#This Row],[PMLoadTermFlag]]</f>
        <v>0</v>
      </c>
      <c r="AR44" s="60">
        <f ca="1">ROUNDUP(tblBaseCF[[#This Row],[UnroundedEMLoad]],-3)</f>
        <v>0</v>
      </c>
      <c r="AS44" s="62">
        <f ca="1">ROUNDUP(tblBaseCF[[#This Row],[Ben]]*pm_load/1000/(1-tblBaseCF[[#This Row],[EPAllocChrgRate]]),-3)
*tblBaseCF[[#This Row],[PMLoadTermFlag]]</f>
        <v>0</v>
      </c>
      <c r="AT44" s="60">
        <f ca="1">tblBaseCF[[#This Row],[EMLoad]]+tblBaseCF[[#This Row],[PMLoad]]</f>
        <v>0</v>
      </c>
      <c r="AU44" s="60">
        <f ca="1">tblBaseCF[[#This Row],[Load]]*tblBaseCF[[#This Row],[EPAllocChrgRate]]</f>
        <v>0</v>
      </c>
      <c r="AV44" s="60">
        <f ca="1">tblBaseCF[[#This Row],[Load]]-tblBaseCF[[#This Row],[LoadAllocChrg]]</f>
        <v>0</v>
      </c>
      <c r="AW44" s="60">
        <f ca="1">tblBaseCF[[#This Row],[TP]]+tblBaseCF[[#This Row],[EP]]+tblBaseCF[[#This Row],[Load]]</f>
        <v>0</v>
      </c>
      <c r="AX44" s="60">
        <f ca="1">tblBaseCF[[#This Row],[TPAllocChrg]]+tblBaseCF[[#This Row],[EPAllocChrg]]+tblBaseCF[[#This Row],[LoadAllocChrg]]</f>
        <v>0</v>
      </c>
      <c r="AY44" s="60">
        <f ca="1">tblBaseCF[[#This Row],[TPAlloc]]+tblBaseCF[[#This Row],[EPAlloc]]+tblBaseCF[[#This Row],[LoadAlloc]]</f>
        <v>0</v>
      </c>
      <c r="AZ44" s="60">
        <f ca="1">(OFFSET(tblBaseCF[[#This Row],[AccumTotalPrem]],-1,0)+tblBaseCF[[#This Row],[TotalPrem]])*tblBaseCF[[#This Row],[TPTermFlag]]</f>
        <v>0</v>
      </c>
      <c r="BA44" s="62">
        <f ca="1">(tblBaseCF[[#This Row],[StartTAV]]-tblBaseCF[[#This Row],[TAVWithdrawal]]+tblBaseCF[[#This Row],[TPAlloc]])
*tblBaseCF[[#This Row],[ContFlag]]</f>
        <v>0</v>
      </c>
      <c r="BB44" s="59">
        <f ca="1">(tblBaseCF[[#This Row],[StartEAV]]-tblBaseCF[[#This Row],[EAVWithdrawal]]+tblBaseCF[[#This Row],[EPAlloc]]+tblBaseCF[[#This Row],[LoadAlloc]])
*tblBaseCF[[#This Row],[ContFlag]]</f>
        <v>0</v>
      </c>
      <c r="BC44" s="59">
        <f ca="1">tblBaseCF[[#This Row],[TAVAfterWdrlAlloc]]+tblBaseCF[[#This Row],[EAVAfterWdrlAlloc]]</f>
        <v>0</v>
      </c>
      <c r="BD44" s="66">
        <f t="shared" si="2"/>
        <v>0</v>
      </c>
      <c r="BE44" s="67">
        <f>(1+tblBaseCF[[#This Row],[AnnualIntRate]])^(1/12)-1</f>
        <v>0</v>
      </c>
      <c r="BF44" s="68">
        <f>IFERROR(((1+tblBaseCF[[#This Row],[MonthlyIntRate]])^12-1)/12/(1-1/(1+tblBaseCF[[#This Row],[MonthlyIntRate]])),1)/(1+tblBaseCF[[#This Row],[AnnualIntRate]])</f>
        <v>1</v>
      </c>
      <c r="BG44" s="69">
        <f>PV(tblBaseCF[[#This Row],[MonthlyIntRate]],12,-1/12,,1)</f>
        <v>1</v>
      </c>
      <c r="BH44" s="60">
        <f ca="1">MAX(IF(death_tpd_option="A",tblBaseCF[[#This Row],[Ben]]-tblBaseCF[[#This Row],[StartPAV]],tblBaseCF[[#This Row],[Ben]]),0)</f>
        <v>0</v>
      </c>
      <c r="BI44" s="70">
        <f ca="1">IFERROR(INDEX(tblBaseCOIRate[Rate],MATCH(tblBaseCF[[#This Row],[Age]],tblBaseCOIRate[Age],0)),0)</f>
        <v>1.1200000000000101E-3</v>
      </c>
      <c r="BJ44" s="60">
        <f ca="1">tblBaseCF[[#This Row],[SAR]]*tblBaseCF[[#This Row],[COIRate]]</f>
        <v>0</v>
      </c>
      <c r="BK44" s="62">
        <f ca="1">em_load*tblBaseCF[[#This Row],[pStandardCOI]]
*tblBaseCF[[#This Row],[EMLoadTermFlag]]</f>
        <v>0</v>
      </c>
      <c r="BL44" s="62">
        <f ca="1">pm_load/1000*tblBaseCF[[#This Row],[SAR]]
*tblBaseCF[[#This Row],[PMLoadTermFlag]]</f>
        <v>0</v>
      </c>
      <c r="BM44" s="60">
        <f ca="1">tblBaseCF[[#This Row],[AccBen]]*monthly_acc_coi*12</f>
        <v>0</v>
      </c>
      <c r="BN44" s="60">
        <f ca="1">tblBaseCF[[#This Row],[pStandardCOI]]+tblBaseCF[[#This Row],[pEMLoadCOI]]+tblBaseCF[[#This Row],[pPMLoadCOI]]+tblBaseCF[[#This Row],[pAccCOI]]</f>
        <v>0</v>
      </c>
      <c r="BO44" s="62">
        <f ca="1">IFERROR(INDEX(tblAdminChrg[Amount],MATCH(tblBaseCF[[#This Row],[CalYear]],tblAdminChrg[Cal_Year],0)),0)
*tblBaseCF[[#This Row],[ContFlag]]</f>
        <v>0</v>
      </c>
      <c r="BP44" s="60">
        <f ca="1">tblBaseCF[[#This Row],[pMonthlyAdminChrg]]*12</f>
        <v>0</v>
      </c>
      <c r="BQ44" s="60">
        <f ca="1">tblBaseCF[[#This Row],[pCOI]]+tblBaseCF[[#This Row],[pAdminChrg]]</f>
        <v>0</v>
      </c>
      <c r="BR44" s="60">
        <f ca="1">tblBaseCF[[#This Row],[pNomDeduct]]*tblBaseCF[[#This Row],[Duean1m12]]</f>
        <v>0</v>
      </c>
      <c r="BS44" s="57">
        <f ca="1">(tblBaseCF[[#This Row],[PAVAfterWdrlAlloc]]&gt;=tblBaseCF[[#This Row],[pNomDeduct]])
*tblBaseCF[[#This Row],[ContFlag]]</f>
        <v>0</v>
      </c>
      <c r="BT44" s="60">
        <f ca="1">tblBaseCF[[#This Row],[pStandardCOI]]*tblBaseCF[[#This Row],[DeductFlag]]</f>
        <v>0</v>
      </c>
      <c r="BU44" s="60">
        <f ca="1">tblBaseCF[[#This Row],[pEMLoadCOI]]*tblBaseCF[[#This Row],[DeductFlag]]</f>
        <v>0</v>
      </c>
      <c r="BV44" s="60">
        <f ca="1">tblBaseCF[[#This Row],[pPMLoadCOI]]*tblBaseCF[[#This Row],[DeductFlag]]</f>
        <v>0</v>
      </c>
      <c r="BW44" s="60">
        <f ca="1">tblBaseCF[[#This Row],[pAccCOI]]*tblBaseCF[[#This Row],[DeductFlag]]</f>
        <v>0</v>
      </c>
      <c r="BX44" s="60">
        <f ca="1">tblBaseCF[[#This Row],[pCOI]]*tblBaseCF[[#This Row],[DeductFlag]]</f>
        <v>0</v>
      </c>
      <c r="BY44" s="60">
        <f ca="1">tblBaseCF[[#This Row],[pMonthlyAdminChrg]]*tblBaseCF[[#This Row],[DeductFlag]]</f>
        <v>0</v>
      </c>
      <c r="BZ44" s="60">
        <f ca="1">tblBaseCF[[#This Row],[pAdminChrg]]*tblBaseCF[[#This Row],[DeductFlag]]</f>
        <v>0</v>
      </c>
      <c r="CA44" s="60">
        <f ca="1">tblBaseCF[[#This Row],[pNomDeduct]]*tblBaseCF[[#This Row],[DeductFlag]]</f>
        <v>0</v>
      </c>
      <c r="CB44" s="60">
        <f ca="1">tblBaseCF[[#This Row],[pDeduct]]*tblBaseCF[[#This Row],[DeductFlag]]</f>
        <v>0</v>
      </c>
      <c r="CC44" s="60">
        <f ca="1">MIN(tblBaseCF[[#This Row],[TAVAfterWdrlAlloc]],tblBaseCF[[#This Row],[Deduct]])</f>
        <v>0</v>
      </c>
      <c r="CD44" s="60">
        <f ca="1">tblBaseCF[[#This Row],[Deduct]]-tblBaseCF[[#This Row],[TAVDeduct]]</f>
        <v>0</v>
      </c>
      <c r="CE44" s="69">
        <f ca="1">(tblBaseCF[[#This Row],[TAVAfterWdrlAlloc]]-tblBaseCF[[#This Row],[TAVDeduct]])*tblBaseCF[[#This Row],[AnnualIntRate]]
*tblBaseCF[[#This Row],[DeductFlag]]</f>
        <v>0</v>
      </c>
      <c r="CF44" s="69">
        <f ca="1">(tblBaseCF[[#This Row],[EAVAfterWdrlAlloc]]-tblBaseCF[[#This Row],[EAVDeduct]])*tblBaseCF[[#This Row],[AnnualIntRate]]
*tblBaseCF[[#This Row],[DeductFlag]]</f>
        <v>0</v>
      </c>
      <c r="CG44" s="69">
        <f ca="1">tblBaseCF[[#This Row],[TAVInt]]+tblBaseCF[[#This Row],[EAVInt]]</f>
        <v>0</v>
      </c>
      <c r="CH44" s="62">
        <f ca="1">IFERROR(INDEX(tblLBRate[Rate],MATCH(tblBaseCF[[#This Row],[Year]],tblLBRate[Year],0)),0)
*tblBaseCF[[#This Row],[DeductFlag]]</f>
        <v>0</v>
      </c>
      <c r="CI44" s="60">
        <f ca="1">IFERROR(SUM(OFFSET(tblBaseCF[[#This Row],[TAVWithdrawal]],0,0,-lb_review_period,1)),0)
*(tblBaseCF[[#This Row],[LBRate]]&gt;0)</f>
        <v>0</v>
      </c>
      <c r="CJ44" s="60">
        <f ca="1">(tblBaseCF[[#This Row],[LBRate]]&gt;0)*(tblBaseCF[[#This Row],[LBTAVWithdrawal]]=0)</f>
        <v>0</v>
      </c>
      <c r="CK44" s="62" cm="1">
        <f t="array" aca="1" ref="CK44" ca="1">IF(tblBaseCF[[#This Row],[LBFlag]],
_xlfn.SWITCH(base,
"ILP1",AVERAGE(OFFSET(tblBaseCF[TP],0,0,-lb_review_period,1)),tp),0)
*tblBaseCF[[#This Row],[LBFlag]]</f>
        <v>0</v>
      </c>
      <c r="CL44" s="62">
        <f ca="1">tblBaseCF[[#This Row],[LBBasis]]*tblBaseCF[[#This Row],[LBRate]]</f>
        <v>0</v>
      </c>
      <c r="CM44" s="57" cm="1">
        <f t="array" aca="1" ref="CM44" ca="1">_xlfn.SWITCH(base,
"ILP1",0,($AF144&lt;500000000)*1
+($AF144&gt;=500000000)*($AF144&lt;1000000000)*2
+($AF144&gt;=1000000000)*3)
*tblBaseCF[[#This Row],[DeductFlag]]</f>
        <v>0</v>
      </c>
      <c r="CN44" s="2" t="str">
        <f ca="1">IF(tblBaseCF[[#This Row],[DeductFlag]],base&amp;"_"&amp;tblBaseCF[[#This Row],[SBCode]]&amp;"_"&amp;tblBaseCF[[#This Row],[Year]],"")</f>
        <v/>
      </c>
      <c r="CO44" s="3">
        <f ca="1">IFERROR(INDEX(tblSBRate[Index],MATCH(tblBaseCF[[#This Row],[SBIndex]],tblSBRate[Rate],0)),0)</f>
        <v>0</v>
      </c>
      <c r="CP44" s="63">
        <f ca="1">IFERROR(SUM(OFFSET(tblBaseCF[[#This Row],[TAVWithdrawal]],0,0,-sb_review_period,1)),0)
*(tblBaseCF[[#This Row],[SBRate]]&gt;0)</f>
        <v>0</v>
      </c>
      <c r="CQ44" s="63">
        <f ca="1">(tblBaseCF[[#This Row],[SBRate]]&gt;0)*(tblBaseCF[[#This Row],[SBTAVWithdrawal]]=0)</f>
        <v>0</v>
      </c>
      <c r="CR44" s="59" cm="1">
        <f t="array" aca="1" ref="CR44" ca="1">IF(tblBaseCF[[#This Row],[LBFlag]],
_xlfn.SWITCH(base,
"ILP1",0,tp),0)*tblBaseCF[[#This Row],[SBFlag]]</f>
        <v>0</v>
      </c>
      <c r="CS44" s="63">
        <f ca="1">tblBaseCF[[#This Row],[SBBasis]]*tblBaseCF[[#This Row],[SBRate]]</f>
        <v>0</v>
      </c>
      <c r="CT44" s="63">
        <f ca="1">tblBaseCF[[#This Row],[LB]]+tblBaseCF[[#This Row],[SB]]</f>
        <v>0</v>
      </c>
      <c r="CU44" s="59">
        <f ca="1">tblBaseCF[[#This Row],[TAVAfterWdrlAlloc]]-tblBaseCF[[#This Row],[TAVDeduct]]+tblBaseCF[[#This Row],[TAVInt]]+tblBaseCF[[#This Row],[Bonus]]</f>
        <v>0</v>
      </c>
      <c r="CV44" s="59">
        <f ca="1">tblBaseCF[[#This Row],[EAVAfterWdrlAlloc]]-tblBaseCF[[#This Row],[EAVDeduct]]+tblBaseCF[[#This Row],[EAVInt]]</f>
        <v>0</v>
      </c>
      <c r="CW44" s="63">
        <f ca="1">tblBaseCF[[#This Row],[EndTAV]]+tblBaseCF[[#This Row],[EndEAV]]</f>
        <v>0</v>
      </c>
      <c r="CX44" s="59">
        <f ca="1">INDEX(tblPlanPrem[TP],2)
*tblBaseCF[[#This Row],[TPTermFlag]]</f>
        <v>0</v>
      </c>
      <c r="CY44" s="59">
        <f ca="1">INDEX(tblPlanPrem[EP],2)
*tblBaseCF[[#This Row],[TPTermFlag]]</f>
        <v>0</v>
      </c>
      <c r="CZ44" s="63">
        <f ca="1">ROUNDUP(tblBaseCF[[#This Row],[UnroundedEMLoad]]*INDEX(tblPlanPrem[Factor],2),-3)</f>
        <v>0</v>
      </c>
      <c r="DA44" s="63">
        <f ca="1">ROUNDUP(tblBaseCF[[#This Row],[UnroundedPMLoad]]*INDEX(tblPlanPrem[Factor],2),-3)</f>
        <v>0</v>
      </c>
      <c r="DB44" s="63">
        <f ca="1">tblBaseCF[[#This Row],[SemiAnnualEMLoad]]+tblBaseCF[[#This Row],[SemiAnnualPMLoad]]</f>
        <v>0</v>
      </c>
      <c r="DC44" s="63">
        <f ca="1">tblBaseCF[[#This Row],[SemiAnnualTP]]+tblBaseCF[[#This Row],[SemiAnnualEP]]+tblBaseCF[[#This Row],[SemiAnnualLoad]]</f>
        <v>0</v>
      </c>
      <c r="DD44" s="59">
        <f ca="1">INDEX(tblPlanPrem[TP],3)
*tblBaseCF[[#This Row],[TPTermFlag]]</f>
        <v>0</v>
      </c>
      <c r="DE44" s="59">
        <f ca="1">INDEX(tblPlanPrem[EP],3)
*tblBaseCF[[#This Row],[TPTermFlag]]</f>
        <v>0</v>
      </c>
      <c r="DF44" s="63">
        <f ca="1">ROUNDUP(tblBaseCF[[#This Row],[UnroundedEMLoad]]*INDEX(tblPlanPrem[Factor],3),-3)</f>
        <v>0</v>
      </c>
      <c r="DG44" s="63">
        <f ca="1">ROUNDUP(tblBaseCF[[#This Row],[UnroundedPMLoad]]*INDEX(tblPlanPrem[Factor],3),-3)</f>
        <v>0</v>
      </c>
      <c r="DH44" s="60">
        <f ca="1">tblBaseCF[[#This Row],[QuarterlyEMLoad]]+tblBaseCF[[#This Row],[QuarterlyPMLoad]]</f>
        <v>0</v>
      </c>
      <c r="DI44" s="60">
        <f ca="1">tblBaseCF[[#This Row],[QuarterlyTP]]+tblBaseCF[[#This Row],[QuarterlyEP]]+tblBaseCF[[#This Row],[QuarterlyLoad]]</f>
        <v>0</v>
      </c>
      <c r="DJ44" s="59">
        <f ca="1">INDEX(tblPlanPrem[TP],4)
*tblBaseCF[[#This Row],[TPTermFlag]]</f>
        <v>0</v>
      </c>
      <c r="DK44" s="59">
        <f ca="1">INDEX(tblPlanPrem[EP],4)
*tblBaseCF[[#This Row],[TPTermFlag]]</f>
        <v>0</v>
      </c>
      <c r="DL44" s="63">
        <f ca="1">ROUNDUP(tblBaseCF[[#This Row],[UnroundedEMLoad]]*INDEX(tblPlanPrem[Factor],4),-3)</f>
        <v>0</v>
      </c>
      <c r="DM44" s="63">
        <f ca="1">ROUNDUP(tblBaseCF[[#This Row],[UnroundedPMLoad]]*INDEX(tblPlanPrem[Factor],4),-3)</f>
        <v>0</v>
      </c>
      <c r="DN44" s="60">
        <f ca="1">tblBaseCF[[#This Row],[MonthlyEMLoad]]+tblBaseCF[[#This Row],[MonthlyPMLoad]]</f>
        <v>0</v>
      </c>
      <c r="DO44" s="63">
        <f ca="1">tblBaseCF[[#This Row],[MonthlyTP]]+tblBaseCF[[#This Row],[MonthlyEP]]+tblBaseCF[[#This Row],[MonthlyLoad]]</f>
        <v>0</v>
      </c>
      <c r="DP44" s="3"/>
      <c r="DS44">
        <f t="shared" si="3"/>
        <v>0</v>
      </c>
      <c r="DT44">
        <f t="shared" si="4"/>
        <v>0</v>
      </c>
      <c r="DU44">
        <f t="shared" si="5"/>
        <v>0</v>
      </c>
      <c r="DV44">
        <f ca="1">tblBaseCF[[#This Row],[Year]]</f>
        <v>24</v>
      </c>
      <c r="DW44">
        <f ca="1">tblBaseCF[[#This Row],[Age]]</f>
        <v>23</v>
      </c>
      <c r="DX44">
        <f ca="1">tblBaseCF[[#This Row],[ContFlag]]</f>
        <v>0</v>
      </c>
      <c r="DY44" t="str">
        <f ca="1">tblBaseCF[[#This Row],[ContLog]]</f>
        <v>Insufficient PAV for deduction - Discontinue.</v>
      </c>
      <c r="DZ44">
        <f ca="1">tblBaseCF[[#This Row],[StartTAV]]</f>
        <v>0</v>
      </c>
      <c r="EA44">
        <f ca="1">tblBaseCF[[#This Row],[StartEAV]]</f>
        <v>0</v>
      </c>
      <c r="EB44">
        <f ca="1">tblBaseCF[[#This Row],[StartPAV]]</f>
        <v>0</v>
      </c>
      <c r="EC44">
        <f ca="1">tblBaseCF[[#This Row],[SVChrg]]</f>
        <v>0</v>
      </c>
      <c r="ED44">
        <f ca="1">tblBaseCF[[#This Row],[SV]]</f>
        <v>0</v>
      </c>
      <c r="EE44">
        <f ca="1">tblBaseCF[[#This Row],[Ben]]</f>
        <v>0</v>
      </c>
      <c r="EF44">
        <f ca="1">tblBaseCF[[#This Row],[AccBen]]</f>
        <v>0</v>
      </c>
      <c r="EG44">
        <f ca="1">tblBaseCF[[#This Row],[WithdrawalInput]]</f>
        <v>0</v>
      </c>
      <c r="EH44" t="str">
        <f ca="1">tblBaseCF[[#This Row],[WithdrawalLog]]</f>
        <v>No withdrawal.</v>
      </c>
      <c r="EI44">
        <f ca="1">tblBaseCF[[#This Row],[TAVWithdrawal]]</f>
        <v>0</v>
      </c>
      <c r="EJ44">
        <f ca="1">tblBaseCF[[#This Row],[EAVWithdrawal]]</f>
        <v>0</v>
      </c>
      <c r="EK44">
        <f ca="1">tblBaseCF[[#This Row],[Withdrawal]]</f>
        <v>0</v>
      </c>
      <c r="EL44">
        <f ca="1">tblBaseCF[[#This Row],[TP]]</f>
        <v>0</v>
      </c>
      <c r="EM44">
        <f ca="1">tblBaseCF[[#This Row],[TPAllocChrg]]</f>
        <v>0</v>
      </c>
      <c r="EN44">
        <f ca="1">tblBaseCF[[#This Row],[TPAlloc]]</f>
        <v>0</v>
      </c>
      <c r="EO44">
        <f ca="1">tblBaseCF[[#This Row],[EP]]</f>
        <v>0</v>
      </c>
      <c r="EP44">
        <f ca="1">tblBaseCF[[#This Row],[EPAllocChrg]]</f>
        <v>0</v>
      </c>
      <c r="EQ44">
        <f ca="1">tblBaseCF[[#This Row],[EPAlloc]]</f>
        <v>0</v>
      </c>
      <c r="ER44">
        <f ca="1">tblBaseCF[[#This Row],[EMLoad]]</f>
        <v>0</v>
      </c>
      <c r="ES44">
        <f ca="1">tblBaseCF[[#This Row],[PMLoad]]</f>
        <v>0</v>
      </c>
      <c r="ET44">
        <f ca="1">tblBaseCF[[#This Row],[Load]]</f>
        <v>0</v>
      </c>
      <c r="EU44">
        <f ca="1">tblBaseCF[[#This Row],[LoadAllocChrg]]</f>
        <v>0</v>
      </c>
      <c r="EV44">
        <f ca="1">tblBaseCF[[#This Row],[LoadAlloc]]</f>
        <v>0</v>
      </c>
      <c r="EW44">
        <f ca="1">tblBaseCF[[#This Row],[TotalPrem]]</f>
        <v>0</v>
      </c>
      <c r="EX44">
        <f ca="1">tblBaseCF[[#This Row],[AllocChrg]]</f>
        <v>0</v>
      </c>
      <c r="EY44">
        <f ca="1">tblBaseCF[[#This Row],[Alloc]]</f>
        <v>0</v>
      </c>
      <c r="EZ44">
        <f ca="1">tblBaseCF[[#This Row],[AccumTotalPrem]]</f>
        <v>0</v>
      </c>
      <c r="FA44">
        <f>tblBaseCF[[#This Row],[AnnualIntRate]]</f>
        <v>0</v>
      </c>
      <c r="FB44" s="50">
        <f>tblBaseCF[[#This Row],[Duean1m12]]</f>
        <v>1</v>
      </c>
      <c r="FC44">
        <f ca="1">tblBaseCF[[#This Row],[DeductFlag]]</f>
        <v>0</v>
      </c>
      <c r="FD44">
        <f ca="1">tblBaseCF[[#This Row],[AdminChrg]]</f>
        <v>0</v>
      </c>
      <c r="FE44">
        <f ca="1">tblBaseCF[[#This Row],[StandardCOI]]</f>
        <v>0</v>
      </c>
      <c r="FF44">
        <f ca="1">tblBaseCF[[#This Row],[EMLoadCOI]]</f>
        <v>0</v>
      </c>
      <c r="FG44">
        <f ca="1">tblBaseCF[[#This Row],[PMLoadCOI]]</f>
        <v>0</v>
      </c>
      <c r="FH44">
        <f ca="1">tblBaseCF[[#This Row],[COI]]</f>
        <v>0</v>
      </c>
      <c r="FI44" s="47">
        <f ca="1">tblBaseCF[[#This Row],[NomDeduct]]</f>
        <v>0</v>
      </c>
      <c r="FJ44">
        <f ca="1">tblBaseCF[[#This Row],[Deduct]]</f>
        <v>0</v>
      </c>
      <c r="FK44">
        <f ca="1">tblBaseCF[[#This Row],[TAVDeduct]]</f>
        <v>0</v>
      </c>
      <c r="FL44">
        <f ca="1">tblBaseCF[[#This Row],[EAVDeduct]]</f>
        <v>0</v>
      </c>
      <c r="FM44" s="24">
        <f ca="1">tblBaseCF[[#This Row],[TAVInt]]</f>
        <v>0</v>
      </c>
      <c r="FN44">
        <f ca="1">tblBaseCF[[#This Row],[EAVInt]]</f>
        <v>0</v>
      </c>
      <c r="FO44" s="47">
        <f ca="1">tblBaseCF[[#This Row],[LB]]</f>
        <v>0</v>
      </c>
      <c r="FP44">
        <f ca="1">tblBaseCF[[#This Row],[SB]]</f>
        <v>0</v>
      </c>
      <c r="FQ44">
        <f ca="1">tblBaseCF[[#This Row],[Bonus]]</f>
        <v>0</v>
      </c>
      <c r="FR44">
        <f ca="1">tblBaseCF[[#This Row],[EndTAV]]</f>
        <v>0</v>
      </c>
      <c r="FS44">
        <f ca="1">tblBaseCF[[#This Row],[EndEAV]]</f>
        <v>0</v>
      </c>
      <c r="FT44">
        <f ca="1">tblBaseCF[[#This Row],[EndPAV]]</f>
        <v>0</v>
      </c>
      <c r="FU44">
        <f ca="1">tblBaseCF[[#This Row],[SemiAnnualTP]]</f>
        <v>0</v>
      </c>
      <c r="FV44">
        <f ca="1">tblBaseCF[[#This Row],[SemiAnnualEP]]</f>
        <v>0</v>
      </c>
      <c r="FW44">
        <f ca="1">tblBaseCF[[#This Row],[SemiAnnualEMLoad]]</f>
        <v>0</v>
      </c>
      <c r="FX44">
        <f ca="1">tblBaseCF[[#This Row],[SemiAnnualPMLoad]]</f>
        <v>0</v>
      </c>
      <c r="FY44">
        <f ca="1">tblBaseCF[[#This Row],[SemiAnnualLoad]]</f>
        <v>0</v>
      </c>
      <c r="FZ44">
        <f ca="1">tblBaseCF[[#This Row],[SemiAnnualTotalPrem]]</f>
        <v>0</v>
      </c>
      <c r="GA44">
        <f ca="1">tblBaseCF[[#This Row],[QuarterlyTP]]</f>
        <v>0</v>
      </c>
      <c r="GB44">
        <f ca="1">tblBaseCF[[#This Row],[QuarterlyEP]]</f>
        <v>0</v>
      </c>
      <c r="GC44">
        <f ca="1">tblBaseCF[[#This Row],[QuarterlyEMLoad]]</f>
        <v>0</v>
      </c>
      <c r="GD44">
        <f ca="1">tblBaseCF[[#This Row],[QuarterlyPMLoad]]</f>
        <v>0</v>
      </c>
      <c r="GE44">
        <f ca="1">tblBaseCF[[#This Row],[QuarterlyLoad]]</f>
        <v>0</v>
      </c>
      <c r="GF44">
        <f ca="1">tblBaseCF[[#This Row],[QuarterlyTotalPrem]]</f>
        <v>0</v>
      </c>
      <c r="GG44">
        <f ca="1">tblBaseCF[[#This Row],[MonthlyTP]]</f>
        <v>0</v>
      </c>
      <c r="GH44">
        <f ca="1">tblBaseCF[[#This Row],[MonthlyEP]]</f>
        <v>0</v>
      </c>
      <c r="GI44">
        <f ca="1">tblBaseCF[[#This Row],[MonthlyEMLoad]]</f>
        <v>0</v>
      </c>
      <c r="GJ44">
        <f ca="1">tblBaseCF[[#This Row],[MonthlyPMLoad]]</f>
        <v>0</v>
      </c>
      <c r="GK44">
        <f ca="1">tblBaseCF[[#This Row],[MonthlyLoad]]</f>
        <v>0</v>
      </c>
      <c r="GL44">
        <f ca="1">tblBaseCF[[#This Row],[MonthlyTotalPrem]]</f>
        <v>0</v>
      </c>
      <c r="GO44" t="s">
        <v>134</v>
      </c>
      <c r="GP44" t="s">
        <v>135</v>
      </c>
      <c r="GQ44" t="s">
        <v>502</v>
      </c>
      <c r="GR44">
        <v>24</v>
      </c>
      <c r="GS44">
        <v>23</v>
      </c>
      <c r="GT44">
        <v>1</v>
      </c>
      <c r="GU44" t="s">
        <v>457</v>
      </c>
      <c r="GV44">
        <v>21671561.754573502</v>
      </c>
      <c r="GW44">
        <v>191677895.62536299</v>
      </c>
      <c r="GX44">
        <v>213349457.37993601</v>
      </c>
      <c r="GY44">
        <v>0</v>
      </c>
      <c r="GZ44">
        <v>213349457.37993601</v>
      </c>
      <c r="HA44">
        <v>213349457.37993601</v>
      </c>
      <c r="HB44">
        <v>303000000</v>
      </c>
      <c r="HC44">
        <v>0</v>
      </c>
      <c r="HD44" t="s">
        <v>137</v>
      </c>
      <c r="HE44">
        <v>0</v>
      </c>
      <c r="HF44">
        <v>0</v>
      </c>
      <c r="HG44">
        <v>0</v>
      </c>
      <c r="HH44">
        <v>1072000</v>
      </c>
      <c r="HI44">
        <v>21440</v>
      </c>
      <c r="HJ44">
        <v>1050560</v>
      </c>
      <c r="HK44">
        <v>5200000</v>
      </c>
      <c r="HL44">
        <v>104000</v>
      </c>
      <c r="HM44">
        <v>5096000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6272000</v>
      </c>
      <c r="HT44">
        <v>125440</v>
      </c>
      <c r="HU44">
        <v>6146560</v>
      </c>
      <c r="HV44">
        <v>150528000</v>
      </c>
      <c r="HW44">
        <v>7.0000000000000007E-2</v>
      </c>
      <c r="HX44">
        <v>0.96964931039809399</v>
      </c>
      <c r="HY44">
        <v>1</v>
      </c>
      <c r="HZ44">
        <v>300000</v>
      </c>
      <c r="IA44">
        <v>0</v>
      </c>
      <c r="IB44">
        <v>0</v>
      </c>
      <c r="IC44">
        <v>0</v>
      </c>
      <c r="ID44">
        <v>272700</v>
      </c>
      <c r="IE44">
        <v>572700</v>
      </c>
      <c r="IF44">
        <v>555318.16006498795</v>
      </c>
      <c r="IG44">
        <v>555318.16006498795</v>
      </c>
      <c r="IH44">
        <v>0</v>
      </c>
      <c r="II44">
        <v>1551676.25161559</v>
      </c>
      <c r="IJ44">
        <v>13774172.693775401</v>
      </c>
      <c r="IK44">
        <v>0</v>
      </c>
      <c r="IL44">
        <v>0</v>
      </c>
      <c r="IM44">
        <v>0</v>
      </c>
      <c r="IN44">
        <v>23718479.846124101</v>
      </c>
      <c r="IO44">
        <v>210548068.31913799</v>
      </c>
      <c r="IP44">
        <v>234266548.16526201</v>
      </c>
      <c r="IQ44">
        <v>536000</v>
      </c>
      <c r="IR44">
        <v>2600000</v>
      </c>
      <c r="IS44">
        <v>0</v>
      </c>
      <c r="IT44">
        <v>0</v>
      </c>
      <c r="IU44">
        <v>0</v>
      </c>
      <c r="IV44">
        <v>3136000</v>
      </c>
      <c r="IW44">
        <v>268000</v>
      </c>
      <c r="IX44">
        <v>1300000</v>
      </c>
      <c r="IY44">
        <v>0</v>
      </c>
      <c r="IZ44">
        <v>0</v>
      </c>
      <c r="JA44">
        <v>0</v>
      </c>
      <c r="JB44">
        <v>1568000</v>
      </c>
      <c r="JC44">
        <v>90000</v>
      </c>
      <c r="JD44">
        <v>434000</v>
      </c>
      <c r="JE44">
        <v>0</v>
      </c>
      <c r="JF44">
        <v>0</v>
      </c>
      <c r="JG44">
        <v>0</v>
      </c>
      <c r="JH44">
        <v>524000</v>
      </c>
    </row>
    <row r="45" spans="2:268" customFormat="1" x14ac:dyDescent="0.25">
      <c r="B45" s="2">
        <f ca="1">OFFSET(tblBaseCF[[#This Row],[Year]],-1,0)+1</f>
        <v>25</v>
      </c>
      <c r="C45" s="2">
        <f ca="1">(tblBaseCF[[#This Row],[Year]]&lt;=term)*1</f>
        <v>1</v>
      </c>
      <c r="D45" s="57">
        <f ca="1">(YEAR(rcd)+tblBaseCF[[#This Row],[Year]]-1)
*tblBaseCF[[#This Row],[PolTermFlag]]</f>
        <v>2049</v>
      </c>
      <c r="E45" s="57">
        <f ca="1">(mainLI_entry_age+tblBaseCF[[#This Row],[Year]]-1)
*tblBaseCF[[#This Row],[PolTermFlag]]</f>
        <v>24</v>
      </c>
      <c r="F45" s="57">
        <f ca="1">IF(tblBaseCF[[#This Row],[Year]]=1,1,OFFSET(tblBaseCF[[#This Row],[DeductFlag]],-1,0))
*tblBaseCF[[#This Row],[PolTermFlag]]</f>
        <v>0</v>
      </c>
      <c r="G4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5" s="57">
        <f ca="1">(tblBaseCF[[#This Row],[Year]]&lt;=acc_ben_term)
*tblBaseCF[[#This Row],[ContFlag]]</f>
        <v>0</v>
      </c>
      <c r="I45" s="57">
        <f ca="1">(tblBaseCF[[#This Row],[Year]]&lt;=tp_term)
*tblBaseCF[[#This Row],[ContFlag]]</f>
        <v>0</v>
      </c>
      <c r="J45" s="57">
        <f ca="1">(tblBaseCF[[#This Row],[Year]]&lt;=ep_term)
*tblBaseCF[[#This Row],[ContFlag]]</f>
        <v>0</v>
      </c>
      <c r="K45" s="57">
        <f ca="1">(tblBaseCF[[#This Row],[Year]]&lt;=em_load_term)*1</f>
        <v>0</v>
      </c>
      <c r="L45" s="57">
        <f ca="1">(tblBaseCF[[#This Row],[Year]]&lt;=pm_load_term)*1</f>
        <v>0</v>
      </c>
      <c r="M45" s="59">
        <f ca="1">IF(tblBaseCF[[#This Row],[Year]]=1,si,OFFSET(tblBaseCF[[#This Row],[EndSI]],-1,0))
*tblBaseCF[[#This Row],[ContFlag]]</f>
        <v>0</v>
      </c>
      <c r="N45" s="59">
        <f ca="1">OFFSET(tblBaseCF[[#This Row],[EndTAV]],-1,0)
*tblBaseCF[[#This Row],[ContFlag]]</f>
        <v>0</v>
      </c>
      <c r="O45" s="59">
        <f ca="1">OFFSET(tblBaseCF[[#This Row],[EndEAV]],-1,0)
*tblBaseCF[[#This Row],[ContFlag]]</f>
        <v>0</v>
      </c>
      <c r="P45" s="60">
        <f ca="1">tblBaseCF[[#This Row],[StartEAV]]+tblBaseCF[[#This Row],[StartTAV]]</f>
        <v>0</v>
      </c>
      <c r="Q45" s="61">
        <f ca="1">IFERROR(INDEX(tblJuvenileLienRate[Rate],MATCH(tblBaseCF[[#This Row],[Age]],tblJuvenileLienRate[Age],0)),1)
*tblBaseCF[[#This Row],[ContFlag]]</f>
        <v>0</v>
      </c>
      <c r="R4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5" s="62">
        <f ca="1">tblBaseCF[[#This Row],[StartSI]]*acc_ben_coeff*tblBaseCF[[#This Row],[JuvenileLienRate]]
*tblBaseCF[[#This Row],[AccBenTermFlag]]</f>
        <v>0</v>
      </c>
      <c r="T45" s="61">
        <f ca="1">(IFERROR(INDEX(tblSurrChrgRate[Rate],MATCH(tblBaseCF[[#This Row],[Year]],tblSurrChrgRate[Year],0)),0)
*tblBaseCF[[#This Row],[ContFlag]])</f>
        <v>0</v>
      </c>
      <c r="U45" s="60">
        <f ca="1">tp*tblBaseCF[[#This Row],[SrrChrgRate]]</f>
        <v>0</v>
      </c>
      <c r="V45" s="63">
        <f ca="1">MAX(tblBaseCF[[#This Row],[StartTAV]]-tblBaseCF[[#This Row],[SVChrg]],0)+tblBaseCF[[#This Row],[StartEAV]]</f>
        <v>0</v>
      </c>
      <c r="W45" s="59">
        <f ca="1">IFERROR(INDEX(tblWithdrawal_Output[Amount],MATCH(tblBaseCF[[#This Row],[Year]],tblWithdrawal_Output[Year],0)),0)
*tblBaseCF[[#This Row],[ContFlag]]</f>
        <v>0</v>
      </c>
      <c r="X45" s="59" t="b">
        <f ca="1">tblBaseCF[[#This Row],[WithdrawalInput]]&gt;0</f>
        <v>0</v>
      </c>
      <c r="Y45" s="59" t="b">
        <f ca="1">AND(tblBaseCF[[#This Row],[1stCheckProceed]],tblBaseCF[[#This Row],[WithdrawalInput]]&lt;=tblBaseCF[[#This Row],[StartPAV]])</f>
        <v>0</v>
      </c>
      <c r="Z45" s="59" t="b">
        <f ca="1">AND(tblBaseCF[[#This Row],[2ndCheckAmount]],(tblBaseCF[[#This Row],[StartPAV]]-tblBaseCF[[#This Row],[WithdrawalInput]])&gt;=min_pav_after_withdrawal)</f>
        <v>0</v>
      </c>
      <c r="AA4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5" s="59" t="b">
        <f ca="1">AND(tblBaseCF[[#This Row],[3rdCheckPAV]],tblBaseCF[[#This Row],[endSITest]]&gt;=min_base_si)</f>
        <v>0</v>
      </c>
      <c r="AC45" s="60">
        <f ca="1">tblBaseCF[[#This Row],[WithdrawalInput]]*tblBaseCF[[#This Row],[4thCheckSI]]</f>
        <v>0</v>
      </c>
      <c r="AD45" s="60">
        <f ca="1">MIN(tblBaseCF[[#This Row],[Withdrawal]],tblBaseCF[[#This Row],[StartEAV]])</f>
        <v>0</v>
      </c>
      <c r="AE45" s="60">
        <f ca="1">tblBaseCF[[#This Row],[Withdrawal]]-tblBaseCF[[#This Row],[EAVWithdrawal]]</f>
        <v>0</v>
      </c>
      <c r="AF45" s="60">
        <f ca="1">IF(tblBaseCF[[#This Row],[4thCheckSI]],tblBaseCF[[#This Row],[endSITest]],tblBaseCF[[#This Row],[StartSI]])</f>
        <v>0</v>
      </c>
      <c r="AG4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5" s="65">
        <f ca="1">IFERROR(INDEX(tblTPAllocChrgRate[Rate],MATCH(tblBaseCF[[#This Row],[Year]],tblTPAllocChrgRate[Year],0)),0)</f>
        <v>0.02</v>
      </c>
      <c r="AI45" s="62">
        <f ca="1">(tp+big_case_bonus_tp*(tblBaseCF[[#This Row],[Year]]=1))
*tblBaseCF[[#This Row],[TPTermFlag]]</f>
        <v>0</v>
      </c>
      <c r="AJ45" s="63">
        <f ca="1">tblBaseCF[[#This Row],[TP]]*tblBaseCF[[#This Row],[TPAllocChrgRate]]</f>
        <v>0</v>
      </c>
      <c r="AK45" s="60">
        <f ca="1">tblBaseCF[[#This Row],[TP]]-tblBaseCF[[#This Row],[TPAllocChrg]]</f>
        <v>0</v>
      </c>
      <c r="AL45" s="65">
        <f ca="1">IFERROR(INDEX(tblEPAllocChrgRate[Rate],MATCH(tblBaseCF[[#This Row],[Year]],tblEPAllocChrgRate[Year],0)),0)</f>
        <v>0.02</v>
      </c>
      <c r="AM45" s="60">
        <f ca="1">ep*tblBaseCF[[#This Row],[EPTermFlag]]</f>
        <v>0</v>
      </c>
      <c r="AN45" s="60">
        <f ca="1">tblBaseCF[[#This Row],[EP]]*tblBaseCF[[#This Row],[EPAllocChrgRate]]</f>
        <v>0</v>
      </c>
      <c r="AO45" s="63">
        <f ca="1">tblBaseCF[[#This Row],[EP]]-tblBaseCF[[#This Row],[EPAllocChrg]]</f>
        <v>0</v>
      </c>
      <c r="AP45" s="62">
        <f ca="1">tblBaseCF[[#This Row],[Ben]]*extra_prem_rate*em_load/1000/(1-tblBaseCF[[#This Row],[EPAllocChrgRate]])
*tblBaseCF[[#This Row],[EMLoadTermFlag]]</f>
        <v>0</v>
      </c>
      <c r="AQ45" s="62">
        <f ca="1">tblBaseCF[[#This Row],[Ben]]*pm_load/1000/(1-tblBaseCF[[#This Row],[EPAllocChrgRate]])
*tblBaseCF[[#This Row],[PMLoadTermFlag]]</f>
        <v>0</v>
      </c>
      <c r="AR45" s="60">
        <f ca="1">ROUNDUP(tblBaseCF[[#This Row],[UnroundedEMLoad]],-3)</f>
        <v>0</v>
      </c>
      <c r="AS45" s="62">
        <f ca="1">ROUNDUP(tblBaseCF[[#This Row],[Ben]]*pm_load/1000/(1-tblBaseCF[[#This Row],[EPAllocChrgRate]]),-3)
*tblBaseCF[[#This Row],[PMLoadTermFlag]]</f>
        <v>0</v>
      </c>
      <c r="AT45" s="60">
        <f ca="1">tblBaseCF[[#This Row],[EMLoad]]+tblBaseCF[[#This Row],[PMLoad]]</f>
        <v>0</v>
      </c>
      <c r="AU45" s="60">
        <f ca="1">tblBaseCF[[#This Row],[Load]]*tblBaseCF[[#This Row],[EPAllocChrgRate]]</f>
        <v>0</v>
      </c>
      <c r="AV45" s="60">
        <f ca="1">tblBaseCF[[#This Row],[Load]]-tblBaseCF[[#This Row],[LoadAllocChrg]]</f>
        <v>0</v>
      </c>
      <c r="AW45" s="60">
        <f ca="1">tblBaseCF[[#This Row],[TP]]+tblBaseCF[[#This Row],[EP]]+tblBaseCF[[#This Row],[Load]]</f>
        <v>0</v>
      </c>
      <c r="AX45" s="60">
        <f ca="1">tblBaseCF[[#This Row],[TPAllocChrg]]+tblBaseCF[[#This Row],[EPAllocChrg]]+tblBaseCF[[#This Row],[LoadAllocChrg]]</f>
        <v>0</v>
      </c>
      <c r="AY45" s="60">
        <f ca="1">tblBaseCF[[#This Row],[TPAlloc]]+tblBaseCF[[#This Row],[EPAlloc]]+tblBaseCF[[#This Row],[LoadAlloc]]</f>
        <v>0</v>
      </c>
      <c r="AZ45" s="60">
        <f ca="1">(OFFSET(tblBaseCF[[#This Row],[AccumTotalPrem]],-1,0)+tblBaseCF[[#This Row],[TotalPrem]])*tblBaseCF[[#This Row],[TPTermFlag]]</f>
        <v>0</v>
      </c>
      <c r="BA45" s="62">
        <f ca="1">(tblBaseCF[[#This Row],[StartTAV]]-tblBaseCF[[#This Row],[TAVWithdrawal]]+tblBaseCF[[#This Row],[TPAlloc]])
*tblBaseCF[[#This Row],[ContFlag]]</f>
        <v>0</v>
      </c>
      <c r="BB45" s="59">
        <f ca="1">(tblBaseCF[[#This Row],[StartEAV]]-tblBaseCF[[#This Row],[EAVWithdrawal]]+tblBaseCF[[#This Row],[EPAlloc]]+tblBaseCF[[#This Row],[LoadAlloc]])
*tblBaseCF[[#This Row],[ContFlag]]</f>
        <v>0</v>
      </c>
      <c r="BC45" s="59">
        <f ca="1">tblBaseCF[[#This Row],[TAVAfterWdrlAlloc]]+tblBaseCF[[#This Row],[EAVAfterWdrlAlloc]]</f>
        <v>0</v>
      </c>
      <c r="BD45" s="66">
        <f t="shared" si="2"/>
        <v>0</v>
      </c>
      <c r="BE45" s="67">
        <f>(1+tblBaseCF[[#This Row],[AnnualIntRate]])^(1/12)-1</f>
        <v>0</v>
      </c>
      <c r="BF45" s="68">
        <f>IFERROR(((1+tblBaseCF[[#This Row],[MonthlyIntRate]])^12-1)/12/(1-1/(1+tblBaseCF[[#This Row],[MonthlyIntRate]])),1)/(1+tblBaseCF[[#This Row],[AnnualIntRate]])</f>
        <v>1</v>
      </c>
      <c r="BG45" s="69">
        <f>PV(tblBaseCF[[#This Row],[MonthlyIntRate]],12,-1/12,,1)</f>
        <v>1</v>
      </c>
      <c r="BH45" s="60">
        <f ca="1">MAX(IF(death_tpd_option="A",tblBaseCF[[#This Row],[Ben]]-tblBaseCF[[#This Row],[StartPAV]],tblBaseCF[[#This Row],[Ben]]),0)</f>
        <v>0</v>
      </c>
      <c r="BI45" s="70">
        <f ca="1">IFERROR(INDEX(tblBaseCOIRate[Rate],MATCH(tblBaseCF[[#This Row],[Age]],tblBaseCOIRate[Age],0)),0)</f>
        <v>1.14999999999998E-3</v>
      </c>
      <c r="BJ45" s="60">
        <f ca="1">tblBaseCF[[#This Row],[SAR]]*tblBaseCF[[#This Row],[COIRate]]</f>
        <v>0</v>
      </c>
      <c r="BK45" s="62">
        <f ca="1">em_load*tblBaseCF[[#This Row],[pStandardCOI]]
*tblBaseCF[[#This Row],[EMLoadTermFlag]]</f>
        <v>0</v>
      </c>
      <c r="BL45" s="62">
        <f ca="1">pm_load/1000*tblBaseCF[[#This Row],[SAR]]
*tblBaseCF[[#This Row],[PMLoadTermFlag]]</f>
        <v>0</v>
      </c>
      <c r="BM45" s="60">
        <f ca="1">tblBaseCF[[#This Row],[AccBen]]*monthly_acc_coi*12</f>
        <v>0</v>
      </c>
      <c r="BN45" s="60">
        <f ca="1">tblBaseCF[[#This Row],[pStandardCOI]]+tblBaseCF[[#This Row],[pEMLoadCOI]]+tblBaseCF[[#This Row],[pPMLoadCOI]]+tblBaseCF[[#This Row],[pAccCOI]]</f>
        <v>0</v>
      </c>
      <c r="BO45" s="62">
        <f ca="1">IFERROR(INDEX(tblAdminChrg[Amount],MATCH(tblBaseCF[[#This Row],[CalYear]],tblAdminChrg[Cal_Year],0)),0)
*tblBaseCF[[#This Row],[ContFlag]]</f>
        <v>0</v>
      </c>
      <c r="BP45" s="60">
        <f ca="1">tblBaseCF[[#This Row],[pMonthlyAdminChrg]]*12</f>
        <v>0</v>
      </c>
      <c r="BQ45" s="60">
        <f ca="1">tblBaseCF[[#This Row],[pCOI]]+tblBaseCF[[#This Row],[pAdminChrg]]</f>
        <v>0</v>
      </c>
      <c r="BR45" s="60">
        <f ca="1">tblBaseCF[[#This Row],[pNomDeduct]]*tblBaseCF[[#This Row],[Duean1m12]]</f>
        <v>0</v>
      </c>
      <c r="BS45" s="57">
        <f ca="1">(tblBaseCF[[#This Row],[PAVAfterWdrlAlloc]]&gt;=tblBaseCF[[#This Row],[pNomDeduct]])
*tblBaseCF[[#This Row],[ContFlag]]</f>
        <v>0</v>
      </c>
      <c r="BT45" s="60">
        <f ca="1">tblBaseCF[[#This Row],[pStandardCOI]]*tblBaseCF[[#This Row],[DeductFlag]]</f>
        <v>0</v>
      </c>
      <c r="BU45" s="60">
        <f ca="1">tblBaseCF[[#This Row],[pEMLoadCOI]]*tblBaseCF[[#This Row],[DeductFlag]]</f>
        <v>0</v>
      </c>
      <c r="BV45" s="60">
        <f ca="1">tblBaseCF[[#This Row],[pPMLoadCOI]]*tblBaseCF[[#This Row],[DeductFlag]]</f>
        <v>0</v>
      </c>
      <c r="BW45" s="60">
        <f ca="1">tblBaseCF[[#This Row],[pAccCOI]]*tblBaseCF[[#This Row],[DeductFlag]]</f>
        <v>0</v>
      </c>
      <c r="BX45" s="60">
        <f ca="1">tblBaseCF[[#This Row],[pCOI]]*tblBaseCF[[#This Row],[DeductFlag]]</f>
        <v>0</v>
      </c>
      <c r="BY45" s="60">
        <f ca="1">tblBaseCF[[#This Row],[pMonthlyAdminChrg]]*tblBaseCF[[#This Row],[DeductFlag]]</f>
        <v>0</v>
      </c>
      <c r="BZ45" s="60">
        <f ca="1">tblBaseCF[[#This Row],[pAdminChrg]]*tblBaseCF[[#This Row],[DeductFlag]]</f>
        <v>0</v>
      </c>
      <c r="CA45" s="60">
        <f ca="1">tblBaseCF[[#This Row],[pNomDeduct]]*tblBaseCF[[#This Row],[DeductFlag]]</f>
        <v>0</v>
      </c>
      <c r="CB45" s="60">
        <f ca="1">tblBaseCF[[#This Row],[pDeduct]]*tblBaseCF[[#This Row],[DeductFlag]]</f>
        <v>0</v>
      </c>
      <c r="CC45" s="60">
        <f ca="1">MIN(tblBaseCF[[#This Row],[TAVAfterWdrlAlloc]],tblBaseCF[[#This Row],[Deduct]])</f>
        <v>0</v>
      </c>
      <c r="CD45" s="60">
        <f ca="1">tblBaseCF[[#This Row],[Deduct]]-tblBaseCF[[#This Row],[TAVDeduct]]</f>
        <v>0</v>
      </c>
      <c r="CE45" s="69">
        <f ca="1">(tblBaseCF[[#This Row],[TAVAfterWdrlAlloc]]-tblBaseCF[[#This Row],[TAVDeduct]])*tblBaseCF[[#This Row],[AnnualIntRate]]
*tblBaseCF[[#This Row],[DeductFlag]]</f>
        <v>0</v>
      </c>
      <c r="CF45" s="69">
        <f ca="1">(tblBaseCF[[#This Row],[EAVAfterWdrlAlloc]]-tblBaseCF[[#This Row],[EAVDeduct]])*tblBaseCF[[#This Row],[AnnualIntRate]]
*tblBaseCF[[#This Row],[DeductFlag]]</f>
        <v>0</v>
      </c>
      <c r="CG45" s="69">
        <f ca="1">tblBaseCF[[#This Row],[TAVInt]]+tblBaseCF[[#This Row],[EAVInt]]</f>
        <v>0</v>
      </c>
      <c r="CH45" s="62">
        <f ca="1">IFERROR(INDEX(tblLBRate[Rate],MATCH(tblBaseCF[[#This Row],[Year]],tblLBRate[Year],0)),0)
*tblBaseCF[[#This Row],[DeductFlag]]</f>
        <v>0</v>
      </c>
      <c r="CI45" s="60">
        <f ca="1">IFERROR(SUM(OFFSET(tblBaseCF[[#This Row],[TAVWithdrawal]],0,0,-lb_review_period,1)),0)
*(tblBaseCF[[#This Row],[LBRate]]&gt;0)</f>
        <v>0</v>
      </c>
      <c r="CJ45" s="60">
        <f ca="1">(tblBaseCF[[#This Row],[LBRate]]&gt;0)*(tblBaseCF[[#This Row],[LBTAVWithdrawal]]=0)</f>
        <v>0</v>
      </c>
      <c r="CK45" s="62" cm="1">
        <f t="array" aca="1" ref="CK45" ca="1">IF(tblBaseCF[[#This Row],[LBFlag]],
_xlfn.SWITCH(base,
"ILP1",AVERAGE(OFFSET(tblBaseCF[TP],0,0,-lb_review_period,1)),tp),0)
*tblBaseCF[[#This Row],[LBFlag]]</f>
        <v>0</v>
      </c>
      <c r="CL45" s="62">
        <f ca="1">tblBaseCF[[#This Row],[LBBasis]]*tblBaseCF[[#This Row],[LBRate]]</f>
        <v>0</v>
      </c>
      <c r="CM45" s="57" cm="1">
        <f t="array" aca="1" ref="CM45" ca="1">_xlfn.SWITCH(base,
"ILP1",0,($AF145&lt;500000000)*1
+($AF145&gt;=500000000)*($AF145&lt;1000000000)*2
+($AF145&gt;=1000000000)*3)
*tblBaseCF[[#This Row],[DeductFlag]]</f>
        <v>0</v>
      </c>
      <c r="CN45" s="2" t="str">
        <f ca="1">IF(tblBaseCF[[#This Row],[DeductFlag]],base&amp;"_"&amp;tblBaseCF[[#This Row],[SBCode]]&amp;"_"&amp;tblBaseCF[[#This Row],[Year]],"")</f>
        <v/>
      </c>
      <c r="CO45" s="3">
        <f ca="1">IFERROR(INDEX(tblSBRate[Index],MATCH(tblBaseCF[[#This Row],[SBIndex]],tblSBRate[Rate],0)),0)</f>
        <v>0</v>
      </c>
      <c r="CP45" s="63">
        <f ca="1">IFERROR(SUM(OFFSET(tblBaseCF[[#This Row],[TAVWithdrawal]],0,0,-sb_review_period,1)),0)
*(tblBaseCF[[#This Row],[SBRate]]&gt;0)</f>
        <v>0</v>
      </c>
      <c r="CQ45" s="63">
        <f ca="1">(tblBaseCF[[#This Row],[SBRate]]&gt;0)*(tblBaseCF[[#This Row],[SBTAVWithdrawal]]=0)</f>
        <v>0</v>
      </c>
      <c r="CR45" s="59" cm="1">
        <f t="array" aca="1" ref="CR45" ca="1">IF(tblBaseCF[[#This Row],[LBFlag]],
_xlfn.SWITCH(base,
"ILP1",0,tp),0)*tblBaseCF[[#This Row],[SBFlag]]</f>
        <v>0</v>
      </c>
      <c r="CS45" s="63">
        <f ca="1">tblBaseCF[[#This Row],[SBBasis]]*tblBaseCF[[#This Row],[SBRate]]</f>
        <v>0</v>
      </c>
      <c r="CT45" s="63">
        <f ca="1">tblBaseCF[[#This Row],[LB]]+tblBaseCF[[#This Row],[SB]]</f>
        <v>0</v>
      </c>
      <c r="CU45" s="59">
        <f ca="1">tblBaseCF[[#This Row],[TAVAfterWdrlAlloc]]-tblBaseCF[[#This Row],[TAVDeduct]]+tblBaseCF[[#This Row],[TAVInt]]+tblBaseCF[[#This Row],[Bonus]]</f>
        <v>0</v>
      </c>
      <c r="CV45" s="59">
        <f ca="1">tblBaseCF[[#This Row],[EAVAfterWdrlAlloc]]-tblBaseCF[[#This Row],[EAVDeduct]]+tblBaseCF[[#This Row],[EAVInt]]</f>
        <v>0</v>
      </c>
      <c r="CW45" s="63">
        <f ca="1">tblBaseCF[[#This Row],[EndTAV]]+tblBaseCF[[#This Row],[EndEAV]]</f>
        <v>0</v>
      </c>
      <c r="CX45" s="59">
        <f ca="1">INDEX(tblPlanPrem[TP],2)
*tblBaseCF[[#This Row],[TPTermFlag]]</f>
        <v>0</v>
      </c>
      <c r="CY45" s="59">
        <f ca="1">INDEX(tblPlanPrem[EP],2)
*tblBaseCF[[#This Row],[TPTermFlag]]</f>
        <v>0</v>
      </c>
      <c r="CZ45" s="63">
        <f ca="1">ROUNDUP(tblBaseCF[[#This Row],[UnroundedEMLoad]]*INDEX(tblPlanPrem[Factor],2),-3)</f>
        <v>0</v>
      </c>
      <c r="DA45" s="63">
        <f ca="1">ROUNDUP(tblBaseCF[[#This Row],[UnroundedPMLoad]]*INDEX(tblPlanPrem[Factor],2),-3)</f>
        <v>0</v>
      </c>
      <c r="DB45" s="63">
        <f ca="1">tblBaseCF[[#This Row],[SemiAnnualEMLoad]]+tblBaseCF[[#This Row],[SemiAnnualPMLoad]]</f>
        <v>0</v>
      </c>
      <c r="DC45" s="63">
        <f ca="1">tblBaseCF[[#This Row],[SemiAnnualTP]]+tblBaseCF[[#This Row],[SemiAnnualEP]]+tblBaseCF[[#This Row],[SemiAnnualLoad]]</f>
        <v>0</v>
      </c>
      <c r="DD45" s="59">
        <f ca="1">INDEX(tblPlanPrem[TP],3)
*tblBaseCF[[#This Row],[TPTermFlag]]</f>
        <v>0</v>
      </c>
      <c r="DE45" s="59">
        <f ca="1">INDEX(tblPlanPrem[EP],3)
*tblBaseCF[[#This Row],[TPTermFlag]]</f>
        <v>0</v>
      </c>
      <c r="DF45" s="63">
        <f ca="1">ROUNDUP(tblBaseCF[[#This Row],[UnroundedEMLoad]]*INDEX(tblPlanPrem[Factor],3),-3)</f>
        <v>0</v>
      </c>
      <c r="DG45" s="63">
        <f ca="1">ROUNDUP(tblBaseCF[[#This Row],[UnroundedPMLoad]]*INDEX(tblPlanPrem[Factor],3),-3)</f>
        <v>0</v>
      </c>
      <c r="DH45" s="60">
        <f ca="1">tblBaseCF[[#This Row],[QuarterlyEMLoad]]+tblBaseCF[[#This Row],[QuarterlyPMLoad]]</f>
        <v>0</v>
      </c>
      <c r="DI45" s="60">
        <f ca="1">tblBaseCF[[#This Row],[QuarterlyTP]]+tblBaseCF[[#This Row],[QuarterlyEP]]+tblBaseCF[[#This Row],[QuarterlyLoad]]</f>
        <v>0</v>
      </c>
      <c r="DJ45" s="59">
        <f ca="1">INDEX(tblPlanPrem[TP],4)
*tblBaseCF[[#This Row],[TPTermFlag]]</f>
        <v>0</v>
      </c>
      <c r="DK45" s="59">
        <f ca="1">INDEX(tblPlanPrem[EP],4)
*tblBaseCF[[#This Row],[TPTermFlag]]</f>
        <v>0</v>
      </c>
      <c r="DL45" s="63">
        <f ca="1">ROUNDUP(tblBaseCF[[#This Row],[UnroundedEMLoad]]*INDEX(tblPlanPrem[Factor],4),-3)</f>
        <v>0</v>
      </c>
      <c r="DM45" s="63">
        <f ca="1">ROUNDUP(tblBaseCF[[#This Row],[UnroundedPMLoad]]*INDEX(tblPlanPrem[Factor],4),-3)</f>
        <v>0</v>
      </c>
      <c r="DN45" s="60">
        <f ca="1">tblBaseCF[[#This Row],[MonthlyEMLoad]]+tblBaseCF[[#This Row],[MonthlyPMLoad]]</f>
        <v>0</v>
      </c>
      <c r="DO45" s="63">
        <f ca="1">tblBaseCF[[#This Row],[MonthlyTP]]+tblBaseCF[[#This Row],[MonthlyEP]]+tblBaseCF[[#This Row],[MonthlyLoad]]</f>
        <v>0</v>
      </c>
      <c r="DP45" s="3"/>
      <c r="DS45">
        <f t="shared" si="3"/>
        <v>0</v>
      </c>
      <c r="DT45">
        <f t="shared" si="4"/>
        <v>0</v>
      </c>
      <c r="DU45">
        <f t="shared" si="5"/>
        <v>0</v>
      </c>
      <c r="DV45">
        <f ca="1">tblBaseCF[[#This Row],[Year]]</f>
        <v>25</v>
      </c>
      <c r="DW45">
        <f ca="1">tblBaseCF[[#This Row],[Age]]</f>
        <v>24</v>
      </c>
      <c r="DX45">
        <f ca="1">tblBaseCF[[#This Row],[ContFlag]]</f>
        <v>0</v>
      </c>
      <c r="DY45" t="str">
        <f ca="1">tblBaseCF[[#This Row],[ContLog]]</f>
        <v>Insufficient PAV for deduction - Discontinue.</v>
      </c>
      <c r="DZ45">
        <f ca="1">tblBaseCF[[#This Row],[StartTAV]]</f>
        <v>0</v>
      </c>
      <c r="EA45">
        <f ca="1">tblBaseCF[[#This Row],[StartEAV]]</f>
        <v>0</v>
      </c>
      <c r="EB45">
        <f ca="1">tblBaseCF[[#This Row],[StartPAV]]</f>
        <v>0</v>
      </c>
      <c r="EC45">
        <f ca="1">tblBaseCF[[#This Row],[SVChrg]]</f>
        <v>0</v>
      </c>
      <c r="ED45">
        <f ca="1">tblBaseCF[[#This Row],[SV]]</f>
        <v>0</v>
      </c>
      <c r="EE45">
        <f ca="1">tblBaseCF[[#This Row],[Ben]]</f>
        <v>0</v>
      </c>
      <c r="EF45">
        <f ca="1">tblBaseCF[[#This Row],[AccBen]]</f>
        <v>0</v>
      </c>
      <c r="EG45">
        <f ca="1">tblBaseCF[[#This Row],[WithdrawalInput]]</f>
        <v>0</v>
      </c>
      <c r="EH45" t="str">
        <f ca="1">tblBaseCF[[#This Row],[WithdrawalLog]]</f>
        <v>No withdrawal.</v>
      </c>
      <c r="EI45">
        <f ca="1">tblBaseCF[[#This Row],[TAVWithdrawal]]</f>
        <v>0</v>
      </c>
      <c r="EJ45">
        <f ca="1">tblBaseCF[[#This Row],[EAVWithdrawal]]</f>
        <v>0</v>
      </c>
      <c r="EK45">
        <f ca="1">tblBaseCF[[#This Row],[Withdrawal]]</f>
        <v>0</v>
      </c>
      <c r="EL45">
        <f ca="1">tblBaseCF[[#This Row],[TP]]</f>
        <v>0</v>
      </c>
      <c r="EM45">
        <f ca="1">tblBaseCF[[#This Row],[TPAllocChrg]]</f>
        <v>0</v>
      </c>
      <c r="EN45">
        <f ca="1">tblBaseCF[[#This Row],[TPAlloc]]</f>
        <v>0</v>
      </c>
      <c r="EO45">
        <f ca="1">tblBaseCF[[#This Row],[EP]]</f>
        <v>0</v>
      </c>
      <c r="EP45">
        <f ca="1">tblBaseCF[[#This Row],[EPAllocChrg]]</f>
        <v>0</v>
      </c>
      <c r="EQ45">
        <f ca="1">tblBaseCF[[#This Row],[EPAlloc]]</f>
        <v>0</v>
      </c>
      <c r="ER45">
        <f ca="1">tblBaseCF[[#This Row],[EMLoad]]</f>
        <v>0</v>
      </c>
      <c r="ES45">
        <f ca="1">tblBaseCF[[#This Row],[PMLoad]]</f>
        <v>0</v>
      </c>
      <c r="ET45">
        <f ca="1">tblBaseCF[[#This Row],[Load]]</f>
        <v>0</v>
      </c>
      <c r="EU45">
        <f ca="1">tblBaseCF[[#This Row],[LoadAllocChrg]]</f>
        <v>0</v>
      </c>
      <c r="EV45">
        <f ca="1">tblBaseCF[[#This Row],[LoadAlloc]]</f>
        <v>0</v>
      </c>
      <c r="EW45">
        <f ca="1">tblBaseCF[[#This Row],[TotalPrem]]</f>
        <v>0</v>
      </c>
      <c r="EX45">
        <f ca="1">tblBaseCF[[#This Row],[AllocChrg]]</f>
        <v>0</v>
      </c>
      <c r="EY45">
        <f ca="1">tblBaseCF[[#This Row],[Alloc]]</f>
        <v>0</v>
      </c>
      <c r="EZ45">
        <f ca="1">tblBaseCF[[#This Row],[AccumTotalPrem]]</f>
        <v>0</v>
      </c>
      <c r="FA45">
        <f>tblBaseCF[[#This Row],[AnnualIntRate]]</f>
        <v>0</v>
      </c>
      <c r="FB45" s="50">
        <f>tblBaseCF[[#This Row],[Duean1m12]]</f>
        <v>1</v>
      </c>
      <c r="FC45">
        <f ca="1">tblBaseCF[[#This Row],[DeductFlag]]</f>
        <v>0</v>
      </c>
      <c r="FD45">
        <f ca="1">tblBaseCF[[#This Row],[AdminChrg]]</f>
        <v>0</v>
      </c>
      <c r="FE45">
        <f ca="1">tblBaseCF[[#This Row],[StandardCOI]]</f>
        <v>0</v>
      </c>
      <c r="FF45">
        <f ca="1">tblBaseCF[[#This Row],[EMLoadCOI]]</f>
        <v>0</v>
      </c>
      <c r="FG45">
        <f ca="1">tblBaseCF[[#This Row],[PMLoadCOI]]</f>
        <v>0</v>
      </c>
      <c r="FH45">
        <f ca="1">tblBaseCF[[#This Row],[COI]]</f>
        <v>0</v>
      </c>
      <c r="FI45" s="47">
        <f ca="1">tblBaseCF[[#This Row],[NomDeduct]]</f>
        <v>0</v>
      </c>
      <c r="FJ45">
        <f ca="1">tblBaseCF[[#This Row],[Deduct]]</f>
        <v>0</v>
      </c>
      <c r="FK45">
        <f ca="1">tblBaseCF[[#This Row],[TAVDeduct]]</f>
        <v>0</v>
      </c>
      <c r="FL45">
        <f ca="1">tblBaseCF[[#This Row],[EAVDeduct]]</f>
        <v>0</v>
      </c>
      <c r="FM45" s="24">
        <f ca="1">tblBaseCF[[#This Row],[TAVInt]]</f>
        <v>0</v>
      </c>
      <c r="FN45">
        <f ca="1">tblBaseCF[[#This Row],[EAVInt]]</f>
        <v>0</v>
      </c>
      <c r="FO45" s="47">
        <f ca="1">tblBaseCF[[#This Row],[LB]]</f>
        <v>0</v>
      </c>
      <c r="FP45">
        <f ca="1">tblBaseCF[[#This Row],[SB]]</f>
        <v>0</v>
      </c>
      <c r="FQ45">
        <f ca="1">tblBaseCF[[#This Row],[Bonus]]</f>
        <v>0</v>
      </c>
      <c r="FR45">
        <f ca="1">tblBaseCF[[#This Row],[EndTAV]]</f>
        <v>0</v>
      </c>
      <c r="FS45">
        <f ca="1">tblBaseCF[[#This Row],[EndEAV]]</f>
        <v>0</v>
      </c>
      <c r="FT45">
        <f ca="1">tblBaseCF[[#This Row],[EndPAV]]</f>
        <v>0</v>
      </c>
      <c r="FU45">
        <f ca="1">tblBaseCF[[#This Row],[SemiAnnualTP]]</f>
        <v>0</v>
      </c>
      <c r="FV45">
        <f ca="1">tblBaseCF[[#This Row],[SemiAnnualEP]]</f>
        <v>0</v>
      </c>
      <c r="FW45">
        <f ca="1">tblBaseCF[[#This Row],[SemiAnnualEMLoad]]</f>
        <v>0</v>
      </c>
      <c r="FX45">
        <f ca="1">tblBaseCF[[#This Row],[SemiAnnualPMLoad]]</f>
        <v>0</v>
      </c>
      <c r="FY45">
        <f ca="1">tblBaseCF[[#This Row],[SemiAnnualLoad]]</f>
        <v>0</v>
      </c>
      <c r="FZ45">
        <f ca="1">tblBaseCF[[#This Row],[SemiAnnualTotalPrem]]</f>
        <v>0</v>
      </c>
      <c r="GA45">
        <f ca="1">tblBaseCF[[#This Row],[QuarterlyTP]]</f>
        <v>0</v>
      </c>
      <c r="GB45">
        <f ca="1">tblBaseCF[[#This Row],[QuarterlyEP]]</f>
        <v>0</v>
      </c>
      <c r="GC45">
        <f ca="1">tblBaseCF[[#This Row],[QuarterlyEMLoad]]</f>
        <v>0</v>
      </c>
      <c r="GD45">
        <f ca="1">tblBaseCF[[#This Row],[QuarterlyPMLoad]]</f>
        <v>0</v>
      </c>
      <c r="GE45">
        <f ca="1">tblBaseCF[[#This Row],[QuarterlyLoad]]</f>
        <v>0</v>
      </c>
      <c r="GF45">
        <f ca="1">tblBaseCF[[#This Row],[QuarterlyTotalPrem]]</f>
        <v>0</v>
      </c>
      <c r="GG45">
        <f ca="1">tblBaseCF[[#This Row],[MonthlyTP]]</f>
        <v>0</v>
      </c>
      <c r="GH45">
        <f ca="1">tblBaseCF[[#This Row],[MonthlyEP]]</f>
        <v>0</v>
      </c>
      <c r="GI45">
        <f ca="1">tblBaseCF[[#This Row],[MonthlyEMLoad]]</f>
        <v>0</v>
      </c>
      <c r="GJ45">
        <f ca="1">tblBaseCF[[#This Row],[MonthlyPMLoad]]</f>
        <v>0</v>
      </c>
      <c r="GK45">
        <f ca="1">tblBaseCF[[#This Row],[MonthlyLoad]]</f>
        <v>0</v>
      </c>
      <c r="GL45">
        <f ca="1">tblBaseCF[[#This Row],[MonthlyTotalPrem]]</f>
        <v>0</v>
      </c>
      <c r="GO45" t="s">
        <v>134</v>
      </c>
      <c r="GP45" t="s">
        <v>135</v>
      </c>
      <c r="GQ45" t="s">
        <v>502</v>
      </c>
      <c r="GR45">
        <v>25</v>
      </c>
      <c r="GS45">
        <v>24</v>
      </c>
      <c r="GT45">
        <v>1</v>
      </c>
      <c r="GU45" t="s">
        <v>457</v>
      </c>
      <c r="GV45">
        <v>23718479.846124101</v>
      </c>
      <c r="GW45">
        <v>210548068.31913799</v>
      </c>
      <c r="GX45">
        <v>234266548.16526201</v>
      </c>
      <c r="GY45">
        <v>0</v>
      </c>
      <c r="GZ45">
        <v>234266548.16526201</v>
      </c>
      <c r="HA45">
        <v>234266548.16526201</v>
      </c>
      <c r="HB45">
        <v>303000000</v>
      </c>
      <c r="HC45">
        <v>0</v>
      </c>
      <c r="HD45" t="s">
        <v>137</v>
      </c>
      <c r="HE45">
        <v>0</v>
      </c>
      <c r="HF45">
        <v>0</v>
      </c>
      <c r="HG45">
        <v>0</v>
      </c>
      <c r="HH45">
        <v>1072000</v>
      </c>
      <c r="HI45">
        <v>21440</v>
      </c>
      <c r="HJ45">
        <v>1050560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1072000</v>
      </c>
      <c r="HT45">
        <v>21440</v>
      </c>
      <c r="HU45">
        <v>1050560</v>
      </c>
      <c r="HV45">
        <v>151600000</v>
      </c>
      <c r="HW45">
        <v>7.0000000000000007E-2</v>
      </c>
      <c r="HX45">
        <v>0.96964931039809399</v>
      </c>
      <c r="HY45">
        <v>1</v>
      </c>
      <c r="HZ45">
        <v>300000</v>
      </c>
      <c r="IA45">
        <v>0</v>
      </c>
      <c r="IB45">
        <v>0</v>
      </c>
      <c r="IC45">
        <v>0</v>
      </c>
      <c r="ID45">
        <v>272700</v>
      </c>
      <c r="IE45">
        <v>572700</v>
      </c>
      <c r="IF45">
        <v>555318.16006498795</v>
      </c>
      <c r="IG45">
        <v>555318.16006498795</v>
      </c>
      <c r="IH45">
        <v>0</v>
      </c>
      <c r="II45">
        <v>1694960.51802414</v>
      </c>
      <c r="IJ45">
        <v>14738364.7823397</v>
      </c>
      <c r="IK45">
        <v>0</v>
      </c>
      <c r="IL45">
        <v>0</v>
      </c>
      <c r="IM45">
        <v>0</v>
      </c>
      <c r="IN45">
        <v>25908682.204083201</v>
      </c>
      <c r="IO45">
        <v>225286433.10147801</v>
      </c>
      <c r="IP45">
        <v>251195115.30556101</v>
      </c>
      <c r="IQ45">
        <v>536000</v>
      </c>
      <c r="IR45">
        <v>2600000</v>
      </c>
      <c r="IS45">
        <v>0</v>
      </c>
      <c r="IT45">
        <v>0</v>
      </c>
      <c r="IU45">
        <v>0</v>
      </c>
      <c r="IV45">
        <v>3136000</v>
      </c>
      <c r="IW45">
        <v>268000</v>
      </c>
      <c r="IX45">
        <v>1300000</v>
      </c>
      <c r="IY45">
        <v>0</v>
      </c>
      <c r="IZ45">
        <v>0</v>
      </c>
      <c r="JA45">
        <v>0</v>
      </c>
      <c r="JB45">
        <v>1568000</v>
      </c>
      <c r="JC45">
        <v>90000</v>
      </c>
      <c r="JD45">
        <v>434000</v>
      </c>
      <c r="JE45">
        <v>0</v>
      </c>
      <c r="JF45">
        <v>0</v>
      </c>
      <c r="JG45">
        <v>0</v>
      </c>
      <c r="JH45">
        <v>524000</v>
      </c>
    </row>
    <row r="46" spans="2:268" customFormat="1" x14ac:dyDescent="0.25">
      <c r="B46" s="2">
        <f ca="1">OFFSET(tblBaseCF[[#This Row],[Year]],-1,0)+1</f>
        <v>26</v>
      </c>
      <c r="C46" s="2">
        <f ca="1">(tblBaseCF[[#This Row],[Year]]&lt;=term)*1</f>
        <v>1</v>
      </c>
      <c r="D46" s="57">
        <f ca="1">(YEAR(rcd)+tblBaseCF[[#This Row],[Year]]-1)
*tblBaseCF[[#This Row],[PolTermFlag]]</f>
        <v>2050</v>
      </c>
      <c r="E46" s="57">
        <f ca="1">(mainLI_entry_age+tblBaseCF[[#This Row],[Year]]-1)
*tblBaseCF[[#This Row],[PolTermFlag]]</f>
        <v>25</v>
      </c>
      <c r="F46" s="57">
        <f ca="1">IF(tblBaseCF[[#This Row],[Year]]=1,1,OFFSET(tblBaseCF[[#This Row],[DeductFlag]],-1,0))
*tblBaseCF[[#This Row],[PolTermFlag]]</f>
        <v>0</v>
      </c>
      <c r="G4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6" s="57">
        <f ca="1">(tblBaseCF[[#This Row],[Year]]&lt;=acc_ben_term)
*tblBaseCF[[#This Row],[ContFlag]]</f>
        <v>0</v>
      </c>
      <c r="I46" s="57">
        <f ca="1">(tblBaseCF[[#This Row],[Year]]&lt;=tp_term)
*tblBaseCF[[#This Row],[ContFlag]]</f>
        <v>0</v>
      </c>
      <c r="J46" s="57">
        <f ca="1">(tblBaseCF[[#This Row],[Year]]&lt;=ep_term)
*tblBaseCF[[#This Row],[ContFlag]]</f>
        <v>0</v>
      </c>
      <c r="K46" s="57">
        <f ca="1">(tblBaseCF[[#This Row],[Year]]&lt;=em_load_term)*1</f>
        <v>0</v>
      </c>
      <c r="L46" s="57">
        <f ca="1">(tblBaseCF[[#This Row],[Year]]&lt;=pm_load_term)*1</f>
        <v>0</v>
      </c>
      <c r="M46" s="59">
        <f ca="1">IF(tblBaseCF[[#This Row],[Year]]=1,si,OFFSET(tblBaseCF[[#This Row],[EndSI]],-1,0))
*tblBaseCF[[#This Row],[ContFlag]]</f>
        <v>0</v>
      </c>
      <c r="N46" s="59">
        <f ca="1">OFFSET(tblBaseCF[[#This Row],[EndTAV]],-1,0)
*tblBaseCF[[#This Row],[ContFlag]]</f>
        <v>0</v>
      </c>
      <c r="O46" s="59">
        <f ca="1">OFFSET(tblBaseCF[[#This Row],[EndEAV]],-1,0)
*tblBaseCF[[#This Row],[ContFlag]]</f>
        <v>0</v>
      </c>
      <c r="P46" s="60">
        <f ca="1">tblBaseCF[[#This Row],[StartEAV]]+tblBaseCF[[#This Row],[StartTAV]]</f>
        <v>0</v>
      </c>
      <c r="Q46" s="61">
        <f ca="1">IFERROR(INDEX(tblJuvenileLienRate[Rate],MATCH(tblBaseCF[[#This Row],[Age]],tblJuvenileLienRate[Age],0)),1)
*tblBaseCF[[#This Row],[ContFlag]]</f>
        <v>0</v>
      </c>
      <c r="R4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6" s="62">
        <f ca="1">tblBaseCF[[#This Row],[StartSI]]*acc_ben_coeff*tblBaseCF[[#This Row],[JuvenileLienRate]]
*tblBaseCF[[#This Row],[AccBenTermFlag]]</f>
        <v>0</v>
      </c>
      <c r="T46" s="61">
        <f ca="1">(IFERROR(INDEX(tblSurrChrgRate[Rate],MATCH(tblBaseCF[[#This Row],[Year]],tblSurrChrgRate[Year],0)),0)
*tblBaseCF[[#This Row],[ContFlag]])</f>
        <v>0</v>
      </c>
      <c r="U46" s="60">
        <f ca="1">tp*tblBaseCF[[#This Row],[SrrChrgRate]]</f>
        <v>0</v>
      </c>
      <c r="V46" s="63">
        <f ca="1">MAX(tblBaseCF[[#This Row],[StartTAV]]-tblBaseCF[[#This Row],[SVChrg]],0)+tblBaseCF[[#This Row],[StartEAV]]</f>
        <v>0</v>
      </c>
      <c r="W46" s="59">
        <f ca="1">IFERROR(INDEX(tblWithdrawal_Output[Amount],MATCH(tblBaseCF[[#This Row],[Year]],tblWithdrawal_Output[Year],0)),0)
*tblBaseCF[[#This Row],[ContFlag]]</f>
        <v>0</v>
      </c>
      <c r="X46" s="59" t="b">
        <f ca="1">tblBaseCF[[#This Row],[WithdrawalInput]]&gt;0</f>
        <v>0</v>
      </c>
      <c r="Y46" s="59" t="b">
        <f ca="1">AND(tblBaseCF[[#This Row],[1stCheckProceed]],tblBaseCF[[#This Row],[WithdrawalInput]]&lt;=tblBaseCF[[#This Row],[StartPAV]])</f>
        <v>0</v>
      </c>
      <c r="Z46" s="59" t="b">
        <f ca="1">AND(tblBaseCF[[#This Row],[2ndCheckAmount]],(tblBaseCF[[#This Row],[StartPAV]]-tblBaseCF[[#This Row],[WithdrawalInput]])&gt;=min_pav_after_withdrawal)</f>
        <v>0</v>
      </c>
      <c r="AA4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6" s="59" t="b">
        <f ca="1">AND(tblBaseCF[[#This Row],[3rdCheckPAV]],tblBaseCF[[#This Row],[endSITest]]&gt;=min_base_si)</f>
        <v>0</v>
      </c>
      <c r="AC46" s="60">
        <f ca="1">tblBaseCF[[#This Row],[WithdrawalInput]]*tblBaseCF[[#This Row],[4thCheckSI]]</f>
        <v>0</v>
      </c>
      <c r="AD46" s="60">
        <f ca="1">MIN(tblBaseCF[[#This Row],[Withdrawal]],tblBaseCF[[#This Row],[StartEAV]])</f>
        <v>0</v>
      </c>
      <c r="AE46" s="60">
        <f ca="1">tblBaseCF[[#This Row],[Withdrawal]]-tblBaseCF[[#This Row],[EAVWithdrawal]]</f>
        <v>0</v>
      </c>
      <c r="AF46" s="60">
        <f ca="1">IF(tblBaseCF[[#This Row],[4thCheckSI]],tblBaseCF[[#This Row],[endSITest]],tblBaseCF[[#This Row],[StartSI]])</f>
        <v>0</v>
      </c>
      <c r="AG4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6" s="65">
        <f ca="1">IFERROR(INDEX(tblTPAllocChrgRate[Rate],MATCH(tblBaseCF[[#This Row],[Year]],tblTPAllocChrgRate[Year],0)),0)</f>
        <v>0.02</v>
      </c>
      <c r="AI46" s="62">
        <f ca="1">(tp+big_case_bonus_tp*(tblBaseCF[[#This Row],[Year]]=1))
*tblBaseCF[[#This Row],[TPTermFlag]]</f>
        <v>0</v>
      </c>
      <c r="AJ46" s="63">
        <f ca="1">tblBaseCF[[#This Row],[TP]]*tblBaseCF[[#This Row],[TPAllocChrgRate]]</f>
        <v>0</v>
      </c>
      <c r="AK46" s="60">
        <f ca="1">tblBaseCF[[#This Row],[TP]]-tblBaseCF[[#This Row],[TPAllocChrg]]</f>
        <v>0</v>
      </c>
      <c r="AL46" s="65">
        <f ca="1">IFERROR(INDEX(tblEPAllocChrgRate[Rate],MATCH(tblBaseCF[[#This Row],[Year]],tblEPAllocChrgRate[Year],0)),0)</f>
        <v>0.02</v>
      </c>
      <c r="AM46" s="60">
        <f ca="1">ep*tblBaseCF[[#This Row],[EPTermFlag]]</f>
        <v>0</v>
      </c>
      <c r="AN46" s="60">
        <f ca="1">tblBaseCF[[#This Row],[EP]]*tblBaseCF[[#This Row],[EPAllocChrgRate]]</f>
        <v>0</v>
      </c>
      <c r="AO46" s="63">
        <f ca="1">tblBaseCF[[#This Row],[EP]]-tblBaseCF[[#This Row],[EPAllocChrg]]</f>
        <v>0</v>
      </c>
      <c r="AP46" s="62">
        <f ca="1">tblBaseCF[[#This Row],[Ben]]*extra_prem_rate*em_load/1000/(1-tblBaseCF[[#This Row],[EPAllocChrgRate]])
*tblBaseCF[[#This Row],[EMLoadTermFlag]]</f>
        <v>0</v>
      </c>
      <c r="AQ46" s="62">
        <f ca="1">tblBaseCF[[#This Row],[Ben]]*pm_load/1000/(1-tblBaseCF[[#This Row],[EPAllocChrgRate]])
*tblBaseCF[[#This Row],[PMLoadTermFlag]]</f>
        <v>0</v>
      </c>
      <c r="AR46" s="60">
        <f ca="1">ROUNDUP(tblBaseCF[[#This Row],[UnroundedEMLoad]],-3)</f>
        <v>0</v>
      </c>
      <c r="AS46" s="62">
        <f ca="1">ROUNDUP(tblBaseCF[[#This Row],[Ben]]*pm_load/1000/(1-tblBaseCF[[#This Row],[EPAllocChrgRate]]),-3)
*tblBaseCF[[#This Row],[PMLoadTermFlag]]</f>
        <v>0</v>
      </c>
      <c r="AT46" s="60">
        <f ca="1">tblBaseCF[[#This Row],[EMLoad]]+tblBaseCF[[#This Row],[PMLoad]]</f>
        <v>0</v>
      </c>
      <c r="AU46" s="60">
        <f ca="1">tblBaseCF[[#This Row],[Load]]*tblBaseCF[[#This Row],[EPAllocChrgRate]]</f>
        <v>0</v>
      </c>
      <c r="AV46" s="60">
        <f ca="1">tblBaseCF[[#This Row],[Load]]-tblBaseCF[[#This Row],[LoadAllocChrg]]</f>
        <v>0</v>
      </c>
      <c r="AW46" s="60">
        <f ca="1">tblBaseCF[[#This Row],[TP]]+tblBaseCF[[#This Row],[EP]]+tblBaseCF[[#This Row],[Load]]</f>
        <v>0</v>
      </c>
      <c r="AX46" s="60">
        <f ca="1">tblBaseCF[[#This Row],[TPAllocChrg]]+tblBaseCF[[#This Row],[EPAllocChrg]]+tblBaseCF[[#This Row],[LoadAllocChrg]]</f>
        <v>0</v>
      </c>
      <c r="AY46" s="60">
        <f ca="1">tblBaseCF[[#This Row],[TPAlloc]]+tblBaseCF[[#This Row],[EPAlloc]]+tblBaseCF[[#This Row],[LoadAlloc]]</f>
        <v>0</v>
      </c>
      <c r="AZ46" s="60">
        <f ca="1">(OFFSET(tblBaseCF[[#This Row],[AccumTotalPrem]],-1,0)+tblBaseCF[[#This Row],[TotalPrem]])*tblBaseCF[[#This Row],[TPTermFlag]]</f>
        <v>0</v>
      </c>
      <c r="BA46" s="62">
        <f ca="1">(tblBaseCF[[#This Row],[StartTAV]]-tblBaseCF[[#This Row],[TAVWithdrawal]]+tblBaseCF[[#This Row],[TPAlloc]])
*tblBaseCF[[#This Row],[ContFlag]]</f>
        <v>0</v>
      </c>
      <c r="BB46" s="59">
        <f ca="1">(tblBaseCF[[#This Row],[StartEAV]]-tblBaseCF[[#This Row],[EAVWithdrawal]]+tblBaseCF[[#This Row],[EPAlloc]]+tblBaseCF[[#This Row],[LoadAlloc]])
*tblBaseCF[[#This Row],[ContFlag]]</f>
        <v>0</v>
      </c>
      <c r="BC46" s="59">
        <f ca="1">tblBaseCF[[#This Row],[TAVAfterWdrlAlloc]]+tblBaseCF[[#This Row],[EAVAfterWdrlAlloc]]</f>
        <v>0</v>
      </c>
      <c r="BD46" s="66">
        <f t="shared" si="2"/>
        <v>0</v>
      </c>
      <c r="BE46" s="67">
        <f>(1+tblBaseCF[[#This Row],[AnnualIntRate]])^(1/12)-1</f>
        <v>0</v>
      </c>
      <c r="BF46" s="68">
        <f>IFERROR(((1+tblBaseCF[[#This Row],[MonthlyIntRate]])^12-1)/12/(1-1/(1+tblBaseCF[[#This Row],[MonthlyIntRate]])),1)/(1+tblBaseCF[[#This Row],[AnnualIntRate]])</f>
        <v>1</v>
      </c>
      <c r="BG46" s="69">
        <f>PV(tblBaseCF[[#This Row],[MonthlyIntRate]],12,-1/12,,1)</f>
        <v>1</v>
      </c>
      <c r="BH46" s="60">
        <f ca="1">MAX(IF(death_tpd_option="A",tblBaseCF[[#This Row],[Ben]]-tblBaseCF[[#This Row],[StartPAV]],tblBaseCF[[#This Row],[Ben]]),0)</f>
        <v>0</v>
      </c>
      <c r="BI46" s="70">
        <f ca="1">IFERROR(INDEX(tblBaseCOIRate[Rate],MATCH(tblBaseCF[[#This Row],[Age]],tblBaseCOIRate[Age],0)),0)</f>
        <v>1.17E-3</v>
      </c>
      <c r="BJ46" s="60">
        <f ca="1">tblBaseCF[[#This Row],[SAR]]*tblBaseCF[[#This Row],[COIRate]]</f>
        <v>0</v>
      </c>
      <c r="BK46" s="62">
        <f ca="1">em_load*tblBaseCF[[#This Row],[pStandardCOI]]
*tblBaseCF[[#This Row],[EMLoadTermFlag]]</f>
        <v>0</v>
      </c>
      <c r="BL46" s="62">
        <f ca="1">pm_load/1000*tblBaseCF[[#This Row],[SAR]]
*tblBaseCF[[#This Row],[PMLoadTermFlag]]</f>
        <v>0</v>
      </c>
      <c r="BM46" s="60">
        <f ca="1">tblBaseCF[[#This Row],[AccBen]]*monthly_acc_coi*12</f>
        <v>0</v>
      </c>
      <c r="BN46" s="60">
        <f ca="1">tblBaseCF[[#This Row],[pStandardCOI]]+tblBaseCF[[#This Row],[pEMLoadCOI]]+tblBaseCF[[#This Row],[pPMLoadCOI]]+tblBaseCF[[#This Row],[pAccCOI]]</f>
        <v>0</v>
      </c>
      <c r="BO46" s="62">
        <f ca="1">IFERROR(INDEX(tblAdminChrg[Amount],MATCH(tblBaseCF[[#This Row],[CalYear]],tblAdminChrg[Cal_Year],0)),0)
*tblBaseCF[[#This Row],[ContFlag]]</f>
        <v>0</v>
      </c>
      <c r="BP46" s="60">
        <f ca="1">tblBaseCF[[#This Row],[pMonthlyAdminChrg]]*12</f>
        <v>0</v>
      </c>
      <c r="BQ46" s="60">
        <f ca="1">tblBaseCF[[#This Row],[pCOI]]+tblBaseCF[[#This Row],[pAdminChrg]]</f>
        <v>0</v>
      </c>
      <c r="BR46" s="60">
        <f ca="1">tblBaseCF[[#This Row],[pNomDeduct]]*tblBaseCF[[#This Row],[Duean1m12]]</f>
        <v>0</v>
      </c>
      <c r="BS46" s="57">
        <f ca="1">(tblBaseCF[[#This Row],[PAVAfterWdrlAlloc]]&gt;=tblBaseCF[[#This Row],[pNomDeduct]])
*tblBaseCF[[#This Row],[ContFlag]]</f>
        <v>0</v>
      </c>
      <c r="BT46" s="60">
        <f ca="1">tblBaseCF[[#This Row],[pStandardCOI]]*tblBaseCF[[#This Row],[DeductFlag]]</f>
        <v>0</v>
      </c>
      <c r="BU46" s="60">
        <f ca="1">tblBaseCF[[#This Row],[pEMLoadCOI]]*tblBaseCF[[#This Row],[DeductFlag]]</f>
        <v>0</v>
      </c>
      <c r="BV46" s="60">
        <f ca="1">tblBaseCF[[#This Row],[pPMLoadCOI]]*tblBaseCF[[#This Row],[DeductFlag]]</f>
        <v>0</v>
      </c>
      <c r="BW46" s="60">
        <f ca="1">tblBaseCF[[#This Row],[pAccCOI]]*tblBaseCF[[#This Row],[DeductFlag]]</f>
        <v>0</v>
      </c>
      <c r="BX46" s="60">
        <f ca="1">tblBaseCF[[#This Row],[pCOI]]*tblBaseCF[[#This Row],[DeductFlag]]</f>
        <v>0</v>
      </c>
      <c r="BY46" s="60">
        <f ca="1">tblBaseCF[[#This Row],[pMonthlyAdminChrg]]*tblBaseCF[[#This Row],[DeductFlag]]</f>
        <v>0</v>
      </c>
      <c r="BZ46" s="60">
        <f ca="1">tblBaseCF[[#This Row],[pAdminChrg]]*tblBaseCF[[#This Row],[DeductFlag]]</f>
        <v>0</v>
      </c>
      <c r="CA46" s="60">
        <f ca="1">tblBaseCF[[#This Row],[pNomDeduct]]*tblBaseCF[[#This Row],[DeductFlag]]</f>
        <v>0</v>
      </c>
      <c r="CB46" s="60">
        <f ca="1">tblBaseCF[[#This Row],[pDeduct]]*tblBaseCF[[#This Row],[DeductFlag]]</f>
        <v>0</v>
      </c>
      <c r="CC46" s="60">
        <f ca="1">MIN(tblBaseCF[[#This Row],[TAVAfterWdrlAlloc]],tblBaseCF[[#This Row],[Deduct]])</f>
        <v>0</v>
      </c>
      <c r="CD46" s="60">
        <f ca="1">tblBaseCF[[#This Row],[Deduct]]-tblBaseCF[[#This Row],[TAVDeduct]]</f>
        <v>0</v>
      </c>
      <c r="CE46" s="69">
        <f ca="1">(tblBaseCF[[#This Row],[TAVAfterWdrlAlloc]]-tblBaseCF[[#This Row],[TAVDeduct]])*tblBaseCF[[#This Row],[AnnualIntRate]]
*tblBaseCF[[#This Row],[DeductFlag]]</f>
        <v>0</v>
      </c>
      <c r="CF46" s="69">
        <f ca="1">(tblBaseCF[[#This Row],[EAVAfterWdrlAlloc]]-tblBaseCF[[#This Row],[EAVDeduct]])*tblBaseCF[[#This Row],[AnnualIntRate]]
*tblBaseCF[[#This Row],[DeductFlag]]</f>
        <v>0</v>
      </c>
      <c r="CG46" s="69">
        <f ca="1">tblBaseCF[[#This Row],[TAVInt]]+tblBaseCF[[#This Row],[EAVInt]]</f>
        <v>0</v>
      </c>
      <c r="CH46" s="62">
        <f ca="1">IFERROR(INDEX(tblLBRate[Rate],MATCH(tblBaseCF[[#This Row],[Year]],tblLBRate[Year],0)),0)
*tblBaseCF[[#This Row],[DeductFlag]]</f>
        <v>0</v>
      </c>
      <c r="CI46" s="60">
        <f ca="1">IFERROR(SUM(OFFSET(tblBaseCF[[#This Row],[TAVWithdrawal]],0,0,-lb_review_period,1)),0)
*(tblBaseCF[[#This Row],[LBRate]]&gt;0)</f>
        <v>0</v>
      </c>
      <c r="CJ46" s="60">
        <f ca="1">(tblBaseCF[[#This Row],[LBRate]]&gt;0)*(tblBaseCF[[#This Row],[LBTAVWithdrawal]]=0)</f>
        <v>0</v>
      </c>
      <c r="CK46" s="62" cm="1">
        <f t="array" aca="1" ref="CK46" ca="1">IF(tblBaseCF[[#This Row],[LBFlag]],
_xlfn.SWITCH(base,
"ILP1",AVERAGE(OFFSET(tblBaseCF[TP],0,0,-lb_review_period,1)),tp),0)
*tblBaseCF[[#This Row],[LBFlag]]</f>
        <v>0</v>
      </c>
      <c r="CL46" s="62">
        <f ca="1">tblBaseCF[[#This Row],[LBBasis]]*tblBaseCF[[#This Row],[LBRate]]</f>
        <v>0</v>
      </c>
      <c r="CM46" s="57" cm="1">
        <f t="array" aca="1" ref="CM46" ca="1">_xlfn.SWITCH(base,
"ILP1",0,($AF146&lt;500000000)*1
+($AF146&gt;=500000000)*($AF146&lt;1000000000)*2
+($AF146&gt;=1000000000)*3)
*tblBaseCF[[#This Row],[DeductFlag]]</f>
        <v>0</v>
      </c>
      <c r="CN46" s="2" t="str">
        <f ca="1">IF(tblBaseCF[[#This Row],[DeductFlag]],base&amp;"_"&amp;tblBaseCF[[#This Row],[SBCode]]&amp;"_"&amp;tblBaseCF[[#This Row],[Year]],"")</f>
        <v/>
      </c>
      <c r="CO46" s="3">
        <f ca="1">IFERROR(INDEX(tblSBRate[Index],MATCH(tblBaseCF[[#This Row],[SBIndex]],tblSBRate[Rate],0)),0)</f>
        <v>0</v>
      </c>
      <c r="CP46" s="63">
        <f ca="1">IFERROR(SUM(OFFSET(tblBaseCF[[#This Row],[TAVWithdrawal]],0,0,-sb_review_period,1)),0)
*(tblBaseCF[[#This Row],[SBRate]]&gt;0)</f>
        <v>0</v>
      </c>
      <c r="CQ46" s="63">
        <f ca="1">(tblBaseCF[[#This Row],[SBRate]]&gt;0)*(tblBaseCF[[#This Row],[SBTAVWithdrawal]]=0)</f>
        <v>0</v>
      </c>
      <c r="CR46" s="59" cm="1">
        <f t="array" aca="1" ref="CR46" ca="1">IF(tblBaseCF[[#This Row],[LBFlag]],
_xlfn.SWITCH(base,
"ILP1",0,tp),0)*tblBaseCF[[#This Row],[SBFlag]]</f>
        <v>0</v>
      </c>
      <c r="CS46" s="63">
        <f ca="1">tblBaseCF[[#This Row],[SBBasis]]*tblBaseCF[[#This Row],[SBRate]]</f>
        <v>0</v>
      </c>
      <c r="CT46" s="63">
        <f ca="1">tblBaseCF[[#This Row],[LB]]+tblBaseCF[[#This Row],[SB]]</f>
        <v>0</v>
      </c>
      <c r="CU46" s="59">
        <f ca="1">tblBaseCF[[#This Row],[TAVAfterWdrlAlloc]]-tblBaseCF[[#This Row],[TAVDeduct]]+tblBaseCF[[#This Row],[TAVInt]]+tblBaseCF[[#This Row],[Bonus]]</f>
        <v>0</v>
      </c>
      <c r="CV46" s="59">
        <f ca="1">tblBaseCF[[#This Row],[EAVAfterWdrlAlloc]]-tblBaseCF[[#This Row],[EAVDeduct]]+tblBaseCF[[#This Row],[EAVInt]]</f>
        <v>0</v>
      </c>
      <c r="CW46" s="63">
        <f ca="1">tblBaseCF[[#This Row],[EndTAV]]+tblBaseCF[[#This Row],[EndEAV]]</f>
        <v>0</v>
      </c>
      <c r="CX46" s="59">
        <f ca="1">INDEX(tblPlanPrem[TP],2)
*tblBaseCF[[#This Row],[TPTermFlag]]</f>
        <v>0</v>
      </c>
      <c r="CY46" s="59">
        <f ca="1">INDEX(tblPlanPrem[EP],2)
*tblBaseCF[[#This Row],[TPTermFlag]]</f>
        <v>0</v>
      </c>
      <c r="CZ46" s="63">
        <f ca="1">ROUNDUP(tblBaseCF[[#This Row],[UnroundedEMLoad]]*INDEX(tblPlanPrem[Factor],2),-3)</f>
        <v>0</v>
      </c>
      <c r="DA46" s="63">
        <f ca="1">ROUNDUP(tblBaseCF[[#This Row],[UnroundedPMLoad]]*INDEX(tblPlanPrem[Factor],2),-3)</f>
        <v>0</v>
      </c>
      <c r="DB46" s="63">
        <f ca="1">tblBaseCF[[#This Row],[SemiAnnualEMLoad]]+tblBaseCF[[#This Row],[SemiAnnualPMLoad]]</f>
        <v>0</v>
      </c>
      <c r="DC46" s="63">
        <f ca="1">tblBaseCF[[#This Row],[SemiAnnualTP]]+tblBaseCF[[#This Row],[SemiAnnualEP]]+tblBaseCF[[#This Row],[SemiAnnualLoad]]</f>
        <v>0</v>
      </c>
      <c r="DD46" s="59">
        <f ca="1">INDEX(tblPlanPrem[TP],3)
*tblBaseCF[[#This Row],[TPTermFlag]]</f>
        <v>0</v>
      </c>
      <c r="DE46" s="59">
        <f ca="1">INDEX(tblPlanPrem[EP],3)
*tblBaseCF[[#This Row],[TPTermFlag]]</f>
        <v>0</v>
      </c>
      <c r="DF46" s="63">
        <f ca="1">ROUNDUP(tblBaseCF[[#This Row],[UnroundedEMLoad]]*INDEX(tblPlanPrem[Factor],3),-3)</f>
        <v>0</v>
      </c>
      <c r="DG46" s="63">
        <f ca="1">ROUNDUP(tblBaseCF[[#This Row],[UnroundedPMLoad]]*INDEX(tblPlanPrem[Factor],3),-3)</f>
        <v>0</v>
      </c>
      <c r="DH46" s="60">
        <f ca="1">tblBaseCF[[#This Row],[QuarterlyEMLoad]]+tblBaseCF[[#This Row],[QuarterlyPMLoad]]</f>
        <v>0</v>
      </c>
      <c r="DI46" s="60">
        <f ca="1">tblBaseCF[[#This Row],[QuarterlyTP]]+tblBaseCF[[#This Row],[QuarterlyEP]]+tblBaseCF[[#This Row],[QuarterlyLoad]]</f>
        <v>0</v>
      </c>
      <c r="DJ46" s="59">
        <f ca="1">INDEX(tblPlanPrem[TP],4)
*tblBaseCF[[#This Row],[TPTermFlag]]</f>
        <v>0</v>
      </c>
      <c r="DK46" s="59">
        <f ca="1">INDEX(tblPlanPrem[EP],4)
*tblBaseCF[[#This Row],[TPTermFlag]]</f>
        <v>0</v>
      </c>
      <c r="DL46" s="63">
        <f ca="1">ROUNDUP(tblBaseCF[[#This Row],[UnroundedEMLoad]]*INDEX(tblPlanPrem[Factor],4),-3)</f>
        <v>0</v>
      </c>
      <c r="DM46" s="63">
        <f ca="1">ROUNDUP(tblBaseCF[[#This Row],[UnroundedPMLoad]]*INDEX(tblPlanPrem[Factor],4),-3)</f>
        <v>0</v>
      </c>
      <c r="DN46" s="60">
        <f ca="1">tblBaseCF[[#This Row],[MonthlyEMLoad]]+tblBaseCF[[#This Row],[MonthlyPMLoad]]</f>
        <v>0</v>
      </c>
      <c r="DO46" s="63">
        <f ca="1">tblBaseCF[[#This Row],[MonthlyTP]]+tblBaseCF[[#This Row],[MonthlyEP]]+tblBaseCF[[#This Row],[MonthlyLoad]]</f>
        <v>0</v>
      </c>
      <c r="DP46" s="3"/>
      <c r="DS46">
        <f t="shared" si="3"/>
        <v>0</v>
      </c>
      <c r="DT46">
        <f t="shared" si="4"/>
        <v>0</v>
      </c>
      <c r="DU46">
        <f t="shared" si="5"/>
        <v>0</v>
      </c>
      <c r="DV46">
        <f ca="1">tblBaseCF[[#This Row],[Year]]</f>
        <v>26</v>
      </c>
      <c r="DW46">
        <f ca="1">tblBaseCF[[#This Row],[Age]]</f>
        <v>25</v>
      </c>
      <c r="DX46">
        <f ca="1">tblBaseCF[[#This Row],[ContFlag]]</f>
        <v>0</v>
      </c>
      <c r="DY46" t="str">
        <f ca="1">tblBaseCF[[#This Row],[ContLog]]</f>
        <v>Insufficient PAV for deduction - Discontinue.</v>
      </c>
      <c r="DZ46">
        <f ca="1">tblBaseCF[[#This Row],[StartTAV]]</f>
        <v>0</v>
      </c>
      <c r="EA46">
        <f ca="1">tblBaseCF[[#This Row],[StartEAV]]</f>
        <v>0</v>
      </c>
      <c r="EB46">
        <f ca="1">tblBaseCF[[#This Row],[StartPAV]]</f>
        <v>0</v>
      </c>
      <c r="EC46">
        <f ca="1">tblBaseCF[[#This Row],[SVChrg]]</f>
        <v>0</v>
      </c>
      <c r="ED46">
        <f ca="1">tblBaseCF[[#This Row],[SV]]</f>
        <v>0</v>
      </c>
      <c r="EE46">
        <f ca="1">tblBaseCF[[#This Row],[Ben]]</f>
        <v>0</v>
      </c>
      <c r="EF46">
        <f ca="1">tblBaseCF[[#This Row],[AccBen]]</f>
        <v>0</v>
      </c>
      <c r="EG46">
        <f ca="1">tblBaseCF[[#This Row],[WithdrawalInput]]</f>
        <v>0</v>
      </c>
      <c r="EH46" t="str">
        <f ca="1">tblBaseCF[[#This Row],[WithdrawalLog]]</f>
        <v>No withdrawal.</v>
      </c>
      <c r="EI46">
        <f ca="1">tblBaseCF[[#This Row],[TAVWithdrawal]]</f>
        <v>0</v>
      </c>
      <c r="EJ46">
        <f ca="1">tblBaseCF[[#This Row],[EAVWithdrawal]]</f>
        <v>0</v>
      </c>
      <c r="EK46">
        <f ca="1">tblBaseCF[[#This Row],[Withdrawal]]</f>
        <v>0</v>
      </c>
      <c r="EL46">
        <f ca="1">tblBaseCF[[#This Row],[TP]]</f>
        <v>0</v>
      </c>
      <c r="EM46">
        <f ca="1">tblBaseCF[[#This Row],[TPAllocChrg]]</f>
        <v>0</v>
      </c>
      <c r="EN46">
        <f ca="1">tblBaseCF[[#This Row],[TPAlloc]]</f>
        <v>0</v>
      </c>
      <c r="EO46">
        <f ca="1">tblBaseCF[[#This Row],[EP]]</f>
        <v>0</v>
      </c>
      <c r="EP46">
        <f ca="1">tblBaseCF[[#This Row],[EPAllocChrg]]</f>
        <v>0</v>
      </c>
      <c r="EQ46">
        <f ca="1">tblBaseCF[[#This Row],[EPAlloc]]</f>
        <v>0</v>
      </c>
      <c r="ER46">
        <f ca="1">tblBaseCF[[#This Row],[EMLoad]]</f>
        <v>0</v>
      </c>
      <c r="ES46">
        <f ca="1">tblBaseCF[[#This Row],[PMLoad]]</f>
        <v>0</v>
      </c>
      <c r="ET46">
        <f ca="1">tblBaseCF[[#This Row],[Load]]</f>
        <v>0</v>
      </c>
      <c r="EU46">
        <f ca="1">tblBaseCF[[#This Row],[LoadAllocChrg]]</f>
        <v>0</v>
      </c>
      <c r="EV46">
        <f ca="1">tblBaseCF[[#This Row],[LoadAlloc]]</f>
        <v>0</v>
      </c>
      <c r="EW46">
        <f ca="1">tblBaseCF[[#This Row],[TotalPrem]]</f>
        <v>0</v>
      </c>
      <c r="EX46">
        <f ca="1">tblBaseCF[[#This Row],[AllocChrg]]</f>
        <v>0</v>
      </c>
      <c r="EY46">
        <f ca="1">tblBaseCF[[#This Row],[Alloc]]</f>
        <v>0</v>
      </c>
      <c r="EZ46">
        <f ca="1">tblBaseCF[[#This Row],[AccumTotalPrem]]</f>
        <v>0</v>
      </c>
      <c r="FA46">
        <f>tblBaseCF[[#This Row],[AnnualIntRate]]</f>
        <v>0</v>
      </c>
      <c r="FB46" s="50">
        <f>tblBaseCF[[#This Row],[Duean1m12]]</f>
        <v>1</v>
      </c>
      <c r="FC46">
        <f ca="1">tblBaseCF[[#This Row],[DeductFlag]]</f>
        <v>0</v>
      </c>
      <c r="FD46">
        <f ca="1">tblBaseCF[[#This Row],[AdminChrg]]</f>
        <v>0</v>
      </c>
      <c r="FE46">
        <f ca="1">tblBaseCF[[#This Row],[StandardCOI]]</f>
        <v>0</v>
      </c>
      <c r="FF46">
        <f ca="1">tblBaseCF[[#This Row],[EMLoadCOI]]</f>
        <v>0</v>
      </c>
      <c r="FG46">
        <f ca="1">tblBaseCF[[#This Row],[PMLoadCOI]]</f>
        <v>0</v>
      </c>
      <c r="FH46">
        <f ca="1">tblBaseCF[[#This Row],[COI]]</f>
        <v>0</v>
      </c>
      <c r="FI46" s="47">
        <f ca="1">tblBaseCF[[#This Row],[NomDeduct]]</f>
        <v>0</v>
      </c>
      <c r="FJ46">
        <f ca="1">tblBaseCF[[#This Row],[Deduct]]</f>
        <v>0</v>
      </c>
      <c r="FK46">
        <f ca="1">tblBaseCF[[#This Row],[TAVDeduct]]</f>
        <v>0</v>
      </c>
      <c r="FL46">
        <f ca="1">tblBaseCF[[#This Row],[EAVDeduct]]</f>
        <v>0</v>
      </c>
      <c r="FM46" s="24">
        <f ca="1">tblBaseCF[[#This Row],[TAVInt]]</f>
        <v>0</v>
      </c>
      <c r="FN46">
        <f ca="1">tblBaseCF[[#This Row],[EAVInt]]</f>
        <v>0</v>
      </c>
      <c r="FO46" s="47">
        <f ca="1">tblBaseCF[[#This Row],[LB]]</f>
        <v>0</v>
      </c>
      <c r="FP46">
        <f ca="1">tblBaseCF[[#This Row],[SB]]</f>
        <v>0</v>
      </c>
      <c r="FQ46">
        <f ca="1">tblBaseCF[[#This Row],[Bonus]]</f>
        <v>0</v>
      </c>
      <c r="FR46">
        <f ca="1">tblBaseCF[[#This Row],[EndTAV]]</f>
        <v>0</v>
      </c>
      <c r="FS46">
        <f ca="1">tblBaseCF[[#This Row],[EndEAV]]</f>
        <v>0</v>
      </c>
      <c r="FT46">
        <f ca="1">tblBaseCF[[#This Row],[EndPAV]]</f>
        <v>0</v>
      </c>
      <c r="FU46">
        <f ca="1">tblBaseCF[[#This Row],[SemiAnnualTP]]</f>
        <v>0</v>
      </c>
      <c r="FV46">
        <f ca="1">tblBaseCF[[#This Row],[SemiAnnualEP]]</f>
        <v>0</v>
      </c>
      <c r="FW46">
        <f ca="1">tblBaseCF[[#This Row],[SemiAnnualEMLoad]]</f>
        <v>0</v>
      </c>
      <c r="FX46">
        <f ca="1">tblBaseCF[[#This Row],[SemiAnnualPMLoad]]</f>
        <v>0</v>
      </c>
      <c r="FY46">
        <f ca="1">tblBaseCF[[#This Row],[SemiAnnualLoad]]</f>
        <v>0</v>
      </c>
      <c r="FZ46">
        <f ca="1">tblBaseCF[[#This Row],[SemiAnnualTotalPrem]]</f>
        <v>0</v>
      </c>
      <c r="GA46">
        <f ca="1">tblBaseCF[[#This Row],[QuarterlyTP]]</f>
        <v>0</v>
      </c>
      <c r="GB46">
        <f ca="1">tblBaseCF[[#This Row],[QuarterlyEP]]</f>
        <v>0</v>
      </c>
      <c r="GC46">
        <f ca="1">tblBaseCF[[#This Row],[QuarterlyEMLoad]]</f>
        <v>0</v>
      </c>
      <c r="GD46">
        <f ca="1">tblBaseCF[[#This Row],[QuarterlyPMLoad]]</f>
        <v>0</v>
      </c>
      <c r="GE46">
        <f ca="1">tblBaseCF[[#This Row],[QuarterlyLoad]]</f>
        <v>0</v>
      </c>
      <c r="GF46">
        <f ca="1">tblBaseCF[[#This Row],[QuarterlyTotalPrem]]</f>
        <v>0</v>
      </c>
      <c r="GG46">
        <f ca="1">tblBaseCF[[#This Row],[MonthlyTP]]</f>
        <v>0</v>
      </c>
      <c r="GH46">
        <f ca="1">tblBaseCF[[#This Row],[MonthlyEP]]</f>
        <v>0</v>
      </c>
      <c r="GI46">
        <f ca="1">tblBaseCF[[#This Row],[MonthlyEMLoad]]</f>
        <v>0</v>
      </c>
      <c r="GJ46">
        <f ca="1">tblBaseCF[[#This Row],[MonthlyPMLoad]]</f>
        <v>0</v>
      </c>
      <c r="GK46">
        <f ca="1">tblBaseCF[[#This Row],[MonthlyLoad]]</f>
        <v>0</v>
      </c>
      <c r="GL46">
        <f ca="1">tblBaseCF[[#This Row],[MonthlyTotalPrem]]</f>
        <v>0</v>
      </c>
      <c r="GO46" t="s">
        <v>134</v>
      </c>
      <c r="GP46" t="s">
        <v>135</v>
      </c>
      <c r="GQ46" t="s">
        <v>502</v>
      </c>
      <c r="GR46">
        <v>26</v>
      </c>
      <c r="GS46">
        <v>25</v>
      </c>
      <c r="GT46">
        <v>1</v>
      </c>
      <c r="GU46" t="s">
        <v>457</v>
      </c>
      <c r="GV46">
        <v>25908682.204083201</v>
      </c>
      <c r="GW46">
        <v>225286433.10147801</v>
      </c>
      <c r="GX46">
        <v>251195115.30556101</v>
      </c>
      <c r="GY46">
        <v>0</v>
      </c>
      <c r="GZ46">
        <v>251195115.30556101</v>
      </c>
      <c r="HA46">
        <v>251195115.30556101</v>
      </c>
      <c r="HB46">
        <v>303000000</v>
      </c>
      <c r="HC46">
        <v>0</v>
      </c>
      <c r="HD46" t="s">
        <v>137</v>
      </c>
      <c r="HE46">
        <v>0</v>
      </c>
      <c r="HF46">
        <v>0</v>
      </c>
      <c r="HG46">
        <v>0</v>
      </c>
      <c r="HH46">
        <v>1072000</v>
      </c>
      <c r="HI46">
        <v>21440</v>
      </c>
      <c r="HJ46">
        <v>1050560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1072000</v>
      </c>
      <c r="HT46">
        <v>21440</v>
      </c>
      <c r="HU46">
        <v>1050560</v>
      </c>
      <c r="HV46">
        <v>152672000</v>
      </c>
      <c r="HW46">
        <v>7.0000000000000007E-2</v>
      </c>
      <c r="HX46">
        <v>0.96964931039809399</v>
      </c>
      <c r="HY46">
        <v>1</v>
      </c>
      <c r="HZ46">
        <v>300000</v>
      </c>
      <c r="IA46">
        <v>0</v>
      </c>
      <c r="IB46">
        <v>0</v>
      </c>
      <c r="IC46">
        <v>0</v>
      </c>
      <c r="ID46">
        <v>272700</v>
      </c>
      <c r="IE46">
        <v>572700</v>
      </c>
      <c r="IF46">
        <v>555318.16006498795</v>
      </c>
      <c r="IG46">
        <v>555318.16006498795</v>
      </c>
      <c r="IH46">
        <v>0</v>
      </c>
      <c r="II46">
        <v>1848274.68308128</v>
      </c>
      <c r="IJ46">
        <v>15770050.3171035</v>
      </c>
      <c r="IK46">
        <v>0</v>
      </c>
      <c r="IL46">
        <v>0</v>
      </c>
      <c r="IM46">
        <v>0</v>
      </c>
      <c r="IN46">
        <v>28252198.727099501</v>
      </c>
      <c r="IO46">
        <v>241056483.41858101</v>
      </c>
      <c r="IP46">
        <v>269308682.14568102</v>
      </c>
      <c r="IQ46">
        <v>536000</v>
      </c>
      <c r="IR46">
        <v>2600000</v>
      </c>
      <c r="IS46">
        <v>0</v>
      </c>
      <c r="IT46">
        <v>0</v>
      </c>
      <c r="IU46">
        <v>0</v>
      </c>
      <c r="IV46">
        <v>3136000</v>
      </c>
      <c r="IW46">
        <v>268000</v>
      </c>
      <c r="IX46">
        <v>1300000</v>
      </c>
      <c r="IY46">
        <v>0</v>
      </c>
      <c r="IZ46">
        <v>0</v>
      </c>
      <c r="JA46">
        <v>0</v>
      </c>
      <c r="JB46">
        <v>1568000</v>
      </c>
      <c r="JC46">
        <v>90000</v>
      </c>
      <c r="JD46">
        <v>434000</v>
      </c>
      <c r="JE46">
        <v>0</v>
      </c>
      <c r="JF46">
        <v>0</v>
      </c>
      <c r="JG46">
        <v>0</v>
      </c>
      <c r="JH46">
        <v>524000</v>
      </c>
    </row>
    <row r="47" spans="2:268" customFormat="1" x14ac:dyDescent="0.25">
      <c r="B47" s="2">
        <f ca="1">OFFSET(tblBaseCF[[#This Row],[Year]],-1,0)+1</f>
        <v>27</v>
      </c>
      <c r="C47" s="2">
        <f ca="1">(tblBaseCF[[#This Row],[Year]]&lt;=term)*1</f>
        <v>1</v>
      </c>
      <c r="D47" s="57">
        <f ca="1">(YEAR(rcd)+tblBaseCF[[#This Row],[Year]]-1)
*tblBaseCF[[#This Row],[PolTermFlag]]</f>
        <v>2051</v>
      </c>
      <c r="E47" s="57">
        <f ca="1">(mainLI_entry_age+tblBaseCF[[#This Row],[Year]]-1)
*tblBaseCF[[#This Row],[PolTermFlag]]</f>
        <v>26</v>
      </c>
      <c r="F47" s="57">
        <f ca="1">IF(tblBaseCF[[#This Row],[Year]]=1,1,OFFSET(tblBaseCF[[#This Row],[DeductFlag]],-1,0))
*tblBaseCF[[#This Row],[PolTermFlag]]</f>
        <v>0</v>
      </c>
      <c r="G4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7" s="57">
        <f ca="1">(tblBaseCF[[#This Row],[Year]]&lt;=acc_ben_term)
*tblBaseCF[[#This Row],[ContFlag]]</f>
        <v>0</v>
      </c>
      <c r="I47" s="57">
        <f ca="1">(tblBaseCF[[#This Row],[Year]]&lt;=tp_term)
*tblBaseCF[[#This Row],[ContFlag]]</f>
        <v>0</v>
      </c>
      <c r="J47" s="57">
        <f ca="1">(tblBaseCF[[#This Row],[Year]]&lt;=ep_term)
*tblBaseCF[[#This Row],[ContFlag]]</f>
        <v>0</v>
      </c>
      <c r="K47" s="57">
        <f ca="1">(tblBaseCF[[#This Row],[Year]]&lt;=em_load_term)*1</f>
        <v>0</v>
      </c>
      <c r="L47" s="57">
        <f ca="1">(tblBaseCF[[#This Row],[Year]]&lt;=pm_load_term)*1</f>
        <v>0</v>
      </c>
      <c r="M47" s="59">
        <f ca="1">IF(tblBaseCF[[#This Row],[Year]]=1,si,OFFSET(tblBaseCF[[#This Row],[EndSI]],-1,0))
*tblBaseCF[[#This Row],[ContFlag]]</f>
        <v>0</v>
      </c>
      <c r="N47" s="59">
        <f ca="1">OFFSET(tblBaseCF[[#This Row],[EndTAV]],-1,0)
*tblBaseCF[[#This Row],[ContFlag]]</f>
        <v>0</v>
      </c>
      <c r="O47" s="59">
        <f ca="1">OFFSET(tblBaseCF[[#This Row],[EndEAV]],-1,0)
*tblBaseCF[[#This Row],[ContFlag]]</f>
        <v>0</v>
      </c>
      <c r="P47" s="60">
        <f ca="1">tblBaseCF[[#This Row],[StartEAV]]+tblBaseCF[[#This Row],[StartTAV]]</f>
        <v>0</v>
      </c>
      <c r="Q47" s="61">
        <f ca="1">IFERROR(INDEX(tblJuvenileLienRate[Rate],MATCH(tblBaseCF[[#This Row],[Age]],tblJuvenileLienRate[Age],0)),1)
*tblBaseCF[[#This Row],[ContFlag]]</f>
        <v>0</v>
      </c>
      <c r="R4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7" s="62">
        <f ca="1">tblBaseCF[[#This Row],[StartSI]]*acc_ben_coeff*tblBaseCF[[#This Row],[JuvenileLienRate]]
*tblBaseCF[[#This Row],[AccBenTermFlag]]</f>
        <v>0</v>
      </c>
      <c r="T47" s="61">
        <f ca="1">(IFERROR(INDEX(tblSurrChrgRate[Rate],MATCH(tblBaseCF[[#This Row],[Year]],tblSurrChrgRate[Year],0)),0)
*tblBaseCF[[#This Row],[ContFlag]])</f>
        <v>0</v>
      </c>
      <c r="U47" s="60">
        <f ca="1">tp*tblBaseCF[[#This Row],[SrrChrgRate]]</f>
        <v>0</v>
      </c>
      <c r="V47" s="63">
        <f ca="1">MAX(tblBaseCF[[#This Row],[StartTAV]]-tblBaseCF[[#This Row],[SVChrg]],0)+tblBaseCF[[#This Row],[StartEAV]]</f>
        <v>0</v>
      </c>
      <c r="W47" s="59">
        <f ca="1">IFERROR(INDEX(tblWithdrawal_Output[Amount],MATCH(tblBaseCF[[#This Row],[Year]],tblWithdrawal_Output[Year],0)),0)
*tblBaseCF[[#This Row],[ContFlag]]</f>
        <v>0</v>
      </c>
      <c r="X47" s="59" t="b">
        <f ca="1">tblBaseCF[[#This Row],[WithdrawalInput]]&gt;0</f>
        <v>0</v>
      </c>
      <c r="Y47" s="59" t="b">
        <f ca="1">AND(tblBaseCF[[#This Row],[1stCheckProceed]],tblBaseCF[[#This Row],[WithdrawalInput]]&lt;=tblBaseCF[[#This Row],[StartPAV]])</f>
        <v>0</v>
      </c>
      <c r="Z47" s="59" t="b">
        <f ca="1">AND(tblBaseCF[[#This Row],[2ndCheckAmount]],(tblBaseCF[[#This Row],[StartPAV]]-tblBaseCF[[#This Row],[WithdrawalInput]])&gt;=min_pav_after_withdrawal)</f>
        <v>0</v>
      </c>
      <c r="AA4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7" s="59" t="b">
        <f ca="1">AND(tblBaseCF[[#This Row],[3rdCheckPAV]],tblBaseCF[[#This Row],[endSITest]]&gt;=min_base_si)</f>
        <v>0</v>
      </c>
      <c r="AC47" s="60">
        <f ca="1">tblBaseCF[[#This Row],[WithdrawalInput]]*tblBaseCF[[#This Row],[4thCheckSI]]</f>
        <v>0</v>
      </c>
      <c r="AD47" s="60">
        <f ca="1">MIN(tblBaseCF[[#This Row],[Withdrawal]],tblBaseCF[[#This Row],[StartEAV]])</f>
        <v>0</v>
      </c>
      <c r="AE47" s="60">
        <f ca="1">tblBaseCF[[#This Row],[Withdrawal]]-tblBaseCF[[#This Row],[EAVWithdrawal]]</f>
        <v>0</v>
      </c>
      <c r="AF47" s="60">
        <f ca="1">IF(tblBaseCF[[#This Row],[4thCheckSI]],tblBaseCF[[#This Row],[endSITest]],tblBaseCF[[#This Row],[StartSI]])</f>
        <v>0</v>
      </c>
      <c r="AG4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7" s="65">
        <f ca="1">IFERROR(INDEX(tblTPAllocChrgRate[Rate],MATCH(tblBaseCF[[#This Row],[Year]],tblTPAllocChrgRate[Year],0)),0)</f>
        <v>0.02</v>
      </c>
      <c r="AI47" s="62">
        <f ca="1">(tp+big_case_bonus_tp*(tblBaseCF[[#This Row],[Year]]=1))
*tblBaseCF[[#This Row],[TPTermFlag]]</f>
        <v>0</v>
      </c>
      <c r="AJ47" s="63">
        <f ca="1">tblBaseCF[[#This Row],[TP]]*tblBaseCF[[#This Row],[TPAllocChrgRate]]</f>
        <v>0</v>
      </c>
      <c r="AK47" s="60">
        <f ca="1">tblBaseCF[[#This Row],[TP]]-tblBaseCF[[#This Row],[TPAllocChrg]]</f>
        <v>0</v>
      </c>
      <c r="AL47" s="65">
        <f ca="1">IFERROR(INDEX(tblEPAllocChrgRate[Rate],MATCH(tblBaseCF[[#This Row],[Year]],tblEPAllocChrgRate[Year],0)),0)</f>
        <v>0.02</v>
      </c>
      <c r="AM47" s="60">
        <f ca="1">ep*tblBaseCF[[#This Row],[EPTermFlag]]</f>
        <v>0</v>
      </c>
      <c r="AN47" s="60">
        <f ca="1">tblBaseCF[[#This Row],[EP]]*tblBaseCF[[#This Row],[EPAllocChrgRate]]</f>
        <v>0</v>
      </c>
      <c r="AO47" s="63">
        <f ca="1">tblBaseCF[[#This Row],[EP]]-tblBaseCF[[#This Row],[EPAllocChrg]]</f>
        <v>0</v>
      </c>
      <c r="AP47" s="62">
        <f ca="1">tblBaseCF[[#This Row],[Ben]]*extra_prem_rate*em_load/1000/(1-tblBaseCF[[#This Row],[EPAllocChrgRate]])
*tblBaseCF[[#This Row],[EMLoadTermFlag]]</f>
        <v>0</v>
      </c>
      <c r="AQ47" s="62">
        <f ca="1">tblBaseCF[[#This Row],[Ben]]*pm_load/1000/(1-tblBaseCF[[#This Row],[EPAllocChrgRate]])
*tblBaseCF[[#This Row],[PMLoadTermFlag]]</f>
        <v>0</v>
      </c>
      <c r="AR47" s="60">
        <f ca="1">ROUNDUP(tblBaseCF[[#This Row],[UnroundedEMLoad]],-3)</f>
        <v>0</v>
      </c>
      <c r="AS47" s="62">
        <f ca="1">ROUNDUP(tblBaseCF[[#This Row],[Ben]]*pm_load/1000/(1-tblBaseCF[[#This Row],[EPAllocChrgRate]]),-3)
*tblBaseCF[[#This Row],[PMLoadTermFlag]]</f>
        <v>0</v>
      </c>
      <c r="AT47" s="60">
        <f ca="1">tblBaseCF[[#This Row],[EMLoad]]+tblBaseCF[[#This Row],[PMLoad]]</f>
        <v>0</v>
      </c>
      <c r="AU47" s="60">
        <f ca="1">tblBaseCF[[#This Row],[Load]]*tblBaseCF[[#This Row],[EPAllocChrgRate]]</f>
        <v>0</v>
      </c>
      <c r="AV47" s="60">
        <f ca="1">tblBaseCF[[#This Row],[Load]]-tblBaseCF[[#This Row],[LoadAllocChrg]]</f>
        <v>0</v>
      </c>
      <c r="AW47" s="60">
        <f ca="1">tblBaseCF[[#This Row],[TP]]+tblBaseCF[[#This Row],[EP]]+tblBaseCF[[#This Row],[Load]]</f>
        <v>0</v>
      </c>
      <c r="AX47" s="60">
        <f ca="1">tblBaseCF[[#This Row],[TPAllocChrg]]+tblBaseCF[[#This Row],[EPAllocChrg]]+tblBaseCF[[#This Row],[LoadAllocChrg]]</f>
        <v>0</v>
      </c>
      <c r="AY47" s="60">
        <f ca="1">tblBaseCF[[#This Row],[TPAlloc]]+tblBaseCF[[#This Row],[EPAlloc]]+tblBaseCF[[#This Row],[LoadAlloc]]</f>
        <v>0</v>
      </c>
      <c r="AZ47" s="60">
        <f ca="1">(OFFSET(tblBaseCF[[#This Row],[AccumTotalPrem]],-1,0)+tblBaseCF[[#This Row],[TotalPrem]])*tblBaseCF[[#This Row],[TPTermFlag]]</f>
        <v>0</v>
      </c>
      <c r="BA47" s="62">
        <f ca="1">(tblBaseCF[[#This Row],[StartTAV]]-tblBaseCF[[#This Row],[TAVWithdrawal]]+tblBaseCF[[#This Row],[TPAlloc]])
*tblBaseCF[[#This Row],[ContFlag]]</f>
        <v>0</v>
      </c>
      <c r="BB47" s="59">
        <f ca="1">(tblBaseCF[[#This Row],[StartEAV]]-tblBaseCF[[#This Row],[EAVWithdrawal]]+tblBaseCF[[#This Row],[EPAlloc]]+tblBaseCF[[#This Row],[LoadAlloc]])
*tblBaseCF[[#This Row],[ContFlag]]</f>
        <v>0</v>
      </c>
      <c r="BC47" s="59">
        <f ca="1">tblBaseCF[[#This Row],[TAVAfterWdrlAlloc]]+tblBaseCF[[#This Row],[EAVAfterWdrlAlloc]]</f>
        <v>0</v>
      </c>
      <c r="BD47" s="66">
        <f t="shared" si="2"/>
        <v>0</v>
      </c>
      <c r="BE47" s="67">
        <f>(1+tblBaseCF[[#This Row],[AnnualIntRate]])^(1/12)-1</f>
        <v>0</v>
      </c>
      <c r="BF47" s="68">
        <f>IFERROR(((1+tblBaseCF[[#This Row],[MonthlyIntRate]])^12-1)/12/(1-1/(1+tblBaseCF[[#This Row],[MonthlyIntRate]])),1)/(1+tblBaseCF[[#This Row],[AnnualIntRate]])</f>
        <v>1</v>
      </c>
      <c r="BG47" s="69">
        <f>PV(tblBaseCF[[#This Row],[MonthlyIntRate]],12,-1/12,,1)</f>
        <v>1</v>
      </c>
      <c r="BH47" s="60">
        <f ca="1">MAX(IF(death_tpd_option="A",tblBaseCF[[#This Row],[Ben]]-tblBaseCF[[#This Row],[StartPAV]],tblBaseCF[[#This Row],[Ben]]),0)</f>
        <v>0</v>
      </c>
      <c r="BI47" s="70">
        <f ca="1">IFERROR(INDEX(tblBaseCOIRate[Rate],MATCH(tblBaseCF[[#This Row],[Age]],tblBaseCOIRate[Age],0)),0)</f>
        <v>1.1999999999999799E-3</v>
      </c>
      <c r="BJ47" s="60">
        <f ca="1">tblBaseCF[[#This Row],[SAR]]*tblBaseCF[[#This Row],[COIRate]]</f>
        <v>0</v>
      </c>
      <c r="BK47" s="62">
        <f ca="1">em_load*tblBaseCF[[#This Row],[pStandardCOI]]
*tblBaseCF[[#This Row],[EMLoadTermFlag]]</f>
        <v>0</v>
      </c>
      <c r="BL47" s="62">
        <f ca="1">pm_load/1000*tblBaseCF[[#This Row],[SAR]]
*tblBaseCF[[#This Row],[PMLoadTermFlag]]</f>
        <v>0</v>
      </c>
      <c r="BM47" s="60">
        <f ca="1">tblBaseCF[[#This Row],[AccBen]]*monthly_acc_coi*12</f>
        <v>0</v>
      </c>
      <c r="BN47" s="60">
        <f ca="1">tblBaseCF[[#This Row],[pStandardCOI]]+tblBaseCF[[#This Row],[pEMLoadCOI]]+tblBaseCF[[#This Row],[pPMLoadCOI]]+tblBaseCF[[#This Row],[pAccCOI]]</f>
        <v>0</v>
      </c>
      <c r="BO47" s="62">
        <f ca="1">IFERROR(INDEX(tblAdminChrg[Amount],MATCH(tblBaseCF[[#This Row],[CalYear]],tblAdminChrg[Cal_Year],0)),0)
*tblBaseCF[[#This Row],[ContFlag]]</f>
        <v>0</v>
      </c>
      <c r="BP47" s="60">
        <f ca="1">tblBaseCF[[#This Row],[pMonthlyAdminChrg]]*12</f>
        <v>0</v>
      </c>
      <c r="BQ47" s="60">
        <f ca="1">tblBaseCF[[#This Row],[pCOI]]+tblBaseCF[[#This Row],[pAdminChrg]]</f>
        <v>0</v>
      </c>
      <c r="BR47" s="60">
        <f ca="1">tblBaseCF[[#This Row],[pNomDeduct]]*tblBaseCF[[#This Row],[Duean1m12]]</f>
        <v>0</v>
      </c>
      <c r="BS47" s="57">
        <f ca="1">(tblBaseCF[[#This Row],[PAVAfterWdrlAlloc]]&gt;=tblBaseCF[[#This Row],[pNomDeduct]])
*tblBaseCF[[#This Row],[ContFlag]]</f>
        <v>0</v>
      </c>
      <c r="BT47" s="60">
        <f ca="1">tblBaseCF[[#This Row],[pStandardCOI]]*tblBaseCF[[#This Row],[DeductFlag]]</f>
        <v>0</v>
      </c>
      <c r="BU47" s="60">
        <f ca="1">tblBaseCF[[#This Row],[pEMLoadCOI]]*tblBaseCF[[#This Row],[DeductFlag]]</f>
        <v>0</v>
      </c>
      <c r="BV47" s="60">
        <f ca="1">tblBaseCF[[#This Row],[pPMLoadCOI]]*tblBaseCF[[#This Row],[DeductFlag]]</f>
        <v>0</v>
      </c>
      <c r="BW47" s="60">
        <f ca="1">tblBaseCF[[#This Row],[pAccCOI]]*tblBaseCF[[#This Row],[DeductFlag]]</f>
        <v>0</v>
      </c>
      <c r="BX47" s="60">
        <f ca="1">tblBaseCF[[#This Row],[pCOI]]*tblBaseCF[[#This Row],[DeductFlag]]</f>
        <v>0</v>
      </c>
      <c r="BY47" s="60">
        <f ca="1">tblBaseCF[[#This Row],[pMonthlyAdminChrg]]*tblBaseCF[[#This Row],[DeductFlag]]</f>
        <v>0</v>
      </c>
      <c r="BZ47" s="60">
        <f ca="1">tblBaseCF[[#This Row],[pAdminChrg]]*tblBaseCF[[#This Row],[DeductFlag]]</f>
        <v>0</v>
      </c>
      <c r="CA47" s="60">
        <f ca="1">tblBaseCF[[#This Row],[pNomDeduct]]*tblBaseCF[[#This Row],[DeductFlag]]</f>
        <v>0</v>
      </c>
      <c r="CB47" s="60">
        <f ca="1">tblBaseCF[[#This Row],[pDeduct]]*tblBaseCF[[#This Row],[DeductFlag]]</f>
        <v>0</v>
      </c>
      <c r="CC47" s="60">
        <f ca="1">MIN(tblBaseCF[[#This Row],[TAVAfterWdrlAlloc]],tblBaseCF[[#This Row],[Deduct]])</f>
        <v>0</v>
      </c>
      <c r="CD47" s="60">
        <f ca="1">tblBaseCF[[#This Row],[Deduct]]-tblBaseCF[[#This Row],[TAVDeduct]]</f>
        <v>0</v>
      </c>
      <c r="CE47" s="69">
        <f ca="1">(tblBaseCF[[#This Row],[TAVAfterWdrlAlloc]]-tblBaseCF[[#This Row],[TAVDeduct]])*tblBaseCF[[#This Row],[AnnualIntRate]]
*tblBaseCF[[#This Row],[DeductFlag]]</f>
        <v>0</v>
      </c>
      <c r="CF47" s="69">
        <f ca="1">(tblBaseCF[[#This Row],[EAVAfterWdrlAlloc]]-tblBaseCF[[#This Row],[EAVDeduct]])*tblBaseCF[[#This Row],[AnnualIntRate]]
*tblBaseCF[[#This Row],[DeductFlag]]</f>
        <v>0</v>
      </c>
      <c r="CG47" s="69">
        <f ca="1">tblBaseCF[[#This Row],[TAVInt]]+tblBaseCF[[#This Row],[EAVInt]]</f>
        <v>0</v>
      </c>
      <c r="CH47" s="62">
        <f ca="1">IFERROR(INDEX(tblLBRate[Rate],MATCH(tblBaseCF[[#This Row],[Year]],tblLBRate[Year],0)),0)
*tblBaseCF[[#This Row],[DeductFlag]]</f>
        <v>0</v>
      </c>
      <c r="CI47" s="60">
        <f ca="1">IFERROR(SUM(OFFSET(tblBaseCF[[#This Row],[TAVWithdrawal]],0,0,-lb_review_period,1)),0)
*(tblBaseCF[[#This Row],[LBRate]]&gt;0)</f>
        <v>0</v>
      </c>
      <c r="CJ47" s="60">
        <f ca="1">(tblBaseCF[[#This Row],[LBRate]]&gt;0)*(tblBaseCF[[#This Row],[LBTAVWithdrawal]]=0)</f>
        <v>0</v>
      </c>
      <c r="CK47" s="62" cm="1">
        <f t="array" aca="1" ref="CK47" ca="1">IF(tblBaseCF[[#This Row],[LBFlag]],
_xlfn.SWITCH(base,
"ILP1",AVERAGE(OFFSET(tblBaseCF[TP],0,0,-lb_review_period,1)),tp),0)
*tblBaseCF[[#This Row],[LBFlag]]</f>
        <v>0</v>
      </c>
      <c r="CL47" s="62">
        <f ca="1">tblBaseCF[[#This Row],[LBBasis]]*tblBaseCF[[#This Row],[LBRate]]</f>
        <v>0</v>
      </c>
      <c r="CM47" s="57" cm="1">
        <f t="array" aca="1" ref="CM47" ca="1">_xlfn.SWITCH(base,
"ILP1",0,($AF147&lt;500000000)*1
+($AF147&gt;=500000000)*($AF147&lt;1000000000)*2
+($AF147&gt;=1000000000)*3)
*tblBaseCF[[#This Row],[DeductFlag]]</f>
        <v>0</v>
      </c>
      <c r="CN47" s="2" t="str">
        <f ca="1">IF(tblBaseCF[[#This Row],[DeductFlag]],base&amp;"_"&amp;tblBaseCF[[#This Row],[SBCode]]&amp;"_"&amp;tblBaseCF[[#This Row],[Year]],"")</f>
        <v/>
      </c>
      <c r="CO47" s="3">
        <f ca="1">IFERROR(INDEX(tblSBRate[Index],MATCH(tblBaseCF[[#This Row],[SBIndex]],tblSBRate[Rate],0)),0)</f>
        <v>0</v>
      </c>
      <c r="CP47" s="63">
        <f ca="1">IFERROR(SUM(OFFSET(tblBaseCF[[#This Row],[TAVWithdrawal]],0,0,-sb_review_period,1)),0)
*(tblBaseCF[[#This Row],[SBRate]]&gt;0)</f>
        <v>0</v>
      </c>
      <c r="CQ47" s="63">
        <f ca="1">(tblBaseCF[[#This Row],[SBRate]]&gt;0)*(tblBaseCF[[#This Row],[SBTAVWithdrawal]]=0)</f>
        <v>0</v>
      </c>
      <c r="CR47" s="59" cm="1">
        <f t="array" aca="1" ref="CR47" ca="1">IF(tblBaseCF[[#This Row],[LBFlag]],
_xlfn.SWITCH(base,
"ILP1",0,tp),0)*tblBaseCF[[#This Row],[SBFlag]]</f>
        <v>0</v>
      </c>
      <c r="CS47" s="63">
        <f ca="1">tblBaseCF[[#This Row],[SBBasis]]*tblBaseCF[[#This Row],[SBRate]]</f>
        <v>0</v>
      </c>
      <c r="CT47" s="63">
        <f ca="1">tblBaseCF[[#This Row],[LB]]+tblBaseCF[[#This Row],[SB]]</f>
        <v>0</v>
      </c>
      <c r="CU47" s="59">
        <f ca="1">tblBaseCF[[#This Row],[TAVAfterWdrlAlloc]]-tblBaseCF[[#This Row],[TAVDeduct]]+tblBaseCF[[#This Row],[TAVInt]]+tblBaseCF[[#This Row],[Bonus]]</f>
        <v>0</v>
      </c>
      <c r="CV47" s="59">
        <f ca="1">tblBaseCF[[#This Row],[EAVAfterWdrlAlloc]]-tblBaseCF[[#This Row],[EAVDeduct]]+tblBaseCF[[#This Row],[EAVInt]]</f>
        <v>0</v>
      </c>
      <c r="CW47" s="63">
        <f ca="1">tblBaseCF[[#This Row],[EndTAV]]+tblBaseCF[[#This Row],[EndEAV]]</f>
        <v>0</v>
      </c>
      <c r="CX47" s="59">
        <f ca="1">INDEX(tblPlanPrem[TP],2)
*tblBaseCF[[#This Row],[TPTermFlag]]</f>
        <v>0</v>
      </c>
      <c r="CY47" s="59">
        <f ca="1">INDEX(tblPlanPrem[EP],2)
*tblBaseCF[[#This Row],[TPTermFlag]]</f>
        <v>0</v>
      </c>
      <c r="CZ47" s="63">
        <f ca="1">ROUNDUP(tblBaseCF[[#This Row],[UnroundedEMLoad]]*INDEX(tblPlanPrem[Factor],2),-3)</f>
        <v>0</v>
      </c>
      <c r="DA47" s="63">
        <f ca="1">ROUNDUP(tblBaseCF[[#This Row],[UnroundedPMLoad]]*INDEX(tblPlanPrem[Factor],2),-3)</f>
        <v>0</v>
      </c>
      <c r="DB47" s="63">
        <f ca="1">tblBaseCF[[#This Row],[SemiAnnualEMLoad]]+tblBaseCF[[#This Row],[SemiAnnualPMLoad]]</f>
        <v>0</v>
      </c>
      <c r="DC47" s="63">
        <f ca="1">tblBaseCF[[#This Row],[SemiAnnualTP]]+tblBaseCF[[#This Row],[SemiAnnualEP]]+tblBaseCF[[#This Row],[SemiAnnualLoad]]</f>
        <v>0</v>
      </c>
      <c r="DD47" s="59">
        <f ca="1">INDEX(tblPlanPrem[TP],3)
*tblBaseCF[[#This Row],[TPTermFlag]]</f>
        <v>0</v>
      </c>
      <c r="DE47" s="59">
        <f ca="1">INDEX(tblPlanPrem[EP],3)
*tblBaseCF[[#This Row],[TPTermFlag]]</f>
        <v>0</v>
      </c>
      <c r="DF47" s="63">
        <f ca="1">ROUNDUP(tblBaseCF[[#This Row],[UnroundedEMLoad]]*INDEX(tblPlanPrem[Factor],3),-3)</f>
        <v>0</v>
      </c>
      <c r="DG47" s="63">
        <f ca="1">ROUNDUP(tblBaseCF[[#This Row],[UnroundedPMLoad]]*INDEX(tblPlanPrem[Factor],3),-3)</f>
        <v>0</v>
      </c>
      <c r="DH47" s="60">
        <f ca="1">tblBaseCF[[#This Row],[QuarterlyEMLoad]]+tblBaseCF[[#This Row],[QuarterlyPMLoad]]</f>
        <v>0</v>
      </c>
      <c r="DI47" s="60">
        <f ca="1">tblBaseCF[[#This Row],[QuarterlyTP]]+tblBaseCF[[#This Row],[QuarterlyEP]]+tblBaseCF[[#This Row],[QuarterlyLoad]]</f>
        <v>0</v>
      </c>
      <c r="DJ47" s="59">
        <f ca="1">INDEX(tblPlanPrem[TP],4)
*tblBaseCF[[#This Row],[TPTermFlag]]</f>
        <v>0</v>
      </c>
      <c r="DK47" s="59">
        <f ca="1">INDEX(tblPlanPrem[EP],4)
*tblBaseCF[[#This Row],[TPTermFlag]]</f>
        <v>0</v>
      </c>
      <c r="DL47" s="63">
        <f ca="1">ROUNDUP(tblBaseCF[[#This Row],[UnroundedEMLoad]]*INDEX(tblPlanPrem[Factor],4),-3)</f>
        <v>0</v>
      </c>
      <c r="DM47" s="63">
        <f ca="1">ROUNDUP(tblBaseCF[[#This Row],[UnroundedPMLoad]]*INDEX(tblPlanPrem[Factor],4),-3)</f>
        <v>0</v>
      </c>
      <c r="DN47" s="60">
        <f ca="1">tblBaseCF[[#This Row],[MonthlyEMLoad]]+tblBaseCF[[#This Row],[MonthlyPMLoad]]</f>
        <v>0</v>
      </c>
      <c r="DO47" s="63">
        <f ca="1">tblBaseCF[[#This Row],[MonthlyTP]]+tblBaseCF[[#This Row],[MonthlyEP]]+tblBaseCF[[#This Row],[MonthlyLoad]]</f>
        <v>0</v>
      </c>
      <c r="DP47" s="3"/>
      <c r="DS47">
        <f t="shared" si="3"/>
        <v>0</v>
      </c>
      <c r="DT47">
        <f t="shared" si="4"/>
        <v>0</v>
      </c>
      <c r="DU47">
        <f t="shared" si="5"/>
        <v>0</v>
      </c>
      <c r="DV47">
        <f ca="1">tblBaseCF[[#This Row],[Year]]</f>
        <v>27</v>
      </c>
      <c r="DW47">
        <f ca="1">tblBaseCF[[#This Row],[Age]]</f>
        <v>26</v>
      </c>
      <c r="DX47">
        <f ca="1">tblBaseCF[[#This Row],[ContFlag]]</f>
        <v>0</v>
      </c>
      <c r="DY47" t="str">
        <f ca="1">tblBaseCF[[#This Row],[ContLog]]</f>
        <v>Insufficient PAV for deduction - Discontinue.</v>
      </c>
      <c r="DZ47">
        <f ca="1">tblBaseCF[[#This Row],[StartTAV]]</f>
        <v>0</v>
      </c>
      <c r="EA47">
        <f ca="1">tblBaseCF[[#This Row],[StartEAV]]</f>
        <v>0</v>
      </c>
      <c r="EB47">
        <f ca="1">tblBaseCF[[#This Row],[StartPAV]]</f>
        <v>0</v>
      </c>
      <c r="EC47">
        <f ca="1">tblBaseCF[[#This Row],[SVChrg]]</f>
        <v>0</v>
      </c>
      <c r="ED47">
        <f ca="1">tblBaseCF[[#This Row],[SV]]</f>
        <v>0</v>
      </c>
      <c r="EE47">
        <f ca="1">tblBaseCF[[#This Row],[Ben]]</f>
        <v>0</v>
      </c>
      <c r="EF47">
        <f ca="1">tblBaseCF[[#This Row],[AccBen]]</f>
        <v>0</v>
      </c>
      <c r="EG47">
        <f ca="1">tblBaseCF[[#This Row],[WithdrawalInput]]</f>
        <v>0</v>
      </c>
      <c r="EH47" t="str">
        <f ca="1">tblBaseCF[[#This Row],[WithdrawalLog]]</f>
        <v>No withdrawal.</v>
      </c>
      <c r="EI47">
        <f ca="1">tblBaseCF[[#This Row],[TAVWithdrawal]]</f>
        <v>0</v>
      </c>
      <c r="EJ47">
        <f ca="1">tblBaseCF[[#This Row],[EAVWithdrawal]]</f>
        <v>0</v>
      </c>
      <c r="EK47">
        <f ca="1">tblBaseCF[[#This Row],[Withdrawal]]</f>
        <v>0</v>
      </c>
      <c r="EL47">
        <f ca="1">tblBaseCF[[#This Row],[TP]]</f>
        <v>0</v>
      </c>
      <c r="EM47">
        <f ca="1">tblBaseCF[[#This Row],[TPAllocChrg]]</f>
        <v>0</v>
      </c>
      <c r="EN47">
        <f ca="1">tblBaseCF[[#This Row],[TPAlloc]]</f>
        <v>0</v>
      </c>
      <c r="EO47">
        <f ca="1">tblBaseCF[[#This Row],[EP]]</f>
        <v>0</v>
      </c>
      <c r="EP47">
        <f ca="1">tblBaseCF[[#This Row],[EPAllocChrg]]</f>
        <v>0</v>
      </c>
      <c r="EQ47">
        <f ca="1">tblBaseCF[[#This Row],[EPAlloc]]</f>
        <v>0</v>
      </c>
      <c r="ER47">
        <f ca="1">tblBaseCF[[#This Row],[EMLoad]]</f>
        <v>0</v>
      </c>
      <c r="ES47">
        <f ca="1">tblBaseCF[[#This Row],[PMLoad]]</f>
        <v>0</v>
      </c>
      <c r="ET47">
        <f ca="1">tblBaseCF[[#This Row],[Load]]</f>
        <v>0</v>
      </c>
      <c r="EU47">
        <f ca="1">tblBaseCF[[#This Row],[LoadAllocChrg]]</f>
        <v>0</v>
      </c>
      <c r="EV47">
        <f ca="1">tblBaseCF[[#This Row],[LoadAlloc]]</f>
        <v>0</v>
      </c>
      <c r="EW47">
        <f ca="1">tblBaseCF[[#This Row],[TotalPrem]]</f>
        <v>0</v>
      </c>
      <c r="EX47">
        <f ca="1">tblBaseCF[[#This Row],[AllocChrg]]</f>
        <v>0</v>
      </c>
      <c r="EY47">
        <f ca="1">tblBaseCF[[#This Row],[Alloc]]</f>
        <v>0</v>
      </c>
      <c r="EZ47">
        <f ca="1">tblBaseCF[[#This Row],[AccumTotalPrem]]</f>
        <v>0</v>
      </c>
      <c r="FA47">
        <f>tblBaseCF[[#This Row],[AnnualIntRate]]</f>
        <v>0</v>
      </c>
      <c r="FB47" s="50">
        <f>tblBaseCF[[#This Row],[Duean1m12]]</f>
        <v>1</v>
      </c>
      <c r="FC47">
        <f ca="1">tblBaseCF[[#This Row],[DeductFlag]]</f>
        <v>0</v>
      </c>
      <c r="FD47">
        <f ca="1">tblBaseCF[[#This Row],[AdminChrg]]</f>
        <v>0</v>
      </c>
      <c r="FE47">
        <f ca="1">tblBaseCF[[#This Row],[StandardCOI]]</f>
        <v>0</v>
      </c>
      <c r="FF47">
        <f ca="1">tblBaseCF[[#This Row],[EMLoadCOI]]</f>
        <v>0</v>
      </c>
      <c r="FG47">
        <f ca="1">tblBaseCF[[#This Row],[PMLoadCOI]]</f>
        <v>0</v>
      </c>
      <c r="FH47">
        <f ca="1">tblBaseCF[[#This Row],[COI]]</f>
        <v>0</v>
      </c>
      <c r="FI47" s="47">
        <f ca="1">tblBaseCF[[#This Row],[NomDeduct]]</f>
        <v>0</v>
      </c>
      <c r="FJ47">
        <f ca="1">tblBaseCF[[#This Row],[Deduct]]</f>
        <v>0</v>
      </c>
      <c r="FK47">
        <f ca="1">tblBaseCF[[#This Row],[TAVDeduct]]</f>
        <v>0</v>
      </c>
      <c r="FL47">
        <f ca="1">tblBaseCF[[#This Row],[EAVDeduct]]</f>
        <v>0</v>
      </c>
      <c r="FM47" s="24">
        <f ca="1">tblBaseCF[[#This Row],[TAVInt]]</f>
        <v>0</v>
      </c>
      <c r="FN47">
        <f ca="1">tblBaseCF[[#This Row],[EAVInt]]</f>
        <v>0</v>
      </c>
      <c r="FO47" s="47">
        <f ca="1">tblBaseCF[[#This Row],[LB]]</f>
        <v>0</v>
      </c>
      <c r="FP47">
        <f ca="1">tblBaseCF[[#This Row],[SB]]</f>
        <v>0</v>
      </c>
      <c r="FQ47">
        <f ca="1">tblBaseCF[[#This Row],[Bonus]]</f>
        <v>0</v>
      </c>
      <c r="FR47">
        <f ca="1">tblBaseCF[[#This Row],[EndTAV]]</f>
        <v>0</v>
      </c>
      <c r="FS47">
        <f ca="1">tblBaseCF[[#This Row],[EndEAV]]</f>
        <v>0</v>
      </c>
      <c r="FT47">
        <f ca="1">tblBaseCF[[#This Row],[EndPAV]]</f>
        <v>0</v>
      </c>
      <c r="FU47">
        <f ca="1">tblBaseCF[[#This Row],[SemiAnnualTP]]</f>
        <v>0</v>
      </c>
      <c r="FV47">
        <f ca="1">tblBaseCF[[#This Row],[SemiAnnualEP]]</f>
        <v>0</v>
      </c>
      <c r="FW47">
        <f ca="1">tblBaseCF[[#This Row],[SemiAnnualEMLoad]]</f>
        <v>0</v>
      </c>
      <c r="FX47">
        <f ca="1">tblBaseCF[[#This Row],[SemiAnnualPMLoad]]</f>
        <v>0</v>
      </c>
      <c r="FY47">
        <f ca="1">tblBaseCF[[#This Row],[SemiAnnualLoad]]</f>
        <v>0</v>
      </c>
      <c r="FZ47">
        <f ca="1">tblBaseCF[[#This Row],[SemiAnnualTotalPrem]]</f>
        <v>0</v>
      </c>
      <c r="GA47">
        <f ca="1">tblBaseCF[[#This Row],[QuarterlyTP]]</f>
        <v>0</v>
      </c>
      <c r="GB47">
        <f ca="1">tblBaseCF[[#This Row],[QuarterlyEP]]</f>
        <v>0</v>
      </c>
      <c r="GC47">
        <f ca="1">tblBaseCF[[#This Row],[QuarterlyEMLoad]]</f>
        <v>0</v>
      </c>
      <c r="GD47">
        <f ca="1">tblBaseCF[[#This Row],[QuarterlyPMLoad]]</f>
        <v>0</v>
      </c>
      <c r="GE47">
        <f ca="1">tblBaseCF[[#This Row],[QuarterlyLoad]]</f>
        <v>0</v>
      </c>
      <c r="GF47">
        <f ca="1">tblBaseCF[[#This Row],[QuarterlyTotalPrem]]</f>
        <v>0</v>
      </c>
      <c r="GG47">
        <f ca="1">tblBaseCF[[#This Row],[MonthlyTP]]</f>
        <v>0</v>
      </c>
      <c r="GH47">
        <f ca="1">tblBaseCF[[#This Row],[MonthlyEP]]</f>
        <v>0</v>
      </c>
      <c r="GI47">
        <f ca="1">tblBaseCF[[#This Row],[MonthlyEMLoad]]</f>
        <v>0</v>
      </c>
      <c r="GJ47">
        <f ca="1">tblBaseCF[[#This Row],[MonthlyPMLoad]]</f>
        <v>0</v>
      </c>
      <c r="GK47">
        <f ca="1">tblBaseCF[[#This Row],[MonthlyLoad]]</f>
        <v>0</v>
      </c>
      <c r="GL47">
        <f ca="1">tblBaseCF[[#This Row],[MonthlyTotalPrem]]</f>
        <v>0</v>
      </c>
      <c r="GO47" t="s">
        <v>134</v>
      </c>
      <c r="GP47" t="s">
        <v>135</v>
      </c>
      <c r="GQ47" t="s">
        <v>502</v>
      </c>
      <c r="GR47">
        <v>27</v>
      </c>
      <c r="GS47">
        <v>26</v>
      </c>
      <c r="GT47">
        <v>1</v>
      </c>
      <c r="GU47" t="s">
        <v>457</v>
      </c>
      <c r="GV47">
        <v>28252198.727099501</v>
      </c>
      <c r="GW47">
        <v>241056483.41858101</v>
      </c>
      <c r="GX47">
        <v>269308682.14568102</v>
      </c>
      <c r="GY47">
        <v>0</v>
      </c>
      <c r="GZ47">
        <v>269308682.14568102</v>
      </c>
      <c r="HA47">
        <v>269308682.14568102</v>
      </c>
      <c r="HB47">
        <v>303000000</v>
      </c>
      <c r="HC47">
        <v>0</v>
      </c>
      <c r="HD47" t="s">
        <v>137</v>
      </c>
      <c r="HE47">
        <v>0</v>
      </c>
      <c r="HF47">
        <v>0</v>
      </c>
      <c r="HG47">
        <v>0</v>
      </c>
      <c r="HH47">
        <v>1072000</v>
      </c>
      <c r="HI47">
        <v>21440</v>
      </c>
      <c r="HJ47">
        <v>1050560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1072000</v>
      </c>
      <c r="HT47">
        <v>21440</v>
      </c>
      <c r="HU47">
        <v>1050560</v>
      </c>
      <c r="HV47">
        <v>153744000</v>
      </c>
      <c r="HW47">
        <v>7.0000000000000007E-2</v>
      </c>
      <c r="HX47">
        <v>0.96964931039809399</v>
      </c>
      <c r="HY47">
        <v>1</v>
      </c>
      <c r="HZ47">
        <v>300000</v>
      </c>
      <c r="IA47">
        <v>0</v>
      </c>
      <c r="IB47">
        <v>0</v>
      </c>
      <c r="IC47">
        <v>0</v>
      </c>
      <c r="ID47">
        <v>272700</v>
      </c>
      <c r="IE47">
        <v>572700</v>
      </c>
      <c r="IF47">
        <v>555318.16006498795</v>
      </c>
      <c r="IG47">
        <v>555318.16006498795</v>
      </c>
      <c r="IH47">
        <v>0</v>
      </c>
      <c r="II47">
        <v>2012320.8396924201</v>
      </c>
      <c r="IJ47">
        <v>16873953.8393007</v>
      </c>
      <c r="IK47">
        <v>0</v>
      </c>
      <c r="IL47">
        <v>0</v>
      </c>
      <c r="IM47">
        <v>0</v>
      </c>
      <c r="IN47">
        <v>30759761.4067269</v>
      </c>
      <c r="IO47">
        <v>257930437.257882</v>
      </c>
      <c r="IP47">
        <v>288690198.66460901</v>
      </c>
      <c r="IQ47">
        <v>536000</v>
      </c>
      <c r="IR47">
        <v>2600000</v>
      </c>
      <c r="IS47">
        <v>0</v>
      </c>
      <c r="IT47">
        <v>0</v>
      </c>
      <c r="IU47">
        <v>0</v>
      </c>
      <c r="IV47">
        <v>3136000</v>
      </c>
      <c r="IW47">
        <v>268000</v>
      </c>
      <c r="IX47">
        <v>1300000</v>
      </c>
      <c r="IY47">
        <v>0</v>
      </c>
      <c r="IZ47">
        <v>0</v>
      </c>
      <c r="JA47">
        <v>0</v>
      </c>
      <c r="JB47">
        <v>1568000</v>
      </c>
      <c r="JC47">
        <v>90000</v>
      </c>
      <c r="JD47">
        <v>434000</v>
      </c>
      <c r="JE47">
        <v>0</v>
      </c>
      <c r="JF47">
        <v>0</v>
      </c>
      <c r="JG47">
        <v>0</v>
      </c>
      <c r="JH47">
        <v>524000</v>
      </c>
    </row>
    <row r="48" spans="2:268" customFormat="1" x14ac:dyDescent="0.25">
      <c r="B48" s="2">
        <f ca="1">OFFSET(tblBaseCF[[#This Row],[Year]],-1,0)+1</f>
        <v>28</v>
      </c>
      <c r="C48" s="2">
        <f ca="1">(tblBaseCF[[#This Row],[Year]]&lt;=term)*1</f>
        <v>1</v>
      </c>
      <c r="D48" s="57">
        <f ca="1">(YEAR(rcd)+tblBaseCF[[#This Row],[Year]]-1)
*tblBaseCF[[#This Row],[PolTermFlag]]</f>
        <v>2052</v>
      </c>
      <c r="E48" s="57">
        <f ca="1">(mainLI_entry_age+tblBaseCF[[#This Row],[Year]]-1)
*tblBaseCF[[#This Row],[PolTermFlag]]</f>
        <v>27</v>
      </c>
      <c r="F48" s="57">
        <f ca="1">IF(tblBaseCF[[#This Row],[Year]]=1,1,OFFSET(tblBaseCF[[#This Row],[DeductFlag]],-1,0))
*tblBaseCF[[#This Row],[PolTermFlag]]</f>
        <v>0</v>
      </c>
      <c r="G4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8" s="57">
        <f ca="1">(tblBaseCF[[#This Row],[Year]]&lt;=acc_ben_term)
*tblBaseCF[[#This Row],[ContFlag]]</f>
        <v>0</v>
      </c>
      <c r="I48" s="57">
        <f ca="1">(tblBaseCF[[#This Row],[Year]]&lt;=tp_term)
*tblBaseCF[[#This Row],[ContFlag]]</f>
        <v>0</v>
      </c>
      <c r="J48" s="57">
        <f ca="1">(tblBaseCF[[#This Row],[Year]]&lt;=ep_term)
*tblBaseCF[[#This Row],[ContFlag]]</f>
        <v>0</v>
      </c>
      <c r="K48" s="57">
        <f ca="1">(tblBaseCF[[#This Row],[Year]]&lt;=em_load_term)*1</f>
        <v>0</v>
      </c>
      <c r="L48" s="57">
        <f ca="1">(tblBaseCF[[#This Row],[Year]]&lt;=pm_load_term)*1</f>
        <v>0</v>
      </c>
      <c r="M48" s="59">
        <f ca="1">IF(tblBaseCF[[#This Row],[Year]]=1,si,OFFSET(tblBaseCF[[#This Row],[EndSI]],-1,0))
*tblBaseCF[[#This Row],[ContFlag]]</f>
        <v>0</v>
      </c>
      <c r="N48" s="59">
        <f ca="1">OFFSET(tblBaseCF[[#This Row],[EndTAV]],-1,0)
*tblBaseCF[[#This Row],[ContFlag]]</f>
        <v>0</v>
      </c>
      <c r="O48" s="59">
        <f ca="1">OFFSET(tblBaseCF[[#This Row],[EndEAV]],-1,0)
*tblBaseCF[[#This Row],[ContFlag]]</f>
        <v>0</v>
      </c>
      <c r="P48" s="60">
        <f ca="1">tblBaseCF[[#This Row],[StartEAV]]+tblBaseCF[[#This Row],[StartTAV]]</f>
        <v>0</v>
      </c>
      <c r="Q48" s="61">
        <f ca="1">IFERROR(INDEX(tblJuvenileLienRate[Rate],MATCH(tblBaseCF[[#This Row],[Age]],tblJuvenileLienRate[Age],0)),1)
*tblBaseCF[[#This Row],[ContFlag]]</f>
        <v>0</v>
      </c>
      <c r="R4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8" s="62">
        <f ca="1">tblBaseCF[[#This Row],[StartSI]]*acc_ben_coeff*tblBaseCF[[#This Row],[JuvenileLienRate]]
*tblBaseCF[[#This Row],[AccBenTermFlag]]</f>
        <v>0</v>
      </c>
      <c r="T48" s="61">
        <f ca="1">(IFERROR(INDEX(tblSurrChrgRate[Rate],MATCH(tblBaseCF[[#This Row],[Year]],tblSurrChrgRate[Year],0)),0)
*tblBaseCF[[#This Row],[ContFlag]])</f>
        <v>0</v>
      </c>
      <c r="U48" s="60">
        <f ca="1">tp*tblBaseCF[[#This Row],[SrrChrgRate]]</f>
        <v>0</v>
      </c>
      <c r="V48" s="63">
        <f ca="1">MAX(tblBaseCF[[#This Row],[StartTAV]]-tblBaseCF[[#This Row],[SVChrg]],0)+tblBaseCF[[#This Row],[StartEAV]]</f>
        <v>0</v>
      </c>
      <c r="W48" s="59">
        <f ca="1">IFERROR(INDEX(tblWithdrawal_Output[Amount],MATCH(tblBaseCF[[#This Row],[Year]],tblWithdrawal_Output[Year],0)),0)
*tblBaseCF[[#This Row],[ContFlag]]</f>
        <v>0</v>
      </c>
      <c r="X48" s="59" t="b">
        <f ca="1">tblBaseCF[[#This Row],[WithdrawalInput]]&gt;0</f>
        <v>0</v>
      </c>
      <c r="Y48" s="59" t="b">
        <f ca="1">AND(tblBaseCF[[#This Row],[1stCheckProceed]],tblBaseCF[[#This Row],[WithdrawalInput]]&lt;=tblBaseCF[[#This Row],[StartPAV]])</f>
        <v>0</v>
      </c>
      <c r="Z48" s="59" t="b">
        <f ca="1">AND(tblBaseCF[[#This Row],[2ndCheckAmount]],(tblBaseCF[[#This Row],[StartPAV]]-tblBaseCF[[#This Row],[WithdrawalInput]])&gt;=min_pav_after_withdrawal)</f>
        <v>0</v>
      </c>
      <c r="AA4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8" s="59" t="b">
        <f ca="1">AND(tblBaseCF[[#This Row],[3rdCheckPAV]],tblBaseCF[[#This Row],[endSITest]]&gt;=min_base_si)</f>
        <v>0</v>
      </c>
      <c r="AC48" s="60">
        <f ca="1">tblBaseCF[[#This Row],[WithdrawalInput]]*tblBaseCF[[#This Row],[4thCheckSI]]</f>
        <v>0</v>
      </c>
      <c r="AD48" s="60">
        <f ca="1">MIN(tblBaseCF[[#This Row],[Withdrawal]],tblBaseCF[[#This Row],[StartEAV]])</f>
        <v>0</v>
      </c>
      <c r="AE48" s="60">
        <f ca="1">tblBaseCF[[#This Row],[Withdrawal]]-tblBaseCF[[#This Row],[EAVWithdrawal]]</f>
        <v>0</v>
      </c>
      <c r="AF48" s="60">
        <f ca="1">IF(tblBaseCF[[#This Row],[4thCheckSI]],tblBaseCF[[#This Row],[endSITest]],tblBaseCF[[#This Row],[StartSI]])</f>
        <v>0</v>
      </c>
      <c r="AG4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8" s="65">
        <f ca="1">IFERROR(INDEX(tblTPAllocChrgRate[Rate],MATCH(tblBaseCF[[#This Row],[Year]],tblTPAllocChrgRate[Year],0)),0)</f>
        <v>0.02</v>
      </c>
      <c r="AI48" s="62">
        <f ca="1">(tp+big_case_bonus_tp*(tblBaseCF[[#This Row],[Year]]=1))
*tblBaseCF[[#This Row],[TPTermFlag]]</f>
        <v>0</v>
      </c>
      <c r="AJ48" s="63">
        <f ca="1">tblBaseCF[[#This Row],[TP]]*tblBaseCF[[#This Row],[TPAllocChrgRate]]</f>
        <v>0</v>
      </c>
      <c r="AK48" s="60">
        <f ca="1">tblBaseCF[[#This Row],[TP]]-tblBaseCF[[#This Row],[TPAllocChrg]]</f>
        <v>0</v>
      </c>
      <c r="AL48" s="65">
        <f ca="1">IFERROR(INDEX(tblEPAllocChrgRate[Rate],MATCH(tblBaseCF[[#This Row],[Year]],tblEPAllocChrgRate[Year],0)),0)</f>
        <v>0.02</v>
      </c>
      <c r="AM48" s="60">
        <f ca="1">ep*tblBaseCF[[#This Row],[EPTermFlag]]</f>
        <v>0</v>
      </c>
      <c r="AN48" s="60">
        <f ca="1">tblBaseCF[[#This Row],[EP]]*tblBaseCF[[#This Row],[EPAllocChrgRate]]</f>
        <v>0</v>
      </c>
      <c r="AO48" s="63">
        <f ca="1">tblBaseCF[[#This Row],[EP]]-tblBaseCF[[#This Row],[EPAllocChrg]]</f>
        <v>0</v>
      </c>
      <c r="AP48" s="62">
        <f ca="1">tblBaseCF[[#This Row],[Ben]]*extra_prem_rate*em_load/1000/(1-tblBaseCF[[#This Row],[EPAllocChrgRate]])
*tblBaseCF[[#This Row],[EMLoadTermFlag]]</f>
        <v>0</v>
      </c>
      <c r="AQ48" s="62">
        <f ca="1">tblBaseCF[[#This Row],[Ben]]*pm_load/1000/(1-tblBaseCF[[#This Row],[EPAllocChrgRate]])
*tblBaseCF[[#This Row],[PMLoadTermFlag]]</f>
        <v>0</v>
      </c>
      <c r="AR48" s="60">
        <f ca="1">ROUNDUP(tblBaseCF[[#This Row],[UnroundedEMLoad]],-3)</f>
        <v>0</v>
      </c>
      <c r="AS48" s="62">
        <f ca="1">ROUNDUP(tblBaseCF[[#This Row],[Ben]]*pm_load/1000/(1-tblBaseCF[[#This Row],[EPAllocChrgRate]]),-3)
*tblBaseCF[[#This Row],[PMLoadTermFlag]]</f>
        <v>0</v>
      </c>
      <c r="AT48" s="60">
        <f ca="1">tblBaseCF[[#This Row],[EMLoad]]+tblBaseCF[[#This Row],[PMLoad]]</f>
        <v>0</v>
      </c>
      <c r="AU48" s="60">
        <f ca="1">tblBaseCF[[#This Row],[Load]]*tblBaseCF[[#This Row],[EPAllocChrgRate]]</f>
        <v>0</v>
      </c>
      <c r="AV48" s="60">
        <f ca="1">tblBaseCF[[#This Row],[Load]]-tblBaseCF[[#This Row],[LoadAllocChrg]]</f>
        <v>0</v>
      </c>
      <c r="AW48" s="60">
        <f ca="1">tblBaseCF[[#This Row],[TP]]+tblBaseCF[[#This Row],[EP]]+tblBaseCF[[#This Row],[Load]]</f>
        <v>0</v>
      </c>
      <c r="AX48" s="60">
        <f ca="1">tblBaseCF[[#This Row],[TPAllocChrg]]+tblBaseCF[[#This Row],[EPAllocChrg]]+tblBaseCF[[#This Row],[LoadAllocChrg]]</f>
        <v>0</v>
      </c>
      <c r="AY48" s="60">
        <f ca="1">tblBaseCF[[#This Row],[TPAlloc]]+tblBaseCF[[#This Row],[EPAlloc]]+tblBaseCF[[#This Row],[LoadAlloc]]</f>
        <v>0</v>
      </c>
      <c r="AZ48" s="60">
        <f ca="1">(OFFSET(tblBaseCF[[#This Row],[AccumTotalPrem]],-1,0)+tblBaseCF[[#This Row],[TotalPrem]])*tblBaseCF[[#This Row],[TPTermFlag]]</f>
        <v>0</v>
      </c>
      <c r="BA48" s="62">
        <f ca="1">(tblBaseCF[[#This Row],[StartTAV]]-tblBaseCF[[#This Row],[TAVWithdrawal]]+tblBaseCF[[#This Row],[TPAlloc]])
*tblBaseCF[[#This Row],[ContFlag]]</f>
        <v>0</v>
      </c>
      <c r="BB48" s="59">
        <f ca="1">(tblBaseCF[[#This Row],[StartEAV]]-tblBaseCF[[#This Row],[EAVWithdrawal]]+tblBaseCF[[#This Row],[EPAlloc]]+tblBaseCF[[#This Row],[LoadAlloc]])
*tblBaseCF[[#This Row],[ContFlag]]</f>
        <v>0</v>
      </c>
      <c r="BC48" s="59">
        <f ca="1">tblBaseCF[[#This Row],[TAVAfterWdrlAlloc]]+tblBaseCF[[#This Row],[EAVAfterWdrlAlloc]]</f>
        <v>0</v>
      </c>
      <c r="BD48" s="66">
        <f t="shared" si="2"/>
        <v>0</v>
      </c>
      <c r="BE48" s="67">
        <f>(1+tblBaseCF[[#This Row],[AnnualIntRate]])^(1/12)-1</f>
        <v>0</v>
      </c>
      <c r="BF48" s="68">
        <f>IFERROR(((1+tblBaseCF[[#This Row],[MonthlyIntRate]])^12-1)/12/(1-1/(1+tblBaseCF[[#This Row],[MonthlyIntRate]])),1)/(1+tblBaseCF[[#This Row],[AnnualIntRate]])</f>
        <v>1</v>
      </c>
      <c r="BG48" s="69">
        <f>PV(tblBaseCF[[#This Row],[MonthlyIntRate]],12,-1/12,,1)</f>
        <v>1</v>
      </c>
      <c r="BH48" s="60">
        <f ca="1">MAX(IF(death_tpd_option="A",tblBaseCF[[#This Row],[Ben]]-tblBaseCF[[#This Row],[StartPAV]],tblBaseCF[[#This Row],[Ben]]),0)</f>
        <v>0</v>
      </c>
      <c r="BI48" s="70">
        <f ca="1">IFERROR(INDEX(tblBaseCOIRate[Rate],MATCH(tblBaseCF[[#This Row],[Age]],tblBaseCOIRate[Age],0)),0)</f>
        <v>1.23999999999991E-3</v>
      </c>
      <c r="BJ48" s="60">
        <f ca="1">tblBaseCF[[#This Row],[SAR]]*tblBaseCF[[#This Row],[COIRate]]</f>
        <v>0</v>
      </c>
      <c r="BK48" s="62">
        <f ca="1">em_load*tblBaseCF[[#This Row],[pStandardCOI]]
*tblBaseCF[[#This Row],[EMLoadTermFlag]]</f>
        <v>0</v>
      </c>
      <c r="BL48" s="62">
        <f ca="1">pm_load/1000*tblBaseCF[[#This Row],[SAR]]
*tblBaseCF[[#This Row],[PMLoadTermFlag]]</f>
        <v>0</v>
      </c>
      <c r="BM48" s="60">
        <f ca="1">tblBaseCF[[#This Row],[AccBen]]*monthly_acc_coi*12</f>
        <v>0</v>
      </c>
      <c r="BN48" s="60">
        <f ca="1">tblBaseCF[[#This Row],[pStandardCOI]]+tblBaseCF[[#This Row],[pEMLoadCOI]]+tblBaseCF[[#This Row],[pPMLoadCOI]]+tblBaseCF[[#This Row],[pAccCOI]]</f>
        <v>0</v>
      </c>
      <c r="BO48" s="62">
        <f ca="1">IFERROR(INDEX(tblAdminChrg[Amount],MATCH(tblBaseCF[[#This Row],[CalYear]],tblAdminChrg[Cal_Year],0)),0)
*tblBaseCF[[#This Row],[ContFlag]]</f>
        <v>0</v>
      </c>
      <c r="BP48" s="60">
        <f ca="1">tblBaseCF[[#This Row],[pMonthlyAdminChrg]]*12</f>
        <v>0</v>
      </c>
      <c r="BQ48" s="60">
        <f ca="1">tblBaseCF[[#This Row],[pCOI]]+tblBaseCF[[#This Row],[pAdminChrg]]</f>
        <v>0</v>
      </c>
      <c r="BR48" s="60">
        <f ca="1">tblBaseCF[[#This Row],[pNomDeduct]]*tblBaseCF[[#This Row],[Duean1m12]]</f>
        <v>0</v>
      </c>
      <c r="BS48" s="57">
        <f ca="1">(tblBaseCF[[#This Row],[PAVAfterWdrlAlloc]]&gt;=tblBaseCF[[#This Row],[pNomDeduct]])
*tblBaseCF[[#This Row],[ContFlag]]</f>
        <v>0</v>
      </c>
      <c r="BT48" s="60">
        <f ca="1">tblBaseCF[[#This Row],[pStandardCOI]]*tblBaseCF[[#This Row],[DeductFlag]]</f>
        <v>0</v>
      </c>
      <c r="BU48" s="60">
        <f ca="1">tblBaseCF[[#This Row],[pEMLoadCOI]]*tblBaseCF[[#This Row],[DeductFlag]]</f>
        <v>0</v>
      </c>
      <c r="BV48" s="60">
        <f ca="1">tblBaseCF[[#This Row],[pPMLoadCOI]]*tblBaseCF[[#This Row],[DeductFlag]]</f>
        <v>0</v>
      </c>
      <c r="BW48" s="60">
        <f ca="1">tblBaseCF[[#This Row],[pAccCOI]]*tblBaseCF[[#This Row],[DeductFlag]]</f>
        <v>0</v>
      </c>
      <c r="BX48" s="60">
        <f ca="1">tblBaseCF[[#This Row],[pCOI]]*tblBaseCF[[#This Row],[DeductFlag]]</f>
        <v>0</v>
      </c>
      <c r="BY48" s="60">
        <f ca="1">tblBaseCF[[#This Row],[pMonthlyAdminChrg]]*tblBaseCF[[#This Row],[DeductFlag]]</f>
        <v>0</v>
      </c>
      <c r="BZ48" s="60">
        <f ca="1">tblBaseCF[[#This Row],[pAdminChrg]]*tblBaseCF[[#This Row],[DeductFlag]]</f>
        <v>0</v>
      </c>
      <c r="CA48" s="60">
        <f ca="1">tblBaseCF[[#This Row],[pNomDeduct]]*tblBaseCF[[#This Row],[DeductFlag]]</f>
        <v>0</v>
      </c>
      <c r="CB48" s="60">
        <f ca="1">tblBaseCF[[#This Row],[pDeduct]]*tblBaseCF[[#This Row],[DeductFlag]]</f>
        <v>0</v>
      </c>
      <c r="CC48" s="60">
        <f ca="1">MIN(tblBaseCF[[#This Row],[TAVAfterWdrlAlloc]],tblBaseCF[[#This Row],[Deduct]])</f>
        <v>0</v>
      </c>
      <c r="CD48" s="60">
        <f ca="1">tblBaseCF[[#This Row],[Deduct]]-tblBaseCF[[#This Row],[TAVDeduct]]</f>
        <v>0</v>
      </c>
      <c r="CE48" s="69">
        <f ca="1">(tblBaseCF[[#This Row],[TAVAfterWdrlAlloc]]-tblBaseCF[[#This Row],[TAVDeduct]])*tblBaseCF[[#This Row],[AnnualIntRate]]
*tblBaseCF[[#This Row],[DeductFlag]]</f>
        <v>0</v>
      </c>
      <c r="CF48" s="69">
        <f ca="1">(tblBaseCF[[#This Row],[EAVAfterWdrlAlloc]]-tblBaseCF[[#This Row],[EAVDeduct]])*tblBaseCF[[#This Row],[AnnualIntRate]]
*tblBaseCF[[#This Row],[DeductFlag]]</f>
        <v>0</v>
      </c>
      <c r="CG48" s="69">
        <f ca="1">tblBaseCF[[#This Row],[TAVInt]]+tblBaseCF[[#This Row],[EAVInt]]</f>
        <v>0</v>
      </c>
      <c r="CH48" s="62">
        <f ca="1">IFERROR(INDEX(tblLBRate[Rate],MATCH(tblBaseCF[[#This Row],[Year]],tblLBRate[Year],0)),0)
*tblBaseCF[[#This Row],[DeductFlag]]</f>
        <v>0</v>
      </c>
      <c r="CI48" s="60">
        <f ca="1">IFERROR(SUM(OFFSET(tblBaseCF[[#This Row],[TAVWithdrawal]],0,0,-lb_review_period,1)),0)
*(tblBaseCF[[#This Row],[LBRate]]&gt;0)</f>
        <v>0</v>
      </c>
      <c r="CJ48" s="60">
        <f ca="1">(tblBaseCF[[#This Row],[LBRate]]&gt;0)*(tblBaseCF[[#This Row],[LBTAVWithdrawal]]=0)</f>
        <v>0</v>
      </c>
      <c r="CK48" s="62" cm="1">
        <f t="array" aca="1" ref="CK48" ca="1">IF(tblBaseCF[[#This Row],[LBFlag]],
_xlfn.SWITCH(base,
"ILP1",AVERAGE(OFFSET(tblBaseCF[TP],0,0,-lb_review_period,1)),tp),0)
*tblBaseCF[[#This Row],[LBFlag]]</f>
        <v>0</v>
      </c>
      <c r="CL48" s="62">
        <f ca="1">tblBaseCF[[#This Row],[LBBasis]]*tblBaseCF[[#This Row],[LBRate]]</f>
        <v>0</v>
      </c>
      <c r="CM48" s="57" cm="1">
        <f t="array" aca="1" ref="CM48" ca="1">_xlfn.SWITCH(base,
"ILP1",0,($AF148&lt;500000000)*1
+($AF148&gt;=500000000)*($AF148&lt;1000000000)*2
+($AF148&gt;=1000000000)*3)
*tblBaseCF[[#This Row],[DeductFlag]]</f>
        <v>0</v>
      </c>
      <c r="CN48" s="2" t="str">
        <f ca="1">IF(tblBaseCF[[#This Row],[DeductFlag]],base&amp;"_"&amp;tblBaseCF[[#This Row],[SBCode]]&amp;"_"&amp;tblBaseCF[[#This Row],[Year]],"")</f>
        <v/>
      </c>
      <c r="CO48" s="3">
        <f ca="1">IFERROR(INDEX(tblSBRate[Index],MATCH(tblBaseCF[[#This Row],[SBIndex]],tblSBRate[Rate],0)),0)</f>
        <v>0</v>
      </c>
      <c r="CP48" s="63">
        <f ca="1">IFERROR(SUM(OFFSET(tblBaseCF[[#This Row],[TAVWithdrawal]],0,0,-sb_review_period,1)),0)
*(tblBaseCF[[#This Row],[SBRate]]&gt;0)</f>
        <v>0</v>
      </c>
      <c r="CQ48" s="63">
        <f ca="1">(tblBaseCF[[#This Row],[SBRate]]&gt;0)*(tblBaseCF[[#This Row],[SBTAVWithdrawal]]=0)</f>
        <v>0</v>
      </c>
      <c r="CR48" s="59" cm="1">
        <f t="array" aca="1" ref="CR48" ca="1">IF(tblBaseCF[[#This Row],[LBFlag]],
_xlfn.SWITCH(base,
"ILP1",0,tp),0)*tblBaseCF[[#This Row],[SBFlag]]</f>
        <v>0</v>
      </c>
      <c r="CS48" s="63">
        <f ca="1">tblBaseCF[[#This Row],[SBBasis]]*tblBaseCF[[#This Row],[SBRate]]</f>
        <v>0</v>
      </c>
      <c r="CT48" s="63">
        <f ca="1">tblBaseCF[[#This Row],[LB]]+tblBaseCF[[#This Row],[SB]]</f>
        <v>0</v>
      </c>
      <c r="CU48" s="59">
        <f ca="1">tblBaseCF[[#This Row],[TAVAfterWdrlAlloc]]-tblBaseCF[[#This Row],[TAVDeduct]]+tblBaseCF[[#This Row],[TAVInt]]+tblBaseCF[[#This Row],[Bonus]]</f>
        <v>0</v>
      </c>
      <c r="CV48" s="59">
        <f ca="1">tblBaseCF[[#This Row],[EAVAfterWdrlAlloc]]-tblBaseCF[[#This Row],[EAVDeduct]]+tblBaseCF[[#This Row],[EAVInt]]</f>
        <v>0</v>
      </c>
      <c r="CW48" s="63">
        <f ca="1">tblBaseCF[[#This Row],[EndTAV]]+tblBaseCF[[#This Row],[EndEAV]]</f>
        <v>0</v>
      </c>
      <c r="CX48" s="59">
        <f ca="1">INDEX(tblPlanPrem[TP],2)
*tblBaseCF[[#This Row],[TPTermFlag]]</f>
        <v>0</v>
      </c>
      <c r="CY48" s="59">
        <f ca="1">INDEX(tblPlanPrem[EP],2)
*tblBaseCF[[#This Row],[TPTermFlag]]</f>
        <v>0</v>
      </c>
      <c r="CZ48" s="63">
        <f ca="1">ROUNDUP(tblBaseCF[[#This Row],[UnroundedEMLoad]]*INDEX(tblPlanPrem[Factor],2),-3)</f>
        <v>0</v>
      </c>
      <c r="DA48" s="63">
        <f ca="1">ROUNDUP(tblBaseCF[[#This Row],[UnroundedPMLoad]]*INDEX(tblPlanPrem[Factor],2),-3)</f>
        <v>0</v>
      </c>
      <c r="DB48" s="63">
        <f ca="1">tblBaseCF[[#This Row],[SemiAnnualEMLoad]]+tblBaseCF[[#This Row],[SemiAnnualPMLoad]]</f>
        <v>0</v>
      </c>
      <c r="DC48" s="63">
        <f ca="1">tblBaseCF[[#This Row],[SemiAnnualTP]]+tblBaseCF[[#This Row],[SemiAnnualEP]]+tblBaseCF[[#This Row],[SemiAnnualLoad]]</f>
        <v>0</v>
      </c>
      <c r="DD48" s="59">
        <f ca="1">INDEX(tblPlanPrem[TP],3)
*tblBaseCF[[#This Row],[TPTermFlag]]</f>
        <v>0</v>
      </c>
      <c r="DE48" s="59">
        <f ca="1">INDEX(tblPlanPrem[EP],3)
*tblBaseCF[[#This Row],[TPTermFlag]]</f>
        <v>0</v>
      </c>
      <c r="DF48" s="63">
        <f ca="1">ROUNDUP(tblBaseCF[[#This Row],[UnroundedEMLoad]]*INDEX(tblPlanPrem[Factor],3),-3)</f>
        <v>0</v>
      </c>
      <c r="DG48" s="63">
        <f ca="1">ROUNDUP(tblBaseCF[[#This Row],[UnroundedPMLoad]]*INDEX(tblPlanPrem[Factor],3),-3)</f>
        <v>0</v>
      </c>
      <c r="DH48" s="60">
        <f ca="1">tblBaseCF[[#This Row],[QuarterlyEMLoad]]+tblBaseCF[[#This Row],[QuarterlyPMLoad]]</f>
        <v>0</v>
      </c>
      <c r="DI48" s="60">
        <f ca="1">tblBaseCF[[#This Row],[QuarterlyTP]]+tblBaseCF[[#This Row],[QuarterlyEP]]+tblBaseCF[[#This Row],[QuarterlyLoad]]</f>
        <v>0</v>
      </c>
      <c r="DJ48" s="59">
        <f ca="1">INDEX(tblPlanPrem[TP],4)
*tblBaseCF[[#This Row],[TPTermFlag]]</f>
        <v>0</v>
      </c>
      <c r="DK48" s="59">
        <f ca="1">INDEX(tblPlanPrem[EP],4)
*tblBaseCF[[#This Row],[TPTermFlag]]</f>
        <v>0</v>
      </c>
      <c r="DL48" s="63">
        <f ca="1">ROUNDUP(tblBaseCF[[#This Row],[UnroundedEMLoad]]*INDEX(tblPlanPrem[Factor],4),-3)</f>
        <v>0</v>
      </c>
      <c r="DM48" s="63">
        <f ca="1">ROUNDUP(tblBaseCF[[#This Row],[UnroundedPMLoad]]*INDEX(tblPlanPrem[Factor],4),-3)</f>
        <v>0</v>
      </c>
      <c r="DN48" s="60">
        <f ca="1">tblBaseCF[[#This Row],[MonthlyEMLoad]]+tblBaseCF[[#This Row],[MonthlyPMLoad]]</f>
        <v>0</v>
      </c>
      <c r="DO48" s="63">
        <f ca="1">tblBaseCF[[#This Row],[MonthlyTP]]+tblBaseCF[[#This Row],[MonthlyEP]]+tblBaseCF[[#This Row],[MonthlyLoad]]</f>
        <v>0</v>
      </c>
      <c r="DP48" s="3"/>
      <c r="DS48">
        <f t="shared" si="3"/>
        <v>0</v>
      </c>
      <c r="DT48">
        <f t="shared" si="4"/>
        <v>0</v>
      </c>
      <c r="DU48">
        <f t="shared" si="5"/>
        <v>0</v>
      </c>
      <c r="DV48">
        <f ca="1">tblBaseCF[[#This Row],[Year]]</f>
        <v>28</v>
      </c>
      <c r="DW48">
        <f ca="1">tblBaseCF[[#This Row],[Age]]</f>
        <v>27</v>
      </c>
      <c r="DX48">
        <f ca="1">tblBaseCF[[#This Row],[ContFlag]]</f>
        <v>0</v>
      </c>
      <c r="DY48" t="str">
        <f ca="1">tblBaseCF[[#This Row],[ContLog]]</f>
        <v>Insufficient PAV for deduction - Discontinue.</v>
      </c>
      <c r="DZ48">
        <f ca="1">tblBaseCF[[#This Row],[StartTAV]]</f>
        <v>0</v>
      </c>
      <c r="EA48">
        <f ca="1">tblBaseCF[[#This Row],[StartEAV]]</f>
        <v>0</v>
      </c>
      <c r="EB48">
        <f ca="1">tblBaseCF[[#This Row],[StartPAV]]</f>
        <v>0</v>
      </c>
      <c r="EC48">
        <f ca="1">tblBaseCF[[#This Row],[SVChrg]]</f>
        <v>0</v>
      </c>
      <c r="ED48">
        <f ca="1">tblBaseCF[[#This Row],[SV]]</f>
        <v>0</v>
      </c>
      <c r="EE48">
        <f ca="1">tblBaseCF[[#This Row],[Ben]]</f>
        <v>0</v>
      </c>
      <c r="EF48">
        <f ca="1">tblBaseCF[[#This Row],[AccBen]]</f>
        <v>0</v>
      </c>
      <c r="EG48">
        <f ca="1">tblBaseCF[[#This Row],[WithdrawalInput]]</f>
        <v>0</v>
      </c>
      <c r="EH48" t="str">
        <f ca="1">tblBaseCF[[#This Row],[WithdrawalLog]]</f>
        <v>No withdrawal.</v>
      </c>
      <c r="EI48">
        <f ca="1">tblBaseCF[[#This Row],[TAVWithdrawal]]</f>
        <v>0</v>
      </c>
      <c r="EJ48">
        <f ca="1">tblBaseCF[[#This Row],[EAVWithdrawal]]</f>
        <v>0</v>
      </c>
      <c r="EK48">
        <f ca="1">tblBaseCF[[#This Row],[Withdrawal]]</f>
        <v>0</v>
      </c>
      <c r="EL48">
        <f ca="1">tblBaseCF[[#This Row],[TP]]</f>
        <v>0</v>
      </c>
      <c r="EM48">
        <f ca="1">tblBaseCF[[#This Row],[TPAllocChrg]]</f>
        <v>0</v>
      </c>
      <c r="EN48">
        <f ca="1">tblBaseCF[[#This Row],[TPAlloc]]</f>
        <v>0</v>
      </c>
      <c r="EO48">
        <f ca="1">tblBaseCF[[#This Row],[EP]]</f>
        <v>0</v>
      </c>
      <c r="EP48">
        <f ca="1">tblBaseCF[[#This Row],[EPAllocChrg]]</f>
        <v>0</v>
      </c>
      <c r="EQ48">
        <f ca="1">tblBaseCF[[#This Row],[EPAlloc]]</f>
        <v>0</v>
      </c>
      <c r="ER48">
        <f ca="1">tblBaseCF[[#This Row],[EMLoad]]</f>
        <v>0</v>
      </c>
      <c r="ES48">
        <f ca="1">tblBaseCF[[#This Row],[PMLoad]]</f>
        <v>0</v>
      </c>
      <c r="ET48">
        <f ca="1">tblBaseCF[[#This Row],[Load]]</f>
        <v>0</v>
      </c>
      <c r="EU48">
        <f ca="1">tblBaseCF[[#This Row],[LoadAllocChrg]]</f>
        <v>0</v>
      </c>
      <c r="EV48">
        <f ca="1">tblBaseCF[[#This Row],[LoadAlloc]]</f>
        <v>0</v>
      </c>
      <c r="EW48">
        <f ca="1">tblBaseCF[[#This Row],[TotalPrem]]</f>
        <v>0</v>
      </c>
      <c r="EX48">
        <f ca="1">tblBaseCF[[#This Row],[AllocChrg]]</f>
        <v>0</v>
      </c>
      <c r="EY48">
        <f ca="1">tblBaseCF[[#This Row],[Alloc]]</f>
        <v>0</v>
      </c>
      <c r="EZ48">
        <f ca="1">tblBaseCF[[#This Row],[AccumTotalPrem]]</f>
        <v>0</v>
      </c>
      <c r="FA48">
        <f>tblBaseCF[[#This Row],[AnnualIntRate]]</f>
        <v>0</v>
      </c>
      <c r="FB48" s="50">
        <f>tblBaseCF[[#This Row],[Duean1m12]]</f>
        <v>1</v>
      </c>
      <c r="FC48">
        <f ca="1">tblBaseCF[[#This Row],[DeductFlag]]</f>
        <v>0</v>
      </c>
      <c r="FD48">
        <f ca="1">tblBaseCF[[#This Row],[AdminChrg]]</f>
        <v>0</v>
      </c>
      <c r="FE48">
        <f ca="1">tblBaseCF[[#This Row],[StandardCOI]]</f>
        <v>0</v>
      </c>
      <c r="FF48">
        <f ca="1">tblBaseCF[[#This Row],[EMLoadCOI]]</f>
        <v>0</v>
      </c>
      <c r="FG48">
        <f ca="1">tblBaseCF[[#This Row],[PMLoadCOI]]</f>
        <v>0</v>
      </c>
      <c r="FH48">
        <f ca="1">tblBaseCF[[#This Row],[COI]]</f>
        <v>0</v>
      </c>
      <c r="FI48" s="47">
        <f ca="1">tblBaseCF[[#This Row],[NomDeduct]]</f>
        <v>0</v>
      </c>
      <c r="FJ48">
        <f ca="1">tblBaseCF[[#This Row],[Deduct]]</f>
        <v>0</v>
      </c>
      <c r="FK48">
        <f ca="1">tblBaseCF[[#This Row],[TAVDeduct]]</f>
        <v>0</v>
      </c>
      <c r="FL48">
        <f ca="1">tblBaseCF[[#This Row],[EAVDeduct]]</f>
        <v>0</v>
      </c>
      <c r="FM48" s="24">
        <f ca="1">tblBaseCF[[#This Row],[TAVInt]]</f>
        <v>0</v>
      </c>
      <c r="FN48">
        <f ca="1">tblBaseCF[[#This Row],[EAVInt]]</f>
        <v>0</v>
      </c>
      <c r="FO48" s="47">
        <f ca="1">tblBaseCF[[#This Row],[LB]]</f>
        <v>0</v>
      </c>
      <c r="FP48">
        <f ca="1">tblBaseCF[[#This Row],[SB]]</f>
        <v>0</v>
      </c>
      <c r="FQ48">
        <f ca="1">tblBaseCF[[#This Row],[Bonus]]</f>
        <v>0</v>
      </c>
      <c r="FR48">
        <f ca="1">tblBaseCF[[#This Row],[EndTAV]]</f>
        <v>0</v>
      </c>
      <c r="FS48">
        <f ca="1">tblBaseCF[[#This Row],[EndEAV]]</f>
        <v>0</v>
      </c>
      <c r="FT48">
        <f ca="1">tblBaseCF[[#This Row],[EndPAV]]</f>
        <v>0</v>
      </c>
      <c r="FU48">
        <f ca="1">tblBaseCF[[#This Row],[SemiAnnualTP]]</f>
        <v>0</v>
      </c>
      <c r="FV48">
        <f ca="1">tblBaseCF[[#This Row],[SemiAnnualEP]]</f>
        <v>0</v>
      </c>
      <c r="FW48">
        <f ca="1">tblBaseCF[[#This Row],[SemiAnnualEMLoad]]</f>
        <v>0</v>
      </c>
      <c r="FX48">
        <f ca="1">tblBaseCF[[#This Row],[SemiAnnualPMLoad]]</f>
        <v>0</v>
      </c>
      <c r="FY48">
        <f ca="1">tblBaseCF[[#This Row],[SemiAnnualLoad]]</f>
        <v>0</v>
      </c>
      <c r="FZ48">
        <f ca="1">tblBaseCF[[#This Row],[SemiAnnualTotalPrem]]</f>
        <v>0</v>
      </c>
      <c r="GA48">
        <f ca="1">tblBaseCF[[#This Row],[QuarterlyTP]]</f>
        <v>0</v>
      </c>
      <c r="GB48">
        <f ca="1">tblBaseCF[[#This Row],[QuarterlyEP]]</f>
        <v>0</v>
      </c>
      <c r="GC48">
        <f ca="1">tblBaseCF[[#This Row],[QuarterlyEMLoad]]</f>
        <v>0</v>
      </c>
      <c r="GD48">
        <f ca="1">tblBaseCF[[#This Row],[QuarterlyPMLoad]]</f>
        <v>0</v>
      </c>
      <c r="GE48">
        <f ca="1">tblBaseCF[[#This Row],[QuarterlyLoad]]</f>
        <v>0</v>
      </c>
      <c r="GF48">
        <f ca="1">tblBaseCF[[#This Row],[QuarterlyTotalPrem]]</f>
        <v>0</v>
      </c>
      <c r="GG48">
        <f ca="1">tblBaseCF[[#This Row],[MonthlyTP]]</f>
        <v>0</v>
      </c>
      <c r="GH48">
        <f ca="1">tblBaseCF[[#This Row],[MonthlyEP]]</f>
        <v>0</v>
      </c>
      <c r="GI48">
        <f ca="1">tblBaseCF[[#This Row],[MonthlyEMLoad]]</f>
        <v>0</v>
      </c>
      <c r="GJ48">
        <f ca="1">tblBaseCF[[#This Row],[MonthlyPMLoad]]</f>
        <v>0</v>
      </c>
      <c r="GK48">
        <f ca="1">tblBaseCF[[#This Row],[MonthlyLoad]]</f>
        <v>0</v>
      </c>
      <c r="GL48">
        <f ca="1">tblBaseCF[[#This Row],[MonthlyTotalPrem]]</f>
        <v>0</v>
      </c>
      <c r="GO48" t="s">
        <v>134</v>
      </c>
      <c r="GP48" t="s">
        <v>135</v>
      </c>
      <c r="GQ48" t="s">
        <v>502</v>
      </c>
      <c r="GR48">
        <v>28</v>
      </c>
      <c r="GS48">
        <v>27</v>
      </c>
      <c r="GT48">
        <v>1</v>
      </c>
      <c r="GU48" t="s">
        <v>457</v>
      </c>
      <c r="GV48">
        <v>30759761.4067269</v>
      </c>
      <c r="GW48">
        <v>257930437.257882</v>
      </c>
      <c r="GX48">
        <v>288690198.66460901</v>
      </c>
      <c r="GY48">
        <v>0</v>
      </c>
      <c r="GZ48">
        <v>288690198.66460901</v>
      </c>
      <c r="HA48">
        <v>288690198.66460901</v>
      </c>
      <c r="HB48">
        <v>303000000</v>
      </c>
      <c r="HC48">
        <v>0</v>
      </c>
      <c r="HD48" t="s">
        <v>137</v>
      </c>
      <c r="HE48">
        <v>0</v>
      </c>
      <c r="HF48">
        <v>0</v>
      </c>
      <c r="HG48">
        <v>0</v>
      </c>
      <c r="HH48">
        <v>1072000</v>
      </c>
      <c r="HI48">
        <v>21440</v>
      </c>
      <c r="HJ48">
        <v>1050560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1072000</v>
      </c>
      <c r="HT48">
        <v>21440</v>
      </c>
      <c r="HU48">
        <v>1050560</v>
      </c>
      <c r="HV48">
        <v>154816000</v>
      </c>
      <c r="HW48">
        <v>7.0000000000000007E-2</v>
      </c>
      <c r="HX48">
        <v>0.96964931039809399</v>
      </c>
      <c r="HY48">
        <v>1</v>
      </c>
      <c r="HZ48">
        <v>300000</v>
      </c>
      <c r="IA48">
        <v>0</v>
      </c>
      <c r="IB48">
        <v>0</v>
      </c>
      <c r="IC48">
        <v>0</v>
      </c>
      <c r="ID48">
        <v>272700</v>
      </c>
      <c r="IE48">
        <v>572700</v>
      </c>
      <c r="IF48">
        <v>555318.16006498795</v>
      </c>
      <c r="IG48">
        <v>555318.16006498795</v>
      </c>
      <c r="IH48">
        <v>0</v>
      </c>
      <c r="II48">
        <v>2187850.2272663401</v>
      </c>
      <c r="IJ48">
        <v>18055130.608051799</v>
      </c>
      <c r="IK48">
        <v>0</v>
      </c>
      <c r="IL48">
        <v>0</v>
      </c>
      <c r="IM48">
        <v>0</v>
      </c>
      <c r="IN48">
        <v>33442853.473928299</v>
      </c>
      <c r="IO48">
        <v>275985567.86593401</v>
      </c>
      <c r="IP48">
        <v>309428421.33986199</v>
      </c>
      <c r="IQ48">
        <v>536000</v>
      </c>
      <c r="IR48">
        <v>2600000</v>
      </c>
      <c r="IS48">
        <v>0</v>
      </c>
      <c r="IT48">
        <v>0</v>
      </c>
      <c r="IU48">
        <v>0</v>
      </c>
      <c r="IV48">
        <v>3136000</v>
      </c>
      <c r="IW48">
        <v>268000</v>
      </c>
      <c r="IX48">
        <v>1300000</v>
      </c>
      <c r="IY48">
        <v>0</v>
      </c>
      <c r="IZ48">
        <v>0</v>
      </c>
      <c r="JA48">
        <v>0</v>
      </c>
      <c r="JB48">
        <v>1568000</v>
      </c>
      <c r="JC48">
        <v>90000</v>
      </c>
      <c r="JD48">
        <v>434000</v>
      </c>
      <c r="JE48">
        <v>0</v>
      </c>
      <c r="JF48">
        <v>0</v>
      </c>
      <c r="JG48">
        <v>0</v>
      </c>
      <c r="JH48">
        <v>524000</v>
      </c>
    </row>
    <row r="49" spans="2:268" customFormat="1" x14ac:dyDescent="0.25">
      <c r="B49" s="2">
        <f ca="1">OFFSET(tblBaseCF[[#This Row],[Year]],-1,0)+1</f>
        <v>29</v>
      </c>
      <c r="C49" s="2">
        <f ca="1">(tblBaseCF[[#This Row],[Year]]&lt;=term)*1</f>
        <v>1</v>
      </c>
      <c r="D49" s="57">
        <f ca="1">(YEAR(rcd)+tblBaseCF[[#This Row],[Year]]-1)
*tblBaseCF[[#This Row],[PolTermFlag]]</f>
        <v>2053</v>
      </c>
      <c r="E49" s="57">
        <f ca="1">(mainLI_entry_age+tblBaseCF[[#This Row],[Year]]-1)
*tblBaseCF[[#This Row],[PolTermFlag]]</f>
        <v>28</v>
      </c>
      <c r="F49" s="57">
        <f ca="1">IF(tblBaseCF[[#This Row],[Year]]=1,1,OFFSET(tblBaseCF[[#This Row],[DeductFlag]],-1,0))
*tblBaseCF[[#This Row],[PolTermFlag]]</f>
        <v>0</v>
      </c>
      <c r="G4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49" s="57">
        <f ca="1">(tblBaseCF[[#This Row],[Year]]&lt;=acc_ben_term)
*tblBaseCF[[#This Row],[ContFlag]]</f>
        <v>0</v>
      </c>
      <c r="I49" s="57">
        <f ca="1">(tblBaseCF[[#This Row],[Year]]&lt;=tp_term)
*tblBaseCF[[#This Row],[ContFlag]]</f>
        <v>0</v>
      </c>
      <c r="J49" s="57">
        <f ca="1">(tblBaseCF[[#This Row],[Year]]&lt;=ep_term)
*tblBaseCF[[#This Row],[ContFlag]]</f>
        <v>0</v>
      </c>
      <c r="K49" s="57">
        <f ca="1">(tblBaseCF[[#This Row],[Year]]&lt;=em_load_term)*1</f>
        <v>0</v>
      </c>
      <c r="L49" s="57">
        <f ca="1">(tblBaseCF[[#This Row],[Year]]&lt;=pm_load_term)*1</f>
        <v>0</v>
      </c>
      <c r="M49" s="59">
        <f ca="1">IF(tblBaseCF[[#This Row],[Year]]=1,si,OFFSET(tblBaseCF[[#This Row],[EndSI]],-1,0))
*tblBaseCF[[#This Row],[ContFlag]]</f>
        <v>0</v>
      </c>
      <c r="N49" s="59">
        <f ca="1">OFFSET(tblBaseCF[[#This Row],[EndTAV]],-1,0)
*tblBaseCF[[#This Row],[ContFlag]]</f>
        <v>0</v>
      </c>
      <c r="O49" s="59">
        <f ca="1">OFFSET(tblBaseCF[[#This Row],[EndEAV]],-1,0)
*tblBaseCF[[#This Row],[ContFlag]]</f>
        <v>0</v>
      </c>
      <c r="P49" s="60">
        <f ca="1">tblBaseCF[[#This Row],[StartEAV]]+tblBaseCF[[#This Row],[StartTAV]]</f>
        <v>0</v>
      </c>
      <c r="Q49" s="61">
        <f ca="1">IFERROR(INDEX(tblJuvenileLienRate[Rate],MATCH(tblBaseCF[[#This Row],[Age]],tblJuvenileLienRate[Age],0)),1)
*tblBaseCF[[#This Row],[ContFlag]]</f>
        <v>0</v>
      </c>
      <c r="R4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49" s="62">
        <f ca="1">tblBaseCF[[#This Row],[StartSI]]*acc_ben_coeff*tblBaseCF[[#This Row],[JuvenileLienRate]]
*tblBaseCF[[#This Row],[AccBenTermFlag]]</f>
        <v>0</v>
      </c>
      <c r="T49" s="61">
        <f ca="1">(IFERROR(INDEX(tblSurrChrgRate[Rate],MATCH(tblBaseCF[[#This Row],[Year]],tblSurrChrgRate[Year],0)),0)
*tblBaseCF[[#This Row],[ContFlag]])</f>
        <v>0</v>
      </c>
      <c r="U49" s="60">
        <f ca="1">tp*tblBaseCF[[#This Row],[SrrChrgRate]]</f>
        <v>0</v>
      </c>
      <c r="V49" s="63">
        <f ca="1">MAX(tblBaseCF[[#This Row],[StartTAV]]-tblBaseCF[[#This Row],[SVChrg]],0)+tblBaseCF[[#This Row],[StartEAV]]</f>
        <v>0</v>
      </c>
      <c r="W49" s="59">
        <f ca="1">IFERROR(INDEX(tblWithdrawal_Output[Amount],MATCH(tblBaseCF[[#This Row],[Year]],tblWithdrawal_Output[Year],0)),0)
*tblBaseCF[[#This Row],[ContFlag]]</f>
        <v>0</v>
      </c>
      <c r="X49" s="59" t="b">
        <f ca="1">tblBaseCF[[#This Row],[WithdrawalInput]]&gt;0</f>
        <v>0</v>
      </c>
      <c r="Y49" s="59" t="b">
        <f ca="1">AND(tblBaseCF[[#This Row],[1stCheckProceed]],tblBaseCF[[#This Row],[WithdrawalInput]]&lt;=tblBaseCF[[#This Row],[StartPAV]])</f>
        <v>0</v>
      </c>
      <c r="Z49" s="59" t="b">
        <f ca="1">AND(tblBaseCF[[#This Row],[2ndCheckAmount]],(tblBaseCF[[#This Row],[StartPAV]]-tblBaseCF[[#This Row],[WithdrawalInput]])&gt;=min_pav_after_withdrawal)</f>
        <v>0</v>
      </c>
      <c r="AA4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49" s="59" t="b">
        <f ca="1">AND(tblBaseCF[[#This Row],[3rdCheckPAV]],tblBaseCF[[#This Row],[endSITest]]&gt;=min_base_si)</f>
        <v>0</v>
      </c>
      <c r="AC49" s="60">
        <f ca="1">tblBaseCF[[#This Row],[WithdrawalInput]]*tblBaseCF[[#This Row],[4thCheckSI]]</f>
        <v>0</v>
      </c>
      <c r="AD49" s="60">
        <f ca="1">MIN(tblBaseCF[[#This Row],[Withdrawal]],tblBaseCF[[#This Row],[StartEAV]])</f>
        <v>0</v>
      </c>
      <c r="AE49" s="60">
        <f ca="1">tblBaseCF[[#This Row],[Withdrawal]]-tblBaseCF[[#This Row],[EAVWithdrawal]]</f>
        <v>0</v>
      </c>
      <c r="AF49" s="60">
        <f ca="1">IF(tblBaseCF[[#This Row],[4thCheckSI]],tblBaseCF[[#This Row],[endSITest]],tblBaseCF[[#This Row],[StartSI]])</f>
        <v>0</v>
      </c>
      <c r="AG4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49" s="65">
        <f ca="1">IFERROR(INDEX(tblTPAllocChrgRate[Rate],MATCH(tblBaseCF[[#This Row],[Year]],tblTPAllocChrgRate[Year],0)),0)</f>
        <v>0.02</v>
      </c>
      <c r="AI49" s="62">
        <f ca="1">(tp+big_case_bonus_tp*(tblBaseCF[[#This Row],[Year]]=1))
*tblBaseCF[[#This Row],[TPTermFlag]]</f>
        <v>0</v>
      </c>
      <c r="AJ49" s="63">
        <f ca="1">tblBaseCF[[#This Row],[TP]]*tblBaseCF[[#This Row],[TPAllocChrgRate]]</f>
        <v>0</v>
      </c>
      <c r="AK49" s="60">
        <f ca="1">tblBaseCF[[#This Row],[TP]]-tblBaseCF[[#This Row],[TPAllocChrg]]</f>
        <v>0</v>
      </c>
      <c r="AL49" s="65">
        <f ca="1">IFERROR(INDEX(tblEPAllocChrgRate[Rate],MATCH(tblBaseCF[[#This Row],[Year]],tblEPAllocChrgRate[Year],0)),0)</f>
        <v>0.02</v>
      </c>
      <c r="AM49" s="60">
        <f ca="1">ep*tblBaseCF[[#This Row],[EPTermFlag]]</f>
        <v>0</v>
      </c>
      <c r="AN49" s="60">
        <f ca="1">tblBaseCF[[#This Row],[EP]]*tblBaseCF[[#This Row],[EPAllocChrgRate]]</f>
        <v>0</v>
      </c>
      <c r="AO49" s="63">
        <f ca="1">tblBaseCF[[#This Row],[EP]]-tblBaseCF[[#This Row],[EPAllocChrg]]</f>
        <v>0</v>
      </c>
      <c r="AP49" s="62">
        <f ca="1">tblBaseCF[[#This Row],[Ben]]*extra_prem_rate*em_load/1000/(1-tblBaseCF[[#This Row],[EPAllocChrgRate]])
*tblBaseCF[[#This Row],[EMLoadTermFlag]]</f>
        <v>0</v>
      </c>
      <c r="AQ49" s="62">
        <f ca="1">tblBaseCF[[#This Row],[Ben]]*pm_load/1000/(1-tblBaseCF[[#This Row],[EPAllocChrgRate]])
*tblBaseCF[[#This Row],[PMLoadTermFlag]]</f>
        <v>0</v>
      </c>
      <c r="AR49" s="60">
        <f ca="1">ROUNDUP(tblBaseCF[[#This Row],[UnroundedEMLoad]],-3)</f>
        <v>0</v>
      </c>
      <c r="AS49" s="62">
        <f ca="1">ROUNDUP(tblBaseCF[[#This Row],[Ben]]*pm_load/1000/(1-tblBaseCF[[#This Row],[EPAllocChrgRate]]),-3)
*tblBaseCF[[#This Row],[PMLoadTermFlag]]</f>
        <v>0</v>
      </c>
      <c r="AT49" s="60">
        <f ca="1">tblBaseCF[[#This Row],[EMLoad]]+tblBaseCF[[#This Row],[PMLoad]]</f>
        <v>0</v>
      </c>
      <c r="AU49" s="60">
        <f ca="1">tblBaseCF[[#This Row],[Load]]*tblBaseCF[[#This Row],[EPAllocChrgRate]]</f>
        <v>0</v>
      </c>
      <c r="AV49" s="60">
        <f ca="1">tblBaseCF[[#This Row],[Load]]-tblBaseCF[[#This Row],[LoadAllocChrg]]</f>
        <v>0</v>
      </c>
      <c r="AW49" s="60">
        <f ca="1">tblBaseCF[[#This Row],[TP]]+tblBaseCF[[#This Row],[EP]]+tblBaseCF[[#This Row],[Load]]</f>
        <v>0</v>
      </c>
      <c r="AX49" s="60">
        <f ca="1">tblBaseCF[[#This Row],[TPAllocChrg]]+tblBaseCF[[#This Row],[EPAllocChrg]]+tblBaseCF[[#This Row],[LoadAllocChrg]]</f>
        <v>0</v>
      </c>
      <c r="AY49" s="60">
        <f ca="1">tblBaseCF[[#This Row],[TPAlloc]]+tblBaseCF[[#This Row],[EPAlloc]]+tblBaseCF[[#This Row],[LoadAlloc]]</f>
        <v>0</v>
      </c>
      <c r="AZ49" s="60">
        <f ca="1">(OFFSET(tblBaseCF[[#This Row],[AccumTotalPrem]],-1,0)+tblBaseCF[[#This Row],[TotalPrem]])*tblBaseCF[[#This Row],[TPTermFlag]]</f>
        <v>0</v>
      </c>
      <c r="BA49" s="62">
        <f ca="1">(tblBaseCF[[#This Row],[StartTAV]]-tblBaseCF[[#This Row],[TAVWithdrawal]]+tblBaseCF[[#This Row],[TPAlloc]])
*tblBaseCF[[#This Row],[ContFlag]]</f>
        <v>0</v>
      </c>
      <c r="BB49" s="59">
        <f ca="1">(tblBaseCF[[#This Row],[StartEAV]]-tblBaseCF[[#This Row],[EAVWithdrawal]]+tblBaseCF[[#This Row],[EPAlloc]]+tblBaseCF[[#This Row],[LoadAlloc]])
*tblBaseCF[[#This Row],[ContFlag]]</f>
        <v>0</v>
      </c>
      <c r="BC49" s="59">
        <f ca="1">tblBaseCF[[#This Row],[TAVAfterWdrlAlloc]]+tblBaseCF[[#This Row],[EAVAfterWdrlAlloc]]</f>
        <v>0</v>
      </c>
      <c r="BD49" s="66">
        <f t="shared" si="2"/>
        <v>0</v>
      </c>
      <c r="BE49" s="67">
        <f>(1+tblBaseCF[[#This Row],[AnnualIntRate]])^(1/12)-1</f>
        <v>0</v>
      </c>
      <c r="BF49" s="68">
        <f>IFERROR(((1+tblBaseCF[[#This Row],[MonthlyIntRate]])^12-1)/12/(1-1/(1+tblBaseCF[[#This Row],[MonthlyIntRate]])),1)/(1+tblBaseCF[[#This Row],[AnnualIntRate]])</f>
        <v>1</v>
      </c>
      <c r="BG49" s="69">
        <f>PV(tblBaseCF[[#This Row],[MonthlyIntRate]],12,-1/12,,1)</f>
        <v>1</v>
      </c>
      <c r="BH49" s="60">
        <f ca="1">MAX(IF(death_tpd_option="A",tblBaseCF[[#This Row],[Ben]]-tblBaseCF[[#This Row],[StartPAV]],tblBaseCF[[#This Row],[Ben]]),0)</f>
        <v>0</v>
      </c>
      <c r="BI49" s="70">
        <f ca="1">IFERROR(INDEX(tblBaseCOIRate[Rate],MATCH(tblBaseCF[[#This Row],[Age]],tblBaseCOIRate[Age],0)),0)</f>
        <v>1.28000000000006E-3</v>
      </c>
      <c r="BJ49" s="60">
        <f ca="1">tblBaseCF[[#This Row],[SAR]]*tblBaseCF[[#This Row],[COIRate]]</f>
        <v>0</v>
      </c>
      <c r="BK49" s="62">
        <f ca="1">em_load*tblBaseCF[[#This Row],[pStandardCOI]]
*tblBaseCF[[#This Row],[EMLoadTermFlag]]</f>
        <v>0</v>
      </c>
      <c r="BL49" s="62">
        <f ca="1">pm_load/1000*tblBaseCF[[#This Row],[SAR]]
*tblBaseCF[[#This Row],[PMLoadTermFlag]]</f>
        <v>0</v>
      </c>
      <c r="BM49" s="60">
        <f ca="1">tblBaseCF[[#This Row],[AccBen]]*monthly_acc_coi*12</f>
        <v>0</v>
      </c>
      <c r="BN49" s="60">
        <f ca="1">tblBaseCF[[#This Row],[pStandardCOI]]+tblBaseCF[[#This Row],[pEMLoadCOI]]+tblBaseCF[[#This Row],[pPMLoadCOI]]+tblBaseCF[[#This Row],[pAccCOI]]</f>
        <v>0</v>
      </c>
      <c r="BO49" s="62">
        <f ca="1">IFERROR(INDEX(tblAdminChrg[Amount],MATCH(tblBaseCF[[#This Row],[CalYear]],tblAdminChrg[Cal_Year],0)),0)
*tblBaseCF[[#This Row],[ContFlag]]</f>
        <v>0</v>
      </c>
      <c r="BP49" s="60">
        <f ca="1">tblBaseCF[[#This Row],[pMonthlyAdminChrg]]*12</f>
        <v>0</v>
      </c>
      <c r="BQ49" s="60">
        <f ca="1">tblBaseCF[[#This Row],[pCOI]]+tblBaseCF[[#This Row],[pAdminChrg]]</f>
        <v>0</v>
      </c>
      <c r="BR49" s="60">
        <f ca="1">tblBaseCF[[#This Row],[pNomDeduct]]*tblBaseCF[[#This Row],[Duean1m12]]</f>
        <v>0</v>
      </c>
      <c r="BS49" s="57">
        <f ca="1">(tblBaseCF[[#This Row],[PAVAfterWdrlAlloc]]&gt;=tblBaseCF[[#This Row],[pNomDeduct]])
*tblBaseCF[[#This Row],[ContFlag]]</f>
        <v>0</v>
      </c>
      <c r="BT49" s="60">
        <f ca="1">tblBaseCF[[#This Row],[pStandardCOI]]*tblBaseCF[[#This Row],[DeductFlag]]</f>
        <v>0</v>
      </c>
      <c r="BU49" s="60">
        <f ca="1">tblBaseCF[[#This Row],[pEMLoadCOI]]*tblBaseCF[[#This Row],[DeductFlag]]</f>
        <v>0</v>
      </c>
      <c r="BV49" s="60">
        <f ca="1">tblBaseCF[[#This Row],[pPMLoadCOI]]*tblBaseCF[[#This Row],[DeductFlag]]</f>
        <v>0</v>
      </c>
      <c r="BW49" s="60">
        <f ca="1">tblBaseCF[[#This Row],[pAccCOI]]*tblBaseCF[[#This Row],[DeductFlag]]</f>
        <v>0</v>
      </c>
      <c r="BX49" s="60">
        <f ca="1">tblBaseCF[[#This Row],[pCOI]]*tblBaseCF[[#This Row],[DeductFlag]]</f>
        <v>0</v>
      </c>
      <c r="BY49" s="60">
        <f ca="1">tblBaseCF[[#This Row],[pMonthlyAdminChrg]]*tblBaseCF[[#This Row],[DeductFlag]]</f>
        <v>0</v>
      </c>
      <c r="BZ49" s="60">
        <f ca="1">tblBaseCF[[#This Row],[pAdminChrg]]*tblBaseCF[[#This Row],[DeductFlag]]</f>
        <v>0</v>
      </c>
      <c r="CA49" s="60">
        <f ca="1">tblBaseCF[[#This Row],[pNomDeduct]]*tblBaseCF[[#This Row],[DeductFlag]]</f>
        <v>0</v>
      </c>
      <c r="CB49" s="60">
        <f ca="1">tblBaseCF[[#This Row],[pDeduct]]*tblBaseCF[[#This Row],[DeductFlag]]</f>
        <v>0</v>
      </c>
      <c r="CC49" s="60">
        <f ca="1">MIN(tblBaseCF[[#This Row],[TAVAfterWdrlAlloc]],tblBaseCF[[#This Row],[Deduct]])</f>
        <v>0</v>
      </c>
      <c r="CD49" s="60">
        <f ca="1">tblBaseCF[[#This Row],[Deduct]]-tblBaseCF[[#This Row],[TAVDeduct]]</f>
        <v>0</v>
      </c>
      <c r="CE49" s="69">
        <f ca="1">(tblBaseCF[[#This Row],[TAVAfterWdrlAlloc]]-tblBaseCF[[#This Row],[TAVDeduct]])*tblBaseCF[[#This Row],[AnnualIntRate]]
*tblBaseCF[[#This Row],[DeductFlag]]</f>
        <v>0</v>
      </c>
      <c r="CF49" s="69">
        <f ca="1">(tblBaseCF[[#This Row],[EAVAfterWdrlAlloc]]-tblBaseCF[[#This Row],[EAVDeduct]])*tblBaseCF[[#This Row],[AnnualIntRate]]
*tblBaseCF[[#This Row],[DeductFlag]]</f>
        <v>0</v>
      </c>
      <c r="CG49" s="69">
        <f ca="1">tblBaseCF[[#This Row],[TAVInt]]+tblBaseCF[[#This Row],[EAVInt]]</f>
        <v>0</v>
      </c>
      <c r="CH49" s="62">
        <f ca="1">IFERROR(INDEX(tblLBRate[Rate],MATCH(tblBaseCF[[#This Row],[Year]],tblLBRate[Year],0)),0)
*tblBaseCF[[#This Row],[DeductFlag]]</f>
        <v>0</v>
      </c>
      <c r="CI49" s="60">
        <f ca="1">IFERROR(SUM(OFFSET(tblBaseCF[[#This Row],[TAVWithdrawal]],0,0,-lb_review_period,1)),0)
*(tblBaseCF[[#This Row],[LBRate]]&gt;0)</f>
        <v>0</v>
      </c>
      <c r="CJ49" s="60">
        <f ca="1">(tblBaseCF[[#This Row],[LBRate]]&gt;0)*(tblBaseCF[[#This Row],[LBTAVWithdrawal]]=0)</f>
        <v>0</v>
      </c>
      <c r="CK49" s="62" cm="1">
        <f t="array" aca="1" ref="CK49" ca="1">IF(tblBaseCF[[#This Row],[LBFlag]],
_xlfn.SWITCH(base,
"ILP1",AVERAGE(OFFSET(tblBaseCF[TP],0,0,-lb_review_period,1)),tp),0)
*tblBaseCF[[#This Row],[LBFlag]]</f>
        <v>0</v>
      </c>
      <c r="CL49" s="62">
        <f ca="1">tblBaseCF[[#This Row],[LBBasis]]*tblBaseCF[[#This Row],[LBRate]]</f>
        <v>0</v>
      </c>
      <c r="CM49" s="57" cm="1">
        <f t="array" aca="1" ref="CM49" ca="1">_xlfn.SWITCH(base,
"ILP1",0,($AF149&lt;500000000)*1
+($AF149&gt;=500000000)*($AF149&lt;1000000000)*2
+($AF149&gt;=1000000000)*3)
*tblBaseCF[[#This Row],[DeductFlag]]</f>
        <v>0</v>
      </c>
      <c r="CN49" s="2" t="str">
        <f ca="1">IF(tblBaseCF[[#This Row],[DeductFlag]],base&amp;"_"&amp;tblBaseCF[[#This Row],[SBCode]]&amp;"_"&amp;tblBaseCF[[#This Row],[Year]],"")</f>
        <v/>
      </c>
      <c r="CO49" s="3">
        <f ca="1">IFERROR(INDEX(tblSBRate[Index],MATCH(tblBaseCF[[#This Row],[SBIndex]],tblSBRate[Rate],0)),0)</f>
        <v>0</v>
      </c>
      <c r="CP49" s="63">
        <f ca="1">IFERROR(SUM(OFFSET(tblBaseCF[[#This Row],[TAVWithdrawal]],0,0,-sb_review_period,1)),0)
*(tblBaseCF[[#This Row],[SBRate]]&gt;0)</f>
        <v>0</v>
      </c>
      <c r="CQ49" s="63">
        <f ca="1">(tblBaseCF[[#This Row],[SBRate]]&gt;0)*(tblBaseCF[[#This Row],[SBTAVWithdrawal]]=0)</f>
        <v>0</v>
      </c>
      <c r="CR49" s="59" cm="1">
        <f t="array" aca="1" ref="CR49" ca="1">IF(tblBaseCF[[#This Row],[LBFlag]],
_xlfn.SWITCH(base,
"ILP1",0,tp),0)*tblBaseCF[[#This Row],[SBFlag]]</f>
        <v>0</v>
      </c>
      <c r="CS49" s="63">
        <f ca="1">tblBaseCF[[#This Row],[SBBasis]]*tblBaseCF[[#This Row],[SBRate]]</f>
        <v>0</v>
      </c>
      <c r="CT49" s="63">
        <f ca="1">tblBaseCF[[#This Row],[LB]]+tblBaseCF[[#This Row],[SB]]</f>
        <v>0</v>
      </c>
      <c r="CU49" s="59">
        <f ca="1">tblBaseCF[[#This Row],[TAVAfterWdrlAlloc]]-tblBaseCF[[#This Row],[TAVDeduct]]+tblBaseCF[[#This Row],[TAVInt]]+tblBaseCF[[#This Row],[Bonus]]</f>
        <v>0</v>
      </c>
      <c r="CV49" s="59">
        <f ca="1">tblBaseCF[[#This Row],[EAVAfterWdrlAlloc]]-tblBaseCF[[#This Row],[EAVDeduct]]+tblBaseCF[[#This Row],[EAVInt]]</f>
        <v>0</v>
      </c>
      <c r="CW49" s="63">
        <f ca="1">tblBaseCF[[#This Row],[EndTAV]]+tblBaseCF[[#This Row],[EndEAV]]</f>
        <v>0</v>
      </c>
      <c r="CX49" s="59">
        <f ca="1">INDEX(tblPlanPrem[TP],2)
*tblBaseCF[[#This Row],[TPTermFlag]]</f>
        <v>0</v>
      </c>
      <c r="CY49" s="59">
        <f ca="1">INDEX(tblPlanPrem[EP],2)
*tblBaseCF[[#This Row],[TPTermFlag]]</f>
        <v>0</v>
      </c>
      <c r="CZ49" s="63">
        <f ca="1">ROUNDUP(tblBaseCF[[#This Row],[UnroundedEMLoad]]*INDEX(tblPlanPrem[Factor],2),-3)</f>
        <v>0</v>
      </c>
      <c r="DA49" s="63">
        <f ca="1">ROUNDUP(tblBaseCF[[#This Row],[UnroundedPMLoad]]*INDEX(tblPlanPrem[Factor],2),-3)</f>
        <v>0</v>
      </c>
      <c r="DB49" s="63">
        <f ca="1">tblBaseCF[[#This Row],[SemiAnnualEMLoad]]+tblBaseCF[[#This Row],[SemiAnnualPMLoad]]</f>
        <v>0</v>
      </c>
      <c r="DC49" s="63">
        <f ca="1">tblBaseCF[[#This Row],[SemiAnnualTP]]+tblBaseCF[[#This Row],[SemiAnnualEP]]+tblBaseCF[[#This Row],[SemiAnnualLoad]]</f>
        <v>0</v>
      </c>
      <c r="DD49" s="59">
        <f ca="1">INDEX(tblPlanPrem[TP],3)
*tblBaseCF[[#This Row],[TPTermFlag]]</f>
        <v>0</v>
      </c>
      <c r="DE49" s="59">
        <f ca="1">INDEX(tblPlanPrem[EP],3)
*tblBaseCF[[#This Row],[TPTermFlag]]</f>
        <v>0</v>
      </c>
      <c r="DF49" s="63">
        <f ca="1">ROUNDUP(tblBaseCF[[#This Row],[UnroundedEMLoad]]*INDEX(tblPlanPrem[Factor],3),-3)</f>
        <v>0</v>
      </c>
      <c r="DG49" s="63">
        <f ca="1">ROUNDUP(tblBaseCF[[#This Row],[UnroundedPMLoad]]*INDEX(tblPlanPrem[Factor],3),-3)</f>
        <v>0</v>
      </c>
      <c r="DH49" s="60">
        <f ca="1">tblBaseCF[[#This Row],[QuarterlyEMLoad]]+tblBaseCF[[#This Row],[QuarterlyPMLoad]]</f>
        <v>0</v>
      </c>
      <c r="DI49" s="60">
        <f ca="1">tblBaseCF[[#This Row],[QuarterlyTP]]+tblBaseCF[[#This Row],[QuarterlyEP]]+tblBaseCF[[#This Row],[QuarterlyLoad]]</f>
        <v>0</v>
      </c>
      <c r="DJ49" s="59">
        <f ca="1">INDEX(tblPlanPrem[TP],4)
*tblBaseCF[[#This Row],[TPTermFlag]]</f>
        <v>0</v>
      </c>
      <c r="DK49" s="59">
        <f ca="1">INDEX(tblPlanPrem[EP],4)
*tblBaseCF[[#This Row],[TPTermFlag]]</f>
        <v>0</v>
      </c>
      <c r="DL49" s="63">
        <f ca="1">ROUNDUP(tblBaseCF[[#This Row],[UnroundedEMLoad]]*INDEX(tblPlanPrem[Factor],4),-3)</f>
        <v>0</v>
      </c>
      <c r="DM49" s="63">
        <f ca="1">ROUNDUP(tblBaseCF[[#This Row],[UnroundedPMLoad]]*INDEX(tblPlanPrem[Factor],4),-3)</f>
        <v>0</v>
      </c>
      <c r="DN49" s="60">
        <f ca="1">tblBaseCF[[#This Row],[MonthlyEMLoad]]+tblBaseCF[[#This Row],[MonthlyPMLoad]]</f>
        <v>0</v>
      </c>
      <c r="DO49" s="63">
        <f ca="1">tblBaseCF[[#This Row],[MonthlyTP]]+tblBaseCF[[#This Row],[MonthlyEP]]+tblBaseCF[[#This Row],[MonthlyLoad]]</f>
        <v>0</v>
      </c>
      <c r="DP49" s="3"/>
      <c r="DS49">
        <f t="shared" si="3"/>
        <v>0</v>
      </c>
      <c r="DT49">
        <f t="shared" si="4"/>
        <v>0</v>
      </c>
      <c r="DU49">
        <f t="shared" si="5"/>
        <v>0</v>
      </c>
      <c r="DV49">
        <f ca="1">tblBaseCF[[#This Row],[Year]]</f>
        <v>29</v>
      </c>
      <c r="DW49">
        <f ca="1">tblBaseCF[[#This Row],[Age]]</f>
        <v>28</v>
      </c>
      <c r="DX49">
        <f ca="1">tblBaseCF[[#This Row],[ContFlag]]</f>
        <v>0</v>
      </c>
      <c r="DY49" t="str">
        <f ca="1">tblBaseCF[[#This Row],[ContLog]]</f>
        <v>Insufficient PAV for deduction - Discontinue.</v>
      </c>
      <c r="DZ49">
        <f ca="1">tblBaseCF[[#This Row],[StartTAV]]</f>
        <v>0</v>
      </c>
      <c r="EA49">
        <f ca="1">tblBaseCF[[#This Row],[StartEAV]]</f>
        <v>0</v>
      </c>
      <c r="EB49">
        <f ca="1">tblBaseCF[[#This Row],[StartPAV]]</f>
        <v>0</v>
      </c>
      <c r="EC49">
        <f ca="1">tblBaseCF[[#This Row],[SVChrg]]</f>
        <v>0</v>
      </c>
      <c r="ED49">
        <f ca="1">tblBaseCF[[#This Row],[SV]]</f>
        <v>0</v>
      </c>
      <c r="EE49">
        <f ca="1">tblBaseCF[[#This Row],[Ben]]</f>
        <v>0</v>
      </c>
      <c r="EF49">
        <f ca="1">tblBaseCF[[#This Row],[AccBen]]</f>
        <v>0</v>
      </c>
      <c r="EG49">
        <f ca="1">tblBaseCF[[#This Row],[WithdrawalInput]]</f>
        <v>0</v>
      </c>
      <c r="EH49" t="str">
        <f ca="1">tblBaseCF[[#This Row],[WithdrawalLog]]</f>
        <v>No withdrawal.</v>
      </c>
      <c r="EI49">
        <f ca="1">tblBaseCF[[#This Row],[TAVWithdrawal]]</f>
        <v>0</v>
      </c>
      <c r="EJ49">
        <f ca="1">tblBaseCF[[#This Row],[EAVWithdrawal]]</f>
        <v>0</v>
      </c>
      <c r="EK49">
        <f ca="1">tblBaseCF[[#This Row],[Withdrawal]]</f>
        <v>0</v>
      </c>
      <c r="EL49">
        <f ca="1">tblBaseCF[[#This Row],[TP]]</f>
        <v>0</v>
      </c>
      <c r="EM49">
        <f ca="1">tblBaseCF[[#This Row],[TPAllocChrg]]</f>
        <v>0</v>
      </c>
      <c r="EN49">
        <f ca="1">tblBaseCF[[#This Row],[TPAlloc]]</f>
        <v>0</v>
      </c>
      <c r="EO49">
        <f ca="1">tblBaseCF[[#This Row],[EP]]</f>
        <v>0</v>
      </c>
      <c r="EP49">
        <f ca="1">tblBaseCF[[#This Row],[EPAllocChrg]]</f>
        <v>0</v>
      </c>
      <c r="EQ49">
        <f ca="1">tblBaseCF[[#This Row],[EPAlloc]]</f>
        <v>0</v>
      </c>
      <c r="ER49">
        <f ca="1">tblBaseCF[[#This Row],[EMLoad]]</f>
        <v>0</v>
      </c>
      <c r="ES49">
        <f ca="1">tblBaseCF[[#This Row],[PMLoad]]</f>
        <v>0</v>
      </c>
      <c r="ET49">
        <f ca="1">tblBaseCF[[#This Row],[Load]]</f>
        <v>0</v>
      </c>
      <c r="EU49">
        <f ca="1">tblBaseCF[[#This Row],[LoadAllocChrg]]</f>
        <v>0</v>
      </c>
      <c r="EV49">
        <f ca="1">tblBaseCF[[#This Row],[LoadAlloc]]</f>
        <v>0</v>
      </c>
      <c r="EW49">
        <f ca="1">tblBaseCF[[#This Row],[TotalPrem]]</f>
        <v>0</v>
      </c>
      <c r="EX49">
        <f ca="1">tblBaseCF[[#This Row],[AllocChrg]]</f>
        <v>0</v>
      </c>
      <c r="EY49">
        <f ca="1">tblBaseCF[[#This Row],[Alloc]]</f>
        <v>0</v>
      </c>
      <c r="EZ49">
        <f ca="1">tblBaseCF[[#This Row],[AccumTotalPrem]]</f>
        <v>0</v>
      </c>
      <c r="FA49">
        <f>tblBaseCF[[#This Row],[AnnualIntRate]]</f>
        <v>0</v>
      </c>
      <c r="FB49" s="50">
        <f>tblBaseCF[[#This Row],[Duean1m12]]</f>
        <v>1</v>
      </c>
      <c r="FC49">
        <f ca="1">tblBaseCF[[#This Row],[DeductFlag]]</f>
        <v>0</v>
      </c>
      <c r="FD49">
        <f ca="1">tblBaseCF[[#This Row],[AdminChrg]]</f>
        <v>0</v>
      </c>
      <c r="FE49">
        <f ca="1">tblBaseCF[[#This Row],[StandardCOI]]</f>
        <v>0</v>
      </c>
      <c r="FF49">
        <f ca="1">tblBaseCF[[#This Row],[EMLoadCOI]]</f>
        <v>0</v>
      </c>
      <c r="FG49">
        <f ca="1">tblBaseCF[[#This Row],[PMLoadCOI]]</f>
        <v>0</v>
      </c>
      <c r="FH49">
        <f ca="1">tblBaseCF[[#This Row],[COI]]</f>
        <v>0</v>
      </c>
      <c r="FI49" s="47">
        <f ca="1">tblBaseCF[[#This Row],[NomDeduct]]</f>
        <v>0</v>
      </c>
      <c r="FJ49">
        <f ca="1">tblBaseCF[[#This Row],[Deduct]]</f>
        <v>0</v>
      </c>
      <c r="FK49">
        <f ca="1">tblBaseCF[[#This Row],[TAVDeduct]]</f>
        <v>0</v>
      </c>
      <c r="FL49">
        <f ca="1">tblBaseCF[[#This Row],[EAVDeduct]]</f>
        <v>0</v>
      </c>
      <c r="FM49" s="24">
        <f ca="1">tblBaseCF[[#This Row],[TAVInt]]</f>
        <v>0</v>
      </c>
      <c r="FN49">
        <f ca="1">tblBaseCF[[#This Row],[EAVInt]]</f>
        <v>0</v>
      </c>
      <c r="FO49" s="47">
        <f ca="1">tblBaseCF[[#This Row],[LB]]</f>
        <v>0</v>
      </c>
      <c r="FP49">
        <f ca="1">tblBaseCF[[#This Row],[SB]]</f>
        <v>0</v>
      </c>
      <c r="FQ49">
        <f ca="1">tblBaseCF[[#This Row],[Bonus]]</f>
        <v>0</v>
      </c>
      <c r="FR49">
        <f ca="1">tblBaseCF[[#This Row],[EndTAV]]</f>
        <v>0</v>
      </c>
      <c r="FS49">
        <f ca="1">tblBaseCF[[#This Row],[EndEAV]]</f>
        <v>0</v>
      </c>
      <c r="FT49">
        <f ca="1">tblBaseCF[[#This Row],[EndPAV]]</f>
        <v>0</v>
      </c>
      <c r="FU49">
        <f ca="1">tblBaseCF[[#This Row],[SemiAnnualTP]]</f>
        <v>0</v>
      </c>
      <c r="FV49">
        <f ca="1">tblBaseCF[[#This Row],[SemiAnnualEP]]</f>
        <v>0</v>
      </c>
      <c r="FW49">
        <f ca="1">tblBaseCF[[#This Row],[SemiAnnualEMLoad]]</f>
        <v>0</v>
      </c>
      <c r="FX49">
        <f ca="1">tblBaseCF[[#This Row],[SemiAnnualPMLoad]]</f>
        <v>0</v>
      </c>
      <c r="FY49">
        <f ca="1">tblBaseCF[[#This Row],[SemiAnnualLoad]]</f>
        <v>0</v>
      </c>
      <c r="FZ49">
        <f ca="1">tblBaseCF[[#This Row],[SemiAnnualTotalPrem]]</f>
        <v>0</v>
      </c>
      <c r="GA49">
        <f ca="1">tblBaseCF[[#This Row],[QuarterlyTP]]</f>
        <v>0</v>
      </c>
      <c r="GB49">
        <f ca="1">tblBaseCF[[#This Row],[QuarterlyEP]]</f>
        <v>0</v>
      </c>
      <c r="GC49">
        <f ca="1">tblBaseCF[[#This Row],[QuarterlyEMLoad]]</f>
        <v>0</v>
      </c>
      <c r="GD49">
        <f ca="1">tblBaseCF[[#This Row],[QuarterlyPMLoad]]</f>
        <v>0</v>
      </c>
      <c r="GE49">
        <f ca="1">tblBaseCF[[#This Row],[QuarterlyLoad]]</f>
        <v>0</v>
      </c>
      <c r="GF49">
        <f ca="1">tblBaseCF[[#This Row],[QuarterlyTotalPrem]]</f>
        <v>0</v>
      </c>
      <c r="GG49">
        <f ca="1">tblBaseCF[[#This Row],[MonthlyTP]]</f>
        <v>0</v>
      </c>
      <c r="GH49">
        <f ca="1">tblBaseCF[[#This Row],[MonthlyEP]]</f>
        <v>0</v>
      </c>
      <c r="GI49">
        <f ca="1">tblBaseCF[[#This Row],[MonthlyEMLoad]]</f>
        <v>0</v>
      </c>
      <c r="GJ49">
        <f ca="1">tblBaseCF[[#This Row],[MonthlyPMLoad]]</f>
        <v>0</v>
      </c>
      <c r="GK49">
        <f ca="1">tblBaseCF[[#This Row],[MonthlyLoad]]</f>
        <v>0</v>
      </c>
      <c r="GL49">
        <f ca="1">tblBaseCF[[#This Row],[MonthlyTotalPrem]]</f>
        <v>0</v>
      </c>
      <c r="GO49" t="s">
        <v>134</v>
      </c>
      <c r="GP49" t="s">
        <v>135</v>
      </c>
      <c r="GQ49" t="s">
        <v>502</v>
      </c>
      <c r="GR49">
        <v>29</v>
      </c>
      <c r="GS49">
        <v>28</v>
      </c>
      <c r="GT49">
        <v>1</v>
      </c>
      <c r="GU49" t="s">
        <v>457</v>
      </c>
      <c r="GV49">
        <v>33442853.473928299</v>
      </c>
      <c r="GW49">
        <v>275985567.86593401</v>
      </c>
      <c r="GX49">
        <v>309428421.33986199</v>
      </c>
      <c r="GY49">
        <v>0</v>
      </c>
      <c r="GZ49">
        <v>309428421.33986199</v>
      </c>
      <c r="HA49">
        <v>309428421.33986199</v>
      </c>
      <c r="HB49">
        <v>303000000</v>
      </c>
      <c r="HC49">
        <v>0</v>
      </c>
      <c r="HD49" t="s">
        <v>137</v>
      </c>
      <c r="HE49">
        <v>0</v>
      </c>
      <c r="HF49">
        <v>0</v>
      </c>
      <c r="HG49">
        <v>0</v>
      </c>
      <c r="HH49">
        <v>1072000</v>
      </c>
      <c r="HI49">
        <v>21440</v>
      </c>
      <c r="HJ49">
        <v>1050560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1072000</v>
      </c>
      <c r="HT49">
        <v>21440</v>
      </c>
      <c r="HU49">
        <v>1050560</v>
      </c>
      <c r="HV49">
        <v>155888000</v>
      </c>
      <c r="HW49">
        <v>7.0000000000000007E-2</v>
      </c>
      <c r="HX49">
        <v>0.96964931039809399</v>
      </c>
      <c r="HY49">
        <v>1</v>
      </c>
      <c r="HZ49">
        <v>300000</v>
      </c>
      <c r="IA49">
        <v>0</v>
      </c>
      <c r="IB49">
        <v>0</v>
      </c>
      <c r="IC49">
        <v>0</v>
      </c>
      <c r="ID49">
        <v>272700</v>
      </c>
      <c r="IE49">
        <v>572700</v>
      </c>
      <c r="IF49">
        <v>555318.16006498795</v>
      </c>
      <c r="IG49">
        <v>555318.16006498795</v>
      </c>
      <c r="IH49">
        <v>0</v>
      </c>
      <c r="II49">
        <v>2375666.6719704298</v>
      </c>
      <c r="IJ49">
        <v>19318989.750615399</v>
      </c>
      <c r="IK49">
        <v>0</v>
      </c>
      <c r="IL49">
        <v>0</v>
      </c>
      <c r="IM49">
        <v>0</v>
      </c>
      <c r="IN49">
        <v>36313761.985833697</v>
      </c>
      <c r="IO49">
        <v>295304557.61654902</v>
      </c>
      <c r="IP49">
        <v>331618319.60238302</v>
      </c>
      <c r="IQ49">
        <v>536000</v>
      </c>
      <c r="IR49">
        <v>2600000</v>
      </c>
      <c r="IS49">
        <v>0</v>
      </c>
      <c r="IT49">
        <v>0</v>
      </c>
      <c r="IU49">
        <v>0</v>
      </c>
      <c r="IV49">
        <v>3136000</v>
      </c>
      <c r="IW49">
        <v>268000</v>
      </c>
      <c r="IX49">
        <v>1300000</v>
      </c>
      <c r="IY49">
        <v>0</v>
      </c>
      <c r="IZ49">
        <v>0</v>
      </c>
      <c r="JA49">
        <v>0</v>
      </c>
      <c r="JB49">
        <v>1568000</v>
      </c>
      <c r="JC49">
        <v>90000</v>
      </c>
      <c r="JD49">
        <v>434000</v>
      </c>
      <c r="JE49">
        <v>0</v>
      </c>
      <c r="JF49">
        <v>0</v>
      </c>
      <c r="JG49">
        <v>0</v>
      </c>
      <c r="JH49">
        <v>524000</v>
      </c>
    </row>
    <row r="50" spans="2:268" customFormat="1" x14ac:dyDescent="0.25">
      <c r="B50" s="2">
        <f ca="1">OFFSET(tblBaseCF[[#This Row],[Year]],-1,0)+1</f>
        <v>30</v>
      </c>
      <c r="C50" s="2">
        <f ca="1">(tblBaseCF[[#This Row],[Year]]&lt;=term)*1</f>
        <v>1</v>
      </c>
      <c r="D50" s="57">
        <f ca="1">(YEAR(rcd)+tblBaseCF[[#This Row],[Year]]-1)
*tblBaseCF[[#This Row],[PolTermFlag]]</f>
        <v>2054</v>
      </c>
      <c r="E50" s="57">
        <f ca="1">(mainLI_entry_age+tblBaseCF[[#This Row],[Year]]-1)
*tblBaseCF[[#This Row],[PolTermFlag]]</f>
        <v>29</v>
      </c>
      <c r="F50" s="57">
        <f ca="1">IF(tblBaseCF[[#This Row],[Year]]=1,1,OFFSET(tblBaseCF[[#This Row],[DeductFlag]],-1,0))
*tblBaseCF[[#This Row],[PolTermFlag]]</f>
        <v>0</v>
      </c>
      <c r="G5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0" s="57">
        <f ca="1">(tblBaseCF[[#This Row],[Year]]&lt;=acc_ben_term)
*tblBaseCF[[#This Row],[ContFlag]]</f>
        <v>0</v>
      </c>
      <c r="I50" s="57">
        <f ca="1">(tblBaseCF[[#This Row],[Year]]&lt;=tp_term)
*tblBaseCF[[#This Row],[ContFlag]]</f>
        <v>0</v>
      </c>
      <c r="J50" s="57">
        <f ca="1">(tblBaseCF[[#This Row],[Year]]&lt;=ep_term)
*tblBaseCF[[#This Row],[ContFlag]]</f>
        <v>0</v>
      </c>
      <c r="K50" s="57">
        <f ca="1">(tblBaseCF[[#This Row],[Year]]&lt;=em_load_term)*1</f>
        <v>0</v>
      </c>
      <c r="L50" s="57">
        <f ca="1">(tblBaseCF[[#This Row],[Year]]&lt;=pm_load_term)*1</f>
        <v>0</v>
      </c>
      <c r="M50" s="59">
        <f ca="1">IF(tblBaseCF[[#This Row],[Year]]=1,si,OFFSET(tblBaseCF[[#This Row],[EndSI]],-1,0))
*tblBaseCF[[#This Row],[ContFlag]]</f>
        <v>0</v>
      </c>
      <c r="N50" s="59">
        <f ca="1">OFFSET(tblBaseCF[[#This Row],[EndTAV]],-1,0)
*tblBaseCF[[#This Row],[ContFlag]]</f>
        <v>0</v>
      </c>
      <c r="O50" s="59">
        <f ca="1">OFFSET(tblBaseCF[[#This Row],[EndEAV]],-1,0)
*tblBaseCF[[#This Row],[ContFlag]]</f>
        <v>0</v>
      </c>
      <c r="P50" s="60">
        <f ca="1">tblBaseCF[[#This Row],[StartEAV]]+tblBaseCF[[#This Row],[StartTAV]]</f>
        <v>0</v>
      </c>
      <c r="Q50" s="61">
        <f ca="1">IFERROR(INDEX(tblJuvenileLienRate[Rate],MATCH(tblBaseCF[[#This Row],[Age]],tblJuvenileLienRate[Age],0)),1)
*tblBaseCF[[#This Row],[ContFlag]]</f>
        <v>0</v>
      </c>
      <c r="R5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0" s="62">
        <f ca="1">tblBaseCF[[#This Row],[StartSI]]*acc_ben_coeff*tblBaseCF[[#This Row],[JuvenileLienRate]]
*tblBaseCF[[#This Row],[AccBenTermFlag]]</f>
        <v>0</v>
      </c>
      <c r="T50" s="61">
        <f ca="1">(IFERROR(INDEX(tblSurrChrgRate[Rate],MATCH(tblBaseCF[[#This Row],[Year]],tblSurrChrgRate[Year],0)),0)
*tblBaseCF[[#This Row],[ContFlag]])</f>
        <v>0</v>
      </c>
      <c r="U50" s="60">
        <f ca="1">tp*tblBaseCF[[#This Row],[SrrChrgRate]]</f>
        <v>0</v>
      </c>
      <c r="V50" s="63">
        <f ca="1">MAX(tblBaseCF[[#This Row],[StartTAV]]-tblBaseCF[[#This Row],[SVChrg]],0)+tblBaseCF[[#This Row],[StartEAV]]</f>
        <v>0</v>
      </c>
      <c r="W50" s="59">
        <f ca="1">IFERROR(INDEX(tblWithdrawal_Output[Amount],MATCH(tblBaseCF[[#This Row],[Year]],tblWithdrawal_Output[Year],0)),0)
*tblBaseCF[[#This Row],[ContFlag]]</f>
        <v>0</v>
      </c>
      <c r="X50" s="59" t="b">
        <f ca="1">tblBaseCF[[#This Row],[WithdrawalInput]]&gt;0</f>
        <v>0</v>
      </c>
      <c r="Y50" s="59" t="b">
        <f ca="1">AND(tblBaseCF[[#This Row],[1stCheckProceed]],tblBaseCF[[#This Row],[WithdrawalInput]]&lt;=tblBaseCF[[#This Row],[StartPAV]])</f>
        <v>0</v>
      </c>
      <c r="Z50" s="59" t="b">
        <f ca="1">AND(tblBaseCF[[#This Row],[2ndCheckAmount]],(tblBaseCF[[#This Row],[StartPAV]]-tblBaseCF[[#This Row],[WithdrawalInput]])&gt;=min_pav_after_withdrawal)</f>
        <v>0</v>
      </c>
      <c r="AA5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0" s="59" t="b">
        <f ca="1">AND(tblBaseCF[[#This Row],[3rdCheckPAV]],tblBaseCF[[#This Row],[endSITest]]&gt;=min_base_si)</f>
        <v>0</v>
      </c>
      <c r="AC50" s="60">
        <f ca="1">tblBaseCF[[#This Row],[WithdrawalInput]]*tblBaseCF[[#This Row],[4thCheckSI]]</f>
        <v>0</v>
      </c>
      <c r="AD50" s="60">
        <f ca="1">MIN(tblBaseCF[[#This Row],[Withdrawal]],tblBaseCF[[#This Row],[StartEAV]])</f>
        <v>0</v>
      </c>
      <c r="AE50" s="60">
        <f ca="1">tblBaseCF[[#This Row],[Withdrawal]]-tblBaseCF[[#This Row],[EAVWithdrawal]]</f>
        <v>0</v>
      </c>
      <c r="AF50" s="60">
        <f ca="1">IF(tblBaseCF[[#This Row],[4thCheckSI]],tblBaseCF[[#This Row],[endSITest]],tblBaseCF[[#This Row],[StartSI]])</f>
        <v>0</v>
      </c>
      <c r="AG5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0" s="65">
        <f ca="1">IFERROR(INDEX(tblTPAllocChrgRate[Rate],MATCH(tblBaseCF[[#This Row],[Year]],tblTPAllocChrgRate[Year],0)),0)</f>
        <v>0.02</v>
      </c>
      <c r="AI50" s="62">
        <f ca="1">(tp+big_case_bonus_tp*(tblBaseCF[[#This Row],[Year]]=1))
*tblBaseCF[[#This Row],[TPTermFlag]]</f>
        <v>0</v>
      </c>
      <c r="AJ50" s="63">
        <f ca="1">tblBaseCF[[#This Row],[TP]]*tblBaseCF[[#This Row],[TPAllocChrgRate]]</f>
        <v>0</v>
      </c>
      <c r="AK50" s="60">
        <f ca="1">tblBaseCF[[#This Row],[TP]]-tblBaseCF[[#This Row],[TPAllocChrg]]</f>
        <v>0</v>
      </c>
      <c r="AL50" s="65">
        <f ca="1">IFERROR(INDEX(tblEPAllocChrgRate[Rate],MATCH(tblBaseCF[[#This Row],[Year]],tblEPAllocChrgRate[Year],0)),0)</f>
        <v>0.02</v>
      </c>
      <c r="AM50" s="60">
        <f ca="1">ep*tblBaseCF[[#This Row],[EPTermFlag]]</f>
        <v>0</v>
      </c>
      <c r="AN50" s="60">
        <f ca="1">tblBaseCF[[#This Row],[EP]]*tblBaseCF[[#This Row],[EPAllocChrgRate]]</f>
        <v>0</v>
      </c>
      <c r="AO50" s="63">
        <f ca="1">tblBaseCF[[#This Row],[EP]]-tblBaseCF[[#This Row],[EPAllocChrg]]</f>
        <v>0</v>
      </c>
      <c r="AP50" s="62">
        <f ca="1">tblBaseCF[[#This Row],[Ben]]*extra_prem_rate*em_load/1000/(1-tblBaseCF[[#This Row],[EPAllocChrgRate]])
*tblBaseCF[[#This Row],[EMLoadTermFlag]]</f>
        <v>0</v>
      </c>
      <c r="AQ50" s="62">
        <f ca="1">tblBaseCF[[#This Row],[Ben]]*pm_load/1000/(1-tblBaseCF[[#This Row],[EPAllocChrgRate]])
*tblBaseCF[[#This Row],[PMLoadTermFlag]]</f>
        <v>0</v>
      </c>
      <c r="AR50" s="60">
        <f ca="1">ROUNDUP(tblBaseCF[[#This Row],[UnroundedEMLoad]],-3)</f>
        <v>0</v>
      </c>
      <c r="AS50" s="62">
        <f ca="1">ROUNDUP(tblBaseCF[[#This Row],[Ben]]*pm_load/1000/(1-tblBaseCF[[#This Row],[EPAllocChrgRate]]),-3)
*tblBaseCF[[#This Row],[PMLoadTermFlag]]</f>
        <v>0</v>
      </c>
      <c r="AT50" s="60">
        <f ca="1">tblBaseCF[[#This Row],[EMLoad]]+tblBaseCF[[#This Row],[PMLoad]]</f>
        <v>0</v>
      </c>
      <c r="AU50" s="60">
        <f ca="1">tblBaseCF[[#This Row],[Load]]*tblBaseCF[[#This Row],[EPAllocChrgRate]]</f>
        <v>0</v>
      </c>
      <c r="AV50" s="60">
        <f ca="1">tblBaseCF[[#This Row],[Load]]-tblBaseCF[[#This Row],[LoadAllocChrg]]</f>
        <v>0</v>
      </c>
      <c r="AW50" s="60">
        <f ca="1">tblBaseCF[[#This Row],[TP]]+tblBaseCF[[#This Row],[EP]]+tblBaseCF[[#This Row],[Load]]</f>
        <v>0</v>
      </c>
      <c r="AX50" s="60">
        <f ca="1">tblBaseCF[[#This Row],[TPAllocChrg]]+tblBaseCF[[#This Row],[EPAllocChrg]]+tblBaseCF[[#This Row],[LoadAllocChrg]]</f>
        <v>0</v>
      </c>
      <c r="AY50" s="60">
        <f ca="1">tblBaseCF[[#This Row],[TPAlloc]]+tblBaseCF[[#This Row],[EPAlloc]]+tblBaseCF[[#This Row],[LoadAlloc]]</f>
        <v>0</v>
      </c>
      <c r="AZ50" s="60">
        <f ca="1">(OFFSET(tblBaseCF[[#This Row],[AccumTotalPrem]],-1,0)+tblBaseCF[[#This Row],[TotalPrem]])*tblBaseCF[[#This Row],[TPTermFlag]]</f>
        <v>0</v>
      </c>
      <c r="BA50" s="62">
        <f ca="1">(tblBaseCF[[#This Row],[StartTAV]]-tblBaseCF[[#This Row],[TAVWithdrawal]]+tblBaseCF[[#This Row],[TPAlloc]])
*tblBaseCF[[#This Row],[ContFlag]]</f>
        <v>0</v>
      </c>
      <c r="BB50" s="59">
        <f ca="1">(tblBaseCF[[#This Row],[StartEAV]]-tblBaseCF[[#This Row],[EAVWithdrawal]]+tblBaseCF[[#This Row],[EPAlloc]]+tblBaseCF[[#This Row],[LoadAlloc]])
*tblBaseCF[[#This Row],[ContFlag]]</f>
        <v>0</v>
      </c>
      <c r="BC50" s="59">
        <f ca="1">tblBaseCF[[#This Row],[TAVAfterWdrlAlloc]]+tblBaseCF[[#This Row],[EAVAfterWdrlAlloc]]</f>
        <v>0</v>
      </c>
      <c r="BD50" s="66">
        <f t="shared" si="2"/>
        <v>0</v>
      </c>
      <c r="BE50" s="67">
        <f>(1+tblBaseCF[[#This Row],[AnnualIntRate]])^(1/12)-1</f>
        <v>0</v>
      </c>
      <c r="BF50" s="68">
        <f>IFERROR(((1+tblBaseCF[[#This Row],[MonthlyIntRate]])^12-1)/12/(1-1/(1+tblBaseCF[[#This Row],[MonthlyIntRate]])),1)/(1+tblBaseCF[[#This Row],[AnnualIntRate]])</f>
        <v>1</v>
      </c>
      <c r="BG50" s="69">
        <f>PV(tblBaseCF[[#This Row],[MonthlyIntRate]],12,-1/12,,1)</f>
        <v>1</v>
      </c>
      <c r="BH50" s="60">
        <f ca="1">MAX(IF(death_tpd_option="A",tblBaseCF[[#This Row],[Ben]]-tblBaseCF[[#This Row],[StartPAV]],tblBaseCF[[#This Row],[Ben]]),0)</f>
        <v>0</v>
      </c>
      <c r="BI50" s="70">
        <f ca="1">IFERROR(INDEX(tblBaseCOIRate[Rate],MATCH(tblBaseCF[[#This Row],[Age]],tblBaseCOIRate[Age],0)),0)</f>
        <v>1.31999999999999E-3</v>
      </c>
      <c r="BJ50" s="60">
        <f ca="1">tblBaseCF[[#This Row],[SAR]]*tblBaseCF[[#This Row],[COIRate]]</f>
        <v>0</v>
      </c>
      <c r="BK50" s="62">
        <f ca="1">em_load*tblBaseCF[[#This Row],[pStandardCOI]]
*tblBaseCF[[#This Row],[EMLoadTermFlag]]</f>
        <v>0</v>
      </c>
      <c r="BL50" s="62">
        <f ca="1">pm_load/1000*tblBaseCF[[#This Row],[SAR]]
*tblBaseCF[[#This Row],[PMLoadTermFlag]]</f>
        <v>0</v>
      </c>
      <c r="BM50" s="60">
        <f ca="1">tblBaseCF[[#This Row],[AccBen]]*monthly_acc_coi*12</f>
        <v>0</v>
      </c>
      <c r="BN50" s="60">
        <f ca="1">tblBaseCF[[#This Row],[pStandardCOI]]+tblBaseCF[[#This Row],[pEMLoadCOI]]+tblBaseCF[[#This Row],[pPMLoadCOI]]+tblBaseCF[[#This Row],[pAccCOI]]</f>
        <v>0</v>
      </c>
      <c r="BO50" s="62">
        <f ca="1">IFERROR(INDEX(tblAdminChrg[Amount],MATCH(tblBaseCF[[#This Row],[CalYear]],tblAdminChrg[Cal_Year],0)),0)
*tblBaseCF[[#This Row],[ContFlag]]</f>
        <v>0</v>
      </c>
      <c r="BP50" s="60">
        <f ca="1">tblBaseCF[[#This Row],[pMonthlyAdminChrg]]*12</f>
        <v>0</v>
      </c>
      <c r="BQ50" s="60">
        <f ca="1">tblBaseCF[[#This Row],[pCOI]]+tblBaseCF[[#This Row],[pAdminChrg]]</f>
        <v>0</v>
      </c>
      <c r="BR50" s="60">
        <f ca="1">tblBaseCF[[#This Row],[pNomDeduct]]*tblBaseCF[[#This Row],[Duean1m12]]</f>
        <v>0</v>
      </c>
      <c r="BS50" s="57">
        <f ca="1">(tblBaseCF[[#This Row],[PAVAfterWdrlAlloc]]&gt;=tblBaseCF[[#This Row],[pNomDeduct]])
*tblBaseCF[[#This Row],[ContFlag]]</f>
        <v>0</v>
      </c>
      <c r="BT50" s="60">
        <f ca="1">tblBaseCF[[#This Row],[pStandardCOI]]*tblBaseCF[[#This Row],[DeductFlag]]</f>
        <v>0</v>
      </c>
      <c r="BU50" s="60">
        <f ca="1">tblBaseCF[[#This Row],[pEMLoadCOI]]*tblBaseCF[[#This Row],[DeductFlag]]</f>
        <v>0</v>
      </c>
      <c r="BV50" s="60">
        <f ca="1">tblBaseCF[[#This Row],[pPMLoadCOI]]*tblBaseCF[[#This Row],[DeductFlag]]</f>
        <v>0</v>
      </c>
      <c r="BW50" s="60">
        <f ca="1">tblBaseCF[[#This Row],[pAccCOI]]*tblBaseCF[[#This Row],[DeductFlag]]</f>
        <v>0</v>
      </c>
      <c r="BX50" s="60">
        <f ca="1">tblBaseCF[[#This Row],[pCOI]]*tblBaseCF[[#This Row],[DeductFlag]]</f>
        <v>0</v>
      </c>
      <c r="BY50" s="60">
        <f ca="1">tblBaseCF[[#This Row],[pMonthlyAdminChrg]]*tblBaseCF[[#This Row],[DeductFlag]]</f>
        <v>0</v>
      </c>
      <c r="BZ50" s="60">
        <f ca="1">tblBaseCF[[#This Row],[pAdminChrg]]*tblBaseCF[[#This Row],[DeductFlag]]</f>
        <v>0</v>
      </c>
      <c r="CA50" s="60">
        <f ca="1">tblBaseCF[[#This Row],[pNomDeduct]]*tblBaseCF[[#This Row],[DeductFlag]]</f>
        <v>0</v>
      </c>
      <c r="CB50" s="60">
        <f ca="1">tblBaseCF[[#This Row],[pDeduct]]*tblBaseCF[[#This Row],[DeductFlag]]</f>
        <v>0</v>
      </c>
      <c r="CC50" s="60">
        <f ca="1">MIN(tblBaseCF[[#This Row],[TAVAfterWdrlAlloc]],tblBaseCF[[#This Row],[Deduct]])</f>
        <v>0</v>
      </c>
      <c r="CD50" s="60">
        <f ca="1">tblBaseCF[[#This Row],[Deduct]]-tblBaseCF[[#This Row],[TAVDeduct]]</f>
        <v>0</v>
      </c>
      <c r="CE50" s="69">
        <f ca="1">(tblBaseCF[[#This Row],[TAVAfterWdrlAlloc]]-tblBaseCF[[#This Row],[TAVDeduct]])*tblBaseCF[[#This Row],[AnnualIntRate]]
*tblBaseCF[[#This Row],[DeductFlag]]</f>
        <v>0</v>
      </c>
      <c r="CF50" s="69">
        <f ca="1">(tblBaseCF[[#This Row],[EAVAfterWdrlAlloc]]-tblBaseCF[[#This Row],[EAVDeduct]])*tblBaseCF[[#This Row],[AnnualIntRate]]
*tblBaseCF[[#This Row],[DeductFlag]]</f>
        <v>0</v>
      </c>
      <c r="CG50" s="69">
        <f ca="1">tblBaseCF[[#This Row],[TAVInt]]+tblBaseCF[[#This Row],[EAVInt]]</f>
        <v>0</v>
      </c>
      <c r="CH50" s="62">
        <f ca="1">IFERROR(INDEX(tblLBRate[Rate],MATCH(tblBaseCF[[#This Row],[Year]],tblLBRate[Year],0)),0)
*tblBaseCF[[#This Row],[DeductFlag]]</f>
        <v>0</v>
      </c>
      <c r="CI50" s="60">
        <f ca="1">IFERROR(SUM(OFFSET(tblBaseCF[[#This Row],[TAVWithdrawal]],0,0,-lb_review_period,1)),0)
*(tblBaseCF[[#This Row],[LBRate]]&gt;0)</f>
        <v>0</v>
      </c>
      <c r="CJ50" s="60">
        <f ca="1">(tblBaseCF[[#This Row],[LBRate]]&gt;0)*(tblBaseCF[[#This Row],[LBTAVWithdrawal]]=0)</f>
        <v>0</v>
      </c>
      <c r="CK50" s="62" cm="1">
        <f t="array" aca="1" ref="CK50" ca="1">IF(tblBaseCF[[#This Row],[LBFlag]],
_xlfn.SWITCH(base,
"ILP1",AVERAGE(OFFSET(tblBaseCF[TP],0,0,-lb_review_period,1)),tp),0)
*tblBaseCF[[#This Row],[LBFlag]]</f>
        <v>0</v>
      </c>
      <c r="CL50" s="62">
        <f ca="1">tblBaseCF[[#This Row],[LBBasis]]*tblBaseCF[[#This Row],[LBRate]]</f>
        <v>0</v>
      </c>
      <c r="CM50" s="57" cm="1">
        <f t="array" aca="1" ref="CM50" ca="1">_xlfn.SWITCH(base,
"ILP1",0,($AF150&lt;500000000)*1
+($AF150&gt;=500000000)*($AF150&lt;1000000000)*2
+($AF150&gt;=1000000000)*3)
*tblBaseCF[[#This Row],[DeductFlag]]</f>
        <v>0</v>
      </c>
      <c r="CN50" s="2" t="str">
        <f ca="1">IF(tblBaseCF[[#This Row],[DeductFlag]],base&amp;"_"&amp;tblBaseCF[[#This Row],[SBCode]]&amp;"_"&amp;tblBaseCF[[#This Row],[Year]],"")</f>
        <v/>
      </c>
      <c r="CO50" s="3">
        <f ca="1">IFERROR(INDEX(tblSBRate[Index],MATCH(tblBaseCF[[#This Row],[SBIndex]],tblSBRate[Rate],0)),0)</f>
        <v>0</v>
      </c>
      <c r="CP50" s="63">
        <f ca="1">IFERROR(SUM(OFFSET(tblBaseCF[[#This Row],[TAVWithdrawal]],0,0,-sb_review_period,1)),0)
*(tblBaseCF[[#This Row],[SBRate]]&gt;0)</f>
        <v>0</v>
      </c>
      <c r="CQ50" s="63">
        <f ca="1">(tblBaseCF[[#This Row],[SBRate]]&gt;0)*(tblBaseCF[[#This Row],[SBTAVWithdrawal]]=0)</f>
        <v>0</v>
      </c>
      <c r="CR50" s="59" cm="1">
        <f t="array" aca="1" ref="CR50" ca="1">IF(tblBaseCF[[#This Row],[LBFlag]],
_xlfn.SWITCH(base,
"ILP1",0,tp),0)*tblBaseCF[[#This Row],[SBFlag]]</f>
        <v>0</v>
      </c>
      <c r="CS50" s="63">
        <f ca="1">tblBaseCF[[#This Row],[SBBasis]]*tblBaseCF[[#This Row],[SBRate]]</f>
        <v>0</v>
      </c>
      <c r="CT50" s="63">
        <f ca="1">tblBaseCF[[#This Row],[LB]]+tblBaseCF[[#This Row],[SB]]</f>
        <v>0</v>
      </c>
      <c r="CU50" s="59">
        <f ca="1">tblBaseCF[[#This Row],[TAVAfterWdrlAlloc]]-tblBaseCF[[#This Row],[TAVDeduct]]+tblBaseCF[[#This Row],[TAVInt]]+tblBaseCF[[#This Row],[Bonus]]</f>
        <v>0</v>
      </c>
      <c r="CV50" s="59">
        <f ca="1">tblBaseCF[[#This Row],[EAVAfterWdrlAlloc]]-tblBaseCF[[#This Row],[EAVDeduct]]+tblBaseCF[[#This Row],[EAVInt]]</f>
        <v>0</v>
      </c>
      <c r="CW50" s="63">
        <f ca="1">tblBaseCF[[#This Row],[EndTAV]]+tblBaseCF[[#This Row],[EndEAV]]</f>
        <v>0</v>
      </c>
      <c r="CX50" s="59">
        <f ca="1">INDEX(tblPlanPrem[TP],2)
*tblBaseCF[[#This Row],[TPTermFlag]]</f>
        <v>0</v>
      </c>
      <c r="CY50" s="59">
        <f ca="1">INDEX(tblPlanPrem[EP],2)
*tblBaseCF[[#This Row],[TPTermFlag]]</f>
        <v>0</v>
      </c>
      <c r="CZ50" s="63">
        <f ca="1">ROUNDUP(tblBaseCF[[#This Row],[UnroundedEMLoad]]*INDEX(tblPlanPrem[Factor],2),-3)</f>
        <v>0</v>
      </c>
      <c r="DA50" s="63">
        <f ca="1">ROUNDUP(tblBaseCF[[#This Row],[UnroundedPMLoad]]*INDEX(tblPlanPrem[Factor],2),-3)</f>
        <v>0</v>
      </c>
      <c r="DB50" s="63">
        <f ca="1">tblBaseCF[[#This Row],[SemiAnnualEMLoad]]+tblBaseCF[[#This Row],[SemiAnnualPMLoad]]</f>
        <v>0</v>
      </c>
      <c r="DC50" s="63">
        <f ca="1">tblBaseCF[[#This Row],[SemiAnnualTP]]+tblBaseCF[[#This Row],[SemiAnnualEP]]+tblBaseCF[[#This Row],[SemiAnnualLoad]]</f>
        <v>0</v>
      </c>
      <c r="DD50" s="59">
        <f ca="1">INDEX(tblPlanPrem[TP],3)
*tblBaseCF[[#This Row],[TPTermFlag]]</f>
        <v>0</v>
      </c>
      <c r="DE50" s="59">
        <f ca="1">INDEX(tblPlanPrem[EP],3)
*tblBaseCF[[#This Row],[TPTermFlag]]</f>
        <v>0</v>
      </c>
      <c r="DF50" s="63">
        <f ca="1">ROUNDUP(tblBaseCF[[#This Row],[UnroundedEMLoad]]*INDEX(tblPlanPrem[Factor],3),-3)</f>
        <v>0</v>
      </c>
      <c r="DG50" s="63">
        <f ca="1">ROUNDUP(tblBaseCF[[#This Row],[UnroundedPMLoad]]*INDEX(tblPlanPrem[Factor],3),-3)</f>
        <v>0</v>
      </c>
      <c r="DH50" s="60">
        <f ca="1">tblBaseCF[[#This Row],[QuarterlyEMLoad]]+tblBaseCF[[#This Row],[QuarterlyPMLoad]]</f>
        <v>0</v>
      </c>
      <c r="DI50" s="60">
        <f ca="1">tblBaseCF[[#This Row],[QuarterlyTP]]+tblBaseCF[[#This Row],[QuarterlyEP]]+tblBaseCF[[#This Row],[QuarterlyLoad]]</f>
        <v>0</v>
      </c>
      <c r="DJ50" s="59">
        <f ca="1">INDEX(tblPlanPrem[TP],4)
*tblBaseCF[[#This Row],[TPTermFlag]]</f>
        <v>0</v>
      </c>
      <c r="DK50" s="59">
        <f ca="1">INDEX(tblPlanPrem[EP],4)
*tblBaseCF[[#This Row],[TPTermFlag]]</f>
        <v>0</v>
      </c>
      <c r="DL50" s="63">
        <f ca="1">ROUNDUP(tblBaseCF[[#This Row],[UnroundedEMLoad]]*INDEX(tblPlanPrem[Factor],4),-3)</f>
        <v>0</v>
      </c>
      <c r="DM50" s="63">
        <f ca="1">ROUNDUP(tblBaseCF[[#This Row],[UnroundedPMLoad]]*INDEX(tblPlanPrem[Factor],4),-3)</f>
        <v>0</v>
      </c>
      <c r="DN50" s="60">
        <f ca="1">tblBaseCF[[#This Row],[MonthlyEMLoad]]+tblBaseCF[[#This Row],[MonthlyPMLoad]]</f>
        <v>0</v>
      </c>
      <c r="DO50" s="63">
        <f ca="1">tblBaseCF[[#This Row],[MonthlyTP]]+tblBaseCF[[#This Row],[MonthlyEP]]+tblBaseCF[[#This Row],[MonthlyLoad]]</f>
        <v>0</v>
      </c>
      <c r="DP50" s="3"/>
      <c r="DS50">
        <f t="shared" si="3"/>
        <v>0</v>
      </c>
      <c r="DT50">
        <f t="shared" si="4"/>
        <v>0</v>
      </c>
      <c r="DU50">
        <f t="shared" si="5"/>
        <v>0</v>
      </c>
      <c r="DV50">
        <f ca="1">tblBaseCF[[#This Row],[Year]]</f>
        <v>30</v>
      </c>
      <c r="DW50">
        <f ca="1">tblBaseCF[[#This Row],[Age]]</f>
        <v>29</v>
      </c>
      <c r="DX50">
        <f ca="1">tblBaseCF[[#This Row],[ContFlag]]</f>
        <v>0</v>
      </c>
      <c r="DY50" t="str">
        <f ca="1">tblBaseCF[[#This Row],[ContLog]]</f>
        <v>Insufficient PAV for deduction - Discontinue.</v>
      </c>
      <c r="DZ50">
        <f ca="1">tblBaseCF[[#This Row],[StartTAV]]</f>
        <v>0</v>
      </c>
      <c r="EA50">
        <f ca="1">tblBaseCF[[#This Row],[StartEAV]]</f>
        <v>0</v>
      </c>
      <c r="EB50">
        <f ca="1">tblBaseCF[[#This Row],[StartPAV]]</f>
        <v>0</v>
      </c>
      <c r="EC50">
        <f ca="1">tblBaseCF[[#This Row],[SVChrg]]</f>
        <v>0</v>
      </c>
      <c r="ED50">
        <f ca="1">tblBaseCF[[#This Row],[SV]]</f>
        <v>0</v>
      </c>
      <c r="EE50">
        <f ca="1">tblBaseCF[[#This Row],[Ben]]</f>
        <v>0</v>
      </c>
      <c r="EF50">
        <f ca="1">tblBaseCF[[#This Row],[AccBen]]</f>
        <v>0</v>
      </c>
      <c r="EG50">
        <f ca="1">tblBaseCF[[#This Row],[WithdrawalInput]]</f>
        <v>0</v>
      </c>
      <c r="EH50" t="str">
        <f ca="1">tblBaseCF[[#This Row],[WithdrawalLog]]</f>
        <v>No withdrawal.</v>
      </c>
      <c r="EI50">
        <f ca="1">tblBaseCF[[#This Row],[TAVWithdrawal]]</f>
        <v>0</v>
      </c>
      <c r="EJ50">
        <f ca="1">tblBaseCF[[#This Row],[EAVWithdrawal]]</f>
        <v>0</v>
      </c>
      <c r="EK50">
        <f ca="1">tblBaseCF[[#This Row],[Withdrawal]]</f>
        <v>0</v>
      </c>
      <c r="EL50">
        <f ca="1">tblBaseCF[[#This Row],[TP]]</f>
        <v>0</v>
      </c>
      <c r="EM50">
        <f ca="1">tblBaseCF[[#This Row],[TPAllocChrg]]</f>
        <v>0</v>
      </c>
      <c r="EN50">
        <f ca="1">tblBaseCF[[#This Row],[TPAlloc]]</f>
        <v>0</v>
      </c>
      <c r="EO50">
        <f ca="1">tblBaseCF[[#This Row],[EP]]</f>
        <v>0</v>
      </c>
      <c r="EP50">
        <f ca="1">tblBaseCF[[#This Row],[EPAllocChrg]]</f>
        <v>0</v>
      </c>
      <c r="EQ50">
        <f ca="1">tblBaseCF[[#This Row],[EPAlloc]]</f>
        <v>0</v>
      </c>
      <c r="ER50">
        <f ca="1">tblBaseCF[[#This Row],[EMLoad]]</f>
        <v>0</v>
      </c>
      <c r="ES50">
        <f ca="1">tblBaseCF[[#This Row],[PMLoad]]</f>
        <v>0</v>
      </c>
      <c r="ET50">
        <f ca="1">tblBaseCF[[#This Row],[Load]]</f>
        <v>0</v>
      </c>
      <c r="EU50">
        <f ca="1">tblBaseCF[[#This Row],[LoadAllocChrg]]</f>
        <v>0</v>
      </c>
      <c r="EV50">
        <f ca="1">tblBaseCF[[#This Row],[LoadAlloc]]</f>
        <v>0</v>
      </c>
      <c r="EW50">
        <f ca="1">tblBaseCF[[#This Row],[TotalPrem]]</f>
        <v>0</v>
      </c>
      <c r="EX50">
        <f ca="1">tblBaseCF[[#This Row],[AllocChrg]]</f>
        <v>0</v>
      </c>
      <c r="EY50">
        <f ca="1">tblBaseCF[[#This Row],[Alloc]]</f>
        <v>0</v>
      </c>
      <c r="EZ50">
        <f ca="1">tblBaseCF[[#This Row],[AccumTotalPrem]]</f>
        <v>0</v>
      </c>
      <c r="FA50">
        <f>tblBaseCF[[#This Row],[AnnualIntRate]]</f>
        <v>0</v>
      </c>
      <c r="FB50" s="50">
        <f>tblBaseCF[[#This Row],[Duean1m12]]</f>
        <v>1</v>
      </c>
      <c r="FC50">
        <f ca="1">tblBaseCF[[#This Row],[DeductFlag]]</f>
        <v>0</v>
      </c>
      <c r="FD50">
        <f ca="1">tblBaseCF[[#This Row],[AdminChrg]]</f>
        <v>0</v>
      </c>
      <c r="FE50">
        <f ca="1">tblBaseCF[[#This Row],[StandardCOI]]</f>
        <v>0</v>
      </c>
      <c r="FF50">
        <f ca="1">tblBaseCF[[#This Row],[EMLoadCOI]]</f>
        <v>0</v>
      </c>
      <c r="FG50">
        <f ca="1">tblBaseCF[[#This Row],[PMLoadCOI]]</f>
        <v>0</v>
      </c>
      <c r="FH50">
        <f ca="1">tblBaseCF[[#This Row],[COI]]</f>
        <v>0</v>
      </c>
      <c r="FI50" s="47">
        <f ca="1">tblBaseCF[[#This Row],[NomDeduct]]</f>
        <v>0</v>
      </c>
      <c r="FJ50">
        <f ca="1">tblBaseCF[[#This Row],[Deduct]]</f>
        <v>0</v>
      </c>
      <c r="FK50">
        <f ca="1">tblBaseCF[[#This Row],[TAVDeduct]]</f>
        <v>0</v>
      </c>
      <c r="FL50">
        <f ca="1">tblBaseCF[[#This Row],[EAVDeduct]]</f>
        <v>0</v>
      </c>
      <c r="FM50" s="24">
        <f ca="1">tblBaseCF[[#This Row],[TAVInt]]</f>
        <v>0</v>
      </c>
      <c r="FN50">
        <f ca="1">tblBaseCF[[#This Row],[EAVInt]]</f>
        <v>0</v>
      </c>
      <c r="FO50" s="47">
        <f ca="1">tblBaseCF[[#This Row],[LB]]</f>
        <v>0</v>
      </c>
      <c r="FP50">
        <f ca="1">tblBaseCF[[#This Row],[SB]]</f>
        <v>0</v>
      </c>
      <c r="FQ50">
        <f ca="1">tblBaseCF[[#This Row],[Bonus]]</f>
        <v>0</v>
      </c>
      <c r="FR50">
        <f ca="1">tblBaseCF[[#This Row],[EndTAV]]</f>
        <v>0</v>
      </c>
      <c r="FS50">
        <f ca="1">tblBaseCF[[#This Row],[EndEAV]]</f>
        <v>0</v>
      </c>
      <c r="FT50">
        <f ca="1">tblBaseCF[[#This Row],[EndPAV]]</f>
        <v>0</v>
      </c>
      <c r="FU50">
        <f ca="1">tblBaseCF[[#This Row],[SemiAnnualTP]]</f>
        <v>0</v>
      </c>
      <c r="FV50">
        <f ca="1">tblBaseCF[[#This Row],[SemiAnnualEP]]</f>
        <v>0</v>
      </c>
      <c r="FW50">
        <f ca="1">tblBaseCF[[#This Row],[SemiAnnualEMLoad]]</f>
        <v>0</v>
      </c>
      <c r="FX50">
        <f ca="1">tblBaseCF[[#This Row],[SemiAnnualPMLoad]]</f>
        <v>0</v>
      </c>
      <c r="FY50">
        <f ca="1">tblBaseCF[[#This Row],[SemiAnnualLoad]]</f>
        <v>0</v>
      </c>
      <c r="FZ50">
        <f ca="1">tblBaseCF[[#This Row],[SemiAnnualTotalPrem]]</f>
        <v>0</v>
      </c>
      <c r="GA50">
        <f ca="1">tblBaseCF[[#This Row],[QuarterlyTP]]</f>
        <v>0</v>
      </c>
      <c r="GB50">
        <f ca="1">tblBaseCF[[#This Row],[QuarterlyEP]]</f>
        <v>0</v>
      </c>
      <c r="GC50">
        <f ca="1">tblBaseCF[[#This Row],[QuarterlyEMLoad]]</f>
        <v>0</v>
      </c>
      <c r="GD50">
        <f ca="1">tblBaseCF[[#This Row],[QuarterlyPMLoad]]</f>
        <v>0</v>
      </c>
      <c r="GE50">
        <f ca="1">tblBaseCF[[#This Row],[QuarterlyLoad]]</f>
        <v>0</v>
      </c>
      <c r="GF50">
        <f ca="1">tblBaseCF[[#This Row],[QuarterlyTotalPrem]]</f>
        <v>0</v>
      </c>
      <c r="GG50">
        <f ca="1">tblBaseCF[[#This Row],[MonthlyTP]]</f>
        <v>0</v>
      </c>
      <c r="GH50">
        <f ca="1">tblBaseCF[[#This Row],[MonthlyEP]]</f>
        <v>0</v>
      </c>
      <c r="GI50">
        <f ca="1">tblBaseCF[[#This Row],[MonthlyEMLoad]]</f>
        <v>0</v>
      </c>
      <c r="GJ50">
        <f ca="1">tblBaseCF[[#This Row],[MonthlyPMLoad]]</f>
        <v>0</v>
      </c>
      <c r="GK50">
        <f ca="1">tblBaseCF[[#This Row],[MonthlyLoad]]</f>
        <v>0</v>
      </c>
      <c r="GL50">
        <f ca="1">tblBaseCF[[#This Row],[MonthlyTotalPrem]]</f>
        <v>0</v>
      </c>
      <c r="GO50" t="s">
        <v>134</v>
      </c>
      <c r="GP50" t="s">
        <v>135</v>
      </c>
      <c r="GQ50" t="s">
        <v>502</v>
      </c>
      <c r="GR50">
        <v>30</v>
      </c>
      <c r="GS50">
        <v>29</v>
      </c>
      <c r="GT50">
        <v>1</v>
      </c>
      <c r="GU50" t="s">
        <v>457</v>
      </c>
      <c r="GV50">
        <v>36313761.985833697</v>
      </c>
      <c r="GW50">
        <v>295304557.61654902</v>
      </c>
      <c r="GX50">
        <v>331618319.60238302</v>
      </c>
      <c r="GY50">
        <v>0</v>
      </c>
      <c r="GZ50">
        <v>331618319.60238302</v>
      </c>
      <c r="HA50">
        <v>331618319.60238302</v>
      </c>
      <c r="HB50">
        <v>303000000</v>
      </c>
      <c r="HC50">
        <v>0</v>
      </c>
      <c r="HD50" t="s">
        <v>137</v>
      </c>
      <c r="HE50">
        <v>0</v>
      </c>
      <c r="HF50">
        <v>0</v>
      </c>
      <c r="HG50">
        <v>0</v>
      </c>
      <c r="HH50">
        <v>1072000</v>
      </c>
      <c r="HI50">
        <v>21440</v>
      </c>
      <c r="HJ50">
        <v>1050560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1072000</v>
      </c>
      <c r="HT50">
        <v>21440</v>
      </c>
      <c r="HU50">
        <v>1050560</v>
      </c>
      <c r="HV50">
        <v>156960000</v>
      </c>
      <c r="HW50">
        <v>7.0000000000000007E-2</v>
      </c>
      <c r="HX50">
        <v>0.96964931039809399</v>
      </c>
      <c r="HY50">
        <v>1</v>
      </c>
      <c r="HZ50">
        <v>300000</v>
      </c>
      <c r="IA50">
        <v>0</v>
      </c>
      <c r="IB50">
        <v>0</v>
      </c>
      <c r="IC50">
        <v>0</v>
      </c>
      <c r="ID50">
        <v>272700</v>
      </c>
      <c r="IE50">
        <v>572700</v>
      </c>
      <c r="IF50">
        <v>555318.16006498795</v>
      </c>
      <c r="IG50">
        <v>555318.16006498795</v>
      </c>
      <c r="IH50">
        <v>0</v>
      </c>
      <c r="II50">
        <v>2576630.2678038101</v>
      </c>
      <c r="IJ50">
        <v>20671319.0331585</v>
      </c>
      <c r="IK50">
        <v>0</v>
      </c>
      <c r="IL50">
        <v>0</v>
      </c>
      <c r="IM50">
        <v>0</v>
      </c>
      <c r="IN50">
        <v>39385634.093572602</v>
      </c>
      <c r="IO50">
        <v>315975876.64970797</v>
      </c>
      <c r="IP50">
        <v>355361510.74327999</v>
      </c>
      <c r="IQ50">
        <v>536000</v>
      </c>
      <c r="IR50">
        <v>2600000</v>
      </c>
      <c r="IS50">
        <v>0</v>
      </c>
      <c r="IT50">
        <v>0</v>
      </c>
      <c r="IU50">
        <v>0</v>
      </c>
      <c r="IV50">
        <v>3136000</v>
      </c>
      <c r="IW50">
        <v>268000</v>
      </c>
      <c r="IX50">
        <v>1300000</v>
      </c>
      <c r="IY50">
        <v>0</v>
      </c>
      <c r="IZ50">
        <v>0</v>
      </c>
      <c r="JA50">
        <v>0</v>
      </c>
      <c r="JB50">
        <v>1568000</v>
      </c>
      <c r="JC50">
        <v>90000</v>
      </c>
      <c r="JD50">
        <v>434000</v>
      </c>
      <c r="JE50">
        <v>0</v>
      </c>
      <c r="JF50">
        <v>0</v>
      </c>
      <c r="JG50">
        <v>0</v>
      </c>
      <c r="JH50">
        <v>524000</v>
      </c>
    </row>
    <row r="51" spans="2:268" customFormat="1" x14ac:dyDescent="0.25">
      <c r="B51" s="2">
        <f ca="1">OFFSET(tblBaseCF[[#This Row],[Year]],-1,0)+1</f>
        <v>31</v>
      </c>
      <c r="C51" s="2">
        <f ca="1">(tblBaseCF[[#This Row],[Year]]&lt;=term)*1</f>
        <v>1</v>
      </c>
      <c r="D51" s="57">
        <f ca="1">(YEAR(rcd)+tblBaseCF[[#This Row],[Year]]-1)
*tblBaseCF[[#This Row],[PolTermFlag]]</f>
        <v>2055</v>
      </c>
      <c r="E51" s="57">
        <f ca="1">(mainLI_entry_age+tblBaseCF[[#This Row],[Year]]-1)
*tblBaseCF[[#This Row],[PolTermFlag]]</f>
        <v>30</v>
      </c>
      <c r="F51" s="57">
        <f ca="1">IF(tblBaseCF[[#This Row],[Year]]=1,1,OFFSET(tblBaseCF[[#This Row],[DeductFlag]],-1,0))
*tblBaseCF[[#This Row],[PolTermFlag]]</f>
        <v>0</v>
      </c>
      <c r="G5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1" s="57">
        <f ca="1">(tblBaseCF[[#This Row],[Year]]&lt;=acc_ben_term)
*tblBaseCF[[#This Row],[ContFlag]]</f>
        <v>0</v>
      </c>
      <c r="I51" s="57">
        <f ca="1">(tblBaseCF[[#This Row],[Year]]&lt;=tp_term)
*tblBaseCF[[#This Row],[ContFlag]]</f>
        <v>0</v>
      </c>
      <c r="J51" s="57">
        <f ca="1">(tblBaseCF[[#This Row],[Year]]&lt;=ep_term)
*tblBaseCF[[#This Row],[ContFlag]]</f>
        <v>0</v>
      </c>
      <c r="K51" s="57">
        <f ca="1">(tblBaseCF[[#This Row],[Year]]&lt;=em_load_term)*1</f>
        <v>0</v>
      </c>
      <c r="L51" s="57">
        <f ca="1">(tblBaseCF[[#This Row],[Year]]&lt;=pm_load_term)*1</f>
        <v>0</v>
      </c>
      <c r="M51" s="59">
        <f ca="1">IF(tblBaseCF[[#This Row],[Year]]=1,si,OFFSET(tblBaseCF[[#This Row],[EndSI]],-1,0))
*tblBaseCF[[#This Row],[ContFlag]]</f>
        <v>0</v>
      </c>
      <c r="N51" s="59">
        <f ca="1">OFFSET(tblBaseCF[[#This Row],[EndTAV]],-1,0)
*tblBaseCF[[#This Row],[ContFlag]]</f>
        <v>0</v>
      </c>
      <c r="O51" s="59">
        <f ca="1">OFFSET(tblBaseCF[[#This Row],[EndEAV]],-1,0)
*tblBaseCF[[#This Row],[ContFlag]]</f>
        <v>0</v>
      </c>
      <c r="P51" s="60">
        <f ca="1">tblBaseCF[[#This Row],[StartEAV]]+tblBaseCF[[#This Row],[StartTAV]]</f>
        <v>0</v>
      </c>
      <c r="Q51" s="61">
        <f ca="1">IFERROR(INDEX(tblJuvenileLienRate[Rate],MATCH(tblBaseCF[[#This Row],[Age]],tblJuvenileLienRate[Age],0)),1)
*tblBaseCF[[#This Row],[ContFlag]]</f>
        <v>0</v>
      </c>
      <c r="R5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1" s="62">
        <f ca="1">tblBaseCF[[#This Row],[StartSI]]*acc_ben_coeff*tblBaseCF[[#This Row],[JuvenileLienRate]]
*tblBaseCF[[#This Row],[AccBenTermFlag]]</f>
        <v>0</v>
      </c>
      <c r="T51" s="61">
        <f ca="1">(IFERROR(INDEX(tblSurrChrgRate[Rate],MATCH(tblBaseCF[[#This Row],[Year]],tblSurrChrgRate[Year],0)),0)
*tblBaseCF[[#This Row],[ContFlag]])</f>
        <v>0</v>
      </c>
      <c r="U51" s="60">
        <f ca="1">tp*tblBaseCF[[#This Row],[SrrChrgRate]]</f>
        <v>0</v>
      </c>
      <c r="V51" s="63">
        <f ca="1">MAX(tblBaseCF[[#This Row],[StartTAV]]-tblBaseCF[[#This Row],[SVChrg]],0)+tblBaseCF[[#This Row],[StartEAV]]</f>
        <v>0</v>
      </c>
      <c r="W51" s="59">
        <f ca="1">IFERROR(INDEX(tblWithdrawal_Output[Amount],MATCH(tblBaseCF[[#This Row],[Year]],tblWithdrawal_Output[Year],0)),0)
*tblBaseCF[[#This Row],[ContFlag]]</f>
        <v>0</v>
      </c>
      <c r="X51" s="59" t="b">
        <f ca="1">tblBaseCF[[#This Row],[WithdrawalInput]]&gt;0</f>
        <v>0</v>
      </c>
      <c r="Y51" s="59" t="b">
        <f ca="1">AND(tblBaseCF[[#This Row],[1stCheckProceed]],tblBaseCF[[#This Row],[WithdrawalInput]]&lt;=tblBaseCF[[#This Row],[StartPAV]])</f>
        <v>0</v>
      </c>
      <c r="Z51" s="59" t="b">
        <f ca="1">AND(tblBaseCF[[#This Row],[2ndCheckAmount]],(tblBaseCF[[#This Row],[StartPAV]]-tblBaseCF[[#This Row],[WithdrawalInput]])&gt;=min_pav_after_withdrawal)</f>
        <v>0</v>
      </c>
      <c r="AA5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1" s="59" t="b">
        <f ca="1">AND(tblBaseCF[[#This Row],[3rdCheckPAV]],tblBaseCF[[#This Row],[endSITest]]&gt;=min_base_si)</f>
        <v>0</v>
      </c>
      <c r="AC51" s="60">
        <f ca="1">tblBaseCF[[#This Row],[WithdrawalInput]]*tblBaseCF[[#This Row],[4thCheckSI]]</f>
        <v>0</v>
      </c>
      <c r="AD51" s="60">
        <f ca="1">MIN(tblBaseCF[[#This Row],[Withdrawal]],tblBaseCF[[#This Row],[StartEAV]])</f>
        <v>0</v>
      </c>
      <c r="AE51" s="60">
        <f ca="1">tblBaseCF[[#This Row],[Withdrawal]]-tblBaseCF[[#This Row],[EAVWithdrawal]]</f>
        <v>0</v>
      </c>
      <c r="AF51" s="60">
        <f ca="1">IF(tblBaseCF[[#This Row],[4thCheckSI]],tblBaseCF[[#This Row],[endSITest]],tblBaseCF[[#This Row],[StartSI]])</f>
        <v>0</v>
      </c>
      <c r="AG5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1" s="65">
        <f ca="1">IFERROR(INDEX(tblTPAllocChrgRate[Rate],MATCH(tblBaseCF[[#This Row],[Year]],tblTPAllocChrgRate[Year],0)),0)</f>
        <v>0.02</v>
      </c>
      <c r="AI51" s="62">
        <f ca="1">(tp+big_case_bonus_tp*(tblBaseCF[[#This Row],[Year]]=1))
*tblBaseCF[[#This Row],[TPTermFlag]]</f>
        <v>0</v>
      </c>
      <c r="AJ51" s="63">
        <f ca="1">tblBaseCF[[#This Row],[TP]]*tblBaseCF[[#This Row],[TPAllocChrgRate]]</f>
        <v>0</v>
      </c>
      <c r="AK51" s="60">
        <f ca="1">tblBaseCF[[#This Row],[TP]]-tblBaseCF[[#This Row],[TPAllocChrg]]</f>
        <v>0</v>
      </c>
      <c r="AL51" s="65">
        <f ca="1">IFERROR(INDEX(tblEPAllocChrgRate[Rate],MATCH(tblBaseCF[[#This Row],[Year]],tblEPAllocChrgRate[Year],0)),0)</f>
        <v>0.02</v>
      </c>
      <c r="AM51" s="60">
        <f ca="1">ep*tblBaseCF[[#This Row],[EPTermFlag]]</f>
        <v>0</v>
      </c>
      <c r="AN51" s="60">
        <f ca="1">tblBaseCF[[#This Row],[EP]]*tblBaseCF[[#This Row],[EPAllocChrgRate]]</f>
        <v>0</v>
      </c>
      <c r="AO51" s="63">
        <f ca="1">tblBaseCF[[#This Row],[EP]]-tblBaseCF[[#This Row],[EPAllocChrg]]</f>
        <v>0</v>
      </c>
      <c r="AP51" s="62">
        <f ca="1">tblBaseCF[[#This Row],[Ben]]*extra_prem_rate*em_load/1000/(1-tblBaseCF[[#This Row],[EPAllocChrgRate]])
*tblBaseCF[[#This Row],[EMLoadTermFlag]]</f>
        <v>0</v>
      </c>
      <c r="AQ51" s="62">
        <f ca="1">tblBaseCF[[#This Row],[Ben]]*pm_load/1000/(1-tblBaseCF[[#This Row],[EPAllocChrgRate]])
*tblBaseCF[[#This Row],[PMLoadTermFlag]]</f>
        <v>0</v>
      </c>
      <c r="AR51" s="60">
        <f ca="1">ROUNDUP(tblBaseCF[[#This Row],[UnroundedEMLoad]],-3)</f>
        <v>0</v>
      </c>
      <c r="AS51" s="62">
        <f ca="1">ROUNDUP(tblBaseCF[[#This Row],[Ben]]*pm_load/1000/(1-tblBaseCF[[#This Row],[EPAllocChrgRate]]),-3)
*tblBaseCF[[#This Row],[PMLoadTermFlag]]</f>
        <v>0</v>
      </c>
      <c r="AT51" s="60">
        <f ca="1">tblBaseCF[[#This Row],[EMLoad]]+tblBaseCF[[#This Row],[PMLoad]]</f>
        <v>0</v>
      </c>
      <c r="AU51" s="60">
        <f ca="1">tblBaseCF[[#This Row],[Load]]*tblBaseCF[[#This Row],[EPAllocChrgRate]]</f>
        <v>0</v>
      </c>
      <c r="AV51" s="60">
        <f ca="1">tblBaseCF[[#This Row],[Load]]-tblBaseCF[[#This Row],[LoadAllocChrg]]</f>
        <v>0</v>
      </c>
      <c r="AW51" s="60">
        <f ca="1">tblBaseCF[[#This Row],[TP]]+tblBaseCF[[#This Row],[EP]]+tblBaseCF[[#This Row],[Load]]</f>
        <v>0</v>
      </c>
      <c r="AX51" s="60">
        <f ca="1">tblBaseCF[[#This Row],[TPAllocChrg]]+tblBaseCF[[#This Row],[EPAllocChrg]]+tblBaseCF[[#This Row],[LoadAllocChrg]]</f>
        <v>0</v>
      </c>
      <c r="AY51" s="60">
        <f ca="1">tblBaseCF[[#This Row],[TPAlloc]]+tblBaseCF[[#This Row],[EPAlloc]]+tblBaseCF[[#This Row],[LoadAlloc]]</f>
        <v>0</v>
      </c>
      <c r="AZ51" s="60">
        <f ca="1">(OFFSET(tblBaseCF[[#This Row],[AccumTotalPrem]],-1,0)+tblBaseCF[[#This Row],[TotalPrem]])*tblBaseCF[[#This Row],[TPTermFlag]]</f>
        <v>0</v>
      </c>
      <c r="BA51" s="62">
        <f ca="1">(tblBaseCF[[#This Row],[StartTAV]]-tblBaseCF[[#This Row],[TAVWithdrawal]]+tblBaseCF[[#This Row],[TPAlloc]])
*tblBaseCF[[#This Row],[ContFlag]]</f>
        <v>0</v>
      </c>
      <c r="BB51" s="59">
        <f ca="1">(tblBaseCF[[#This Row],[StartEAV]]-tblBaseCF[[#This Row],[EAVWithdrawal]]+tblBaseCF[[#This Row],[EPAlloc]]+tblBaseCF[[#This Row],[LoadAlloc]])
*tblBaseCF[[#This Row],[ContFlag]]</f>
        <v>0</v>
      </c>
      <c r="BC51" s="59">
        <f ca="1">tblBaseCF[[#This Row],[TAVAfterWdrlAlloc]]+tblBaseCF[[#This Row],[EAVAfterWdrlAlloc]]</f>
        <v>0</v>
      </c>
      <c r="BD51" s="66">
        <f t="shared" si="2"/>
        <v>0</v>
      </c>
      <c r="BE51" s="67">
        <f>(1+tblBaseCF[[#This Row],[AnnualIntRate]])^(1/12)-1</f>
        <v>0</v>
      </c>
      <c r="BF51" s="68">
        <f>IFERROR(((1+tblBaseCF[[#This Row],[MonthlyIntRate]])^12-1)/12/(1-1/(1+tblBaseCF[[#This Row],[MonthlyIntRate]])),1)/(1+tblBaseCF[[#This Row],[AnnualIntRate]])</f>
        <v>1</v>
      </c>
      <c r="BG51" s="69">
        <f>PV(tblBaseCF[[#This Row],[MonthlyIntRate]],12,-1/12,,1)</f>
        <v>1</v>
      </c>
      <c r="BH51" s="60">
        <f ca="1">MAX(IF(death_tpd_option="A",tblBaseCF[[#This Row],[Ben]]-tblBaseCF[[#This Row],[StartPAV]],tblBaseCF[[#This Row],[Ben]]),0)</f>
        <v>0</v>
      </c>
      <c r="BI51" s="70">
        <f ca="1">IFERROR(INDEX(tblBaseCOIRate[Rate],MATCH(tblBaseCF[[#This Row],[Age]],tblBaseCOIRate[Age],0)),0)</f>
        <v>1.36999999999998E-3</v>
      </c>
      <c r="BJ51" s="60">
        <f ca="1">tblBaseCF[[#This Row],[SAR]]*tblBaseCF[[#This Row],[COIRate]]</f>
        <v>0</v>
      </c>
      <c r="BK51" s="62">
        <f ca="1">em_load*tblBaseCF[[#This Row],[pStandardCOI]]
*tblBaseCF[[#This Row],[EMLoadTermFlag]]</f>
        <v>0</v>
      </c>
      <c r="BL51" s="62">
        <f ca="1">pm_load/1000*tblBaseCF[[#This Row],[SAR]]
*tblBaseCF[[#This Row],[PMLoadTermFlag]]</f>
        <v>0</v>
      </c>
      <c r="BM51" s="60">
        <f ca="1">tblBaseCF[[#This Row],[AccBen]]*monthly_acc_coi*12</f>
        <v>0</v>
      </c>
      <c r="BN51" s="60">
        <f ca="1">tblBaseCF[[#This Row],[pStandardCOI]]+tblBaseCF[[#This Row],[pEMLoadCOI]]+tblBaseCF[[#This Row],[pPMLoadCOI]]+tblBaseCF[[#This Row],[pAccCOI]]</f>
        <v>0</v>
      </c>
      <c r="BO51" s="62">
        <f ca="1">IFERROR(INDEX(tblAdminChrg[Amount],MATCH(tblBaseCF[[#This Row],[CalYear]],tblAdminChrg[Cal_Year],0)),0)
*tblBaseCF[[#This Row],[ContFlag]]</f>
        <v>0</v>
      </c>
      <c r="BP51" s="60">
        <f ca="1">tblBaseCF[[#This Row],[pMonthlyAdminChrg]]*12</f>
        <v>0</v>
      </c>
      <c r="BQ51" s="60">
        <f ca="1">tblBaseCF[[#This Row],[pCOI]]+tblBaseCF[[#This Row],[pAdminChrg]]</f>
        <v>0</v>
      </c>
      <c r="BR51" s="60">
        <f ca="1">tblBaseCF[[#This Row],[pNomDeduct]]*tblBaseCF[[#This Row],[Duean1m12]]</f>
        <v>0</v>
      </c>
      <c r="BS51" s="57">
        <f ca="1">(tblBaseCF[[#This Row],[PAVAfterWdrlAlloc]]&gt;=tblBaseCF[[#This Row],[pNomDeduct]])
*tblBaseCF[[#This Row],[ContFlag]]</f>
        <v>0</v>
      </c>
      <c r="BT51" s="60">
        <f ca="1">tblBaseCF[[#This Row],[pStandardCOI]]*tblBaseCF[[#This Row],[DeductFlag]]</f>
        <v>0</v>
      </c>
      <c r="BU51" s="60">
        <f ca="1">tblBaseCF[[#This Row],[pEMLoadCOI]]*tblBaseCF[[#This Row],[DeductFlag]]</f>
        <v>0</v>
      </c>
      <c r="BV51" s="60">
        <f ca="1">tblBaseCF[[#This Row],[pPMLoadCOI]]*tblBaseCF[[#This Row],[DeductFlag]]</f>
        <v>0</v>
      </c>
      <c r="BW51" s="60">
        <f ca="1">tblBaseCF[[#This Row],[pAccCOI]]*tblBaseCF[[#This Row],[DeductFlag]]</f>
        <v>0</v>
      </c>
      <c r="BX51" s="60">
        <f ca="1">tblBaseCF[[#This Row],[pCOI]]*tblBaseCF[[#This Row],[DeductFlag]]</f>
        <v>0</v>
      </c>
      <c r="BY51" s="60">
        <f ca="1">tblBaseCF[[#This Row],[pMonthlyAdminChrg]]*tblBaseCF[[#This Row],[DeductFlag]]</f>
        <v>0</v>
      </c>
      <c r="BZ51" s="60">
        <f ca="1">tblBaseCF[[#This Row],[pAdminChrg]]*tblBaseCF[[#This Row],[DeductFlag]]</f>
        <v>0</v>
      </c>
      <c r="CA51" s="60">
        <f ca="1">tblBaseCF[[#This Row],[pNomDeduct]]*tblBaseCF[[#This Row],[DeductFlag]]</f>
        <v>0</v>
      </c>
      <c r="CB51" s="60">
        <f ca="1">tblBaseCF[[#This Row],[pDeduct]]*tblBaseCF[[#This Row],[DeductFlag]]</f>
        <v>0</v>
      </c>
      <c r="CC51" s="60">
        <f ca="1">MIN(tblBaseCF[[#This Row],[TAVAfterWdrlAlloc]],tblBaseCF[[#This Row],[Deduct]])</f>
        <v>0</v>
      </c>
      <c r="CD51" s="60">
        <f ca="1">tblBaseCF[[#This Row],[Deduct]]-tblBaseCF[[#This Row],[TAVDeduct]]</f>
        <v>0</v>
      </c>
      <c r="CE51" s="69">
        <f ca="1">(tblBaseCF[[#This Row],[TAVAfterWdrlAlloc]]-tblBaseCF[[#This Row],[TAVDeduct]])*tblBaseCF[[#This Row],[AnnualIntRate]]
*tblBaseCF[[#This Row],[DeductFlag]]</f>
        <v>0</v>
      </c>
      <c r="CF51" s="69">
        <f ca="1">(tblBaseCF[[#This Row],[EAVAfterWdrlAlloc]]-tblBaseCF[[#This Row],[EAVDeduct]])*tblBaseCF[[#This Row],[AnnualIntRate]]
*tblBaseCF[[#This Row],[DeductFlag]]</f>
        <v>0</v>
      </c>
      <c r="CG51" s="69">
        <f ca="1">tblBaseCF[[#This Row],[TAVInt]]+tblBaseCF[[#This Row],[EAVInt]]</f>
        <v>0</v>
      </c>
      <c r="CH51" s="62">
        <f ca="1">IFERROR(INDEX(tblLBRate[Rate],MATCH(tblBaseCF[[#This Row],[Year]],tblLBRate[Year],0)),0)
*tblBaseCF[[#This Row],[DeductFlag]]</f>
        <v>0</v>
      </c>
      <c r="CI51" s="60">
        <f ca="1">IFERROR(SUM(OFFSET(tblBaseCF[[#This Row],[TAVWithdrawal]],0,0,-lb_review_period,1)),0)
*(tblBaseCF[[#This Row],[LBRate]]&gt;0)</f>
        <v>0</v>
      </c>
      <c r="CJ51" s="60">
        <f ca="1">(tblBaseCF[[#This Row],[LBRate]]&gt;0)*(tblBaseCF[[#This Row],[LBTAVWithdrawal]]=0)</f>
        <v>0</v>
      </c>
      <c r="CK51" s="62" cm="1">
        <f t="array" aca="1" ref="CK51" ca="1">IF(tblBaseCF[[#This Row],[LBFlag]],
_xlfn.SWITCH(base,
"ILP1",AVERAGE(OFFSET(tblBaseCF[TP],0,0,-lb_review_period,1)),tp),0)
*tblBaseCF[[#This Row],[LBFlag]]</f>
        <v>0</v>
      </c>
      <c r="CL51" s="62">
        <f ca="1">tblBaseCF[[#This Row],[LBBasis]]*tblBaseCF[[#This Row],[LBRate]]</f>
        <v>0</v>
      </c>
      <c r="CM51" s="57" cm="1">
        <f t="array" aca="1" ref="CM51" ca="1">_xlfn.SWITCH(base,
"ILP1",0,($AF151&lt;500000000)*1
+($AF151&gt;=500000000)*($AF151&lt;1000000000)*2
+($AF151&gt;=1000000000)*3)
*tblBaseCF[[#This Row],[DeductFlag]]</f>
        <v>0</v>
      </c>
      <c r="CN51" s="2" t="str">
        <f ca="1">IF(tblBaseCF[[#This Row],[DeductFlag]],base&amp;"_"&amp;tblBaseCF[[#This Row],[SBCode]]&amp;"_"&amp;tblBaseCF[[#This Row],[Year]],"")</f>
        <v/>
      </c>
      <c r="CO51" s="3">
        <f ca="1">IFERROR(INDEX(tblSBRate[Index],MATCH(tblBaseCF[[#This Row],[SBIndex]],tblSBRate[Rate],0)),0)</f>
        <v>0</v>
      </c>
      <c r="CP51" s="63">
        <f ca="1">IFERROR(SUM(OFFSET(tblBaseCF[[#This Row],[TAVWithdrawal]],0,0,-sb_review_period,1)),0)
*(tblBaseCF[[#This Row],[SBRate]]&gt;0)</f>
        <v>0</v>
      </c>
      <c r="CQ51" s="63">
        <f ca="1">(tblBaseCF[[#This Row],[SBRate]]&gt;0)*(tblBaseCF[[#This Row],[SBTAVWithdrawal]]=0)</f>
        <v>0</v>
      </c>
      <c r="CR51" s="59" cm="1">
        <f t="array" aca="1" ref="CR51" ca="1">IF(tblBaseCF[[#This Row],[LBFlag]],
_xlfn.SWITCH(base,
"ILP1",0,tp),0)*tblBaseCF[[#This Row],[SBFlag]]</f>
        <v>0</v>
      </c>
      <c r="CS51" s="63">
        <f ca="1">tblBaseCF[[#This Row],[SBBasis]]*tblBaseCF[[#This Row],[SBRate]]</f>
        <v>0</v>
      </c>
      <c r="CT51" s="63">
        <f ca="1">tblBaseCF[[#This Row],[LB]]+tblBaseCF[[#This Row],[SB]]</f>
        <v>0</v>
      </c>
      <c r="CU51" s="59">
        <f ca="1">tblBaseCF[[#This Row],[TAVAfterWdrlAlloc]]-tblBaseCF[[#This Row],[TAVDeduct]]+tblBaseCF[[#This Row],[TAVInt]]+tblBaseCF[[#This Row],[Bonus]]</f>
        <v>0</v>
      </c>
      <c r="CV51" s="59">
        <f ca="1">tblBaseCF[[#This Row],[EAVAfterWdrlAlloc]]-tblBaseCF[[#This Row],[EAVDeduct]]+tblBaseCF[[#This Row],[EAVInt]]</f>
        <v>0</v>
      </c>
      <c r="CW51" s="63">
        <f ca="1">tblBaseCF[[#This Row],[EndTAV]]+tblBaseCF[[#This Row],[EndEAV]]</f>
        <v>0</v>
      </c>
      <c r="CX51" s="59">
        <f ca="1">INDEX(tblPlanPrem[TP],2)
*tblBaseCF[[#This Row],[TPTermFlag]]</f>
        <v>0</v>
      </c>
      <c r="CY51" s="59">
        <f ca="1">INDEX(tblPlanPrem[EP],2)
*tblBaseCF[[#This Row],[TPTermFlag]]</f>
        <v>0</v>
      </c>
      <c r="CZ51" s="63">
        <f ca="1">ROUNDUP(tblBaseCF[[#This Row],[UnroundedEMLoad]]*INDEX(tblPlanPrem[Factor],2),-3)</f>
        <v>0</v>
      </c>
      <c r="DA51" s="63">
        <f ca="1">ROUNDUP(tblBaseCF[[#This Row],[UnroundedPMLoad]]*INDEX(tblPlanPrem[Factor],2),-3)</f>
        <v>0</v>
      </c>
      <c r="DB51" s="63">
        <f ca="1">tblBaseCF[[#This Row],[SemiAnnualEMLoad]]+tblBaseCF[[#This Row],[SemiAnnualPMLoad]]</f>
        <v>0</v>
      </c>
      <c r="DC51" s="63">
        <f ca="1">tblBaseCF[[#This Row],[SemiAnnualTP]]+tblBaseCF[[#This Row],[SemiAnnualEP]]+tblBaseCF[[#This Row],[SemiAnnualLoad]]</f>
        <v>0</v>
      </c>
      <c r="DD51" s="59">
        <f ca="1">INDEX(tblPlanPrem[TP],3)
*tblBaseCF[[#This Row],[TPTermFlag]]</f>
        <v>0</v>
      </c>
      <c r="DE51" s="59">
        <f ca="1">INDEX(tblPlanPrem[EP],3)
*tblBaseCF[[#This Row],[TPTermFlag]]</f>
        <v>0</v>
      </c>
      <c r="DF51" s="63">
        <f ca="1">ROUNDUP(tblBaseCF[[#This Row],[UnroundedEMLoad]]*INDEX(tblPlanPrem[Factor],3),-3)</f>
        <v>0</v>
      </c>
      <c r="DG51" s="63">
        <f ca="1">ROUNDUP(tblBaseCF[[#This Row],[UnroundedPMLoad]]*INDEX(tblPlanPrem[Factor],3),-3)</f>
        <v>0</v>
      </c>
      <c r="DH51" s="60">
        <f ca="1">tblBaseCF[[#This Row],[QuarterlyEMLoad]]+tblBaseCF[[#This Row],[QuarterlyPMLoad]]</f>
        <v>0</v>
      </c>
      <c r="DI51" s="60">
        <f ca="1">tblBaseCF[[#This Row],[QuarterlyTP]]+tblBaseCF[[#This Row],[QuarterlyEP]]+tblBaseCF[[#This Row],[QuarterlyLoad]]</f>
        <v>0</v>
      </c>
      <c r="DJ51" s="59">
        <f ca="1">INDEX(tblPlanPrem[TP],4)
*tblBaseCF[[#This Row],[TPTermFlag]]</f>
        <v>0</v>
      </c>
      <c r="DK51" s="59">
        <f ca="1">INDEX(tblPlanPrem[EP],4)
*tblBaseCF[[#This Row],[TPTermFlag]]</f>
        <v>0</v>
      </c>
      <c r="DL51" s="63">
        <f ca="1">ROUNDUP(tblBaseCF[[#This Row],[UnroundedEMLoad]]*INDEX(tblPlanPrem[Factor],4),-3)</f>
        <v>0</v>
      </c>
      <c r="DM51" s="63">
        <f ca="1">ROUNDUP(tblBaseCF[[#This Row],[UnroundedPMLoad]]*INDEX(tblPlanPrem[Factor],4),-3)</f>
        <v>0</v>
      </c>
      <c r="DN51" s="60">
        <f ca="1">tblBaseCF[[#This Row],[MonthlyEMLoad]]+tblBaseCF[[#This Row],[MonthlyPMLoad]]</f>
        <v>0</v>
      </c>
      <c r="DO51" s="63">
        <f ca="1">tblBaseCF[[#This Row],[MonthlyTP]]+tblBaseCF[[#This Row],[MonthlyEP]]+tblBaseCF[[#This Row],[MonthlyLoad]]</f>
        <v>0</v>
      </c>
      <c r="DP51" s="3"/>
      <c r="DS51">
        <f t="shared" si="3"/>
        <v>0</v>
      </c>
      <c r="DT51">
        <f t="shared" si="4"/>
        <v>0</v>
      </c>
      <c r="DU51">
        <f t="shared" si="5"/>
        <v>0</v>
      </c>
      <c r="DV51">
        <f ca="1">tblBaseCF[[#This Row],[Year]]</f>
        <v>31</v>
      </c>
      <c r="DW51">
        <f ca="1">tblBaseCF[[#This Row],[Age]]</f>
        <v>30</v>
      </c>
      <c r="DX51">
        <f ca="1">tblBaseCF[[#This Row],[ContFlag]]</f>
        <v>0</v>
      </c>
      <c r="DY51" t="str">
        <f ca="1">tblBaseCF[[#This Row],[ContLog]]</f>
        <v>Insufficient PAV for deduction - Discontinue.</v>
      </c>
      <c r="DZ51">
        <f ca="1">tblBaseCF[[#This Row],[StartTAV]]</f>
        <v>0</v>
      </c>
      <c r="EA51">
        <f ca="1">tblBaseCF[[#This Row],[StartEAV]]</f>
        <v>0</v>
      </c>
      <c r="EB51">
        <f ca="1">tblBaseCF[[#This Row],[StartPAV]]</f>
        <v>0</v>
      </c>
      <c r="EC51">
        <f ca="1">tblBaseCF[[#This Row],[SVChrg]]</f>
        <v>0</v>
      </c>
      <c r="ED51">
        <f ca="1">tblBaseCF[[#This Row],[SV]]</f>
        <v>0</v>
      </c>
      <c r="EE51">
        <f ca="1">tblBaseCF[[#This Row],[Ben]]</f>
        <v>0</v>
      </c>
      <c r="EF51">
        <f ca="1">tblBaseCF[[#This Row],[AccBen]]</f>
        <v>0</v>
      </c>
      <c r="EG51">
        <f ca="1">tblBaseCF[[#This Row],[WithdrawalInput]]</f>
        <v>0</v>
      </c>
      <c r="EH51" t="str">
        <f ca="1">tblBaseCF[[#This Row],[WithdrawalLog]]</f>
        <v>No withdrawal.</v>
      </c>
      <c r="EI51">
        <f ca="1">tblBaseCF[[#This Row],[TAVWithdrawal]]</f>
        <v>0</v>
      </c>
      <c r="EJ51">
        <f ca="1">tblBaseCF[[#This Row],[EAVWithdrawal]]</f>
        <v>0</v>
      </c>
      <c r="EK51">
        <f ca="1">tblBaseCF[[#This Row],[Withdrawal]]</f>
        <v>0</v>
      </c>
      <c r="EL51">
        <f ca="1">tblBaseCF[[#This Row],[TP]]</f>
        <v>0</v>
      </c>
      <c r="EM51">
        <f ca="1">tblBaseCF[[#This Row],[TPAllocChrg]]</f>
        <v>0</v>
      </c>
      <c r="EN51">
        <f ca="1">tblBaseCF[[#This Row],[TPAlloc]]</f>
        <v>0</v>
      </c>
      <c r="EO51">
        <f ca="1">tblBaseCF[[#This Row],[EP]]</f>
        <v>0</v>
      </c>
      <c r="EP51">
        <f ca="1">tblBaseCF[[#This Row],[EPAllocChrg]]</f>
        <v>0</v>
      </c>
      <c r="EQ51">
        <f ca="1">tblBaseCF[[#This Row],[EPAlloc]]</f>
        <v>0</v>
      </c>
      <c r="ER51">
        <f ca="1">tblBaseCF[[#This Row],[EMLoad]]</f>
        <v>0</v>
      </c>
      <c r="ES51">
        <f ca="1">tblBaseCF[[#This Row],[PMLoad]]</f>
        <v>0</v>
      </c>
      <c r="ET51">
        <f ca="1">tblBaseCF[[#This Row],[Load]]</f>
        <v>0</v>
      </c>
      <c r="EU51">
        <f ca="1">tblBaseCF[[#This Row],[LoadAllocChrg]]</f>
        <v>0</v>
      </c>
      <c r="EV51">
        <f ca="1">tblBaseCF[[#This Row],[LoadAlloc]]</f>
        <v>0</v>
      </c>
      <c r="EW51">
        <f ca="1">tblBaseCF[[#This Row],[TotalPrem]]</f>
        <v>0</v>
      </c>
      <c r="EX51">
        <f ca="1">tblBaseCF[[#This Row],[AllocChrg]]</f>
        <v>0</v>
      </c>
      <c r="EY51">
        <f ca="1">tblBaseCF[[#This Row],[Alloc]]</f>
        <v>0</v>
      </c>
      <c r="EZ51">
        <f ca="1">tblBaseCF[[#This Row],[AccumTotalPrem]]</f>
        <v>0</v>
      </c>
      <c r="FA51">
        <f>tblBaseCF[[#This Row],[AnnualIntRate]]</f>
        <v>0</v>
      </c>
      <c r="FB51" s="50">
        <f>tblBaseCF[[#This Row],[Duean1m12]]</f>
        <v>1</v>
      </c>
      <c r="FC51">
        <f ca="1">tblBaseCF[[#This Row],[DeductFlag]]</f>
        <v>0</v>
      </c>
      <c r="FD51">
        <f ca="1">tblBaseCF[[#This Row],[AdminChrg]]</f>
        <v>0</v>
      </c>
      <c r="FE51">
        <f ca="1">tblBaseCF[[#This Row],[StandardCOI]]</f>
        <v>0</v>
      </c>
      <c r="FF51">
        <f ca="1">tblBaseCF[[#This Row],[EMLoadCOI]]</f>
        <v>0</v>
      </c>
      <c r="FG51">
        <f ca="1">tblBaseCF[[#This Row],[PMLoadCOI]]</f>
        <v>0</v>
      </c>
      <c r="FH51">
        <f ca="1">tblBaseCF[[#This Row],[COI]]</f>
        <v>0</v>
      </c>
      <c r="FI51" s="47">
        <f ca="1">tblBaseCF[[#This Row],[NomDeduct]]</f>
        <v>0</v>
      </c>
      <c r="FJ51">
        <f ca="1">tblBaseCF[[#This Row],[Deduct]]</f>
        <v>0</v>
      </c>
      <c r="FK51">
        <f ca="1">tblBaseCF[[#This Row],[TAVDeduct]]</f>
        <v>0</v>
      </c>
      <c r="FL51">
        <f ca="1">tblBaseCF[[#This Row],[EAVDeduct]]</f>
        <v>0</v>
      </c>
      <c r="FM51" s="24">
        <f ca="1">tblBaseCF[[#This Row],[TAVInt]]</f>
        <v>0</v>
      </c>
      <c r="FN51">
        <f ca="1">tblBaseCF[[#This Row],[EAVInt]]</f>
        <v>0</v>
      </c>
      <c r="FO51" s="47">
        <f ca="1">tblBaseCF[[#This Row],[LB]]</f>
        <v>0</v>
      </c>
      <c r="FP51">
        <f ca="1">tblBaseCF[[#This Row],[SB]]</f>
        <v>0</v>
      </c>
      <c r="FQ51">
        <f ca="1">tblBaseCF[[#This Row],[Bonus]]</f>
        <v>0</v>
      </c>
      <c r="FR51">
        <f ca="1">tblBaseCF[[#This Row],[EndTAV]]</f>
        <v>0</v>
      </c>
      <c r="FS51">
        <f ca="1">tblBaseCF[[#This Row],[EndEAV]]</f>
        <v>0</v>
      </c>
      <c r="FT51">
        <f ca="1">tblBaseCF[[#This Row],[EndPAV]]</f>
        <v>0</v>
      </c>
      <c r="FU51">
        <f ca="1">tblBaseCF[[#This Row],[SemiAnnualTP]]</f>
        <v>0</v>
      </c>
      <c r="FV51">
        <f ca="1">tblBaseCF[[#This Row],[SemiAnnualEP]]</f>
        <v>0</v>
      </c>
      <c r="FW51">
        <f ca="1">tblBaseCF[[#This Row],[SemiAnnualEMLoad]]</f>
        <v>0</v>
      </c>
      <c r="FX51">
        <f ca="1">tblBaseCF[[#This Row],[SemiAnnualPMLoad]]</f>
        <v>0</v>
      </c>
      <c r="FY51">
        <f ca="1">tblBaseCF[[#This Row],[SemiAnnualLoad]]</f>
        <v>0</v>
      </c>
      <c r="FZ51">
        <f ca="1">tblBaseCF[[#This Row],[SemiAnnualTotalPrem]]</f>
        <v>0</v>
      </c>
      <c r="GA51">
        <f ca="1">tblBaseCF[[#This Row],[QuarterlyTP]]</f>
        <v>0</v>
      </c>
      <c r="GB51">
        <f ca="1">tblBaseCF[[#This Row],[QuarterlyEP]]</f>
        <v>0</v>
      </c>
      <c r="GC51">
        <f ca="1">tblBaseCF[[#This Row],[QuarterlyEMLoad]]</f>
        <v>0</v>
      </c>
      <c r="GD51">
        <f ca="1">tblBaseCF[[#This Row],[QuarterlyPMLoad]]</f>
        <v>0</v>
      </c>
      <c r="GE51">
        <f ca="1">tblBaseCF[[#This Row],[QuarterlyLoad]]</f>
        <v>0</v>
      </c>
      <c r="GF51">
        <f ca="1">tblBaseCF[[#This Row],[QuarterlyTotalPrem]]</f>
        <v>0</v>
      </c>
      <c r="GG51">
        <f ca="1">tblBaseCF[[#This Row],[MonthlyTP]]</f>
        <v>0</v>
      </c>
      <c r="GH51">
        <f ca="1">tblBaseCF[[#This Row],[MonthlyEP]]</f>
        <v>0</v>
      </c>
      <c r="GI51">
        <f ca="1">tblBaseCF[[#This Row],[MonthlyEMLoad]]</f>
        <v>0</v>
      </c>
      <c r="GJ51">
        <f ca="1">tblBaseCF[[#This Row],[MonthlyPMLoad]]</f>
        <v>0</v>
      </c>
      <c r="GK51">
        <f ca="1">tblBaseCF[[#This Row],[MonthlyLoad]]</f>
        <v>0</v>
      </c>
      <c r="GL51">
        <f ca="1">tblBaseCF[[#This Row],[MonthlyTotalPrem]]</f>
        <v>0</v>
      </c>
      <c r="GO51" t="s">
        <v>134</v>
      </c>
      <c r="GP51" t="s">
        <v>135</v>
      </c>
      <c r="GQ51" t="s">
        <v>502</v>
      </c>
      <c r="GR51">
        <v>31</v>
      </c>
      <c r="GS51">
        <v>30</v>
      </c>
      <c r="GT51">
        <v>1</v>
      </c>
      <c r="GU51" t="s">
        <v>457</v>
      </c>
      <c r="GV51">
        <v>39385634.093572602</v>
      </c>
      <c r="GW51">
        <v>315975876.64970797</v>
      </c>
      <c r="GX51">
        <v>355361510.74327999</v>
      </c>
      <c r="GY51">
        <v>0</v>
      </c>
      <c r="GZ51">
        <v>355361510.74327999</v>
      </c>
      <c r="HA51">
        <v>355361510.74327999</v>
      </c>
      <c r="HB51">
        <v>303000000</v>
      </c>
      <c r="HC51">
        <v>0</v>
      </c>
      <c r="HD51" t="s">
        <v>137</v>
      </c>
      <c r="HE51">
        <v>0</v>
      </c>
      <c r="HF51">
        <v>0</v>
      </c>
      <c r="HG51">
        <v>0</v>
      </c>
      <c r="HH51">
        <v>1072000</v>
      </c>
      <c r="HI51">
        <v>21440</v>
      </c>
      <c r="HJ51">
        <v>1050560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1072000</v>
      </c>
      <c r="HT51">
        <v>21440</v>
      </c>
      <c r="HU51">
        <v>1050560</v>
      </c>
      <c r="HV51">
        <v>158032000</v>
      </c>
      <c r="HW51">
        <v>7.0000000000000007E-2</v>
      </c>
      <c r="HX51">
        <v>0.96964931039809399</v>
      </c>
      <c r="HY51">
        <v>1</v>
      </c>
      <c r="HZ51">
        <v>300000</v>
      </c>
      <c r="IA51">
        <v>0</v>
      </c>
      <c r="IB51">
        <v>0</v>
      </c>
      <c r="IC51">
        <v>0</v>
      </c>
      <c r="ID51">
        <v>272700</v>
      </c>
      <c r="IE51">
        <v>572700</v>
      </c>
      <c r="IF51">
        <v>555318.16006498795</v>
      </c>
      <c r="IG51">
        <v>555318.16006498795</v>
      </c>
      <c r="IH51">
        <v>0</v>
      </c>
      <c r="II51">
        <v>2791661.3153455299</v>
      </c>
      <c r="IJ51">
        <v>22118311.365479499</v>
      </c>
      <c r="IK51">
        <v>0</v>
      </c>
      <c r="IL51">
        <v>0</v>
      </c>
      <c r="IM51">
        <v>0</v>
      </c>
      <c r="IN51">
        <v>42672537.248853102</v>
      </c>
      <c r="IO51">
        <v>338094188.01518703</v>
      </c>
      <c r="IP51">
        <v>380766725.26403999</v>
      </c>
      <c r="IQ51">
        <v>536000</v>
      </c>
      <c r="IR51">
        <v>2600000</v>
      </c>
      <c r="IS51">
        <v>0</v>
      </c>
      <c r="IT51">
        <v>0</v>
      </c>
      <c r="IU51">
        <v>0</v>
      </c>
      <c r="IV51">
        <v>3136000</v>
      </c>
      <c r="IW51">
        <v>268000</v>
      </c>
      <c r="IX51">
        <v>1300000</v>
      </c>
      <c r="IY51">
        <v>0</v>
      </c>
      <c r="IZ51">
        <v>0</v>
      </c>
      <c r="JA51">
        <v>0</v>
      </c>
      <c r="JB51">
        <v>1568000</v>
      </c>
      <c r="JC51">
        <v>90000</v>
      </c>
      <c r="JD51">
        <v>434000</v>
      </c>
      <c r="JE51">
        <v>0</v>
      </c>
      <c r="JF51">
        <v>0</v>
      </c>
      <c r="JG51">
        <v>0</v>
      </c>
      <c r="JH51">
        <v>524000</v>
      </c>
    </row>
    <row r="52" spans="2:268" customFormat="1" x14ac:dyDescent="0.25">
      <c r="B52" s="2">
        <f ca="1">OFFSET(tblBaseCF[[#This Row],[Year]],-1,0)+1</f>
        <v>32</v>
      </c>
      <c r="C52" s="2">
        <f ca="1">(tblBaseCF[[#This Row],[Year]]&lt;=term)*1</f>
        <v>1</v>
      </c>
      <c r="D52" s="57">
        <f ca="1">(YEAR(rcd)+tblBaseCF[[#This Row],[Year]]-1)
*tblBaseCF[[#This Row],[PolTermFlag]]</f>
        <v>2056</v>
      </c>
      <c r="E52" s="57">
        <f ca="1">(mainLI_entry_age+tblBaseCF[[#This Row],[Year]]-1)
*tblBaseCF[[#This Row],[PolTermFlag]]</f>
        <v>31</v>
      </c>
      <c r="F52" s="57">
        <f ca="1">IF(tblBaseCF[[#This Row],[Year]]=1,1,OFFSET(tblBaseCF[[#This Row],[DeductFlag]],-1,0))
*tblBaseCF[[#This Row],[PolTermFlag]]</f>
        <v>0</v>
      </c>
      <c r="G5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2" s="57">
        <f ca="1">(tblBaseCF[[#This Row],[Year]]&lt;=acc_ben_term)
*tblBaseCF[[#This Row],[ContFlag]]</f>
        <v>0</v>
      </c>
      <c r="I52" s="57">
        <f ca="1">(tblBaseCF[[#This Row],[Year]]&lt;=tp_term)
*tblBaseCF[[#This Row],[ContFlag]]</f>
        <v>0</v>
      </c>
      <c r="J52" s="57">
        <f ca="1">(tblBaseCF[[#This Row],[Year]]&lt;=ep_term)
*tblBaseCF[[#This Row],[ContFlag]]</f>
        <v>0</v>
      </c>
      <c r="K52" s="57">
        <f ca="1">(tblBaseCF[[#This Row],[Year]]&lt;=em_load_term)*1</f>
        <v>0</v>
      </c>
      <c r="L52" s="57">
        <f ca="1">(tblBaseCF[[#This Row],[Year]]&lt;=pm_load_term)*1</f>
        <v>0</v>
      </c>
      <c r="M52" s="59">
        <f ca="1">IF(tblBaseCF[[#This Row],[Year]]=1,si,OFFSET(tblBaseCF[[#This Row],[EndSI]],-1,0))
*tblBaseCF[[#This Row],[ContFlag]]</f>
        <v>0</v>
      </c>
      <c r="N52" s="59">
        <f ca="1">OFFSET(tblBaseCF[[#This Row],[EndTAV]],-1,0)
*tblBaseCF[[#This Row],[ContFlag]]</f>
        <v>0</v>
      </c>
      <c r="O52" s="59">
        <f ca="1">OFFSET(tblBaseCF[[#This Row],[EndEAV]],-1,0)
*tblBaseCF[[#This Row],[ContFlag]]</f>
        <v>0</v>
      </c>
      <c r="P52" s="60">
        <f ca="1">tblBaseCF[[#This Row],[StartEAV]]+tblBaseCF[[#This Row],[StartTAV]]</f>
        <v>0</v>
      </c>
      <c r="Q52" s="61">
        <f ca="1">IFERROR(INDEX(tblJuvenileLienRate[Rate],MATCH(tblBaseCF[[#This Row],[Age]],tblJuvenileLienRate[Age],0)),1)
*tblBaseCF[[#This Row],[ContFlag]]</f>
        <v>0</v>
      </c>
      <c r="R5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2" s="62">
        <f ca="1">tblBaseCF[[#This Row],[StartSI]]*acc_ben_coeff*tblBaseCF[[#This Row],[JuvenileLienRate]]
*tblBaseCF[[#This Row],[AccBenTermFlag]]</f>
        <v>0</v>
      </c>
      <c r="T52" s="61">
        <f ca="1">(IFERROR(INDEX(tblSurrChrgRate[Rate],MATCH(tblBaseCF[[#This Row],[Year]],tblSurrChrgRate[Year],0)),0)
*tblBaseCF[[#This Row],[ContFlag]])</f>
        <v>0</v>
      </c>
      <c r="U52" s="60">
        <f ca="1">tp*tblBaseCF[[#This Row],[SrrChrgRate]]</f>
        <v>0</v>
      </c>
      <c r="V52" s="63">
        <f ca="1">MAX(tblBaseCF[[#This Row],[StartTAV]]-tblBaseCF[[#This Row],[SVChrg]],0)+tblBaseCF[[#This Row],[StartEAV]]</f>
        <v>0</v>
      </c>
      <c r="W52" s="59">
        <f ca="1">IFERROR(INDEX(tblWithdrawal_Output[Amount],MATCH(tblBaseCF[[#This Row],[Year]],tblWithdrawal_Output[Year],0)),0)
*tblBaseCF[[#This Row],[ContFlag]]</f>
        <v>0</v>
      </c>
      <c r="X52" s="59" t="b">
        <f ca="1">tblBaseCF[[#This Row],[WithdrawalInput]]&gt;0</f>
        <v>0</v>
      </c>
      <c r="Y52" s="59" t="b">
        <f ca="1">AND(tblBaseCF[[#This Row],[1stCheckProceed]],tblBaseCF[[#This Row],[WithdrawalInput]]&lt;=tblBaseCF[[#This Row],[StartPAV]])</f>
        <v>0</v>
      </c>
      <c r="Z52" s="59" t="b">
        <f ca="1">AND(tblBaseCF[[#This Row],[2ndCheckAmount]],(tblBaseCF[[#This Row],[StartPAV]]-tblBaseCF[[#This Row],[WithdrawalInput]])&gt;=min_pav_after_withdrawal)</f>
        <v>0</v>
      </c>
      <c r="AA5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2" s="59" t="b">
        <f ca="1">AND(tblBaseCF[[#This Row],[3rdCheckPAV]],tblBaseCF[[#This Row],[endSITest]]&gt;=min_base_si)</f>
        <v>0</v>
      </c>
      <c r="AC52" s="60">
        <f ca="1">tblBaseCF[[#This Row],[WithdrawalInput]]*tblBaseCF[[#This Row],[4thCheckSI]]</f>
        <v>0</v>
      </c>
      <c r="AD52" s="60">
        <f ca="1">MIN(tblBaseCF[[#This Row],[Withdrawal]],tblBaseCF[[#This Row],[StartEAV]])</f>
        <v>0</v>
      </c>
      <c r="AE52" s="60">
        <f ca="1">tblBaseCF[[#This Row],[Withdrawal]]-tblBaseCF[[#This Row],[EAVWithdrawal]]</f>
        <v>0</v>
      </c>
      <c r="AF52" s="60">
        <f ca="1">IF(tblBaseCF[[#This Row],[4thCheckSI]],tblBaseCF[[#This Row],[endSITest]],tblBaseCF[[#This Row],[StartSI]])</f>
        <v>0</v>
      </c>
      <c r="AG5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2" s="65">
        <f ca="1">IFERROR(INDEX(tblTPAllocChrgRate[Rate],MATCH(tblBaseCF[[#This Row],[Year]],tblTPAllocChrgRate[Year],0)),0)</f>
        <v>0.02</v>
      </c>
      <c r="AI52" s="62">
        <f ca="1">(tp+big_case_bonus_tp*(tblBaseCF[[#This Row],[Year]]=1))
*tblBaseCF[[#This Row],[TPTermFlag]]</f>
        <v>0</v>
      </c>
      <c r="AJ52" s="63">
        <f ca="1">tblBaseCF[[#This Row],[TP]]*tblBaseCF[[#This Row],[TPAllocChrgRate]]</f>
        <v>0</v>
      </c>
      <c r="AK52" s="60">
        <f ca="1">tblBaseCF[[#This Row],[TP]]-tblBaseCF[[#This Row],[TPAllocChrg]]</f>
        <v>0</v>
      </c>
      <c r="AL52" s="65">
        <f ca="1">IFERROR(INDEX(tblEPAllocChrgRate[Rate],MATCH(tblBaseCF[[#This Row],[Year]],tblEPAllocChrgRate[Year],0)),0)</f>
        <v>0.02</v>
      </c>
      <c r="AM52" s="60">
        <f ca="1">ep*tblBaseCF[[#This Row],[EPTermFlag]]</f>
        <v>0</v>
      </c>
      <c r="AN52" s="60">
        <f ca="1">tblBaseCF[[#This Row],[EP]]*tblBaseCF[[#This Row],[EPAllocChrgRate]]</f>
        <v>0</v>
      </c>
      <c r="AO52" s="63">
        <f ca="1">tblBaseCF[[#This Row],[EP]]-tblBaseCF[[#This Row],[EPAllocChrg]]</f>
        <v>0</v>
      </c>
      <c r="AP52" s="62">
        <f ca="1">tblBaseCF[[#This Row],[Ben]]*extra_prem_rate*em_load/1000/(1-tblBaseCF[[#This Row],[EPAllocChrgRate]])
*tblBaseCF[[#This Row],[EMLoadTermFlag]]</f>
        <v>0</v>
      </c>
      <c r="AQ52" s="62">
        <f ca="1">tblBaseCF[[#This Row],[Ben]]*pm_load/1000/(1-tblBaseCF[[#This Row],[EPAllocChrgRate]])
*tblBaseCF[[#This Row],[PMLoadTermFlag]]</f>
        <v>0</v>
      </c>
      <c r="AR52" s="60">
        <f ca="1">ROUNDUP(tblBaseCF[[#This Row],[UnroundedEMLoad]],-3)</f>
        <v>0</v>
      </c>
      <c r="AS52" s="62">
        <f ca="1">ROUNDUP(tblBaseCF[[#This Row],[Ben]]*pm_load/1000/(1-tblBaseCF[[#This Row],[EPAllocChrgRate]]),-3)
*tblBaseCF[[#This Row],[PMLoadTermFlag]]</f>
        <v>0</v>
      </c>
      <c r="AT52" s="60">
        <f ca="1">tblBaseCF[[#This Row],[EMLoad]]+tblBaseCF[[#This Row],[PMLoad]]</f>
        <v>0</v>
      </c>
      <c r="AU52" s="60">
        <f ca="1">tblBaseCF[[#This Row],[Load]]*tblBaseCF[[#This Row],[EPAllocChrgRate]]</f>
        <v>0</v>
      </c>
      <c r="AV52" s="60">
        <f ca="1">tblBaseCF[[#This Row],[Load]]-tblBaseCF[[#This Row],[LoadAllocChrg]]</f>
        <v>0</v>
      </c>
      <c r="AW52" s="60">
        <f ca="1">tblBaseCF[[#This Row],[TP]]+tblBaseCF[[#This Row],[EP]]+tblBaseCF[[#This Row],[Load]]</f>
        <v>0</v>
      </c>
      <c r="AX52" s="60">
        <f ca="1">tblBaseCF[[#This Row],[TPAllocChrg]]+tblBaseCF[[#This Row],[EPAllocChrg]]+tblBaseCF[[#This Row],[LoadAllocChrg]]</f>
        <v>0</v>
      </c>
      <c r="AY52" s="60">
        <f ca="1">tblBaseCF[[#This Row],[TPAlloc]]+tblBaseCF[[#This Row],[EPAlloc]]+tblBaseCF[[#This Row],[LoadAlloc]]</f>
        <v>0</v>
      </c>
      <c r="AZ52" s="60">
        <f ca="1">(OFFSET(tblBaseCF[[#This Row],[AccumTotalPrem]],-1,0)+tblBaseCF[[#This Row],[TotalPrem]])*tblBaseCF[[#This Row],[TPTermFlag]]</f>
        <v>0</v>
      </c>
      <c r="BA52" s="62">
        <f ca="1">(tblBaseCF[[#This Row],[StartTAV]]-tblBaseCF[[#This Row],[TAVWithdrawal]]+tblBaseCF[[#This Row],[TPAlloc]])
*tblBaseCF[[#This Row],[ContFlag]]</f>
        <v>0</v>
      </c>
      <c r="BB52" s="59">
        <f ca="1">(tblBaseCF[[#This Row],[StartEAV]]-tblBaseCF[[#This Row],[EAVWithdrawal]]+tblBaseCF[[#This Row],[EPAlloc]]+tblBaseCF[[#This Row],[LoadAlloc]])
*tblBaseCF[[#This Row],[ContFlag]]</f>
        <v>0</v>
      </c>
      <c r="BC52" s="59">
        <f ca="1">tblBaseCF[[#This Row],[TAVAfterWdrlAlloc]]+tblBaseCF[[#This Row],[EAVAfterWdrlAlloc]]</f>
        <v>0</v>
      </c>
      <c r="BD52" s="66">
        <f t="shared" si="2"/>
        <v>0</v>
      </c>
      <c r="BE52" s="67">
        <f>(1+tblBaseCF[[#This Row],[AnnualIntRate]])^(1/12)-1</f>
        <v>0</v>
      </c>
      <c r="BF52" s="68">
        <f>IFERROR(((1+tblBaseCF[[#This Row],[MonthlyIntRate]])^12-1)/12/(1-1/(1+tblBaseCF[[#This Row],[MonthlyIntRate]])),1)/(1+tblBaseCF[[#This Row],[AnnualIntRate]])</f>
        <v>1</v>
      </c>
      <c r="BG52" s="69">
        <f>PV(tblBaseCF[[#This Row],[MonthlyIntRate]],12,-1/12,,1)</f>
        <v>1</v>
      </c>
      <c r="BH52" s="60">
        <f ca="1">MAX(IF(death_tpd_option="A",tblBaseCF[[#This Row],[Ben]]-tblBaseCF[[#This Row],[StartPAV]],tblBaseCF[[#This Row],[Ben]]),0)</f>
        <v>0</v>
      </c>
      <c r="BI52" s="70">
        <f ca="1">IFERROR(INDEX(tblBaseCOIRate[Rate],MATCH(tblBaseCF[[#This Row],[Age]],tblBaseCOIRate[Age],0)),0)</f>
        <v>1.4199999999999801E-3</v>
      </c>
      <c r="BJ52" s="60">
        <f ca="1">tblBaseCF[[#This Row],[SAR]]*tblBaseCF[[#This Row],[COIRate]]</f>
        <v>0</v>
      </c>
      <c r="BK52" s="62">
        <f ca="1">em_load*tblBaseCF[[#This Row],[pStandardCOI]]
*tblBaseCF[[#This Row],[EMLoadTermFlag]]</f>
        <v>0</v>
      </c>
      <c r="BL52" s="62">
        <f ca="1">pm_load/1000*tblBaseCF[[#This Row],[SAR]]
*tblBaseCF[[#This Row],[PMLoadTermFlag]]</f>
        <v>0</v>
      </c>
      <c r="BM52" s="60">
        <f ca="1">tblBaseCF[[#This Row],[AccBen]]*monthly_acc_coi*12</f>
        <v>0</v>
      </c>
      <c r="BN52" s="60">
        <f ca="1">tblBaseCF[[#This Row],[pStandardCOI]]+tblBaseCF[[#This Row],[pEMLoadCOI]]+tblBaseCF[[#This Row],[pPMLoadCOI]]+tblBaseCF[[#This Row],[pAccCOI]]</f>
        <v>0</v>
      </c>
      <c r="BO52" s="62">
        <f ca="1">IFERROR(INDEX(tblAdminChrg[Amount],MATCH(tblBaseCF[[#This Row],[CalYear]],tblAdminChrg[Cal_Year],0)),0)
*tblBaseCF[[#This Row],[ContFlag]]</f>
        <v>0</v>
      </c>
      <c r="BP52" s="60">
        <f ca="1">tblBaseCF[[#This Row],[pMonthlyAdminChrg]]*12</f>
        <v>0</v>
      </c>
      <c r="BQ52" s="60">
        <f ca="1">tblBaseCF[[#This Row],[pCOI]]+tblBaseCF[[#This Row],[pAdminChrg]]</f>
        <v>0</v>
      </c>
      <c r="BR52" s="60">
        <f ca="1">tblBaseCF[[#This Row],[pNomDeduct]]*tblBaseCF[[#This Row],[Duean1m12]]</f>
        <v>0</v>
      </c>
      <c r="BS52" s="57">
        <f ca="1">(tblBaseCF[[#This Row],[PAVAfterWdrlAlloc]]&gt;=tblBaseCF[[#This Row],[pNomDeduct]])
*tblBaseCF[[#This Row],[ContFlag]]</f>
        <v>0</v>
      </c>
      <c r="BT52" s="60">
        <f ca="1">tblBaseCF[[#This Row],[pStandardCOI]]*tblBaseCF[[#This Row],[DeductFlag]]</f>
        <v>0</v>
      </c>
      <c r="BU52" s="60">
        <f ca="1">tblBaseCF[[#This Row],[pEMLoadCOI]]*tblBaseCF[[#This Row],[DeductFlag]]</f>
        <v>0</v>
      </c>
      <c r="BV52" s="60">
        <f ca="1">tblBaseCF[[#This Row],[pPMLoadCOI]]*tblBaseCF[[#This Row],[DeductFlag]]</f>
        <v>0</v>
      </c>
      <c r="BW52" s="60">
        <f ca="1">tblBaseCF[[#This Row],[pAccCOI]]*tblBaseCF[[#This Row],[DeductFlag]]</f>
        <v>0</v>
      </c>
      <c r="BX52" s="60">
        <f ca="1">tblBaseCF[[#This Row],[pCOI]]*tblBaseCF[[#This Row],[DeductFlag]]</f>
        <v>0</v>
      </c>
      <c r="BY52" s="60">
        <f ca="1">tblBaseCF[[#This Row],[pMonthlyAdminChrg]]*tblBaseCF[[#This Row],[DeductFlag]]</f>
        <v>0</v>
      </c>
      <c r="BZ52" s="60">
        <f ca="1">tblBaseCF[[#This Row],[pAdminChrg]]*tblBaseCF[[#This Row],[DeductFlag]]</f>
        <v>0</v>
      </c>
      <c r="CA52" s="60">
        <f ca="1">tblBaseCF[[#This Row],[pNomDeduct]]*tblBaseCF[[#This Row],[DeductFlag]]</f>
        <v>0</v>
      </c>
      <c r="CB52" s="60">
        <f ca="1">tblBaseCF[[#This Row],[pDeduct]]*tblBaseCF[[#This Row],[DeductFlag]]</f>
        <v>0</v>
      </c>
      <c r="CC52" s="60">
        <f ca="1">MIN(tblBaseCF[[#This Row],[TAVAfterWdrlAlloc]],tblBaseCF[[#This Row],[Deduct]])</f>
        <v>0</v>
      </c>
      <c r="CD52" s="60">
        <f ca="1">tblBaseCF[[#This Row],[Deduct]]-tblBaseCF[[#This Row],[TAVDeduct]]</f>
        <v>0</v>
      </c>
      <c r="CE52" s="69">
        <f ca="1">(tblBaseCF[[#This Row],[TAVAfterWdrlAlloc]]-tblBaseCF[[#This Row],[TAVDeduct]])*tblBaseCF[[#This Row],[AnnualIntRate]]
*tblBaseCF[[#This Row],[DeductFlag]]</f>
        <v>0</v>
      </c>
      <c r="CF52" s="69">
        <f ca="1">(tblBaseCF[[#This Row],[EAVAfterWdrlAlloc]]-tblBaseCF[[#This Row],[EAVDeduct]])*tblBaseCF[[#This Row],[AnnualIntRate]]
*tblBaseCF[[#This Row],[DeductFlag]]</f>
        <v>0</v>
      </c>
      <c r="CG52" s="69">
        <f ca="1">tblBaseCF[[#This Row],[TAVInt]]+tblBaseCF[[#This Row],[EAVInt]]</f>
        <v>0</v>
      </c>
      <c r="CH52" s="62">
        <f ca="1">IFERROR(INDEX(tblLBRate[Rate],MATCH(tblBaseCF[[#This Row],[Year]],tblLBRate[Year],0)),0)
*tblBaseCF[[#This Row],[DeductFlag]]</f>
        <v>0</v>
      </c>
      <c r="CI52" s="60">
        <f ca="1">IFERROR(SUM(OFFSET(tblBaseCF[[#This Row],[TAVWithdrawal]],0,0,-lb_review_period,1)),0)
*(tblBaseCF[[#This Row],[LBRate]]&gt;0)</f>
        <v>0</v>
      </c>
      <c r="CJ52" s="60">
        <f ca="1">(tblBaseCF[[#This Row],[LBRate]]&gt;0)*(tblBaseCF[[#This Row],[LBTAVWithdrawal]]=0)</f>
        <v>0</v>
      </c>
      <c r="CK52" s="62" cm="1">
        <f t="array" aca="1" ref="CK52" ca="1">IF(tblBaseCF[[#This Row],[LBFlag]],
_xlfn.SWITCH(base,
"ILP1",AVERAGE(OFFSET(tblBaseCF[TP],0,0,-lb_review_period,1)),tp),0)
*tblBaseCF[[#This Row],[LBFlag]]</f>
        <v>0</v>
      </c>
      <c r="CL52" s="62">
        <f ca="1">tblBaseCF[[#This Row],[LBBasis]]*tblBaseCF[[#This Row],[LBRate]]</f>
        <v>0</v>
      </c>
      <c r="CM52" s="57" cm="1">
        <f t="array" aca="1" ref="CM52" ca="1">_xlfn.SWITCH(base,
"ILP1",0,($AF152&lt;500000000)*1
+($AF152&gt;=500000000)*($AF152&lt;1000000000)*2
+($AF152&gt;=1000000000)*3)
*tblBaseCF[[#This Row],[DeductFlag]]</f>
        <v>0</v>
      </c>
      <c r="CN52" s="2" t="str">
        <f ca="1">IF(tblBaseCF[[#This Row],[DeductFlag]],base&amp;"_"&amp;tblBaseCF[[#This Row],[SBCode]]&amp;"_"&amp;tblBaseCF[[#This Row],[Year]],"")</f>
        <v/>
      </c>
      <c r="CO52" s="3">
        <f ca="1">IFERROR(INDEX(tblSBRate[Index],MATCH(tblBaseCF[[#This Row],[SBIndex]],tblSBRate[Rate],0)),0)</f>
        <v>0</v>
      </c>
      <c r="CP52" s="63">
        <f ca="1">IFERROR(SUM(OFFSET(tblBaseCF[[#This Row],[TAVWithdrawal]],0,0,-sb_review_period,1)),0)
*(tblBaseCF[[#This Row],[SBRate]]&gt;0)</f>
        <v>0</v>
      </c>
      <c r="CQ52" s="63">
        <f ca="1">(tblBaseCF[[#This Row],[SBRate]]&gt;0)*(tblBaseCF[[#This Row],[SBTAVWithdrawal]]=0)</f>
        <v>0</v>
      </c>
      <c r="CR52" s="59" cm="1">
        <f t="array" aca="1" ref="CR52" ca="1">IF(tblBaseCF[[#This Row],[LBFlag]],
_xlfn.SWITCH(base,
"ILP1",0,tp),0)*tblBaseCF[[#This Row],[SBFlag]]</f>
        <v>0</v>
      </c>
      <c r="CS52" s="63">
        <f ca="1">tblBaseCF[[#This Row],[SBBasis]]*tblBaseCF[[#This Row],[SBRate]]</f>
        <v>0</v>
      </c>
      <c r="CT52" s="63">
        <f ca="1">tblBaseCF[[#This Row],[LB]]+tblBaseCF[[#This Row],[SB]]</f>
        <v>0</v>
      </c>
      <c r="CU52" s="59">
        <f ca="1">tblBaseCF[[#This Row],[TAVAfterWdrlAlloc]]-tblBaseCF[[#This Row],[TAVDeduct]]+tblBaseCF[[#This Row],[TAVInt]]+tblBaseCF[[#This Row],[Bonus]]</f>
        <v>0</v>
      </c>
      <c r="CV52" s="59">
        <f ca="1">tblBaseCF[[#This Row],[EAVAfterWdrlAlloc]]-tblBaseCF[[#This Row],[EAVDeduct]]+tblBaseCF[[#This Row],[EAVInt]]</f>
        <v>0</v>
      </c>
      <c r="CW52" s="63">
        <f ca="1">tblBaseCF[[#This Row],[EndTAV]]+tblBaseCF[[#This Row],[EndEAV]]</f>
        <v>0</v>
      </c>
      <c r="CX52" s="59">
        <f ca="1">INDEX(tblPlanPrem[TP],2)
*tblBaseCF[[#This Row],[TPTermFlag]]</f>
        <v>0</v>
      </c>
      <c r="CY52" s="59">
        <f ca="1">INDEX(tblPlanPrem[EP],2)
*tblBaseCF[[#This Row],[TPTermFlag]]</f>
        <v>0</v>
      </c>
      <c r="CZ52" s="63">
        <f ca="1">ROUNDUP(tblBaseCF[[#This Row],[UnroundedEMLoad]]*INDEX(tblPlanPrem[Factor],2),-3)</f>
        <v>0</v>
      </c>
      <c r="DA52" s="63">
        <f ca="1">ROUNDUP(tblBaseCF[[#This Row],[UnroundedPMLoad]]*INDEX(tblPlanPrem[Factor],2),-3)</f>
        <v>0</v>
      </c>
      <c r="DB52" s="63">
        <f ca="1">tblBaseCF[[#This Row],[SemiAnnualEMLoad]]+tblBaseCF[[#This Row],[SemiAnnualPMLoad]]</f>
        <v>0</v>
      </c>
      <c r="DC52" s="63">
        <f ca="1">tblBaseCF[[#This Row],[SemiAnnualTP]]+tblBaseCF[[#This Row],[SemiAnnualEP]]+tblBaseCF[[#This Row],[SemiAnnualLoad]]</f>
        <v>0</v>
      </c>
      <c r="DD52" s="59">
        <f ca="1">INDEX(tblPlanPrem[TP],3)
*tblBaseCF[[#This Row],[TPTermFlag]]</f>
        <v>0</v>
      </c>
      <c r="DE52" s="59">
        <f ca="1">INDEX(tblPlanPrem[EP],3)
*tblBaseCF[[#This Row],[TPTermFlag]]</f>
        <v>0</v>
      </c>
      <c r="DF52" s="63">
        <f ca="1">ROUNDUP(tblBaseCF[[#This Row],[UnroundedEMLoad]]*INDEX(tblPlanPrem[Factor],3),-3)</f>
        <v>0</v>
      </c>
      <c r="DG52" s="63">
        <f ca="1">ROUNDUP(tblBaseCF[[#This Row],[UnroundedPMLoad]]*INDEX(tblPlanPrem[Factor],3),-3)</f>
        <v>0</v>
      </c>
      <c r="DH52" s="60">
        <f ca="1">tblBaseCF[[#This Row],[QuarterlyEMLoad]]+tblBaseCF[[#This Row],[QuarterlyPMLoad]]</f>
        <v>0</v>
      </c>
      <c r="DI52" s="60">
        <f ca="1">tblBaseCF[[#This Row],[QuarterlyTP]]+tblBaseCF[[#This Row],[QuarterlyEP]]+tblBaseCF[[#This Row],[QuarterlyLoad]]</f>
        <v>0</v>
      </c>
      <c r="DJ52" s="59">
        <f ca="1">INDEX(tblPlanPrem[TP],4)
*tblBaseCF[[#This Row],[TPTermFlag]]</f>
        <v>0</v>
      </c>
      <c r="DK52" s="59">
        <f ca="1">INDEX(tblPlanPrem[EP],4)
*tblBaseCF[[#This Row],[TPTermFlag]]</f>
        <v>0</v>
      </c>
      <c r="DL52" s="63">
        <f ca="1">ROUNDUP(tblBaseCF[[#This Row],[UnroundedEMLoad]]*INDEX(tblPlanPrem[Factor],4),-3)</f>
        <v>0</v>
      </c>
      <c r="DM52" s="63">
        <f ca="1">ROUNDUP(tblBaseCF[[#This Row],[UnroundedPMLoad]]*INDEX(tblPlanPrem[Factor],4),-3)</f>
        <v>0</v>
      </c>
      <c r="DN52" s="60">
        <f ca="1">tblBaseCF[[#This Row],[MonthlyEMLoad]]+tblBaseCF[[#This Row],[MonthlyPMLoad]]</f>
        <v>0</v>
      </c>
      <c r="DO52" s="63">
        <f ca="1">tblBaseCF[[#This Row],[MonthlyTP]]+tblBaseCF[[#This Row],[MonthlyEP]]+tblBaseCF[[#This Row],[MonthlyLoad]]</f>
        <v>0</v>
      </c>
      <c r="DP52" s="3"/>
      <c r="DS52">
        <f t="shared" si="3"/>
        <v>0</v>
      </c>
      <c r="DT52">
        <f t="shared" si="4"/>
        <v>0</v>
      </c>
      <c r="DU52">
        <f t="shared" si="5"/>
        <v>0</v>
      </c>
      <c r="DV52">
        <f ca="1">tblBaseCF[[#This Row],[Year]]</f>
        <v>32</v>
      </c>
      <c r="DW52">
        <f ca="1">tblBaseCF[[#This Row],[Age]]</f>
        <v>31</v>
      </c>
      <c r="DX52">
        <f ca="1">tblBaseCF[[#This Row],[ContFlag]]</f>
        <v>0</v>
      </c>
      <c r="DY52" t="str">
        <f ca="1">tblBaseCF[[#This Row],[ContLog]]</f>
        <v>Insufficient PAV for deduction - Discontinue.</v>
      </c>
      <c r="DZ52">
        <f ca="1">tblBaseCF[[#This Row],[StartTAV]]</f>
        <v>0</v>
      </c>
      <c r="EA52">
        <f ca="1">tblBaseCF[[#This Row],[StartEAV]]</f>
        <v>0</v>
      </c>
      <c r="EB52">
        <f ca="1">tblBaseCF[[#This Row],[StartPAV]]</f>
        <v>0</v>
      </c>
      <c r="EC52">
        <f ca="1">tblBaseCF[[#This Row],[SVChrg]]</f>
        <v>0</v>
      </c>
      <c r="ED52">
        <f ca="1">tblBaseCF[[#This Row],[SV]]</f>
        <v>0</v>
      </c>
      <c r="EE52">
        <f ca="1">tblBaseCF[[#This Row],[Ben]]</f>
        <v>0</v>
      </c>
      <c r="EF52">
        <f ca="1">tblBaseCF[[#This Row],[AccBen]]</f>
        <v>0</v>
      </c>
      <c r="EG52">
        <f ca="1">tblBaseCF[[#This Row],[WithdrawalInput]]</f>
        <v>0</v>
      </c>
      <c r="EH52" t="str">
        <f ca="1">tblBaseCF[[#This Row],[WithdrawalLog]]</f>
        <v>No withdrawal.</v>
      </c>
      <c r="EI52">
        <f ca="1">tblBaseCF[[#This Row],[TAVWithdrawal]]</f>
        <v>0</v>
      </c>
      <c r="EJ52">
        <f ca="1">tblBaseCF[[#This Row],[EAVWithdrawal]]</f>
        <v>0</v>
      </c>
      <c r="EK52">
        <f ca="1">tblBaseCF[[#This Row],[Withdrawal]]</f>
        <v>0</v>
      </c>
      <c r="EL52">
        <f ca="1">tblBaseCF[[#This Row],[TP]]</f>
        <v>0</v>
      </c>
      <c r="EM52">
        <f ca="1">tblBaseCF[[#This Row],[TPAllocChrg]]</f>
        <v>0</v>
      </c>
      <c r="EN52">
        <f ca="1">tblBaseCF[[#This Row],[TPAlloc]]</f>
        <v>0</v>
      </c>
      <c r="EO52">
        <f ca="1">tblBaseCF[[#This Row],[EP]]</f>
        <v>0</v>
      </c>
      <c r="EP52">
        <f ca="1">tblBaseCF[[#This Row],[EPAllocChrg]]</f>
        <v>0</v>
      </c>
      <c r="EQ52">
        <f ca="1">tblBaseCF[[#This Row],[EPAlloc]]</f>
        <v>0</v>
      </c>
      <c r="ER52">
        <f ca="1">tblBaseCF[[#This Row],[EMLoad]]</f>
        <v>0</v>
      </c>
      <c r="ES52">
        <f ca="1">tblBaseCF[[#This Row],[PMLoad]]</f>
        <v>0</v>
      </c>
      <c r="ET52">
        <f ca="1">tblBaseCF[[#This Row],[Load]]</f>
        <v>0</v>
      </c>
      <c r="EU52">
        <f ca="1">tblBaseCF[[#This Row],[LoadAllocChrg]]</f>
        <v>0</v>
      </c>
      <c r="EV52">
        <f ca="1">tblBaseCF[[#This Row],[LoadAlloc]]</f>
        <v>0</v>
      </c>
      <c r="EW52">
        <f ca="1">tblBaseCF[[#This Row],[TotalPrem]]</f>
        <v>0</v>
      </c>
      <c r="EX52">
        <f ca="1">tblBaseCF[[#This Row],[AllocChrg]]</f>
        <v>0</v>
      </c>
      <c r="EY52">
        <f ca="1">tblBaseCF[[#This Row],[Alloc]]</f>
        <v>0</v>
      </c>
      <c r="EZ52">
        <f ca="1">tblBaseCF[[#This Row],[AccumTotalPrem]]</f>
        <v>0</v>
      </c>
      <c r="FA52">
        <f>tblBaseCF[[#This Row],[AnnualIntRate]]</f>
        <v>0</v>
      </c>
      <c r="FB52" s="50">
        <f>tblBaseCF[[#This Row],[Duean1m12]]</f>
        <v>1</v>
      </c>
      <c r="FC52">
        <f ca="1">tblBaseCF[[#This Row],[DeductFlag]]</f>
        <v>0</v>
      </c>
      <c r="FD52">
        <f ca="1">tblBaseCF[[#This Row],[AdminChrg]]</f>
        <v>0</v>
      </c>
      <c r="FE52">
        <f ca="1">tblBaseCF[[#This Row],[StandardCOI]]</f>
        <v>0</v>
      </c>
      <c r="FF52">
        <f ca="1">tblBaseCF[[#This Row],[EMLoadCOI]]</f>
        <v>0</v>
      </c>
      <c r="FG52">
        <f ca="1">tblBaseCF[[#This Row],[PMLoadCOI]]</f>
        <v>0</v>
      </c>
      <c r="FH52">
        <f ca="1">tblBaseCF[[#This Row],[COI]]</f>
        <v>0</v>
      </c>
      <c r="FI52" s="47">
        <f ca="1">tblBaseCF[[#This Row],[NomDeduct]]</f>
        <v>0</v>
      </c>
      <c r="FJ52">
        <f ca="1">tblBaseCF[[#This Row],[Deduct]]</f>
        <v>0</v>
      </c>
      <c r="FK52">
        <f ca="1">tblBaseCF[[#This Row],[TAVDeduct]]</f>
        <v>0</v>
      </c>
      <c r="FL52">
        <f ca="1">tblBaseCF[[#This Row],[EAVDeduct]]</f>
        <v>0</v>
      </c>
      <c r="FM52" s="24">
        <f ca="1">tblBaseCF[[#This Row],[TAVInt]]</f>
        <v>0</v>
      </c>
      <c r="FN52">
        <f ca="1">tblBaseCF[[#This Row],[EAVInt]]</f>
        <v>0</v>
      </c>
      <c r="FO52" s="47">
        <f ca="1">tblBaseCF[[#This Row],[LB]]</f>
        <v>0</v>
      </c>
      <c r="FP52">
        <f ca="1">tblBaseCF[[#This Row],[SB]]</f>
        <v>0</v>
      </c>
      <c r="FQ52">
        <f ca="1">tblBaseCF[[#This Row],[Bonus]]</f>
        <v>0</v>
      </c>
      <c r="FR52">
        <f ca="1">tblBaseCF[[#This Row],[EndTAV]]</f>
        <v>0</v>
      </c>
      <c r="FS52">
        <f ca="1">tblBaseCF[[#This Row],[EndEAV]]</f>
        <v>0</v>
      </c>
      <c r="FT52">
        <f ca="1">tblBaseCF[[#This Row],[EndPAV]]</f>
        <v>0</v>
      </c>
      <c r="FU52">
        <f ca="1">tblBaseCF[[#This Row],[SemiAnnualTP]]</f>
        <v>0</v>
      </c>
      <c r="FV52">
        <f ca="1">tblBaseCF[[#This Row],[SemiAnnualEP]]</f>
        <v>0</v>
      </c>
      <c r="FW52">
        <f ca="1">tblBaseCF[[#This Row],[SemiAnnualEMLoad]]</f>
        <v>0</v>
      </c>
      <c r="FX52">
        <f ca="1">tblBaseCF[[#This Row],[SemiAnnualPMLoad]]</f>
        <v>0</v>
      </c>
      <c r="FY52">
        <f ca="1">tblBaseCF[[#This Row],[SemiAnnualLoad]]</f>
        <v>0</v>
      </c>
      <c r="FZ52">
        <f ca="1">tblBaseCF[[#This Row],[SemiAnnualTotalPrem]]</f>
        <v>0</v>
      </c>
      <c r="GA52">
        <f ca="1">tblBaseCF[[#This Row],[QuarterlyTP]]</f>
        <v>0</v>
      </c>
      <c r="GB52">
        <f ca="1">tblBaseCF[[#This Row],[QuarterlyEP]]</f>
        <v>0</v>
      </c>
      <c r="GC52">
        <f ca="1">tblBaseCF[[#This Row],[QuarterlyEMLoad]]</f>
        <v>0</v>
      </c>
      <c r="GD52">
        <f ca="1">tblBaseCF[[#This Row],[QuarterlyPMLoad]]</f>
        <v>0</v>
      </c>
      <c r="GE52">
        <f ca="1">tblBaseCF[[#This Row],[QuarterlyLoad]]</f>
        <v>0</v>
      </c>
      <c r="GF52">
        <f ca="1">tblBaseCF[[#This Row],[QuarterlyTotalPrem]]</f>
        <v>0</v>
      </c>
      <c r="GG52">
        <f ca="1">tblBaseCF[[#This Row],[MonthlyTP]]</f>
        <v>0</v>
      </c>
      <c r="GH52">
        <f ca="1">tblBaseCF[[#This Row],[MonthlyEP]]</f>
        <v>0</v>
      </c>
      <c r="GI52">
        <f ca="1">tblBaseCF[[#This Row],[MonthlyEMLoad]]</f>
        <v>0</v>
      </c>
      <c r="GJ52">
        <f ca="1">tblBaseCF[[#This Row],[MonthlyPMLoad]]</f>
        <v>0</v>
      </c>
      <c r="GK52">
        <f ca="1">tblBaseCF[[#This Row],[MonthlyLoad]]</f>
        <v>0</v>
      </c>
      <c r="GL52">
        <f ca="1">tblBaseCF[[#This Row],[MonthlyTotalPrem]]</f>
        <v>0</v>
      </c>
      <c r="GO52" t="s">
        <v>134</v>
      </c>
      <c r="GP52" t="s">
        <v>135</v>
      </c>
      <c r="GQ52" t="s">
        <v>502</v>
      </c>
      <c r="GR52">
        <v>32</v>
      </c>
      <c r="GS52">
        <v>31</v>
      </c>
      <c r="GT52">
        <v>1</v>
      </c>
      <c r="GU52" t="s">
        <v>457</v>
      </c>
      <c r="GV52">
        <v>42672537.248853102</v>
      </c>
      <c r="GW52">
        <v>338094188.01518703</v>
      </c>
      <c r="GX52">
        <v>380766725.26403999</v>
      </c>
      <c r="GY52">
        <v>0</v>
      </c>
      <c r="GZ52">
        <v>380766725.26403999</v>
      </c>
      <c r="HA52">
        <v>380766725.26403999</v>
      </c>
      <c r="HB52">
        <v>303000000</v>
      </c>
      <c r="HC52">
        <v>0</v>
      </c>
      <c r="HD52" t="s">
        <v>137</v>
      </c>
      <c r="HE52">
        <v>0</v>
      </c>
      <c r="HF52">
        <v>0</v>
      </c>
      <c r="HG52">
        <v>0</v>
      </c>
      <c r="HH52">
        <v>1072000</v>
      </c>
      <c r="HI52">
        <v>21440</v>
      </c>
      <c r="HJ52">
        <v>1050560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1072000</v>
      </c>
      <c r="HT52">
        <v>21440</v>
      </c>
      <c r="HU52">
        <v>1050560</v>
      </c>
      <c r="HV52">
        <v>159104000</v>
      </c>
      <c r="HW52">
        <v>7.0000000000000007E-2</v>
      </c>
      <c r="HX52">
        <v>0.96964931039809399</v>
      </c>
      <c r="HY52">
        <v>1</v>
      </c>
      <c r="HZ52">
        <v>300000</v>
      </c>
      <c r="IA52">
        <v>0</v>
      </c>
      <c r="IB52">
        <v>0</v>
      </c>
      <c r="IC52">
        <v>0</v>
      </c>
      <c r="ID52">
        <v>272700</v>
      </c>
      <c r="IE52">
        <v>572700</v>
      </c>
      <c r="IF52">
        <v>555318.16006498795</v>
      </c>
      <c r="IG52">
        <v>555318.16006498795</v>
      </c>
      <c r="IH52">
        <v>0</v>
      </c>
      <c r="II52">
        <v>3021744.5362151698</v>
      </c>
      <c r="IJ52">
        <v>23666593.161063101</v>
      </c>
      <c r="IK52">
        <v>0</v>
      </c>
      <c r="IL52">
        <v>0</v>
      </c>
      <c r="IM52">
        <v>0</v>
      </c>
      <c r="IN52">
        <v>46189523.625003301</v>
      </c>
      <c r="IO52">
        <v>361760781.17624998</v>
      </c>
      <c r="IP52">
        <v>407950304.80125397</v>
      </c>
      <c r="IQ52">
        <v>536000</v>
      </c>
      <c r="IR52">
        <v>2600000</v>
      </c>
      <c r="IS52">
        <v>0</v>
      </c>
      <c r="IT52">
        <v>0</v>
      </c>
      <c r="IU52">
        <v>0</v>
      </c>
      <c r="IV52">
        <v>3136000</v>
      </c>
      <c r="IW52">
        <v>268000</v>
      </c>
      <c r="IX52">
        <v>1300000</v>
      </c>
      <c r="IY52">
        <v>0</v>
      </c>
      <c r="IZ52">
        <v>0</v>
      </c>
      <c r="JA52">
        <v>0</v>
      </c>
      <c r="JB52">
        <v>1568000</v>
      </c>
      <c r="JC52">
        <v>90000</v>
      </c>
      <c r="JD52">
        <v>434000</v>
      </c>
      <c r="JE52">
        <v>0</v>
      </c>
      <c r="JF52">
        <v>0</v>
      </c>
      <c r="JG52">
        <v>0</v>
      </c>
      <c r="JH52">
        <v>524000</v>
      </c>
    </row>
    <row r="53" spans="2:268" customFormat="1" x14ac:dyDescent="0.25">
      <c r="B53" s="2">
        <f ca="1">OFFSET(tblBaseCF[[#This Row],[Year]],-1,0)+1</f>
        <v>33</v>
      </c>
      <c r="C53" s="2">
        <f ca="1">(tblBaseCF[[#This Row],[Year]]&lt;=term)*1</f>
        <v>1</v>
      </c>
      <c r="D53" s="57">
        <f ca="1">(YEAR(rcd)+tblBaseCF[[#This Row],[Year]]-1)
*tblBaseCF[[#This Row],[PolTermFlag]]</f>
        <v>2057</v>
      </c>
      <c r="E53" s="57">
        <f ca="1">(mainLI_entry_age+tblBaseCF[[#This Row],[Year]]-1)
*tblBaseCF[[#This Row],[PolTermFlag]]</f>
        <v>32</v>
      </c>
      <c r="F53" s="57">
        <f ca="1">IF(tblBaseCF[[#This Row],[Year]]=1,1,OFFSET(tblBaseCF[[#This Row],[DeductFlag]],-1,0))
*tblBaseCF[[#This Row],[PolTermFlag]]</f>
        <v>0</v>
      </c>
      <c r="G5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3" s="57">
        <f ca="1">(tblBaseCF[[#This Row],[Year]]&lt;=acc_ben_term)
*tblBaseCF[[#This Row],[ContFlag]]</f>
        <v>0</v>
      </c>
      <c r="I53" s="57">
        <f ca="1">(tblBaseCF[[#This Row],[Year]]&lt;=tp_term)
*tblBaseCF[[#This Row],[ContFlag]]</f>
        <v>0</v>
      </c>
      <c r="J53" s="57">
        <f ca="1">(tblBaseCF[[#This Row],[Year]]&lt;=ep_term)
*tblBaseCF[[#This Row],[ContFlag]]</f>
        <v>0</v>
      </c>
      <c r="K53" s="57">
        <f ca="1">(tblBaseCF[[#This Row],[Year]]&lt;=em_load_term)*1</f>
        <v>0</v>
      </c>
      <c r="L53" s="57">
        <f ca="1">(tblBaseCF[[#This Row],[Year]]&lt;=pm_load_term)*1</f>
        <v>0</v>
      </c>
      <c r="M53" s="59">
        <f ca="1">IF(tblBaseCF[[#This Row],[Year]]=1,si,OFFSET(tblBaseCF[[#This Row],[EndSI]],-1,0))
*tblBaseCF[[#This Row],[ContFlag]]</f>
        <v>0</v>
      </c>
      <c r="N53" s="59">
        <f ca="1">OFFSET(tblBaseCF[[#This Row],[EndTAV]],-1,0)
*tblBaseCF[[#This Row],[ContFlag]]</f>
        <v>0</v>
      </c>
      <c r="O53" s="59">
        <f ca="1">OFFSET(tblBaseCF[[#This Row],[EndEAV]],-1,0)
*tblBaseCF[[#This Row],[ContFlag]]</f>
        <v>0</v>
      </c>
      <c r="P53" s="60">
        <f ca="1">tblBaseCF[[#This Row],[StartEAV]]+tblBaseCF[[#This Row],[StartTAV]]</f>
        <v>0</v>
      </c>
      <c r="Q53" s="61">
        <f ca="1">IFERROR(INDEX(tblJuvenileLienRate[Rate],MATCH(tblBaseCF[[#This Row],[Age]],tblJuvenileLienRate[Age],0)),1)
*tblBaseCF[[#This Row],[ContFlag]]</f>
        <v>0</v>
      </c>
      <c r="R5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3" s="62">
        <f ca="1">tblBaseCF[[#This Row],[StartSI]]*acc_ben_coeff*tblBaseCF[[#This Row],[JuvenileLienRate]]
*tblBaseCF[[#This Row],[AccBenTermFlag]]</f>
        <v>0</v>
      </c>
      <c r="T53" s="61">
        <f ca="1">(IFERROR(INDEX(tblSurrChrgRate[Rate],MATCH(tblBaseCF[[#This Row],[Year]],tblSurrChrgRate[Year],0)),0)
*tblBaseCF[[#This Row],[ContFlag]])</f>
        <v>0</v>
      </c>
      <c r="U53" s="60">
        <f ca="1">tp*tblBaseCF[[#This Row],[SrrChrgRate]]</f>
        <v>0</v>
      </c>
      <c r="V53" s="63">
        <f ca="1">MAX(tblBaseCF[[#This Row],[StartTAV]]-tblBaseCF[[#This Row],[SVChrg]],0)+tblBaseCF[[#This Row],[StartEAV]]</f>
        <v>0</v>
      </c>
      <c r="W53" s="59">
        <f ca="1">IFERROR(INDEX(tblWithdrawal_Output[Amount],MATCH(tblBaseCF[[#This Row],[Year]],tblWithdrawal_Output[Year],0)),0)
*tblBaseCF[[#This Row],[ContFlag]]</f>
        <v>0</v>
      </c>
      <c r="X53" s="59" t="b">
        <f ca="1">tblBaseCF[[#This Row],[WithdrawalInput]]&gt;0</f>
        <v>0</v>
      </c>
      <c r="Y53" s="59" t="b">
        <f ca="1">AND(tblBaseCF[[#This Row],[1stCheckProceed]],tblBaseCF[[#This Row],[WithdrawalInput]]&lt;=tblBaseCF[[#This Row],[StartPAV]])</f>
        <v>0</v>
      </c>
      <c r="Z53" s="59" t="b">
        <f ca="1">AND(tblBaseCF[[#This Row],[2ndCheckAmount]],(tblBaseCF[[#This Row],[StartPAV]]-tblBaseCF[[#This Row],[WithdrawalInput]])&gt;=min_pav_after_withdrawal)</f>
        <v>0</v>
      </c>
      <c r="AA5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3" s="59" t="b">
        <f ca="1">AND(tblBaseCF[[#This Row],[3rdCheckPAV]],tblBaseCF[[#This Row],[endSITest]]&gt;=min_base_si)</f>
        <v>0</v>
      </c>
      <c r="AC53" s="60">
        <f ca="1">tblBaseCF[[#This Row],[WithdrawalInput]]*tblBaseCF[[#This Row],[4thCheckSI]]</f>
        <v>0</v>
      </c>
      <c r="AD53" s="60">
        <f ca="1">MIN(tblBaseCF[[#This Row],[Withdrawal]],tblBaseCF[[#This Row],[StartEAV]])</f>
        <v>0</v>
      </c>
      <c r="AE53" s="60">
        <f ca="1">tblBaseCF[[#This Row],[Withdrawal]]-tblBaseCF[[#This Row],[EAVWithdrawal]]</f>
        <v>0</v>
      </c>
      <c r="AF53" s="60">
        <f ca="1">IF(tblBaseCF[[#This Row],[4thCheckSI]],tblBaseCF[[#This Row],[endSITest]],tblBaseCF[[#This Row],[StartSI]])</f>
        <v>0</v>
      </c>
      <c r="AG5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3" s="65">
        <f ca="1">IFERROR(INDEX(tblTPAllocChrgRate[Rate],MATCH(tblBaseCF[[#This Row],[Year]],tblTPAllocChrgRate[Year],0)),0)</f>
        <v>0.02</v>
      </c>
      <c r="AI53" s="62">
        <f ca="1">(tp+big_case_bonus_tp*(tblBaseCF[[#This Row],[Year]]=1))
*tblBaseCF[[#This Row],[TPTermFlag]]</f>
        <v>0</v>
      </c>
      <c r="AJ53" s="63">
        <f ca="1">tblBaseCF[[#This Row],[TP]]*tblBaseCF[[#This Row],[TPAllocChrgRate]]</f>
        <v>0</v>
      </c>
      <c r="AK53" s="60">
        <f ca="1">tblBaseCF[[#This Row],[TP]]-tblBaseCF[[#This Row],[TPAllocChrg]]</f>
        <v>0</v>
      </c>
      <c r="AL53" s="65">
        <f ca="1">IFERROR(INDEX(tblEPAllocChrgRate[Rate],MATCH(tblBaseCF[[#This Row],[Year]],tblEPAllocChrgRate[Year],0)),0)</f>
        <v>0.02</v>
      </c>
      <c r="AM53" s="60">
        <f ca="1">ep*tblBaseCF[[#This Row],[EPTermFlag]]</f>
        <v>0</v>
      </c>
      <c r="AN53" s="60">
        <f ca="1">tblBaseCF[[#This Row],[EP]]*tblBaseCF[[#This Row],[EPAllocChrgRate]]</f>
        <v>0</v>
      </c>
      <c r="AO53" s="63">
        <f ca="1">tblBaseCF[[#This Row],[EP]]-tblBaseCF[[#This Row],[EPAllocChrg]]</f>
        <v>0</v>
      </c>
      <c r="AP53" s="62">
        <f ca="1">tblBaseCF[[#This Row],[Ben]]*extra_prem_rate*em_load/1000/(1-tblBaseCF[[#This Row],[EPAllocChrgRate]])
*tblBaseCF[[#This Row],[EMLoadTermFlag]]</f>
        <v>0</v>
      </c>
      <c r="AQ53" s="62">
        <f ca="1">tblBaseCF[[#This Row],[Ben]]*pm_load/1000/(1-tblBaseCF[[#This Row],[EPAllocChrgRate]])
*tblBaseCF[[#This Row],[PMLoadTermFlag]]</f>
        <v>0</v>
      </c>
      <c r="AR53" s="60">
        <f ca="1">ROUNDUP(tblBaseCF[[#This Row],[UnroundedEMLoad]],-3)</f>
        <v>0</v>
      </c>
      <c r="AS53" s="62">
        <f ca="1">ROUNDUP(tblBaseCF[[#This Row],[Ben]]*pm_load/1000/(1-tblBaseCF[[#This Row],[EPAllocChrgRate]]),-3)
*tblBaseCF[[#This Row],[PMLoadTermFlag]]</f>
        <v>0</v>
      </c>
      <c r="AT53" s="60">
        <f ca="1">tblBaseCF[[#This Row],[EMLoad]]+tblBaseCF[[#This Row],[PMLoad]]</f>
        <v>0</v>
      </c>
      <c r="AU53" s="60">
        <f ca="1">tblBaseCF[[#This Row],[Load]]*tblBaseCF[[#This Row],[EPAllocChrgRate]]</f>
        <v>0</v>
      </c>
      <c r="AV53" s="60">
        <f ca="1">tblBaseCF[[#This Row],[Load]]-tblBaseCF[[#This Row],[LoadAllocChrg]]</f>
        <v>0</v>
      </c>
      <c r="AW53" s="60">
        <f ca="1">tblBaseCF[[#This Row],[TP]]+tblBaseCF[[#This Row],[EP]]+tblBaseCF[[#This Row],[Load]]</f>
        <v>0</v>
      </c>
      <c r="AX53" s="60">
        <f ca="1">tblBaseCF[[#This Row],[TPAllocChrg]]+tblBaseCF[[#This Row],[EPAllocChrg]]+tblBaseCF[[#This Row],[LoadAllocChrg]]</f>
        <v>0</v>
      </c>
      <c r="AY53" s="60">
        <f ca="1">tblBaseCF[[#This Row],[TPAlloc]]+tblBaseCF[[#This Row],[EPAlloc]]+tblBaseCF[[#This Row],[LoadAlloc]]</f>
        <v>0</v>
      </c>
      <c r="AZ53" s="60">
        <f ca="1">(OFFSET(tblBaseCF[[#This Row],[AccumTotalPrem]],-1,0)+tblBaseCF[[#This Row],[TotalPrem]])*tblBaseCF[[#This Row],[TPTermFlag]]</f>
        <v>0</v>
      </c>
      <c r="BA53" s="62">
        <f ca="1">(tblBaseCF[[#This Row],[StartTAV]]-tblBaseCF[[#This Row],[TAVWithdrawal]]+tblBaseCF[[#This Row],[TPAlloc]])
*tblBaseCF[[#This Row],[ContFlag]]</f>
        <v>0</v>
      </c>
      <c r="BB53" s="59">
        <f ca="1">(tblBaseCF[[#This Row],[StartEAV]]-tblBaseCF[[#This Row],[EAVWithdrawal]]+tblBaseCF[[#This Row],[EPAlloc]]+tblBaseCF[[#This Row],[LoadAlloc]])
*tblBaseCF[[#This Row],[ContFlag]]</f>
        <v>0</v>
      </c>
      <c r="BC53" s="59">
        <f ca="1">tblBaseCF[[#This Row],[TAVAfterWdrlAlloc]]+tblBaseCF[[#This Row],[EAVAfterWdrlAlloc]]</f>
        <v>0</v>
      </c>
      <c r="BD53" s="66">
        <f t="shared" ref="BD53:BD84" si="6">int_rate</f>
        <v>0</v>
      </c>
      <c r="BE53" s="67">
        <f>(1+tblBaseCF[[#This Row],[AnnualIntRate]])^(1/12)-1</f>
        <v>0</v>
      </c>
      <c r="BF53" s="68">
        <f>IFERROR(((1+tblBaseCF[[#This Row],[MonthlyIntRate]])^12-1)/12/(1-1/(1+tblBaseCF[[#This Row],[MonthlyIntRate]])),1)/(1+tblBaseCF[[#This Row],[AnnualIntRate]])</f>
        <v>1</v>
      </c>
      <c r="BG53" s="69">
        <f>PV(tblBaseCF[[#This Row],[MonthlyIntRate]],12,-1/12,,1)</f>
        <v>1</v>
      </c>
      <c r="BH53" s="60">
        <f ca="1">MAX(IF(death_tpd_option="A",tblBaseCF[[#This Row],[Ben]]-tblBaseCF[[#This Row],[StartPAV]],tblBaseCF[[#This Row],[Ben]]),0)</f>
        <v>0</v>
      </c>
      <c r="BI53" s="70">
        <f ca="1">IFERROR(INDEX(tblBaseCOIRate[Rate],MATCH(tblBaseCF[[#This Row],[Age]],tblBaseCOIRate[Age],0)),0)</f>
        <v>1.46999999999997E-3</v>
      </c>
      <c r="BJ53" s="60">
        <f ca="1">tblBaseCF[[#This Row],[SAR]]*tblBaseCF[[#This Row],[COIRate]]</f>
        <v>0</v>
      </c>
      <c r="BK53" s="62">
        <f ca="1">em_load*tblBaseCF[[#This Row],[pStandardCOI]]
*tblBaseCF[[#This Row],[EMLoadTermFlag]]</f>
        <v>0</v>
      </c>
      <c r="BL53" s="62">
        <f ca="1">pm_load/1000*tblBaseCF[[#This Row],[SAR]]
*tblBaseCF[[#This Row],[PMLoadTermFlag]]</f>
        <v>0</v>
      </c>
      <c r="BM53" s="60">
        <f ca="1">tblBaseCF[[#This Row],[AccBen]]*monthly_acc_coi*12</f>
        <v>0</v>
      </c>
      <c r="BN53" s="60">
        <f ca="1">tblBaseCF[[#This Row],[pStandardCOI]]+tblBaseCF[[#This Row],[pEMLoadCOI]]+tblBaseCF[[#This Row],[pPMLoadCOI]]+tblBaseCF[[#This Row],[pAccCOI]]</f>
        <v>0</v>
      </c>
      <c r="BO53" s="62">
        <f ca="1">IFERROR(INDEX(tblAdminChrg[Amount],MATCH(tblBaseCF[[#This Row],[CalYear]],tblAdminChrg[Cal_Year],0)),0)
*tblBaseCF[[#This Row],[ContFlag]]</f>
        <v>0</v>
      </c>
      <c r="BP53" s="60">
        <f ca="1">tblBaseCF[[#This Row],[pMonthlyAdminChrg]]*12</f>
        <v>0</v>
      </c>
      <c r="BQ53" s="60">
        <f ca="1">tblBaseCF[[#This Row],[pCOI]]+tblBaseCF[[#This Row],[pAdminChrg]]</f>
        <v>0</v>
      </c>
      <c r="BR53" s="60">
        <f ca="1">tblBaseCF[[#This Row],[pNomDeduct]]*tblBaseCF[[#This Row],[Duean1m12]]</f>
        <v>0</v>
      </c>
      <c r="BS53" s="57">
        <f ca="1">(tblBaseCF[[#This Row],[PAVAfterWdrlAlloc]]&gt;=tblBaseCF[[#This Row],[pNomDeduct]])
*tblBaseCF[[#This Row],[ContFlag]]</f>
        <v>0</v>
      </c>
      <c r="BT53" s="60">
        <f ca="1">tblBaseCF[[#This Row],[pStandardCOI]]*tblBaseCF[[#This Row],[DeductFlag]]</f>
        <v>0</v>
      </c>
      <c r="BU53" s="60">
        <f ca="1">tblBaseCF[[#This Row],[pEMLoadCOI]]*tblBaseCF[[#This Row],[DeductFlag]]</f>
        <v>0</v>
      </c>
      <c r="BV53" s="60">
        <f ca="1">tblBaseCF[[#This Row],[pPMLoadCOI]]*tblBaseCF[[#This Row],[DeductFlag]]</f>
        <v>0</v>
      </c>
      <c r="BW53" s="60">
        <f ca="1">tblBaseCF[[#This Row],[pAccCOI]]*tblBaseCF[[#This Row],[DeductFlag]]</f>
        <v>0</v>
      </c>
      <c r="BX53" s="60">
        <f ca="1">tblBaseCF[[#This Row],[pCOI]]*tblBaseCF[[#This Row],[DeductFlag]]</f>
        <v>0</v>
      </c>
      <c r="BY53" s="60">
        <f ca="1">tblBaseCF[[#This Row],[pMonthlyAdminChrg]]*tblBaseCF[[#This Row],[DeductFlag]]</f>
        <v>0</v>
      </c>
      <c r="BZ53" s="60">
        <f ca="1">tblBaseCF[[#This Row],[pAdminChrg]]*tblBaseCF[[#This Row],[DeductFlag]]</f>
        <v>0</v>
      </c>
      <c r="CA53" s="60">
        <f ca="1">tblBaseCF[[#This Row],[pNomDeduct]]*tblBaseCF[[#This Row],[DeductFlag]]</f>
        <v>0</v>
      </c>
      <c r="CB53" s="60">
        <f ca="1">tblBaseCF[[#This Row],[pDeduct]]*tblBaseCF[[#This Row],[DeductFlag]]</f>
        <v>0</v>
      </c>
      <c r="CC53" s="60">
        <f ca="1">MIN(tblBaseCF[[#This Row],[TAVAfterWdrlAlloc]],tblBaseCF[[#This Row],[Deduct]])</f>
        <v>0</v>
      </c>
      <c r="CD53" s="60">
        <f ca="1">tblBaseCF[[#This Row],[Deduct]]-tblBaseCF[[#This Row],[TAVDeduct]]</f>
        <v>0</v>
      </c>
      <c r="CE53" s="69">
        <f ca="1">(tblBaseCF[[#This Row],[TAVAfterWdrlAlloc]]-tblBaseCF[[#This Row],[TAVDeduct]])*tblBaseCF[[#This Row],[AnnualIntRate]]
*tblBaseCF[[#This Row],[DeductFlag]]</f>
        <v>0</v>
      </c>
      <c r="CF53" s="69">
        <f ca="1">(tblBaseCF[[#This Row],[EAVAfterWdrlAlloc]]-tblBaseCF[[#This Row],[EAVDeduct]])*tblBaseCF[[#This Row],[AnnualIntRate]]
*tblBaseCF[[#This Row],[DeductFlag]]</f>
        <v>0</v>
      </c>
      <c r="CG53" s="69">
        <f ca="1">tblBaseCF[[#This Row],[TAVInt]]+tblBaseCF[[#This Row],[EAVInt]]</f>
        <v>0</v>
      </c>
      <c r="CH53" s="62">
        <f ca="1">IFERROR(INDEX(tblLBRate[Rate],MATCH(tblBaseCF[[#This Row],[Year]],tblLBRate[Year],0)),0)
*tblBaseCF[[#This Row],[DeductFlag]]</f>
        <v>0</v>
      </c>
      <c r="CI53" s="60">
        <f ca="1">IFERROR(SUM(OFFSET(tblBaseCF[[#This Row],[TAVWithdrawal]],0,0,-lb_review_period,1)),0)
*(tblBaseCF[[#This Row],[LBRate]]&gt;0)</f>
        <v>0</v>
      </c>
      <c r="CJ53" s="60">
        <f ca="1">(tblBaseCF[[#This Row],[LBRate]]&gt;0)*(tblBaseCF[[#This Row],[LBTAVWithdrawal]]=0)</f>
        <v>0</v>
      </c>
      <c r="CK53" s="62" cm="1">
        <f t="array" aca="1" ref="CK53" ca="1">IF(tblBaseCF[[#This Row],[LBFlag]],
_xlfn.SWITCH(base,
"ILP1",AVERAGE(OFFSET(tblBaseCF[TP],0,0,-lb_review_period,1)),tp),0)
*tblBaseCF[[#This Row],[LBFlag]]</f>
        <v>0</v>
      </c>
      <c r="CL53" s="62">
        <f ca="1">tblBaseCF[[#This Row],[LBBasis]]*tblBaseCF[[#This Row],[LBRate]]</f>
        <v>0</v>
      </c>
      <c r="CM53" s="57" cm="1">
        <f t="array" aca="1" ref="CM53" ca="1">_xlfn.SWITCH(base,
"ILP1",0,($AF153&lt;500000000)*1
+($AF153&gt;=500000000)*($AF153&lt;1000000000)*2
+($AF153&gt;=1000000000)*3)
*tblBaseCF[[#This Row],[DeductFlag]]</f>
        <v>0</v>
      </c>
      <c r="CN53" s="2" t="str">
        <f ca="1">IF(tblBaseCF[[#This Row],[DeductFlag]],base&amp;"_"&amp;tblBaseCF[[#This Row],[SBCode]]&amp;"_"&amp;tblBaseCF[[#This Row],[Year]],"")</f>
        <v/>
      </c>
      <c r="CO53" s="3">
        <f ca="1">IFERROR(INDEX(tblSBRate[Index],MATCH(tblBaseCF[[#This Row],[SBIndex]],tblSBRate[Rate],0)),0)</f>
        <v>0</v>
      </c>
      <c r="CP53" s="63">
        <f ca="1">IFERROR(SUM(OFFSET(tblBaseCF[[#This Row],[TAVWithdrawal]],0,0,-sb_review_period,1)),0)
*(tblBaseCF[[#This Row],[SBRate]]&gt;0)</f>
        <v>0</v>
      </c>
      <c r="CQ53" s="63">
        <f ca="1">(tblBaseCF[[#This Row],[SBRate]]&gt;0)*(tblBaseCF[[#This Row],[SBTAVWithdrawal]]=0)</f>
        <v>0</v>
      </c>
      <c r="CR53" s="59" cm="1">
        <f t="array" aca="1" ref="CR53" ca="1">IF(tblBaseCF[[#This Row],[LBFlag]],
_xlfn.SWITCH(base,
"ILP1",0,tp),0)*tblBaseCF[[#This Row],[SBFlag]]</f>
        <v>0</v>
      </c>
      <c r="CS53" s="63">
        <f ca="1">tblBaseCF[[#This Row],[SBBasis]]*tblBaseCF[[#This Row],[SBRate]]</f>
        <v>0</v>
      </c>
      <c r="CT53" s="63">
        <f ca="1">tblBaseCF[[#This Row],[LB]]+tblBaseCF[[#This Row],[SB]]</f>
        <v>0</v>
      </c>
      <c r="CU53" s="59">
        <f ca="1">tblBaseCF[[#This Row],[TAVAfterWdrlAlloc]]-tblBaseCF[[#This Row],[TAVDeduct]]+tblBaseCF[[#This Row],[TAVInt]]+tblBaseCF[[#This Row],[Bonus]]</f>
        <v>0</v>
      </c>
      <c r="CV53" s="59">
        <f ca="1">tblBaseCF[[#This Row],[EAVAfterWdrlAlloc]]-tblBaseCF[[#This Row],[EAVDeduct]]+tblBaseCF[[#This Row],[EAVInt]]</f>
        <v>0</v>
      </c>
      <c r="CW53" s="63">
        <f ca="1">tblBaseCF[[#This Row],[EndTAV]]+tblBaseCF[[#This Row],[EndEAV]]</f>
        <v>0</v>
      </c>
      <c r="CX53" s="59">
        <f ca="1">INDEX(tblPlanPrem[TP],2)
*tblBaseCF[[#This Row],[TPTermFlag]]</f>
        <v>0</v>
      </c>
      <c r="CY53" s="59">
        <f ca="1">INDEX(tblPlanPrem[EP],2)
*tblBaseCF[[#This Row],[TPTermFlag]]</f>
        <v>0</v>
      </c>
      <c r="CZ53" s="63">
        <f ca="1">ROUNDUP(tblBaseCF[[#This Row],[UnroundedEMLoad]]*INDEX(tblPlanPrem[Factor],2),-3)</f>
        <v>0</v>
      </c>
      <c r="DA53" s="63">
        <f ca="1">ROUNDUP(tblBaseCF[[#This Row],[UnroundedPMLoad]]*INDEX(tblPlanPrem[Factor],2),-3)</f>
        <v>0</v>
      </c>
      <c r="DB53" s="63">
        <f ca="1">tblBaseCF[[#This Row],[SemiAnnualEMLoad]]+tblBaseCF[[#This Row],[SemiAnnualPMLoad]]</f>
        <v>0</v>
      </c>
      <c r="DC53" s="63">
        <f ca="1">tblBaseCF[[#This Row],[SemiAnnualTP]]+tblBaseCF[[#This Row],[SemiAnnualEP]]+tblBaseCF[[#This Row],[SemiAnnualLoad]]</f>
        <v>0</v>
      </c>
      <c r="DD53" s="59">
        <f ca="1">INDEX(tblPlanPrem[TP],3)
*tblBaseCF[[#This Row],[TPTermFlag]]</f>
        <v>0</v>
      </c>
      <c r="DE53" s="59">
        <f ca="1">INDEX(tblPlanPrem[EP],3)
*tblBaseCF[[#This Row],[TPTermFlag]]</f>
        <v>0</v>
      </c>
      <c r="DF53" s="63">
        <f ca="1">ROUNDUP(tblBaseCF[[#This Row],[UnroundedEMLoad]]*INDEX(tblPlanPrem[Factor],3),-3)</f>
        <v>0</v>
      </c>
      <c r="DG53" s="63">
        <f ca="1">ROUNDUP(tblBaseCF[[#This Row],[UnroundedPMLoad]]*INDEX(tblPlanPrem[Factor],3),-3)</f>
        <v>0</v>
      </c>
      <c r="DH53" s="60">
        <f ca="1">tblBaseCF[[#This Row],[QuarterlyEMLoad]]+tblBaseCF[[#This Row],[QuarterlyPMLoad]]</f>
        <v>0</v>
      </c>
      <c r="DI53" s="60">
        <f ca="1">tblBaseCF[[#This Row],[QuarterlyTP]]+tblBaseCF[[#This Row],[QuarterlyEP]]+tblBaseCF[[#This Row],[QuarterlyLoad]]</f>
        <v>0</v>
      </c>
      <c r="DJ53" s="59">
        <f ca="1">INDEX(tblPlanPrem[TP],4)
*tblBaseCF[[#This Row],[TPTermFlag]]</f>
        <v>0</v>
      </c>
      <c r="DK53" s="59">
        <f ca="1">INDEX(tblPlanPrem[EP],4)
*tblBaseCF[[#This Row],[TPTermFlag]]</f>
        <v>0</v>
      </c>
      <c r="DL53" s="63">
        <f ca="1">ROUNDUP(tblBaseCF[[#This Row],[UnroundedEMLoad]]*INDEX(tblPlanPrem[Factor],4),-3)</f>
        <v>0</v>
      </c>
      <c r="DM53" s="63">
        <f ca="1">ROUNDUP(tblBaseCF[[#This Row],[UnroundedPMLoad]]*INDEX(tblPlanPrem[Factor],4),-3)</f>
        <v>0</v>
      </c>
      <c r="DN53" s="60">
        <f ca="1">tblBaseCF[[#This Row],[MonthlyEMLoad]]+tblBaseCF[[#This Row],[MonthlyPMLoad]]</f>
        <v>0</v>
      </c>
      <c r="DO53" s="63">
        <f ca="1">tblBaseCF[[#This Row],[MonthlyTP]]+tblBaseCF[[#This Row],[MonthlyEP]]+tblBaseCF[[#This Row],[MonthlyLoad]]</f>
        <v>0</v>
      </c>
      <c r="DP53" s="3"/>
      <c r="DS53">
        <f t="shared" ref="DS53:DS84" si="7">int_rate_scenario</f>
        <v>0</v>
      </c>
      <c r="DT53">
        <f t="shared" ref="DT53:DT84" si="8">risk_scenario</f>
        <v>0</v>
      </c>
      <c r="DU53">
        <f t="shared" ref="DU53:DU84" si="9">prem_term_scenario</f>
        <v>0</v>
      </c>
      <c r="DV53">
        <f ca="1">tblBaseCF[[#This Row],[Year]]</f>
        <v>33</v>
      </c>
      <c r="DW53">
        <f ca="1">tblBaseCF[[#This Row],[Age]]</f>
        <v>32</v>
      </c>
      <c r="DX53">
        <f ca="1">tblBaseCF[[#This Row],[ContFlag]]</f>
        <v>0</v>
      </c>
      <c r="DY53" t="str">
        <f ca="1">tblBaseCF[[#This Row],[ContLog]]</f>
        <v>Insufficient PAV for deduction - Discontinue.</v>
      </c>
      <c r="DZ53">
        <f ca="1">tblBaseCF[[#This Row],[StartTAV]]</f>
        <v>0</v>
      </c>
      <c r="EA53">
        <f ca="1">tblBaseCF[[#This Row],[StartEAV]]</f>
        <v>0</v>
      </c>
      <c r="EB53">
        <f ca="1">tblBaseCF[[#This Row],[StartPAV]]</f>
        <v>0</v>
      </c>
      <c r="EC53">
        <f ca="1">tblBaseCF[[#This Row],[SVChrg]]</f>
        <v>0</v>
      </c>
      <c r="ED53">
        <f ca="1">tblBaseCF[[#This Row],[SV]]</f>
        <v>0</v>
      </c>
      <c r="EE53">
        <f ca="1">tblBaseCF[[#This Row],[Ben]]</f>
        <v>0</v>
      </c>
      <c r="EF53">
        <f ca="1">tblBaseCF[[#This Row],[AccBen]]</f>
        <v>0</v>
      </c>
      <c r="EG53">
        <f ca="1">tblBaseCF[[#This Row],[WithdrawalInput]]</f>
        <v>0</v>
      </c>
      <c r="EH53" t="str">
        <f ca="1">tblBaseCF[[#This Row],[WithdrawalLog]]</f>
        <v>No withdrawal.</v>
      </c>
      <c r="EI53">
        <f ca="1">tblBaseCF[[#This Row],[TAVWithdrawal]]</f>
        <v>0</v>
      </c>
      <c r="EJ53">
        <f ca="1">tblBaseCF[[#This Row],[EAVWithdrawal]]</f>
        <v>0</v>
      </c>
      <c r="EK53">
        <f ca="1">tblBaseCF[[#This Row],[Withdrawal]]</f>
        <v>0</v>
      </c>
      <c r="EL53">
        <f ca="1">tblBaseCF[[#This Row],[TP]]</f>
        <v>0</v>
      </c>
      <c r="EM53">
        <f ca="1">tblBaseCF[[#This Row],[TPAllocChrg]]</f>
        <v>0</v>
      </c>
      <c r="EN53">
        <f ca="1">tblBaseCF[[#This Row],[TPAlloc]]</f>
        <v>0</v>
      </c>
      <c r="EO53">
        <f ca="1">tblBaseCF[[#This Row],[EP]]</f>
        <v>0</v>
      </c>
      <c r="EP53">
        <f ca="1">tblBaseCF[[#This Row],[EPAllocChrg]]</f>
        <v>0</v>
      </c>
      <c r="EQ53">
        <f ca="1">tblBaseCF[[#This Row],[EPAlloc]]</f>
        <v>0</v>
      </c>
      <c r="ER53">
        <f ca="1">tblBaseCF[[#This Row],[EMLoad]]</f>
        <v>0</v>
      </c>
      <c r="ES53">
        <f ca="1">tblBaseCF[[#This Row],[PMLoad]]</f>
        <v>0</v>
      </c>
      <c r="ET53">
        <f ca="1">tblBaseCF[[#This Row],[Load]]</f>
        <v>0</v>
      </c>
      <c r="EU53">
        <f ca="1">tblBaseCF[[#This Row],[LoadAllocChrg]]</f>
        <v>0</v>
      </c>
      <c r="EV53">
        <f ca="1">tblBaseCF[[#This Row],[LoadAlloc]]</f>
        <v>0</v>
      </c>
      <c r="EW53">
        <f ca="1">tblBaseCF[[#This Row],[TotalPrem]]</f>
        <v>0</v>
      </c>
      <c r="EX53">
        <f ca="1">tblBaseCF[[#This Row],[AllocChrg]]</f>
        <v>0</v>
      </c>
      <c r="EY53">
        <f ca="1">tblBaseCF[[#This Row],[Alloc]]</f>
        <v>0</v>
      </c>
      <c r="EZ53">
        <f ca="1">tblBaseCF[[#This Row],[AccumTotalPrem]]</f>
        <v>0</v>
      </c>
      <c r="FA53">
        <f>tblBaseCF[[#This Row],[AnnualIntRate]]</f>
        <v>0</v>
      </c>
      <c r="FB53" s="50">
        <f>tblBaseCF[[#This Row],[Duean1m12]]</f>
        <v>1</v>
      </c>
      <c r="FC53">
        <f ca="1">tblBaseCF[[#This Row],[DeductFlag]]</f>
        <v>0</v>
      </c>
      <c r="FD53">
        <f ca="1">tblBaseCF[[#This Row],[AdminChrg]]</f>
        <v>0</v>
      </c>
      <c r="FE53">
        <f ca="1">tblBaseCF[[#This Row],[StandardCOI]]</f>
        <v>0</v>
      </c>
      <c r="FF53">
        <f ca="1">tblBaseCF[[#This Row],[EMLoadCOI]]</f>
        <v>0</v>
      </c>
      <c r="FG53">
        <f ca="1">tblBaseCF[[#This Row],[PMLoadCOI]]</f>
        <v>0</v>
      </c>
      <c r="FH53">
        <f ca="1">tblBaseCF[[#This Row],[COI]]</f>
        <v>0</v>
      </c>
      <c r="FI53" s="47">
        <f ca="1">tblBaseCF[[#This Row],[NomDeduct]]</f>
        <v>0</v>
      </c>
      <c r="FJ53">
        <f ca="1">tblBaseCF[[#This Row],[Deduct]]</f>
        <v>0</v>
      </c>
      <c r="FK53">
        <f ca="1">tblBaseCF[[#This Row],[TAVDeduct]]</f>
        <v>0</v>
      </c>
      <c r="FL53">
        <f ca="1">tblBaseCF[[#This Row],[EAVDeduct]]</f>
        <v>0</v>
      </c>
      <c r="FM53" s="24">
        <f ca="1">tblBaseCF[[#This Row],[TAVInt]]</f>
        <v>0</v>
      </c>
      <c r="FN53">
        <f ca="1">tblBaseCF[[#This Row],[EAVInt]]</f>
        <v>0</v>
      </c>
      <c r="FO53" s="47">
        <f ca="1">tblBaseCF[[#This Row],[LB]]</f>
        <v>0</v>
      </c>
      <c r="FP53">
        <f ca="1">tblBaseCF[[#This Row],[SB]]</f>
        <v>0</v>
      </c>
      <c r="FQ53">
        <f ca="1">tblBaseCF[[#This Row],[Bonus]]</f>
        <v>0</v>
      </c>
      <c r="FR53">
        <f ca="1">tblBaseCF[[#This Row],[EndTAV]]</f>
        <v>0</v>
      </c>
      <c r="FS53">
        <f ca="1">tblBaseCF[[#This Row],[EndEAV]]</f>
        <v>0</v>
      </c>
      <c r="FT53">
        <f ca="1">tblBaseCF[[#This Row],[EndPAV]]</f>
        <v>0</v>
      </c>
      <c r="FU53">
        <f ca="1">tblBaseCF[[#This Row],[SemiAnnualTP]]</f>
        <v>0</v>
      </c>
      <c r="FV53">
        <f ca="1">tblBaseCF[[#This Row],[SemiAnnualEP]]</f>
        <v>0</v>
      </c>
      <c r="FW53">
        <f ca="1">tblBaseCF[[#This Row],[SemiAnnualEMLoad]]</f>
        <v>0</v>
      </c>
      <c r="FX53">
        <f ca="1">tblBaseCF[[#This Row],[SemiAnnualPMLoad]]</f>
        <v>0</v>
      </c>
      <c r="FY53">
        <f ca="1">tblBaseCF[[#This Row],[SemiAnnualLoad]]</f>
        <v>0</v>
      </c>
      <c r="FZ53">
        <f ca="1">tblBaseCF[[#This Row],[SemiAnnualTotalPrem]]</f>
        <v>0</v>
      </c>
      <c r="GA53">
        <f ca="1">tblBaseCF[[#This Row],[QuarterlyTP]]</f>
        <v>0</v>
      </c>
      <c r="GB53">
        <f ca="1">tblBaseCF[[#This Row],[QuarterlyEP]]</f>
        <v>0</v>
      </c>
      <c r="GC53">
        <f ca="1">tblBaseCF[[#This Row],[QuarterlyEMLoad]]</f>
        <v>0</v>
      </c>
      <c r="GD53">
        <f ca="1">tblBaseCF[[#This Row],[QuarterlyPMLoad]]</f>
        <v>0</v>
      </c>
      <c r="GE53">
        <f ca="1">tblBaseCF[[#This Row],[QuarterlyLoad]]</f>
        <v>0</v>
      </c>
      <c r="GF53">
        <f ca="1">tblBaseCF[[#This Row],[QuarterlyTotalPrem]]</f>
        <v>0</v>
      </c>
      <c r="GG53">
        <f ca="1">tblBaseCF[[#This Row],[MonthlyTP]]</f>
        <v>0</v>
      </c>
      <c r="GH53">
        <f ca="1">tblBaseCF[[#This Row],[MonthlyEP]]</f>
        <v>0</v>
      </c>
      <c r="GI53">
        <f ca="1">tblBaseCF[[#This Row],[MonthlyEMLoad]]</f>
        <v>0</v>
      </c>
      <c r="GJ53">
        <f ca="1">tblBaseCF[[#This Row],[MonthlyPMLoad]]</f>
        <v>0</v>
      </c>
      <c r="GK53">
        <f ca="1">tblBaseCF[[#This Row],[MonthlyLoad]]</f>
        <v>0</v>
      </c>
      <c r="GL53">
        <f ca="1">tblBaseCF[[#This Row],[MonthlyTotalPrem]]</f>
        <v>0</v>
      </c>
      <c r="GO53" t="s">
        <v>134</v>
      </c>
      <c r="GP53" t="s">
        <v>135</v>
      </c>
      <c r="GQ53" t="s">
        <v>502</v>
      </c>
      <c r="GR53">
        <v>33</v>
      </c>
      <c r="GS53">
        <v>32</v>
      </c>
      <c r="GT53">
        <v>1</v>
      </c>
      <c r="GU53" t="s">
        <v>457</v>
      </c>
      <c r="GV53">
        <v>46189523.625003301</v>
      </c>
      <c r="GW53">
        <v>361760781.17624998</v>
      </c>
      <c r="GX53">
        <v>407950304.80125397</v>
      </c>
      <c r="GY53">
        <v>0</v>
      </c>
      <c r="GZ53">
        <v>407950304.80125397</v>
      </c>
      <c r="HA53">
        <v>407950304.80125397</v>
      </c>
      <c r="HB53">
        <v>303000000</v>
      </c>
      <c r="HC53">
        <v>0</v>
      </c>
      <c r="HD53" t="s">
        <v>137</v>
      </c>
      <c r="HE53">
        <v>0</v>
      </c>
      <c r="HF53">
        <v>0</v>
      </c>
      <c r="HG53">
        <v>0</v>
      </c>
      <c r="HH53">
        <v>1072000</v>
      </c>
      <c r="HI53">
        <v>21440</v>
      </c>
      <c r="HJ53">
        <v>1050560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1072000</v>
      </c>
      <c r="HT53">
        <v>21440</v>
      </c>
      <c r="HU53">
        <v>1050560</v>
      </c>
      <c r="HV53">
        <v>160176000</v>
      </c>
      <c r="HW53">
        <v>7.0000000000000007E-2</v>
      </c>
      <c r="HX53">
        <v>0.96964931039809399</v>
      </c>
      <c r="HY53">
        <v>1</v>
      </c>
      <c r="HZ53">
        <v>300000</v>
      </c>
      <c r="IA53">
        <v>0</v>
      </c>
      <c r="IB53">
        <v>0</v>
      </c>
      <c r="IC53">
        <v>0</v>
      </c>
      <c r="ID53">
        <v>272700</v>
      </c>
      <c r="IE53">
        <v>572700</v>
      </c>
      <c r="IF53">
        <v>555318.16006498795</v>
      </c>
      <c r="IG53">
        <v>555318.16006498795</v>
      </c>
      <c r="IH53">
        <v>0</v>
      </c>
      <c r="II53">
        <v>3267933.58254568</v>
      </c>
      <c r="IJ53">
        <v>25323254.6823375</v>
      </c>
      <c r="IK53">
        <v>0</v>
      </c>
      <c r="IL53">
        <v>0</v>
      </c>
      <c r="IM53">
        <v>0</v>
      </c>
      <c r="IN53">
        <v>49952699.047484003</v>
      </c>
      <c r="IO53">
        <v>387084035.85858798</v>
      </c>
      <c r="IP53">
        <v>437036734.90607202</v>
      </c>
      <c r="IQ53">
        <v>536000</v>
      </c>
      <c r="IR53">
        <v>2600000</v>
      </c>
      <c r="IS53">
        <v>0</v>
      </c>
      <c r="IT53">
        <v>0</v>
      </c>
      <c r="IU53">
        <v>0</v>
      </c>
      <c r="IV53">
        <v>3136000</v>
      </c>
      <c r="IW53">
        <v>268000</v>
      </c>
      <c r="IX53">
        <v>1300000</v>
      </c>
      <c r="IY53">
        <v>0</v>
      </c>
      <c r="IZ53">
        <v>0</v>
      </c>
      <c r="JA53">
        <v>0</v>
      </c>
      <c r="JB53">
        <v>1568000</v>
      </c>
      <c r="JC53">
        <v>90000</v>
      </c>
      <c r="JD53">
        <v>434000</v>
      </c>
      <c r="JE53">
        <v>0</v>
      </c>
      <c r="JF53">
        <v>0</v>
      </c>
      <c r="JG53">
        <v>0</v>
      </c>
      <c r="JH53">
        <v>524000</v>
      </c>
    </row>
    <row r="54" spans="2:268" customFormat="1" x14ac:dyDescent="0.25">
      <c r="B54" s="2">
        <f ca="1">OFFSET(tblBaseCF[[#This Row],[Year]],-1,0)+1</f>
        <v>34</v>
      </c>
      <c r="C54" s="2">
        <f ca="1">(tblBaseCF[[#This Row],[Year]]&lt;=term)*1</f>
        <v>1</v>
      </c>
      <c r="D54" s="57">
        <f ca="1">(YEAR(rcd)+tblBaseCF[[#This Row],[Year]]-1)
*tblBaseCF[[#This Row],[PolTermFlag]]</f>
        <v>2058</v>
      </c>
      <c r="E54" s="57">
        <f ca="1">(mainLI_entry_age+tblBaseCF[[#This Row],[Year]]-1)
*tblBaseCF[[#This Row],[PolTermFlag]]</f>
        <v>33</v>
      </c>
      <c r="F54" s="57">
        <f ca="1">IF(tblBaseCF[[#This Row],[Year]]=1,1,OFFSET(tblBaseCF[[#This Row],[DeductFlag]],-1,0))
*tblBaseCF[[#This Row],[PolTermFlag]]</f>
        <v>0</v>
      </c>
      <c r="G5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4" s="57">
        <f ca="1">(tblBaseCF[[#This Row],[Year]]&lt;=acc_ben_term)
*tblBaseCF[[#This Row],[ContFlag]]</f>
        <v>0</v>
      </c>
      <c r="I54" s="57">
        <f ca="1">(tblBaseCF[[#This Row],[Year]]&lt;=tp_term)
*tblBaseCF[[#This Row],[ContFlag]]</f>
        <v>0</v>
      </c>
      <c r="J54" s="57">
        <f ca="1">(tblBaseCF[[#This Row],[Year]]&lt;=ep_term)
*tblBaseCF[[#This Row],[ContFlag]]</f>
        <v>0</v>
      </c>
      <c r="K54" s="57">
        <f ca="1">(tblBaseCF[[#This Row],[Year]]&lt;=em_load_term)*1</f>
        <v>0</v>
      </c>
      <c r="L54" s="57">
        <f ca="1">(tblBaseCF[[#This Row],[Year]]&lt;=pm_load_term)*1</f>
        <v>0</v>
      </c>
      <c r="M54" s="59">
        <f ca="1">IF(tblBaseCF[[#This Row],[Year]]=1,si,OFFSET(tblBaseCF[[#This Row],[EndSI]],-1,0))
*tblBaseCF[[#This Row],[ContFlag]]</f>
        <v>0</v>
      </c>
      <c r="N54" s="59">
        <f ca="1">OFFSET(tblBaseCF[[#This Row],[EndTAV]],-1,0)
*tblBaseCF[[#This Row],[ContFlag]]</f>
        <v>0</v>
      </c>
      <c r="O54" s="59">
        <f ca="1">OFFSET(tblBaseCF[[#This Row],[EndEAV]],-1,0)
*tblBaseCF[[#This Row],[ContFlag]]</f>
        <v>0</v>
      </c>
      <c r="P54" s="60">
        <f ca="1">tblBaseCF[[#This Row],[StartEAV]]+tblBaseCF[[#This Row],[StartTAV]]</f>
        <v>0</v>
      </c>
      <c r="Q54" s="61">
        <f ca="1">IFERROR(INDEX(tblJuvenileLienRate[Rate],MATCH(tblBaseCF[[#This Row],[Age]],tblJuvenileLienRate[Age],0)),1)
*tblBaseCF[[#This Row],[ContFlag]]</f>
        <v>0</v>
      </c>
      <c r="R5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4" s="62">
        <f ca="1">tblBaseCF[[#This Row],[StartSI]]*acc_ben_coeff*tblBaseCF[[#This Row],[JuvenileLienRate]]
*tblBaseCF[[#This Row],[AccBenTermFlag]]</f>
        <v>0</v>
      </c>
      <c r="T54" s="61">
        <f ca="1">(IFERROR(INDEX(tblSurrChrgRate[Rate],MATCH(tblBaseCF[[#This Row],[Year]],tblSurrChrgRate[Year],0)),0)
*tblBaseCF[[#This Row],[ContFlag]])</f>
        <v>0</v>
      </c>
      <c r="U54" s="60">
        <f ca="1">tp*tblBaseCF[[#This Row],[SrrChrgRate]]</f>
        <v>0</v>
      </c>
      <c r="V54" s="63">
        <f ca="1">MAX(tblBaseCF[[#This Row],[StartTAV]]-tblBaseCF[[#This Row],[SVChrg]],0)+tblBaseCF[[#This Row],[StartEAV]]</f>
        <v>0</v>
      </c>
      <c r="W54" s="59">
        <f ca="1">IFERROR(INDEX(tblWithdrawal_Output[Amount],MATCH(tblBaseCF[[#This Row],[Year]],tblWithdrawal_Output[Year],0)),0)
*tblBaseCF[[#This Row],[ContFlag]]</f>
        <v>0</v>
      </c>
      <c r="X54" s="59" t="b">
        <f ca="1">tblBaseCF[[#This Row],[WithdrawalInput]]&gt;0</f>
        <v>0</v>
      </c>
      <c r="Y54" s="59" t="b">
        <f ca="1">AND(tblBaseCF[[#This Row],[1stCheckProceed]],tblBaseCF[[#This Row],[WithdrawalInput]]&lt;=tblBaseCF[[#This Row],[StartPAV]])</f>
        <v>0</v>
      </c>
      <c r="Z54" s="59" t="b">
        <f ca="1">AND(tblBaseCF[[#This Row],[2ndCheckAmount]],(tblBaseCF[[#This Row],[StartPAV]]-tblBaseCF[[#This Row],[WithdrawalInput]])&gt;=min_pav_after_withdrawal)</f>
        <v>0</v>
      </c>
      <c r="AA5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4" s="59" t="b">
        <f ca="1">AND(tblBaseCF[[#This Row],[3rdCheckPAV]],tblBaseCF[[#This Row],[endSITest]]&gt;=min_base_si)</f>
        <v>0</v>
      </c>
      <c r="AC54" s="60">
        <f ca="1">tblBaseCF[[#This Row],[WithdrawalInput]]*tblBaseCF[[#This Row],[4thCheckSI]]</f>
        <v>0</v>
      </c>
      <c r="AD54" s="60">
        <f ca="1">MIN(tblBaseCF[[#This Row],[Withdrawal]],tblBaseCF[[#This Row],[StartEAV]])</f>
        <v>0</v>
      </c>
      <c r="AE54" s="60">
        <f ca="1">tblBaseCF[[#This Row],[Withdrawal]]-tblBaseCF[[#This Row],[EAVWithdrawal]]</f>
        <v>0</v>
      </c>
      <c r="AF54" s="60">
        <f ca="1">IF(tblBaseCF[[#This Row],[4thCheckSI]],tblBaseCF[[#This Row],[endSITest]],tblBaseCF[[#This Row],[StartSI]])</f>
        <v>0</v>
      </c>
      <c r="AG5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4" s="65">
        <f ca="1">IFERROR(INDEX(tblTPAllocChrgRate[Rate],MATCH(tblBaseCF[[#This Row],[Year]],tblTPAllocChrgRate[Year],0)),0)</f>
        <v>0.02</v>
      </c>
      <c r="AI54" s="62">
        <f ca="1">(tp+big_case_bonus_tp*(tblBaseCF[[#This Row],[Year]]=1))
*tblBaseCF[[#This Row],[TPTermFlag]]</f>
        <v>0</v>
      </c>
      <c r="AJ54" s="63">
        <f ca="1">tblBaseCF[[#This Row],[TP]]*tblBaseCF[[#This Row],[TPAllocChrgRate]]</f>
        <v>0</v>
      </c>
      <c r="AK54" s="60">
        <f ca="1">tblBaseCF[[#This Row],[TP]]-tblBaseCF[[#This Row],[TPAllocChrg]]</f>
        <v>0</v>
      </c>
      <c r="AL54" s="65">
        <f ca="1">IFERROR(INDEX(tblEPAllocChrgRate[Rate],MATCH(tblBaseCF[[#This Row],[Year]],tblEPAllocChrgRate[Year],0)),0)</f>
        <v>0.02</v>
      </c>
      <c r="AM54" s="60">
        <f ca="1">ep*tblBaseCF[[#This Row],[EPTermFlag]]</f>
        <v>0</v>
      </c>
      <c r="AN54" s="60">
        <f ca="1">tblBaseCF[[#This Row],[EP]]*tblBaseCF[[#This Row],[EPAllocChrgRate]]</f>
        <v>0</v>
      </c>
      <c r="AO54" s="63">
        <f ca="1">tblBaseCF[[#This Row],[EP]]-tblBaseCF[[#This Row],[EPAllocChrg]]</f>
        <v>0</v>
      </c>
      <c r="AP54" s="62">
        <f ca="1">tblBaseCF[[#This Row],[Ben]]*extra_prem_rate*em_load/1000/(1-tblBaseCF[[#This Row],[EPAllocChrgRate]])
*tblBaseCF[[#This Row],[EMLoadTermFlag]]</f>
        <v>0</v>
      </c>
      <c r="AQ54" s="62">
        <f ca="1">tblBaseCF[[#This Row],[Ben]]*pm_load/1000/(1-tblBaseCF[[#This Row],[EPAllocChrgRate]])
*tblBaseCF[[#This Row],[PMLoadTermFlag]]</f>
        <v>0</v>
      </c>
      <c r="AR54" s="60">
        <f ca="1">ROUNDUP(tblBaseCF[[#This Row],[UnroundedEMLoad]],-3)</f>
        <v>0</v>
      </c>
      <c r="AS54" s="62">
        <f ca="1">ROUNDUP(tblBaseCF[[#This Row],[Ben]]*pm_load/1000/(1-tblBaseCF[[#This Row],[EPAllocChrgRate]]),-3)
*tblBaseCF[[#This Row],[PMLoadTermFlag]]</f>
        <v>0</v>
      </c>
      <c r="AT54" s="60">
        <f ca="1">tblBaseCF[[#This Row],[EMLoad]]+tblBaseCF[[#This Row],[PMLoad]]</f>
        <v>0</v>
      </c>
      <c r="AU54" s="60">
        <f ca="1">tblBaseCF[[#This Row],[Load]]*tblBaseCF[[#This Row],[EPAllocChrgRate]]</f>
        <v>0</v>
      </c>
      <c r="AV54" s="60">
        <f ca="1">tblBaseCF[[#This Row],[Load]]-tblBaseCF[[#This Row],[LoadAllocChrg]]</f>
        <v>0</v>
      </c>
      <c r="AW54" s="60">
        <f ca="1">tblBaseCF[[#This Row],[TP]]+tblBaseCF[[#This Row],[EP]]+tblBaseCF[[#This Row],[Load]]</f>
        <v>0</v>
      </c>
      <c r="AX54" s="60">
        <f ca="1">tblBaseCF[[#This Row],[TPAllocChrg]]+tblBaseCF[[#This Row],[EPAllocChrg]]+tblBaseCF[[#This Row],[LoadAllocChrg]]</f>
        <v>0</v>
      </c>
      <c r="AY54" s="60">
        <f ca="1">tblBaseCF[[#This Row],[TPAlloc]]+tblBaseCF[[#This Row],[EPAlloc]]+tblBaseCF[[#This Row],[LoadAlloc]]</f>
        <v>0</v>
      </c>
      <c r="AZ54" s="60">
        <f ca="1">(OFFSET(tblBaseCF[[#This Row],[AccumTotalPrem]],-1,0)+tblBaseCF[[#This Row],[TotalPrem]])*tblBaseCF[[#This Row],[TPTermFlag]]</f>
        <v>0</v>
      </c>
      <c r="BA54" s="62">
        <f ca="1">(tblBaseCF[[#This Row],[StartTAV]]-tblBaseCF[[#This Row],[TAVWithdrawal]]+tblBaseCF[[#This Row],[TPAlloc]])
*tblBaseCF[[#This Row],[ContFlag]]</f>
        <v>0</v>
      </c>
      <c r="BB54" s="59">
        <f ca="1">(tblBaseCF[[#This Row],[StartEAV]]-tblBaseCF[[#This Row],[EAVWithdrawal]]+tblBaseCF[[#This Row],[EPAlloc]]+tblBaseCF[[#This Row],[LoadAlloc]])
*tblBaseCF[[#This Row],[ContFlag]]</f>
        <v>0</v>
      </c>
      <c r="BC54" s="59">
        <f ca="1">tblBaseCF[[#This Row],[TAVAfterWdrlAlloc]]+tblBaseCF[[#This Row],[EAVAfterWdrlAlloc]]</f>
        <v>0</v>
      </c>
      <c r="BD54" s="66">
        <f t="shared" si="6"/>
        <v>0</v>
      </c>
      <c r="BE54" s="67">
        <f>(1+tblBaseCF[[#This Row],[AnnualIntRate]])^(1/12)-1</f>
        <v>0</v>
      </c>
      <c r="BF54" s="68">
        <f>IFERROR(((1+tblBaseCF[[#This Row],[MonthlyIntRate]])^12-1)/12/(1-1/(1+tblBaseCF[[#This Row],[MonthlyIntRate]])),1)/(1+tblBaseCF[[#This Row],[AnnualIntRate]])</f>
        <v>1</v>
      </c>
      <c r="BG54" s="69">
        <f>PV(tblBaseCF[[#This Row],[MonthlyIntRate]],12,-1/12,,1)</f>
        <v>1</v>
      </c>
      <c r="BH54" s="60">
        <f ca="1">MAX(IF(death_tpd_option="A",tblBaseCF[[#This Row],[Ben]]-tblBaseCF[[#This Row],[StartPAV]],tblBaseCF[[#This Row],[Ben]]),0)</f>
        <v>0</v>
      </c>
      <c r="BI54" s="70">
        <f ca="1">IFERROR(INDEX(tblBaseCOIRate[Rate],MATCH(tblBaseCF[[#This Row],[Age]],tblBaseCOIRate[Age],0)),0)</f>
        <v>1.5399999999999899E-3</v>
      </c>
      <c r="BJ54" s="60">
        <f ca="1">tblBaseCF[[#This Row],[SAR]]*tblBaseCF[[#This Row],[COIRate]]</f>
        <v>0</v>
      </c>
      <c r="BK54" s="62">
        <f ca="1">em_load*tblBaseCF[[#This Row],[pStandardCOI]]
*tblBaseCF[[#This Row],[EMLoadTermFlag]]</f>
        <v>0</v>
      </c>
      <c r="BL54" s="62">
        <f ca="1">pm_load/1000*tblBaseCF[[#This Row],[SAR]]
*tblBaseCF[[#This Row],[PMLoadTermFlag]]</f>
        <v>0</v>
      </c>
      <c r="BM54" s="60">
        <f ca="1">tblBaseCF[[#This Row],[AccBen]]*monthly_acc_coi*12</f>
        <v>0</v>
      </c>
      <c r="BN54" s="60">
        <f ca="1">tblBaseCF[[#This Row],[pStandardCOI]]+tblBaseCF[[#This Row],[pEMLoadCOI]]+tblBaseCF[[#This Row],[pPMLoadCOI]]+tblBaseCF[[#This Row],[pAccCOI]]</f>
        <v>0</v>
      </c>
      <c r="BO54" s="62">
        <f ca="1">IFERROR(INDEX(tblAdminChrg[Amount],MATCH(tblBaseCF[[#This Row],[CalYear]],tblAdminChrg[Cal_Year],0)),0)
*tblBaseCF[[#This Row],[ContFlag]]</f>
        <v>0</v>
      </c>
      <c r="BP54" s="60">
        <f ca="1">tblBaseCF[[#This Row],[pMonthlyAdminChrg]]*12</f>
        <v>0</v>
      </c>
      <c r="BQ54" s="60">
        <f ca="1">tblBaseCF[[#This Row],[pCOI]]+tblBaseCF[[#This Row],[pAdminChrg]]</f>
        <v>0</v>
      </c>
      <c r="BR54" s="60">
        <f ca="1">tblBaseCF[[#This Row],[pNomDeduct]]*tblBaseCF[[#This Row],[Duean1m12]]</f>
        <v>0</v>
      </c>
      <c r="BS54" s="57">
        <f ca="1">(tblBaseCF[[#This Row],[PAVAfterWdrlAlloc]]&gt;=tblBaseCF[[#This Row],[pNomDeduct]])
*tblBaseCF[[#This Row],[ContFlag]]</f>
        <v>0</v>
      </c>
      <c r="BT54" s="60">
        <f ca="1">tblBaseCF[[#This Row],[pStandardCOI]]*tblBaseCF[[#This Row],[DeductFlag]]</f>
        <v>0</v>
      </c>
      <c r="BU54" s="60">
        <f ca="1">tblBaseCF[[#This Row],[pEMLoadCOI]]*tblBaseCF[[#This Row],[DeductFlag]]</f>
        <v>0</v>
      </c>
      <c r="BV54" s="60">
        <f ca="1">tblBaseCF[[#This Row],[pPMLoadCOI]]*tblBaseCF[[#This Row],[DeductFlag]]</f>
        <v>0</v>
      </c>
      <c r="BW54" s="60">
        <f ca="1">tblBaseCF[[#This Row],[pAccCOI]]*tblBaseCF[[#This Row],[DeductFlag]]</f>
        <v>0</v>
      </c>
      <c r="BX54" s="60">
        <f ca="1">tblBaseCF[[#This Row],[pCOI]]*tblBaseCF[[#This Row],[DeductFlag]]</f>
        <v>0</v>
      </c>
      <c r="BY54" s="60">
        <f ca="1">tblBaseCF[[#This Row],[pMonthlyAdminChrg]]*tblBaseCF[[#This Row],[DeductFlag]]</f>
        <v>0</v>
      </c>
      <c r="BZ54" s="60">
        <f ca="1">tblBaseCF[[#This Row],[pAdminChrg]]*tblBaseCF[[#This Row],[DeductFlag]]</f>
        <v>0</v>
      </c>
      <c r="CA54" s="60">
        <f ca="1">tblBaseCF[[#This Row],[pNomDeduct]]*tblBaseCF[[#This Row],[DeductFlag]]</f>
        <v>0</v>
      </c>
      <c r="CB54" s="60">
        <f ca="1">tblBaseCF[[#This Row],[pDeduct]]*tblBaseCF[[#This Row],[DeductFlag]]</f>
        <v>0</v>
      </c>
      <c r="CC54" s="60">
        <f ca="1">MIN(tblBaseCF[[#This Row],[TAVAfterWdrlAlloc]],tblBaseCF[[#This Row],[Deduct]])</f>
        <v>0</v>
      </c>
      <c r="CD54" s="60">
        <f ca="1">tblBaseCF[[#This Row],[Deduct]]-tblBaseCF[[#This Row],[TAVDeduct]]</f>
        <v>0</v>
      </c>
      <c r="CE54" s="69">
        <f ca="1">(tblBaseCF[[#This Row],[TAVAfterWdrlAlloc]]-tblBaseCF[[#This Row],[TAVDeduct]])*tblBaseCF[[#This Row],[AnnualIntRate]]
*tblBaseCF[[#This Row],[DeductFlag]]</f>
        <v>0</v>
      </c>
      <c r="CF54" s="69">
        <f ca="1">(tblBaseCF[[#This Row],[EAVAfterWdrlAlloc]]-tblBaseCF[[#This Row],[EAVDeduct]])*tblBaseCF[[#This Row],[AnnualIntRate]]
*tblBaseCF[[#This Row],[DeductFlag]]</f>
        <v>0</v>
      </c>
      <c r="CG54" s="69">
        <f ca="1">tblBaseCF[[#This Row],[TAVInt]]+tblBaseCF[[#This Row],[EAVInt]]</f>
        <v>0</v>
      </c>
      <c r="CH54" s="62">
        <f ca="1">IFERROR(INDEX(tblLBRate[Rate],MATCH(tblBaseCF[[#This Row],[Year]],tblLBRate[Year],0)),0)
*tblBaseCF[[#This Row],[DeductFlag]]</f>
        <v>0</v>
      </c>
      <c r="CI54" s="60">
        <f ca="1">IFERROR(SUM(OFFSET(tblBaseCF[[#This Row],[TAVWithdrawal]],0,0,-lb_review_period,1)),0)
*(tblBaseCF[[#This Row],[LBRate]]&gt;0)</f>
        <v>0</v>
      </c>
      <c r="CJ54" s="60">
        <f ca="1">(tblBaseCF[[#This Row],[LBRate]]&gt;0)*(tblBaseCF[[#This Row],[LBTAVWithdrawal]]=0)</f>
        <v>0</v>
      </c>
      <c r="CK54" s="62" cm="1">
        <f t="array" aca="1" ref="CK54" ca="1">IF(tblBaseCF[[#This Row],[LBFlag]],
_xlfn.SWITCH(base,
"ILP1",AVERAGE(OFFSET(tblBaseCF[TP],0,0,-lb_review_period,1)),tp),0)
*tblBaseCF[[#This Row],[LBFlag]]</f>
        <v>0</v>
      </c>
      <c r="CL54" s="62">
        <f ca="1">tblBaseCF[[#This Row],[LBBasis]]*tblBaseCF[[#This Row],[LBRate]]</f>
        <v>0</v>
      </c>
      <c r="CM54" s="57" cm="1">
        <f t="array" aca="1" ref="CM54" ca="1">_xlfn.SWITCH(base,
"ILP1",0,($AF154&lt;500000000)*1
+($AF154&gt;=500000000)*($AF154&lt;1000000000)*2
+($AF154&gt;=1000000000)*3)
*tblBaseCF[[#This Row],[DeductFlag]]</f>
        <v>0</v>
      </c>
      <c r="CN54" s="2" t="str">
        <f ca="1">IF(tblBaseCF[[#This Row],[DeductFlag]],base&amp;"_"&amp;tblBaseCF[[#This Row],[SBCode]]&amp;"_"&amp;tblBaseCF[[#This Row],[Year]],"")</f>
        <v/>
      </c>
      <c r="CO54" s="3">
        <f ca="1">IFERROR(INDEX(tblSBRate[Index],MATCH(tblBaseCF[[#This Row],[SBIndex]],tblSBRate[Rate],0)),0)</f>
        <v>0</v>
      </c>
      <c r="CP54" s="63">
        <f ca="1">IFERROR(SUM(OFFSET(tblBaseCF[[#This Row],[TAVWithdrawal]],0,0,-sb_review_period,1)),0)
*(tblBaseCF[[#This Row],[SBRate]]&gt;0)</f>
        <v>0</v>
      </c>
      <c r="CQ54" s="63">
        <f ca="1">(tblBaseCF[[#This Row],[SBRate]]&gt;0)*(tblBaseCF[[#This Row],[SBTAVWithdrawal]]=0)</f>
        <v>0</v>
      </c>
      <c r="CR54" s="59" cm="1">
        <f t="array" aca="1" ref="CR54" ca="1">IF(tblBaseCF[[#This Row],[LBFlag]],
_xlfn.SWITCH(base,
"ILP1",0,tp),0)*tblBaseCF[[#This Row],[SBFlag]]</f>
        <v>0</v>
      </c>
      <c r="CS54" s="63">
        <f ca="1">tblBaseCF[[#This Row],[SBBasis]]*tblBaseCF[[#This Row],[SBRate]]</f>
        <v>0</v>
      </c>
      <c r="CT54" s="63">
        <f ca="1">tblBaseCF[[#This Row],[LB]]+tblBaseCF[[#This Row],[SB]]</f>
        <v>0</v>
      </c>
      <c r="CU54" s="59">
        <f ca="1">tblBaseCF[[#This Row],[TAVAfterWdrlAlloc]]-tblBaseCF[[#This Row],[TAVDeduct]]+tblBaseCF[[#This Row],[TAVInt]]+tblBaseCF[[#This Row],[Bonus]]</f>
        <v>0</v>
      </c>
      <c r="CV54" s="59">
        <f ca="1">tblBaseCF[[#This Row],[EAVAfterWdrlAlloc]]-tblBaseCF[[#This Row],[EAVDeduct]]+tblBaseCF[[#This Row],[EAVInt]]</f>
        <v>0</v>
      </c>
      <c r="CW54" s="63">
        <f ca="1">tblBaseCF[[#This Row],[EndTAV]]+tblBaseCF[[#This Row],[EndEAV]]</f>
        <v>0</v>
      </c>
      <c r="CX54" s="59">
        <f ca="1">INDEX(tblPlanPrem[TP],2)
*tblBaseCF[[#This Row],[TPTermFlag]]</f>
        <v>0</v>
      </c>
      <c r="CY54" s="59">
        <f ca="1">INDEX(tblPlanPrem[EP],2)
*tblBaseCF[[#This Row],[TPTermFlag]]</f>
        <v>0</v>
      </c>
      <c r="CZ54" s="63">
        <f ca="1">ROUNDUP(tblBaseCF[[#This Row],[UnroundedEMLoad]]*INDEX(tblPlanPrem[Factor],2),-3)</f>
        <v>0</v>
      </c>
      <c r="DA54" s="63">
        <f ca="1">ROUNDUP(tblBaseCF[[#This Row],[UnroundedPMLoad]]*INDEX(tblPlanPrem[Factor],2),-3)</f>
        <v>0</v>
      </c>
      <c r="DB54" s="63">
        <f ca="1">tblBaseCF[[#This Row],[SemiAnnualEMLoad]]+tblBaseCF[[#This Row],[SemiAnnualPMLoad]]</f>
        <v>0</v>
      </c>
      <c r="DC54" s="63">
        <f ca="1">tblBaseCF[[#This Row],[SemiAnnualTP]]+tblBaseCF[[#This Row],[SemiAnnualEP]]+tblBaseCF[[#This Row],[SemiAnnualLoad]]</f>
        <v>0</v>
      </c>
      <c r="DD54" s="59">
        <f ca="1">INDEX(tblPlanPrem[TP],3)
*tblBaseCF[[#This Row],[TPTermFlag]]</f>
        <v>0</v>
      </c>
      <c r="DE54" s="59">
        <f ca="1">INDEX(tblPlanPrem[EP],3)
*tblBaseCF[[#This Row],[TPTermFlag]]</f>
        <v>0</v>
      </c>
      <c r="DF54" s="63">
        <f ca="1">ROUNDUP(tblBaseCF[[#This Row],[UnroundedEMLoad]]*INDEX(tblPlanPrem[Factor],3),-3)</f>
        <v>0</v>
      </c>
      <c r="DG54" s="63">
        <f ca="1">ROUNDUP(tblBaseCF[[#This Row],[UnroundedPMLoad]]*INDEX(tblPlanPrem[Factor],3),-3)</f>
        <v>0</v>
      </c>
      <c r="DH54" s="60">
        <f ca="1">tblBaseCF[[#This Row],[QuarterlyEMLoad]]+tblBaseCF[[#This Row],[QuarterlyPMLoad]]</f>
        <v>0</v>
      </c>
      <c r="DI54" s="60">
        <f ca="1">tblBaseCF[[#This Row],[QuarterlyTP]]+tblBaseCF[[#This Row],[QuarterlyEP]]+tblBaseCF[[#This Row],[QuarterlyLoad]]</f>
        <v>0</v>
      </c>
      <c r="DJ54" s="59">
        <f ca="1">INDEX(tblPlanPrem[TP],4)
*tblBaseCF[[#This Row],[TPTermFlag]]</f>
        <v>0</v>
      </c>
      <c r="DK54" s="59">
        <f ca="1">INDEX(tblPlanPrem[EP],4)
*tblBaseCF[[#This Row],[TPTermFlag]]</f>
        <v>0</v>
      </c>
      <c r="DL54" s="63">
        <f ca="1">ROUNDUP(tblBaseCF[[#This Row],[UnroundedEMLoad]]*INDEX(tblPlanPrem[Factor],4),-3)</f>
        <v>0</v>
      </c>
      <c r="DM54" s="63">
        <f ca="1">ROUNDUP(tblBaseCF[[#This Row],[UnroundedPMLoad]]*INDEX(tblPlanPrem[Factor],4),-3)</f>
        <v>0</v>
      </c>
      <c r="DN54" s="60">
        <f ca="1">tblBaseCF[[#This Row],[MonthlyEMLoad]]+tblBaseCF[[#This Row],[MonthlyPMLoad]]</f>
        <v>0</v>
      </c>
      <c r="DO54" s="63">
        <f ca="1">tblBaseCF[[#This Row],[MonthlyTP]]+tblBaseCF[[#This Row],[MonthlyEP]]+tblBaseCF[[#This Row],[MonthlyLoad]]</f>
        <v>0</v>
      </c>
      <c r="DP54" s="3"/>
      <c r="DS54">
        <f t="shared" si="7"/>
        <v>0</v>
      </c>
      <c r="DT54">
        <f t="shared" si="8"/>
        <v>0</v>
      </c>
      <c r="DU54">
        <f t="shared" si="9"/>
        <v>0</v>
      </c>
      <c r="DV54">
        <f ca="1">tblBaseCF[[#This Row],[Year]]</f>
        <v>34</v>
      </c>
      <c r="DW54">
        <f ca="1">tblBaseCF[[#This Row],[Age]]</f>
        <v>33</v>
      </c>
      <c r="DX54">
        <f ca="1">tblBaseCF[[#This Row],[ContFlag]]</f>
        <v>0</v>
      </c>
      <c r="DY54" t="str">
        <f ca="1">tblBaseCF[[#This Row],[ContLog]]</f>
        <v>Insufficient PAV for deduction - Discontinue.</v>
      </c>
      <c r="DZ54">
        <f ca="1">tblBaseCF[[#This Row],[StartTAV]]</f>
        <v>0</v>
      </c>
      <c r="EA54">
        <f ca="1">tblBaseCF[[#This Row],[StartEAV]]</f>
        <v>0</v>
      </c>
      <c r="EB54">
        <f ca="1">tblBaseCF[[#This Row],[StartPAV]]</f>
        <v>0</v>
      </c>
      <c r="EC54">
        <f ca="1">tblBaseCF[[#This Row],[SVChrg]]</f>
        <v>0</v>
      </c>
      <c r="ED54">
        <f ca="1">tblBaseCF[[#This Row],[SV]]</f>
        <v>0</v>
      </c>
      <c r="EE54">
        <f ca="1">tblBaseCF[[#This Row],[Ben]]</f>
        <v>0</v>
      </c>
      <c r="EF54">
        <f ca="1">tblBaseCF[[#This Row],[AccBen]]</f>
        <v>0</v>
      </c>
      <c r="EG54">
        <f ca="1">tblBaseCF[[#This Row],[WithdrawalInput]]</f>
        <v>0</v>
      </c>
      <c r="EH54" t="str">
        <f ca="1">tblBaseCF[[#This Row],[WithdrawalLog]]</f>
        <v>No withdrawal.</v>
      </c>
      <c r="EI54">
        <f ca="1">tblBaseCF[[#This Row],[TAVWithdrawal]]</f>
        <v>0</v>
      </c>
      <c r="EJ54">
        <f ca="1">tblBaseCF[[#This Row],[EAVWithdrawal]]</f>
        <v>0</v>
      </c>
      <c r="EK54">
        <f ca="1">tblBaseCF[[#This Row],[Withdrawal]]</f>
        <v>0</v>
      </c>
      <c r="EL54">
        <f ca="1">tblBaseCF[[#This Row],[TP]]</f>
        <v>0</v>
      </c>
      <c r="EM54">
        <f ca="1">tblBaseCF[[#This Row],[TPAllocChrg]]</f>
        <v>0</v>
      </c>
      <c r="EN54">
        <f ca="1">tblBaseCF[[#This Row],[TPAlloc]]</f>
        <v>0</v>
      </c>
      <c r="EO54">
        <f ca="1">tblBaseCF[[#This Row],[EP]]</f>
        <v>0</v>
      </c>
      <c r="EP54">
        <f ca="1">tblBaseCF[[#This Row],[EPAllocChrg]]</f>
        <v>0</v>
      </c>
      <c r="EQ54">
        <f ca="1">tblBaseCF[[#This Row],[EPAlloc]]</f>
        <v>0</v>
      </c>
      <c r="ER54">
        <f ca="1">tblBaseCF[[#This Row],[EMLoad]]</f>
        <v>0</v>
      </c>
      <c r="ES54">
        <f ca="1">tblBaseCF[[#This Row],[PMLoad]]</f>
        <v>0</v>
      </c>
      <c r="ET54">
        <f ca="1">tblBaseCF[[#This Row],[Load]]</f>
        <v>0</v>
      </c>
      <c r="EU54">
        <f ca="1">tblBaseCF[[#This Row],[LoadAllocChrg]]</f>
        <v>0</v>
      </c>
      <c r="EV54">
        <f ca="1">tblBaseCF[[#This Row],[LoadAlloc]]</f>
        <v>0</v>
      </c>
      <c r="EW54">
        <f ca="1">tblBaseCF[[#This Row],[TotalPrem]]</f>
        <v>0</v>
      </c>
      <c r="EX54">
        <f ca="1">tblBaseCF[[#This Row],[AllocChrg]]</f>
        <v>0</v>
      </c>
      <c r="EY54">
        <f ca="1">tblBaseCF[[#This Row],[Alloc]]</f>
        <v>0</v>
      </c>
      <c r="EZ54">
        <f ca="1">tblBaseCF[[#This Row],[AccumTotalPrem]]</f>
        <v>0</v>
      </c>
      <c r="FA54">
        <f>tblBaseCF[[#This Row],[AnnualIntRate]]</f>
        <v>0</v>
      </c>
      <c r="FB54" s="50">
        <f>tblBaseCF[[#This Row],[Duean1m12]]</f>
        <v>1</v>
      </c>
      <c r="FC54">
        <f ca="1">tblBaseCF[[#This Row],[DeductFlag]]</f>
        <v>0</v>
      </c>
      <c r="FD54">
        <f ca="1">tblBaseCF[[#This Row],[AdminChrg]]</f>
        <v>0</v>
      </c>
      <c r="FE54">
        <f ca="1">tblBaseCF[[#This Row],[StandardCOI]]</f>
        <v>0</v>
      </c>
      <c r="FF54">
        <f ca="1">tblBaseCF[[#This Row],[EMLoadCOI]]</f>
        <v>0</v>
      </c>
      <c r="FG54">
        <f ca="1">tblBaseCF[[#This Row],[PMLoadCOI]]</f>
        <v>0</v>
      </c>
      <c r="FH54">
        <f ca="1">tblBaseCF[[#This Row],[COI]]</f>
        <v>0</v>
      </c>
      <c r="FI54" s="47">
        <f ca="1">tblBaseCF[[#This Row],[NomDeduct]]</f>
        <v>0</v>
      </c>
      <c r="FJ54">
        <f ca="1">tblBaseCF[[#This Row],[Deduct]]</f>
        <v>0</v>
      </c>
      <c r="FK54">
        <f ca="1">tblBaseCF[[#This Row],[TAVDeduct]]</f>
        <v>0</v>
      </c>
      <c r="FL54">
        <f ca="1">tblBaseCF[[#This Row],[EAVDeduct]]</f>
        <v>0</v>
      </c>
      <c r="FM54" s="24">
        <f ca="1">tblBaseCF[[#This Row],[TAVInt]]</f>
        <v>0</v>
      </c>
      <c r="FN54">
        <f ca="1">tblBaseCF[[#This Row],[EAVInt]]</f>
        <v>0</v>
      </c>
      <c r="FO54" s="47">
        <f ca="1">tblBaseCF[[#This Row],[LB]]</f>
        <v>0</v>
      </c>
      <c r="FP54">
        <f ca="1">tblBaseCF[[#This Row],[SB]]</f>
        <v>0</v>
      </c>
      <c r="FQ54">
        <f ca="1">tblBaseCF[[#This Row],[Bonus]]</f>
        <v>0</v>
      </c>
      <c r="FR54">
        <f ca="1">tblBaseCF[[#This Row],[EndTAV]]</f>
        <v>0</v>
      </c>
      <c r="FS54">
        <f ca="1">tblBaseCF[[#This Row],[EndEAV]]</f>
        <v>0</v>
      </c>
      <c r="FT54">
        <f ca="1">tblBaseCF[[#This Row],[EndPAV]]</f>
        <v>0</v>
      </c>
      <c r="FU54">
        <f ca="1">tblBaseCF[[#This Row],[SemiAnnualTP]]</f>
        <v>0</v>
      </c>
      <c r="FV54">
        <f ca="1">tblBaseCF[[#This Row],[SemiAnnualEP]]</f>
        <v>0</v>
      </c>
      <c r="FW54">
        <f ca="1">tblBaseCF[[#This Row],[SemiAnnualEMLoad]]</f>
        <v>0</v>
      </c>
      <c r="FX54">
        <f ca="1">tblBaseCF[[#This Row],[SemiAnnualPMLoad]]</f>
        <v>0</v>
      </c>
      <c r="FY54">
        <f ca="1">tblBaseCF[[#This Row],[SemiAnnualLoad]]</f>
        <v>0</v>
      </c>
      <c r="FZ54">
        <f ca="1">tblBaseCF[[#This Row],[SemiAnnualTotalPrem]]</f>
        <v>0</v>
      </c>
      <c r="GA54">
        <f ca="1">tblBaseCF[[#This Row],[QuarterlyTP]]</f>
        <v>0</v>
      </c>
      <c r="GB54">
        <f ca="1">tblBaseCF[[#This Row],[QuarterlyEP]]</f>
        <v>0</v>
      </c>
      <c r="GC54">
        <f ca="1">tblBaseCF[[#This Row],[QuarterlyEMLoad]]</f>
        <v>0</v>
      </c>
      <c r="GD54">
        <f ca="1">tblBaseCF[[#This Row],[QuarterlyPMLoad]]</f>
        <v>0</v>
      </c>
      <c r="GE54">
        <f ca="1">tblBaseCF[[#This Row],[QuarterlyLoad]]</f>
        <v>0</v>
      </c>
      <c r="GF54">
        <f ca="1">tblBaseCF[[#This Row],[QuarterlyTotalPrem]]</f>
        <v>0</v>
      </c>
      <c r="GG54">
        <f ca="1">tblBaseCF[[#This Row],[MonthlyTP]]</f>
        <v>0</v>
      </c>
      <c r="GH54">
        <f ca="1">tblBaseCF[[#This Row],[MonthlyEP]]</f>
        <v>0</v>
      </c>
      <c r="GI54">
        <f ca="1">tblBaseCF[[#This Row],[MonthlyEMLoad]]</f>
        <v>0</v>
      </c>
      <c r="GJ54">
        <f ca="1">tblBaseCF[[#This Row],[MonthlyPMLoad]]</f>
        <v>0</v>
      </c>
      <c r="GK54">
        <f ca="1">tblBaseCF[[#This Row],[MonthlyLoad]]</f>
        <v>0</v>
      </c>
      <c r="GL54">
        <f ca="1">tblBaseCF[[#This Row],[MonthlyTotalPrem]]</f>
        <v>0</v>
      </c>
      <c r="GO54" t="s">
        <v>134</v>
      </c>
      <c r="GP54" t="s">
        <v>135</v>
      </c>
      <c r="GQ54" t="s">
        <v>502</v>
      </c>
      <c r="GR54">
        <v>34</v>
      </c>
      <c r="GS54">
        <v>33</v>
      </c>
      <c r="GT54">
        <v>1</v>
      </c>
      <c r="GU54" t="s">
        <v>457</v>
      </c>
      <c r="GV54">
        <v>49952699.047484003</v>
      </c>
      <c r="GW54">
        <v>387084035.85858798</v>
      </c>
      <c r="GX54">
        <v>437036734.90607202</v>
      </c>
      <c r="GY54">
        <v>0</v>
      </c>
      <c r="GZ54">
        <v>437036734.90607202</v>
      </c>
      <c r="HA54">
        <v>437036734.90607202</v>
      </c>
      <c r="HB54">
        <v>303000000</v>
      </c>
      <c r="HC54">
        <v>0</v>
      </c>
      <c r="HD54" t="s">
        <v>137</v>
      </c>
      <c r="HE54">
        <v>0</v>
      </c>
      <c r="HF54">
        <v>0</v>
      </c>
      <c r="HG54">
        <v>0</v>
      </c>
      <c r="HH54">
        <v>1072000</v>
      </c>
      <c r="HI54">
        <v>21440</v>
      </c>
      <c r="HJ54">
        <v>1050560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1072000</v>
      </c>
      <c r="HT54">
        <v>21440</v>
      </c>
      <c r="HU54">
        <v>1050560</v>
      </c>
      <c r="HV54">
        <v>161248000</v>
      </c>
      <c r="HW54">
        <v>7.0000000000000007E-2</v>
      </c>
      <c r="HX54">
        <v>0.96964931039809399</v>
      </c>
      <c r="HY54">
        <v>1</v>
      </c>
      <c r="HZ54">
        <v>300000</v>
      </c>
      <c r="IA54">
        <v>0</v>
      </c>
      <c r="IB54">
        <v>0</v>
      </c>
      <c r="IC54">
        <v>0</v>
      </c>
      <c r="ID54">
        <v>272700</v>
      </c>
      <c r="IE54">
        <v>572700</v>
      </c>
      <c r="IF54">
        <v>555318.16006498795</v>
      </c>
      <c r="IG54">
        <v>555318.16006498795</v>
      </c>
      <c r="IH54">
        <v>0</v>
      </c>
      <c r="II54">
        <v>3531355.8621193301</v>
      </c>
      <c r="IJ54">
        <v>27095882.510101199</v>
      </c>
      <c r="IK54">
        <v>0</v>
      </c>
      <c r="IL54">
        <v>0</v>
      </c>
      <c r="IM54">
        <v>0</v>
      </c>
      <c r="IN54">
        <v>53979296.749538302</v>
      </c>
      <c r="IO54">
        <v>414179918.368689</v>
      </c>
      <c r="IP54">
        <v>468159215.11822701</v>
      </c>
      <c r="IQ54">
        <v>536000</v>
      </c>
      <c r="IR54">
        <v>2600000</v>
      </c>
      <c r="IS54">
        <v>0</v>
      </c>
      <c r="IT54">
        <v>0</v>
      </c>
      <c r="IU54">
        <v>0</v>
      </c>
      <c r="IV54">
        <v>3136000</v>
      </c>
      <c r="IW54">
        <v>268000</v>
      </c>
      <c r="IX54">
        <v>1300000</v>
      </c>
      <c r="IY54">
        <v>0</v>
      </c>
      <c r="IZ54">
        <v>0</v>
      </c>
      <c r="JA54">
        <v>0</v>
      </c>
      <c r="JB54">
        <v>1568000</v>
      </c>
      <c r="JC54">
        <v>90000</v>
      </c>
      <c r="JD54">
        <v>434000</v>
      </c>
      <c r="JE54">
        <v>0</v>
      </c>
      <c r="JF54">
        <v>0</v>
      </c>
      <c r="JG54">
        <v>0</v>
      </c>
      <c r="JH54">
        <v>524000</v>
      </c>
    </row>
    <row r="55" spans="2:268" customFormat="1" x14ac:dyDescent="0.25">
      <c r="B55" s="2">
        <f ca="1">OFFSET(tblBaseCF[[#This Row],[Year]],-1,0)+1</f>
        <v>35</v>
      </c>
      <c r="C55" s="2">
        <f ca="1">(tblBaseCF[[#This Row],[Year]]&lt;=term)*1</f>
        <v>1</v>
      </c>
      <c r="D55" s="57">
        <f ca="1">(YEAR(rcd)+tblBaseCF[[#This Row],[Year]]-1)
*tblBaseCF[[#This Row],[PolTermFlag]]</f>
        <v>2059</v>
      </c>
      <c r="E55" s="57">
        <f ca="1">(mainLI_entry_age+tblBaseCF[[#This Row],[Year]]-1)
*tblBaseCF[[#This Row],[PolTermFlag]]</f>
        <v>34</v>
      </c>
      <c r="F55" s="57">
        <f ca="1">IF(tblBaseCF[[#This Row],[Year]]=1,1,OFFSET(tblBaseCF[[#This Row],[DeductFlag]],-1,0))
*tblBaseCF[[#This Row],[PolTermFlag]]</f>
        <v>0</v>
      </c>
      <c r="G5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5" s="57">
        <f ca="1">(tblBaseCF[[#This Row],[Year]]&lt;=acc_ben_term)
*tblBaseCF[[#This Row],[ContFlag]]</f>
        <v>0</v>
      </c>
      <c r="I55" s="57">
        <f ca="1">(tblBaseCF[[#This Row],[Year]]&lt;=tp_term)
*tblBaseCF[[#This Row],[ContFlag]]</f>
        <v>0</v>
      </c>
      <c r="J55" s="57">
        <f ca="1">(tblBaseCF[[#This Row],[Year]]&lt;=ep_term)
*tblBaseCF[[#This Row],[ContFlag]]</f>
        <v>0</v>
      </c>
      <c r="K55" s="57">
        <f ca="1">(tblBaseCF[[#This Row],[Year]]&lt;=em_load_term)*1</f>
        <v>0</v>
      </c>
      <c r="L55" s="57">
        <f ca="1">(tblBaseCF[[#This Row],[Year]]&lt;=pm_load_term)*1</f>
        <v>0</v>
      </c>
      <c r="M55" s="59">
        <f ca="1">IF(tblBaseCF[[#This Row],[Year]]=1,si,OFFSET(tblBaseCF[[#This Row],[EndSI]],-1,0))
*tblBaseCF[[#This Row],[ContFlag]]</f>
        <v>0</v>
      </c>
      <c r="N55" s="59">
        <f ca="1">OFFSET(tblBaseCF[[#This Row],[EndTAV]],-1,0)
*tblBaseCF[[#This Row],[ContFlag]]</f>
        <v>0</v>
      </c>
      <c r="O55" s="59">
        <f ca="1">OFFSET(tblBaseCF[[#This Row],[EndEAV]],-1,0)
*tblBaseCF[[#This Row],[ContFlag]]</f>
        <v>0</v>
      </c>
      <c r="P55" s="60">
        <f ca="1">tblBaseCF[[#This Row],[StartEAV]]+tblBaseCF[[#This Row],[StartTAV]]</f>
        <v>0</v>
      </c>
      <c r="Q55" s="61">
        <f ca="1">IFERROR(INDEX(tblJuvenileLienRate[Rate],MATCH(tblBaseCF[[#This Row],[Age]],tblJuvenileLienRate[Age],0)),1)
*tblBaseCF[[#This Row],[ContFlag]]</f>
        <v>0</v>
      </c>
      <c r="R5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5" s="62">
        <f ca="1">tblBaseCF[[#This Row],[StartSI]]*acc_ben_coeff*tblBaseCF[[#This Row],[JuvenileLienRate]]
*tblBaseCF[[#This Row],[AccBenTermFlag]]</f>
        <v>0</v>
      </c>
      <c r="T55" s="61">
        <f ca="1">(IFERROR(INDEX(tblSurrChrgRate[Rate],MATCH(tblBaseCF[[#This Row],[Year]],tblSurrChrgRate[Year],0)),0)
*tblBaseCF[[#This Row],[ContFlag]])</f>
        <v>0</v>
      </c>
      <c r="U55" s="60">
        <f ca="1">tp*tblBaseCF[[#This Row],[SrrChrgRate]]</f>
        <v>0</v>
      </c>
      <c r="V55" s="63">
        <f ca="1">MAX(tblBaseCF[[#This Row],[StartTAV]]-tblBaseCF[[#This Row],[SVChrg]],0)+tblBaseCF[[#This Row],[StartEAV]]</f>
        <v>0</v>
      </c>
      <c r="W55" s="59">
        <f ca="1">IFERROR(INDEX(tblWithdrawal_Output[Amount],MATCH(tblBaseCF[[#This Row],[Year]],tblWithdrawal_Output[Year],0)),0)
*tblBaseCF[[#This Row],[ContFlag]]</f>
        <v>0</v>
      </c>
      <c r="X55" s="59" t="b">
        <f ca="1">tblBaseCF[[#This Row],[WithdrawalInput]]&gt;0</f>
        <v>0</v>
      </c>
      <c r="Y55" s="59" t="b">
        <f ca="1">AND(tblBaseCF[[#This Row],[1stCheckProceed]],tblBaseCF[[#This Row],[WithdrawalInput]]&lt;=tblBaseCF[[#This Row],[StartPAV]])</f>
        <v>0</v>
      </c>
      <c r="Z55" s="59" t="b">
        <f ca="1">AND(tblBaseCF[[#This Row],[2ndCheckAmount]],(tblBaseCF[[#This Row],[StartPAV]]-tblBaseCF[[#This Row],[WithdrawalInput]])&gt;=min_pav_after_withdrawal)</f>
        <v>0</v>
      </c>
      <c r="AA5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5" s="59" t="b">
        <f ca="1">AND(tblBaseCF[[#This Row],[3rdCheckPAV]],tblBaseCF[[#This Row],[endSITest]]&gt;=min_base_si)</f>
        <v>0</v>
      </c>
      <c r="AC55" s="60">
        <f ca="1">tblBaseCF[[#This Row],[WithdrawalInput]]*tblBaseCF[[#This Row],[4thCheckSI]]</f>
        <v>0</v>
      </c>
      <c r="AD55" s="60">
        <f ca="1">MIN(tblBaseCF[[#This Row],[Withdrawal]],tblBaseCF[[#This Row],[StartEAV]])</f>
        <v>0</v>
      </c>
      <c r="AE55" s="60">
        <f ca="1">tblBaseCF[[#This Row],[Withdrawal]]-tblBaseCF[[#This Row],[EAVWithdrawal]]</f>
        <v>0</v>
      </c>
      <c r="AF55" s="60">
        <f ca="1">IF(tblBaseCF[[#This Row],[4thCheckSI]],tblBaseCF[[#This Row],[endSITest]],tblBaseCF[[#This Row],[StartSI]])</f>
        <v>0</v>
      </c>
      <c r="AG5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5" s="65">
        <f ca="1">IFERROR(INDEX(tblTPAllocChrgRate[Rate],MATCH(tblBaseCF[[#This Row],[Year]],tblTPAllocChrgRate[Year],0)),0)</f>
        <v>0.02</v>
      </c>
      <c r="AI55" s="62">
        <f ca="1">(tp+big_case_bonus_tp*(tblBaseCF[[#This Row],[Year]]=1))
*tblBaseCF[[#This Row],[TPTermFlag]]</f>
        <v>0</v>
      </c>
      <c r="AJ55" s="63">
        <f ca="1">tblBaseCF[[#This Row],[TP]]*tblBaseCF[[#This Row],[TPAllocChrgRate]]</f>
        <v>0</v>
      </c>
      <c r="AK55" s="60">
        <f ca="1">tblBaseCF[[#This Row],[TP]]-tblBaseCF[[#This Row],[TPAllocChrg]]</f>
        <v>0</v>
      </c>
      <c r="AL55" s="65">
        <f ca="1">IFERROR(INDEX(tblEPAllocChrgRate[Rate],MATCH(tblBaseCF[[#This Row],[Year]],tblEPAllocChrgRate[Year],0)),0)</f>
        <v>0.02</v>
      </c>
      <c r="AM55" s="60">
        <f ca="1">ep*tblBaseCF[[#This Row],[EPTermFlag]]</f>
        <v>0</v>
      </c>
      <c r="AN55" s="60">
        <f ca="1">tblBaseCF[[#This Row],[EP]]*tblBaseCF[[#This Row],[EPAllocChrgRate]]</f>
        <v>0</v>
      </c>
      <c r="AO55" s="63">
        <f ca="1">tblBaseCF[[#This Row],[EP]]-tblBaseCF[[#This Row],[EPAllocChrg]]</f>
        <v>0</v>
      </c>
      <c r="AP55" s="62">
        <f ca="1">tblBaseCF[[#This Row],[Ben]]*extra_prem_rate*em_load/1000/(1-tblBaseCF[[#This Row],[EPAllocChrgRate]])
*tblBaseCF[[#This Row],[EMLoadTermFlag]]</f>
        <v>0</v>
      </c>
      <c r="AQ55" s="62">
        <f ca="1">tblBaseCF[[#This Row],[Ben]]*pm_load/1000/(1-tblBaseCF[[#This Row],[EPAllocChrgRate]])
*tblBaseCF[[#This Row],[PMLoadTermFlag]]</f>
        <v>0</v>
      </c>
      <c r="AR55" s="60">
        <f ca="1">ROUNDUP(tblBaseCF[[#This Row],[UnroundedEMLoad]],-3)</f>
        <v>0</v>
      </c>
      <c r="AS55" s="62">
        <f ca="1">ROUNDUP(tblBaseCF[[#This Row],[Ben]]*pm_load/1000/(1-tblBaseCF[[#This Row],[EPAllocChrgRate]]),-3)
*tblBaseCF[[#This Row],[PMLoadTermFlag]]</f>
        <v>0</v>
      </c>
      <c r="AT55" s="60">
        <f ca="1">tblBaseCF[[#This Row],[EMLoad]]+tblBaseCF[[#This Row],[PMLoad]]</f>
        <v>0</v>
      </c>
      <c r="AU55" s="60">
        <f ca="1">tblBaseCF[[#This Row],[Load]]*tblBaseCF[[#This Row],[EPAllocChrgRate]]</f>
        <v>0</v>
      </c>
      <c r="AV55" s="60">
        <f ca="1">tblBaseCF[[#This Row],[Load]]-tblBaseCF[[#This Row],[LoadAllocChrg]]</f>
        <v>0</v>
      </c>
      <c r="AW55" s="60">
        <f ca="1">tblBaseCF[[#This Row],[TP]]+tblBaseCF[[#This Row],[EP]]+tblBaseCF[[#This Row],[Load]]</f>
        <v>0</v>
      </c>
      <c r="AX55" s="60">
        <f ca="1">tblBaseCF[[#This Row],[TPAllocChrg]]+tblBaseCF[[#This Row],[EPAllocChrg]]+tblBaseCF[[#This Row],[LoadAllocChrg]]</f>
        <v>0</v>
      </c>
      <c r="AY55" s="60">
        <f ca="1">tblBaseCF[[#This Row],[TPAlloc]]+tblBaseCF[[#This Row],[EPAlloc]]+tblBaseCF[[#This Row],[LoadAlloc]]</f>
        <v>0</v>
      </c>
      <c r="AZ55" s="60">
        <f ca="1">(OFFSET(tblBaseCF[[#This Row],[AccumTotalPrem]],-1,0)+tblBaseCF[[#This Row],[TotalPrem]])*tblBaseCF[[#This Row],[TPTermFlag]]</f>
        <v>0</v>
      </c>
      <c r="BA55" s="62">
        <f ca="1">(tblBaseCF[[#This Row],[StartTAV]]-tblBaseCF[[#This Row],[TAVWithdrawal]]+tblBaseCF[[#This Row],[TPAlloc]])
*tblBaseCF[[#This Row],[ContFlag]]</f>
        <v>0</v>
      </c>
      <c r="BB55" s="59">
        <f ca="1">(tblBaseCF[[#This Row],[StartEAV]]-tblBaseCF[[#This Row],[EAVWithdrawal]]+tblBaseCF[[#This Row],[EPAlloc]]+tblBaseCF[[#This Row],[LoadAlloc]])
*tblBaseCF[[#This Row],[ContFlag]]</f>
        <v>0</v>
      </c>
      <c r="BC55" s="59">
        <f ca="1">tblBaseCF[[#This Row],[TAVAfterWdrlAlloc]]+tblBaseCF[[#This Row],[EAVAfterWdrlAlloc]]</f>
        <v>0</v>
      </c>
      <c r="BD55" s="66">
        <f t="shared" si="6"/>
        <v>0</v>
      </c>
      <c r="BE55" s="67">
        <f>(1+tblBaseCF[[#This Row],[AnnualIntRate]])^(1/12)-1</f>
        <v>0</v>
      </c>
      <c r="BF55" s="68">
        <f>IFERROR(((1+tblBaseCF[[#This Row],[MonthlyIntRate]])^12-1)/12/(1-1/(1+tblBaseCF[[#This Row],[MonthlyIntRate]])),1)/(1+tblBaseCF[[#This Row],[AnnualIntRate]])</f>
        <v>1</v>
      </c>
      <c r="BG55" s="69">
        <f>PV(tblBaseCF[[#This Row],[MonthlyIntRate]],12,-1/12,,1)</f>
        <v>1</v>
      </c>
      <c r="BH55" s="60">
        <f ca="1">MAX(IF(death_tpd_option="A",tblBaseCF[[#This Row],[Ben]]-tblBaseCF[[#This Row],[StartPAV]],tblBaseCF[[#This Row],[Ben]]),0)</f>
        <v>0</v>
      </c>
      <c r="BI55" s="70">
        <f ca="1">IFERROR(INDEX(tblBaseCOIRate[Rate],MATCH(tblBaseCF[[#This Row],[Age]],tblBaseCOIRate[Age],0)),0)</f>
        <v>1.6100000000000001E-3</v>
      </c>
      <c r="BJ55" s="60">
        <f ca="1">tblBaseCF[[#This Row],[SAR]]*tblBaseCF[[#This Row],[COIRate]]</f>
        <v>0</v>
      </c>
      <c r="BK55" s="62">
        <f ca="1">em_load*tblBaseCF[[#This Row],[pStandardCOI]]
*tblBaseCF[[#This Row],[EMLoadTermFlag]]</f>
        <v>0</v>
      </c>
      <c r="BL55" s="62">
        <f ca="1">pm_load/1000*tblBaseCF[[#This Row],[SAR]]
*tblBaseCF[[#This Row],[PMLoadTermFlag]]</f>
        <v>0</v>
      </c>
      <c r="BM55" s="60">
        <f ca="1">tblBaseCF[[#This Row],[AccBen]]*monthly_acc_coi*12</f>
        <v>0</v>
      </c>
      <c r="BN55" s="60">
        <f ca="1">tblBaseCF[[#This Row],[pStandardCOI]]+tblBaseCF[[#This Row],[pEMLoadCOI]]+tblBaseCF[[#This Row],[pPMLoadCOI]]+tblBaseCF[[#This Row],[pAccCOI]]</f>
        <v>0</v>
      </c>
      <c r="BO55" s="62">
        <f ca="1">IFERROR(INDEX(tblAdminChrg[Amount],MATCH(tblBaseCF[[#This Row],[CalYear]],tblAdminChrg[Cal_Year],0)),0)
*tblBaseCF[[#This Row],[ContFlag]]</f>
        <v>0</v>
      </c>
      <c r="BP55" s="60">
        <f ca="1">tblBaseCF[[#This Row],[pMonthlyAdminChrg]]*12</f>
        <v>0</v>
      </c>
      <c r="BQ55" s="60">
        <f ca="1">tblBaseCF[[#This Row],[pCOI]]+tblBaseCF[[#This Row],[pAdminChrg]]</f>
        <v>0</v>
      </c>
      <c r="BR55" s="60">
        <f ca="1">tblBaseCF[[#This Row],[pNomDeduct]]*tblBaseCF[[#This Row],[Duean1m12]]</f>
        <v>0</v>
      </c>
      <c r="BS55" s="57">
        <f ca="1">(tblBaseCF[[#This Row],[PAVAfterWdrlAlloc]]&gt;=tblBaseCF[[#This Row],[pNomDeduct]])
*tblBaseCF[[#This Row],[ContFlag]]</f>
        <v>0</v>
      </c>
      <c r="BT55" s="60">
        <f ca="1">tblBaseCF[[#This Row],[pStandardCOI]]*tblBaseCF[[#This Row],[DeductFlag]]</f>
        <v>0</v>
      </c>
      <c r="BU55" s="60">
        <f ca="1">tblBaseCF[[#This Row],[pEMLoadCOI]]*tblBaseCF[[#This Row],[DeductFlag]]</f>
        <v>0</v>
      </c>
      <c r="BV55" s="60">
        <f ca="1">tblBaseCF[[#This Row],[pPMLoadCOI]]*tblBaseCF[[#This Row],[DeductFlag]]</f>
        <v>0</v>
      </c>
      <c r="BW55" s="60">
        <f ca="1">tblBaseCF[[#This Row],[pAccCOI]]*tblBaseCF[[#This Row],[DeductFlag]]</f>
        <v>0</v>
      </c>
      <c r="BX55" s="60">
        <f ca="1">tblBaseCF[[#This Row],[pCOI]]*tblBaseCF[[#This Row],[DeductFlag]]</f>
        <v>0</v>
      </c>
      <c r="BY55" s="60">
        <f ca="1">tblBaseCF[[#This Row],[pMonthlyAdminChrg]]*tblBaseCF[[#This Row],[DeductFlag]]</f>
        <v>0</v>
      </c>
      <c r="BZ55" s="60">
        <f ca="1">tblBaseCF[[#This Row],[pAdminChrg]]*tblBaseCF[[#This Row],[DeductFlag]]</f>
        <v>0</v>
      </c>
      <c r="CA55" s="60">
        <f ca="1">tblBaseCF[[#This Row],[pNomDeduct]]*tblBaseCF[[#This Row],[DeductFlag]]</f>
        <v>0</v>
      </c>
      <c r="CB55" s="60">
        <f ca="1">tblBaseCF[[#This Row],[pDeduct]]*tblBaseCF[[#This Row],[DeductFlag]]</f>
        <v>0</v>
      </c>
      <c r="CC55" s="60">
        <f ca="1">MIN(tblBaseCF[[#This Row],[TAVAfterWdrlAlloc]],tblBaseCF[[#This Row],[Deduct]])</f>
        <v>0</v>
      </c>
      <c r="CD55" s="60">
        <f ca="1">tblBaseCF[[#This Row],[Deduct]]-tblBaseCF[[#This Row],[TAVDeduct]]</f>
        <v>0</v>
      </c>
      <c r="CE55" s="69">
        <f ca="1">(tblBaseCF[[#This Row],[TAVAfterWdrlAlloc]]-tblBaseCF[[#This Row],[TAVDeduct]])*tblBaseCF[[#This Row],[AnnualIntRate]]
*tblBaseCF[[#This Row],[DeductFlag]]</f>
        <v>0</v>
      </c>
      <c r="CF55" s="69">
        <f ca="1">(tblBaseCF[[#This Row],[EAVAfterWdrlAlloc]]-tblBaseCF[[#This Row],[EAVDeduct]])*tblBaseCF[[#This Row],[AnnualIntRate]]
*tblBaseCF[[#This Row],[DeductFlag]]</f>
        <v>0</v>
      </c>
      <c r="CG55" s="69">
        <f ca="1">tblBaseCF[[#This Row],[TAVInt]]+tblBaseCF[[#This Row],[EAVInt]]</f>
        <v>0</v>
      </c>
      <c r="CH55" s="62">
        <f ca="1">IFERROR(INDEX(tblLBRate[Rate],MATCH(tblBaseCF[[#This Row],[Year]],tblLBRate[Year],0)),0)
*tblBaseCF[[#This Row],[DeductFlag]]</f>
        <v>0</v>
      </c>
      <c r="CI55" s="60">
        <f ca="1">IFERROR(SUM(OFFSET(tblBaseCF[[#This Row],[TAVWithdrawal]],0,0,-lb_review_period,1)),0)
*(tblBaseCF[[#This Row],[LBRate]]&gt;0)</f>
        <v>0</v>
      </c>
      <c r="CJ55" s="60">
        <f ca="1">(tblBaseCF[[#This Row],[LBRate]]&gt;0)*(tblBaseCF[[#This Row],[LBTAVWithdrawal]]=0)</f>
        <v>0</v>
      </c>
      <c r="CK55" s="62" cm="1">
        <f t="array" aca="1" ref="CK55" ca="1">IF(tblBaseCF[[#This Row],[LBFlag]],
_xlfn.SWITCH(base,
"ILP1",AVERAGE(OFFSET(tblBaseCF[TP],0,0,-lb_review_period,1)),tp),0)
*tblBaseCF[[#This Row],[LBFlag]]</f>
        <v>0</v>
      </c>
      <c r="CL55" s="62">
        <f ca="1">tblBaseCF[[#This Row],[LBBasis]]*tblBaseCF[[#This Row],[LBRate]]</f>
        <v>0</v>
      </c>
      <c r="CM55" s="57" cm="1">
        <f t="array" aca="1" ref="CM55" ca="1">_xlfn.SWITCH(base,
"ILP1",0,($AF155&lt;500000000)*1
+($AF155&gt;=500000000)*($AF155&lt;1000000000)*2
+($AF155&gt;=1000000000)*3)
*tblBaseCF[[#This Row],[DeductFlag]]</f>
        <v>0</v>
      </c>
      <c r="CN55" s="2" t="str">
        <f ca="1">IF(tblBaseCF[[#This Row],[DeductFlag]],base&amp;"_"&amp;tblBaseCF[[#This Row],[SBCode]]&amp;"_"&amp;tblBaseCF[[#This Row],[Year]],"")</f>
        <v/>
      </c>
      <c r="CO55" s="3">
        <f ca="1">IFERROR(INDEX(tblSBRate[Index],MATCH(tblBaseCF[[#This Row],[SBIndex]],tblSBRate[Rate],0)),0)</f>
        <v>0</v>
      </c>
      <c r="CP55" s="63">
        <f ca="1">IFERROR(SUM(OFFSET(tblBaseCF[[#This Row],[TAVWithdrawal]],0,0,-sb_review_period,1)),0)
*(tblBaseCF[[#This Row],[SBRate]]&gt;0)</f>
        <v>0</v>
      </c>
      <c r="CQ55" s="63">
        <f ca="1">(tblBaseCF[[#This Row],[SBRate]]&gt;0)*(tblBaseCF[[#This Row],[SBTAVWithdrawal]]=0)</f>
        <v>0</v>
      </c>
      <c r="CR55" s="59" cm="1">
        <f t="array" aca="1" ref="CR55" ca="1">IF(tblBaseCF[[#This Row],[LBFlag]],
_xlfn.SWITCH(base,
"ILP1",0,tp),0)*tblBaseCF[[#This Row],[SBFlag]]</f>
        <v>0</v>
      </c>
      <c r="CS55" s="63">
        <f ca="1">tblBaseCF[[#This Row],[SBBasis]]*tblBaseCF[[#This Row],[SBRate]]</f>
        <v>0</v>
      </c>
      <c r="CT55" s="63">
        <f ca="1">tblBaseCF[[#This Row],[LB]]+tblBaseCF[[#This Row],[SB]]</f>
        <v>0</v>
      </c>
      <c r="CU55" s="59">
        <f ca="1">tblBaseCF[[#This Row],[TAVAfterWdrlAlloc]]-tblBaseCF[[#This Row],[TAVDeduct]]+tblBaseCF[[#This Row],[TAVInt]]+tblBaseCF[[#This Row],[Bonus]]</f>
        <v>0</v>
      </c>
      <c r="CV55" s="59">
        <f ca="1">tblBaseCF[[#This Row],[EAVAfterWdrlAlloc]]-tblBaseCF[[#This Row],[EAVDeduct]]+tblBaseCF[[#This Row],[EAVInt]]</f>
        <v>0</v>
      </c>
      <c r="CW55" s="63">
        <f ca="1">tblBaseCF[[#This Row],[EndTAV]]+tblBaseCF[[#This Row],[EndEAV]]</f>
        <v>0</v>
      </c>
      <c r="CX55" s="59">
        <f ca="1">INDEX(tblPlanPrem[TP],2)
*tblBaseCF[[#This Row],[TPTermFlag]]</f>
        <v>0</v>
      </c>
      <c r="CY55" s="59">
        <f ca="1">INDEX(tblPlanPrem[EP],2)
*tblBaseCF[[#This Row],[TPTermFlag]]</f>
        <v>0</v>
      </c>
      <c r="CZ55" s="63">
        <f ca="1">ROUNDUP(tblBaseCF[[#This Row],[UnroundedEMLoad]]*INDEX(tblPlanPrem[Factor],2),-3)</f>
        <v>0</v>
      </c>
      <c r="DA55" s="63">
        <f ca="1">ROUNDUP(tblBaseCF[[#This Row],[UnroundedPMLoad]]*INDEX(tblPlanPrem[Factor],2),-3)</f>
        <v>0</v>
      </c>
      <c r="DB55" s="63">
        <f ca="1">tblBaseCF[[#This Row],[SemiAnnualEMLoad]]+tblBaseCF[[#This Row],[SemiAnnualPMLoad]]</f>
        <v>0</v>
      </c>
      <c r="DC55" s="63">
        <f ca="1">tblBaseCF[[#This Row],[SemiAnnualTP]]+tblBaseCF[[#This Row],[SemiAnnualEP]]+tblBaseCF[[#This Row],[SemiAnnualLoad]]</f>
        <v>0</v>
      </c>
      <c r="DD55" s="59">
        <f ca="1">INDEX(tblPlanPrem[TP],3)
*tblBaseCF[[#This Row],[TPTermFlag]]</f>
        <v>0</v>
      </c>
      <c r="DE55" s="59">
        <f ca="1">INDEX(tblPlanPrem[EP],3)
*tblBaseCF[[#This Row],[TPTermFlag]]</f>
        <v>0</v>
      </c>
      <c r="DF55" s="63">
        <f ca="1">ROUNDUP(tblBaseCF[[#This Row],[UnroundedEMLoad]]*INDEX(tblPlanPrem[Factor],3),-3)</f>
        <v>0</v>
      </c>
      <c r="DG55" s="63">
        <f ca="1">ROUNDUP(tblBaseCF[[#This Row],[UnroundedPMLoad]]*INDEX(tblPlanPrem[Factor],3),-3)</f>
        <v>0</v>
      </c>
      <c r="DH55" s="60">
        <f ca="1">tblBaseCF[[#This Row],[QuarterlyEMLoad]]+tblBaseCF[[#This Row],[QuarterlyPMLoad]]</f>
        <v>0</v>
      </c>
      <c r="DI55" s="60">
        <f ca="1">tblBaseCF[[#This Row],[QuarterlyTP]]+tblBaseCF[[#This Row],[QuarterlyEP]]+tblBaseCF[[#This Row],[QuarterlyLoad]]</f>
        <v>0</v>
      </c>
      <c r="DJ55" s="59">
        <f ca="1">INDEX(tblPlanPrem[TP],4)
*tblBaseCF[[#This Row],[TPTermFlag]]</f>
        <v>0</v>
      </c>
      <c r="DK55" s="59">
        <f ca="1">INDEX(tblPlanPrem[EP],4)
*tblBaseCF[[#This Row],[TPTermFlag]]</f>
        <v>0</v>
      </c>
      <c r="DL55" s="63">
        <f ca="1">ROUNDUP(tblBaseCF[[#This Row],[UnroundedEMLoad]]*INDEX(tblPlanPrem[Factor],4),-3)</f>
        <v>0</v>
      </c>
      <c r="DM55" s="63">
        <f ca="1">ROUNDUP(tblBaseCF[[#This Row],[UnroundedPMLoad]]*INDEX(tblPlanPrem[Factor],4),-3)</f>
        <v>0</v>
      </c>
      <c r="DN55" s="60">
        <f ca="1">tblBaseCF[[#This Row],[MonthlyEMLoad]]+tblBaseCF[[#This Row],[MonthlyPMLoad]]</f>
        <v>0</v>
      </c>
      <c r="DO55" s="63">
        <f ca="1">tblBaseCF[[#This Row],[MonthlyTP]]+tblBaseCF[[#This Row],[MonthlyEP]]+tblBaseCF[[#This Row],[MonthlyLoad]]</f>
        <v>0</v>
      </c>
      <c r="DP55" s="3"/>
      <c r="DS55">
        <f t="shared" si="7"/>
        <v>0</v>
      </c>
      <c r="DT55">
        <f t="shared" si="8"/>
        <v>0</v>
      </c>
      <c r="DU55">
        <f t="shared" si="9"/>
        <v>0</v>
      </c>
      <c r="DV55">
        <f ca="1">tblBaseCF[[#This Row],[Year]]</f>
        <v>35</v>
      </c>
      <c r="DW55">
        <f ca="1">tblBaseCF[[#This Row],[Age]]</f>
        <v>34</v>
      </c>
      <c r="DX55">
        <f ca="1">tblBaseCF[[#This Row],[ContFlag]]</f>
        <v>0</v>
      </c>
      <c r="DY55" t="str">
        <f ca="1">tblBaseCF[[#This Row],[ContLog]]</f>
        <v>Insufficient PAV for deduction - Discontinue.</v>
      </c>
      <c r="DZ55">
        <f ca="1">tblBaseCF[[#This Row],[StartTAV]]</f>
        <v>0</v>
      </c>
      <c r="EA55">
        <f ca="1">tblBaseCF[[#This Row],[StartEAV]]</f>
        <v>0</v>
      </c>
      <c r="EB55">
        <f ca="1">tblBaseCF[[#This Row],[StartPAV]]</f>
        <v>0</v>
      </c>
      <c r="EC55">
        <f ca="1">tblBaseCF[[#This Row],[SVChrg]]</f>
        <v>0</v>
      </c>
      <c r="ED55">
        <f ca="1">tblBaseCF[[#This Row],[SV]]</f>
        <v>0</v>
      </c>
      <c r="EE55">
        <f ca="1">tblBaseCF[[#This Row],[Ben]]</f>
        <v>0</v>
      </c>
      <c r="EF55">
        <f ca="1">tblBaseCF[[#This Row],[AccBen]]</f>
        <v>0</v>
      </c>
      <c r="EG55">
        <f ca="1">tblBaseCF[[#This Row],[WithdrawalInput]]</f>
        <v>0</v>
      </c>
      <c r="EH55" t="str">
        <f ca="1">tblBaseCF[[#This Row],[WithdrawalLog]]</f>
        <v>No withdrawal.</v>
      </c>
      <c r="EI55">
        <f ca="1">tblBaseCF[[#This Row],[TAVWithdrawal]]</f>
        <v>0</v>
      </c>
      <c r="EJ55">
        <f ca="1">tblBaseCF[[#This Row],[EAVWithdrawal]]</f>
        <v>0</v>
      </c>
      <c r="EK55">
        <f ca="1">tblBaseCF[[#This Row],[Withdrawal]]</f>
        <v>0</v>
      </c>
      <c r="EL55">
        <f ca="1">tblBaseCF[[#This Row],[TP]]</f>
        <v>0</v>
      </c>
      <c r="EM55">
        <f ca="1">tblBaseCF[[#This Row],[TPAllocChrg]]</f>
        <v>0</v>
      </c>
      <c r="EN55">
        <f ca="1">tblBaseCF[[#This Row],[TPAlloc]]</f>
        <v>0</v>
      </c>
      <c r="EO55">
        <f ca="1">tblBaseCF[[#This Row],[EP]]</f>
        <v>0</v>
      </c>
      <c r="EP55">
        <f ca="1">tblBaseCF[[#This Row],[EPAllocChrg]]</f>
        <v>0</v>
      </c>
      <c r="EQ55">
        <f ca="1">tblBaseCF[[#This Row],[EPAlloc]]</f>
        <v>0</v>
      </c>
      <c r="ER55">
        <f ca="1">tblBaseCF[[#This Row],[EMLoad]]</f>
        <v>0</v>
      </c>
      <c r="ES55">
        <f ca="1">tblBaseCF[[#This Row],[PMLoad]]</f>
        <v>0</v>
      </c>
      <c r="ET55">
        <f ca="1">tblBaseCF[[#This Row],[Load]]</f>
        <v>0</v>
      </c>
      <c r="EU55">
        <f ca="1">tblBaseCF[[#This Row],[LoadAllocChrg]]</f>
        <v>0</v>
      </c>
      <c r="EV55">
        <f ca="1">tblBaseCF[[#This Row],[LoadAlloc]]</f>
        <v>0</v>
      </c>
      <c r="EW55">
        <f ca="1">tblBaseCF[[#This Row],[TotalPrem]]</f>
        <v>0</v>
      </c>
      <c r="EX55">
        <f ca="1">tblBaseCF[[#This Row],[AllocChrg]]</f>
        <v>0</v>
      </c>
      <c r="EY55">
        <f ca="1">tblBaseCF[[#This Row],[Alloc]]</f>
        <v>0</v>
      </c>
      <c r="EZ55">
        <f ca="1">tblBaseCF[[#This Row],[AccumTotalPrem]]</f>
        <v>0</v>
      </c>
      <c r="FA55">
        <f>tblBaseCF[[#This Row],[AnnualIntRate]]</f>
        <v>0</v>
      </c>
      <c r="FB55" s="50">
        <f>tblBaseCF[[#This Row],[Duean1m12]]</f>
        <v>1</v>
      </c>
      <c r="FC55">
        <f ca="1">tblBaseCF[[#This Row],[DeductFlag]]</f>
        <v>0</v>
      </c>
      <c r="FD55">
        <f ca="1">tblBaseCF[[#This Row],[AdminChrg]]</f>
        <v>0</v>
      </c>
      <c r="FE55">
        <f ca="1">tblBaseCF[[#This Row],[StandardCOI]]</f>
        <v>0</v>
      </c>
      <c r="FF55">
        <f ca="1">tblBaseCF[[#This Row],[EMLoadCOI]]</f>
        <v>0</v>
      </c>
      <c r="FG55">
        <f ca="1">tblBaseCF[[#This Row],[PMLoadCOI]]</f>
        <v>0</v>
      </c>
      <c r="FH55">
        <f ca="1">tblBaseCF[[#This Row],[COI]]</f>
        <v>0</v>
      </c>
      <c r="FI55" s="47">
        <f ca="1">tblBaseCF[[#This Row],[NomDeduct]]</f>
        <v>0</v>
      </c>
      <c r="FJ55">
        <f ca="1">tblBaseCF[[#This Row],[Deduct]]</f>
        <v>0</v>
      </c>
      <c r="FK55">
        <f ca="1">tblBaseCF[[#This Row],[TAVDeduct]]</f>
        <v>0</v>
      </c>
      <c r="FL55">
        <f ca="1">tblBaseCF[[#This Row],[EAVDeduct]]</f>
        <v>0</v>
      </c>
      <c r="FM55" s="24">
        <f ca="1">tblBaseCF[[#This Row],[TAVInt]]</f>
        <v>0</v>
      </c>
      <c r="FN55">
        <f ca="1">tblBaseCF[[#This Row],[EAVInt]]</f>
        <v>0</v>
      </c>
      <c r="FO55" s="47">
        <f ca="1">tblBaseCF[[#This Row],[LB]]</f>
        <v>0</v>
      </c>
      <c r="FP55">
        <f ca="1">tblBaseCF[[#This Row],[SB]]</f>
        <v>0</v>
      </c>
      <c r="FQ55">
        <f ca="1">tblBaseCF[[#This Row],[Bonus]]</f>
        <v>0</v>
      </c>
      <c r="FR55">
        <f ca="1">tblBaseCF[[#This Row],[EndTAV]]</f>
        <v>0</v>
      </c>
      <c r="FS55">
        <f ca="1">tblBaseCF[[#This Row],[EndEAV]]</f>
        <v>0</v>
      </c>
      <c r="FT55">
        <f ca="1">tblBaseCF[[#This Row],[EndPAV]]</f>
        <v>0</v>
      </c>
      <c r="FU55">
        <f ca="1">tblBaseCF[[#This Row],[SemiAnnualTP]]</f>
        <v>0</v>
      </c>
      <c r="FV55">
        <f ca="1">tblBaseCF[[#This Row],[SemiAnnualEP]]</f>
        <v>0</v>
      </c>
      <c r="FW55">
        <f ca="1">tblBaseCF[[#This Row],[SemiAnnualEMLoad]]</f>
        <v>0</v>
      </c>
      <c r="FX55">
        <f ca="1">tblBaseCF[[#This Row],[SemiAnnualPMLoad]]</f>
        <v>0</v>
      </c>
      <c r="FY55">
        <f ca="1">tblBaseCF[[#This Row],[SemiAnnualLoad]]</f>
        <v>0</v>
      </c>
      <c r="FZ55">
        <f ca="1">tblBaseCF[[#This Row],[SemiAnnualTotalPrem]]</f>
        <v>0</v>
      </c>
      <c r="GA55">
        <f ca="1">tblBaseCF[[#This Row],[QuarterlyTP]]</f>
        <v>0</v>
      </c>
      <c r="GB55">
        <f ca="1">tblBaseCF[[#This Row],[QuarterlyEP]]</f>
        <v>0</v>
      </c>
      <c r="GC55">
        <f ca="1">tblBaseCF[[#This Row],[QuarterlyEMLoad]]</f>
        <v>0</v>
      </c>
      <c r="GD55">
        <f ca="1">tblBaseCF[[#This Row],[QuarterlyPMLoad]]</f>
        <v>0</v>
      </c>
      <c r="GE55">
        <f ca="1">tblBaseCF[[#This Row],[QuarterlyLoad]]</f>
        <v>0</v>
      </c>
      <c r="GF55">
        <f ca="1">tblBaseCF[[#This Row],[QuarterlyTotalPrem]]</f>
        <v>0</v>
      </c>
      <c r="GG55">
        <f ca="1">tblBaseCF[[#This Row],[MonthlyTP]]</f>
        <v>0</v>
      </c>
      <c r="GH55">
        <f ca="1">tblBaseCF[[#This Row],[MonthlyEP]]</f>
        <v>0</v>
      </c>
      <c r="GI55">
        <f ca="1">tblBaseCF[[#This Row],[MonthlyEMLoad]]</f>
        <v>0</v>
      </c>
      <c r="GJ55">
        <f ca="1">tblBaseCF[[#This Row],[MonthlyPMLoad]]</f>
        <v>0</v>
      </c>
      <c r="GK55">
        <f ca="1">tblBaseCF[[#This Row],[MonthlyLoad]]</f>
        <v>0</v>
      </c>
      <c r="GL55">
        <f ca="1">tblBaseCF[[#This Row],[MonthlyTotalPrem]]</f>
        <v>0</v>
      </c>
      <c r="GO55" t="s">
        <v>134</v>
      </c>
      <c r="GP55" t="s">
        <v>135</v>
      </c>
      <c r="GQ55" t="s">
        <v>502</v>
      </c>
      <c r="GR55">
        <v>35</v>
      </c>
      <c r="GS55">
        <v>34</v>
      </c>
      <c r="GT55">
        <v>1</v>
      </c>
      <c r="GU55" t="s">
        <v>457</v>
      </c>
      <c r="GV55">
        <v>53979296.749538302</v>
      </c>
      <c r="GW55">
        <v>414179918.368689</v>
      </c>
      <c r="GX55">
        <v>468159215.11822701</v>
      </c>
      <c r="GY55">
        <v>0</v>
      </c>
      <c r="GZ55">
        <v>468159215.11822701</v>
      </c>
      <c r="HA55">
        <v>468159215.11822701</v>
      </c>
      <c r="HB55">
        <v>303000000</v>
      </c>
      <c r="HC55">
        <v>0</v>
      </c>
      <c r="HD55" t="s">
        <v>137</v>
      </c>
      <c r="HE55">
        <v>0</v>
      </c>
      <c r="HF55">
        <v>0</v>
      </c>
      <c r="HG55">
        <v>0</v>
      </c>
      <c r="HH55">
        <v>1072000</v>
      </c>
      <c r="HI55">
        <v>21440</v>
      </c>
      <c r="HJ55">
        <v>1050560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1072000</v>
      </c>
      <c r="HT55">
        <v>21440</v>
      </c>
      <c r="HU55">
        <v>1050560</v>
      </c>
      <c r="HV55">
        <v>162320000</v>
      </c>
      <c r="HW55">
        <v>7.0000000000000007E-2</v>
      </c>
      <c r="HX55">
        <v>0.96964931039809399</v>
      </c>
      <c r="HY55">
        <v>1</v>
      </c>
      <c r="HZ55">
        <v>300000</v>
      </c>
      <c r="IA55">
        <v>0</v>
      </c>
      <c r="IB55">
        <v>0</v>
      </c>
      <c r="IC55">
        <v>0</v>
      </c>
      <c r="ID55">
        <v>272700</v>
      </c>
      <c r="IE55">
        <v>572700</v>
      </c>
      <c r="IF55">
        <v>555318.16006498795</v>
      </c>
      <c r="IG55">
        <v>555318.16006498795</v>
      </c>
      <c r="IH55">
        <v>0</v>
      </c>
      <c r="II55">
        <v>3813217.7012631302</v>
      </c>
      <c r="IJ55">
        <v>28992594.285808198</v>
      </c>
      <c r="IK55">
        <v>0</v>
      </c>
      <c r="IL55">
        <v>0</v>
      </c>
      <c r="IM55">
        <v>0</v>
      </c>
      <c r="IN55">
        <v>58287756.290736496</v>
      </c>
      <c r="IO55">
        <v>443172512.65449703</v>
      </c>
      <c r="IP55">
        <v>501460268.945234</v>
      </c>
      <c r="IQ55">
        <v>536000</v>
      </c>
      <c r="IR55">
        <v>2600000</v>
      </c>
      <c r="IS55">
        <v>0</v>
      </c>
      <c r="IT55">
        <v>0</v>
      </c>
      <c r="IU55">
        <v>0</v>
      </c>
      <c r="IV55">
        <v>3136000</v>
      </c>
      <c r="IW55">
        <v>268000</v>
      </c>
      <c r="IX55">
        <v>1300000</v>
      </c>
      <c r="IY55">
        <v>0</v>
      </c>
      <c r="IZ55">
        <v>0</v>
      </c>
      <c r="JA55">
        <v>0</v>
      </c>
      <c r="JB55">
        <v>1568000</v>
      </c>
      <c r="JC55">
        <v>90000</v>
      </c>
      <c r="JD55">
        <v>434000</v>
      </c>
      <c r="JE55">
        <v>0</v>
      </c>
      <c r="JF55">
        <v>0</v>
      </c>
      <c r="JG55">
        <v>0</v>
      </c>
      <c r="JH55">
        <v>524000</v>
      </c>
    </row>
    <row r="56" spans="2:268" customFormat="1" x14ac:dyDescent="0.25">
      <c r="B56" s="2">
        <f ca="1">OFFSET(tblBaseCF[[#This Row],[Year]],-1,0)+1</f>
        <v>36</v>
      </c>
      <c r="C56" s="2">
        <f ca="1">(tblBaseCF[[#This Row],[Year]]&lt;=term)*1</f>
        <v>1</v>
      </c>
      <c r="D56" s="57">
        <f ca="1">(YEAR(rcd)+tblBaseCF[[#This Row],[Year]]-1)
*tblBaseCF[[#This Row],[PolTermFlag]]</f>
        <v>2060</v>
      </c>
      <c r="E56" s="57">
        <f ca="1">(mainLI_entry_age+tblBaseCF[[#This Row],[Year]]-1)
*tblBaseCF[[#This Row],[PolTermFlag]]</f>
        <v>35</v>
      </c>
      <c r="F56" s="57">
        <f ca="1">IF(tblBaseCF[[#This Row],[Year]]=1,1,OFFSET(tblBaseCF[[#This Row],[DeductFlag]],-1,0))
*tblBaseCF[[#This Row],[PolTermFlag]]</f>
        <v>0</v>
      </c>
      <c r="G5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6" s="57">
        <f ca="1">(tblBaseCF[[#This Row],[Year]]&lt;=acc_ben_term)
*tblBaseCF[[#This Row],[ContFlag]]</f>
        <v>0</v>
      </c>
      <c r="I56" s="57">
        <f ca="1">(tblBaseCF[[#This Row],[Year]]&lt;=tp_term)
*tblBaseCF[[#This Row],[ContFlag]]</f>
        <v>0</v>
      </c>
      <c r="J56" s="57">
        <f ca="1">(tblBaseCF[[#This Row],[Year]]&lt;=ep_term)
*tblBaseCF[[#This Row],[ContFlag]]</f>
        <v>0</v>
      </c>
      <c r="K56" s="57">
        <f ca="1">(tblBaseCF[[#This Row],[Year]]&lt;=em_load_term)*1</f>
        <v>0</v>
      </c>
      <c r="L56" s="57">
        <f ca="1">(tblBaseCF[[#This Row],[Year]]&lt;=pm_load_term)*1</f>
        <v>0</v>
      </c>
      <c r="M56" s="59">
        <f ca="1">IF(tblBaseCF[[#This Row],[Year]]=1,si,OFFSET(tblBaseCF[[#This Row],[EndSI]],-1,0))
*tblBaseCF[[#This Row],[ContFlag]]</f>
        <v>0</v>
      </c>
      <c r="N56" s="59">
        <f ca="1">OFFSET(tblBaseCF[[#This Row],[EndTAV]],-1,0)
*tblBaseCF[[#This Row],[ContFlag]]</f>
        <v>0</v>
      </c>
      <c r="O56" s="59">
        <f ca="1">OFFSET(tblBaseCF[[#This Row],[EndEAV]],-1,0)
*tblBaseCF[[#This Row],[ContFlag]]</f>
        <v>0</v>
      </c>
      <c r="P56" s="60">
        <f ca="1">tblBaseCF[[#This Row],[StartEAV]]+tblBaseCF[[#This Row],[StartTAV]]</f>
        <v>0</v>
      </c>
      <c r="Q56" s="61">
        <f ca="1">IFERROR(INDEX(tblJuvenileLienRate[Rate],MATCH(tblBaseCF[[#This Row],[Age]],tblJuvenileLienRate[Age],0)),1)
*tblBaseCF[[#This Row],[ContFlag]]</f>
        <v>0</v>
      </c>
      <c r="R5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6" s="62">
        <f ca="1">tblBaseCF[[#This Row],[StartSI]]*acc_ben_coeff*tblBaseCF[[#This Row],[JuvenileLienRate]]
*tblBaseCF[[#This Row],[AccBenTermFlag]]</f>
        <v>0</v>
      </c>
      <c r="T56" s="61">
        <f ca="1">(IFERROR(INDEX(tblSurrChrgRate[Rate],MATCH(tblBaseCF[[#This Row],[Year]],tblSurrChrgRate[Year],0)),0)
*tblBaseCF[[#This Row],[ContFlag]])</f>
        <v>0</v>
      </c>
      <c r="U56" s="60">
        <f ca="1">tp*tblBaseCF[[#This Row],[SrrChrgRate]]</f>
        <v>0</v>
      </c>
      <c r="V56" s="63">
        <f ca="1">MAX(tblBaseCF[[#This Row],[StartTAV]]-tblBaseCF[[#This Row],[SVChrg]],0)+tblBaseCF[[#This Row],[StartEAV]]</f>
        <v>0</v>
      </c>
      <c r="W56" s="59">
        <f ca="1">IFERROR(INDEX(tblWithdrawal_Output[Amount],MATCH(tblBaseCF[[#This Row],[Year]],tblWithdrawal_Output[Year],0)),0)
*tblBaseCF[[#This Row],[ContFlag]]</f>
        <v>0</v>
      </c>
      <c r="X56" s="59" t="b">
        <f ca="1">tblBaseCF[[#This Row],[WithdrawalInput]]&gt;0</f>
        <v>0</v>
      </c>
      <c r="Y56" s="59" t="b">
        <f ca="1">AND(tblBaseCF[[#This Row],[1stCheckProceed]],tblBaseCF[[#This Row],[WithdrawalInput]]&lt;=tblBaseCF[[#This Row],[StartPAV]])</f>
        <v>0</v>
      </c>
      <c r="Z56" s="59" t="b">
        <f ca="1">AND(tblBaseCF[[#This Row],[2ndCheckAmount]],(tblBaseCF[[#This Row],[StartPAV]]-tblBaseCF[[#This Row],[WithdrawalInput]])&gt;=min_pav_after_withdrawal)</f>
        <v>0</v>
      </c>
      <c r="AA5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6" s="59" t="b">
        <f ca="1">AND(tblBaseCF[[#This Row],[3rdCheckPAV]],tblBaseCF[[#This Row],[endSITest]]&gt;=min_base_si)</f>
        <v>0</v>
      </c>
      <c r="AC56" s="60">
        <f ca="1">tblBaseCF[[#This Row],[WithdrawalInput]]*tblBaseCF[[#This Row],[4thCheckSI]]</f>
        <v>0</v>
      </c>
      <c r="AD56" s="60">
        <f ca="1">MIN(tblBaseCF[[#This Row],[Withdrawal]],tblBaseCF[[#This Row],[StartEAV]])</f>
        <v>0</v>
      </c>
      <c r="AE56" s="60">
        <f ca="1">tblBaseCF[[#This Row],[Withdrawal]]-tblBaseCF[[#This Row],[EAVWithdrawal]]</f>
        <v>0</v>
      </c>
      <c r="AF56" s="60">
        <f ca="1">IF(tblBaseCF[[#This Row],[4thCheckSI]],tblBaseCF[[#This Row],[endSITest]],tblBaseCF[[#This Row],[StartSI]])</f>
        <v>0</v>
      </c>
      <c r="AG5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6" s="65">
        <f ca="1">IFERROR(INDEX(tblTPAllocChrgRate[Rate],MATCH(tblBaseCF[[#This Row],[Year]],tblTPAllocChrgRate[Year],0)),0)</f>
        <v>0.02</v>
      </c>
      <c r="AI56" s="62">
        <f ca="1">(tp+big_case_bonus_tp*(tblBaseCF[[#This Row],[Year]]=1))
*tblBaseCF[[#This Row],[TPTermFlag]]</f>
        <v>0</v>
      </c>
      <c r="AJ56" s="63">
        <f ca="1">tblBaseCF[[#This Row],[TP]]*tblBaseCF[[#This Row],[TPAllocChrgRate]]</f>
        <v>0</v>
      </c>
      <c r="AK56" s="60">
        <f ca="1">tblBaseCF[[#This Row],[TP]]-tblBaseCF[[#This Row],[TPAllocChrg]]</f>
        <v>0</v>
      </c>
      <c r="AL56" s="65">
        <f ca="1">IFERROR(INDEX(tblEPAllocChrgRate[Rate],MATCH(tblBaseCF[[#This Row],[Year]],tblEPAllocChrgRate[Year],0)),0)</f>
        <v>0.02</v>
      </c>
      <c r="AM56" s="60">
        <f ca="1">ep*tblBaseCF[[#This Row],[EPTermFlag]]</f>
        <v>0</v>
      </c>
      <c r="AN56" s="60">
        <f ca="1">tblBaseCF[[#This Row],[EP]]*tblBaseCF[[#This Row],[EPAllocChrgRate]]</f>
        <v>0</v>
      </c>
      <c r="AO56" s="63">
        <f ca="1">tblBaseCF[[#This Row],[EP]]-tblBaseCF[[#This Row],[EPAllocChrg]]</f>
        <v>0</v>
      </c>
      <c r="AP56" s="62">
        <f ca="1">tblBaseCF[[#This Row],[Ben]]*extra_prem_rate*em_load/1000/(1-tblBaseCF[[#This Row],[EPAllocChrgRate]])
*tblBaseCF[[#This Row],[EMLoadTermFlag]]</f>
        <v>0</v>
      </c>
      <c r="AQ56" s="62">
        <f ca="1">tblBaseCF[[#This Row],[Ben]]*pm_load/1000/(1-tblBaseCF[[#This Row],[EPAllocChrgRate]])
*tblBaseCF[[#This Row],[PMLoadTermFlag]]</f>
        <v>0</v>
      </c>
      <c r="AR56" s="60">
        <f ca="1">ROUNDUP(tblBaseCF[[#This Row],[UnroundedEMLoad]],-3)</f>
        <v>0</v>
      </c>
      <c r="AS56" s="62">
        <f ca="1">ROUNDUP(tblBaseCF[[#This Row],[Ben]]*pm_load/1000/(1-tblBaseCF[[#This Row],[EPAllocChrgRate]]),-3)
*tblBaseCF[[#This Row],[PMLoadTermFlag]]</f>
        <v>0</v>
      </c>
      <c r="AT56" s="60">
        <f ca="1">tblBaseCF[[#This Row],[EMLoad]]+tblBaseCF[[#This Row],[PMLoad]]</f>
        <v>0</v>
      </c>
      <c r="AU56" s="60">
        <f ca="1">tblBaseCF[[#This Row],[Load]]*tblBaseCF[[#This Row],[EPAllocChrgRate]]</f>
        <v>0</v>
      </c>
      <c r="AV56" s="60">
        <f ca="1">tblBaseCF[[#This Row],[Load]]-tblBaseCF[[#This Row],[LoadAllocChrg]]</f>
        <v>0</v>
      </c>
      <c r="AW56" s="60">
        <f ca="1">tblBaseCF[[#This Row],[TP]]+tblBaseCF[[#This Row],[EP]]+tblBaseCF[[#This Row],[Load]]</f>
        <v>0</v>
      </c>
      <c r="AX56" s="60">
        <f ca="1">tblBaseCF[[#This Row],[TPAllocChrg]]+tblBaseCF[[#This Row],[EPAllocChrg]]+tblBaseCF[[#This Row],[LoadAllocChrg]]</f>
        <v>0</v>
      </c>
      <c r="AY56" s="60">
        <f ca="1">tblBaseCF[[#This Row],[TPAlloc]]+tblBaseCF[[#This Row],[EPAlloc]]+tblBaseCF[[#This Row],[LoadAlloc]]</f>
        <v>0</v>
      </c>
      <c r="AZ56" s="60">
        <f ca="1">(OFFSET(tblBaseCF[[#This Row],[AccumTotalPrem]],-1,0)+tblBaseCF[[#This Row],[TotalPrem]])*tblBaseCF[[#This Row],[TPTermFlag]]</f>
        <v>0</v>
      </c>
      <c r="BA56" s="62">
        <f ca="1">(tblBaseCF[[#This Row],[StartTAV]]-tblBaseCF[[#This Row],[TAVWithdrawal]]+tblBaseCF[[#This Row],[TPAlloc]])
*tblBaseCF[[#This Row],[ContFlag]]</f>
        <v>0</v>
      </c>
      <c r="BB56" s="59">
        <f ca="1">(tblBaseCF[[#This Row],[StartEAV]]-tblBaseCF[[#This Row],[EAVWithdrawal]]+tblBaseCF[[#This Row],[EPAlloc]]+tblBaseCF[[#This Row],[LoadAlloc]])
*tblBaseCF[[#This Row],[ContFlag]]</f>
        <v>0</v>
      </c>
      <c r="BC56" s="59">
        <f ca="1">tblBaseCF[[#This Row],[TAVAfterWdrlAlloc]]+tblBaseCF[[#This Row],[EAVAfterWdrlAlloc]]</f>
        <v>0</v>
      </c>
      <c r="BD56" s="66">
        <f t="shared" si="6"/>
        <v>0</v>
      </c>
      <c r="BE56" s="67">
        <f>(1+tblBaseCF[[#This Row],[AnnualIntRate]])^(1/12)-1</f>
        <v>0</v>
      </c>
      <c r="BF56" s="68">
        <f>IFERROR(((1+tblBaseCF[[#This Row],[MonthlyIntRate]])^12-1)/12/(1-1/(1+tblBaseCF[[#This Row],[MonthlyIntRate]])),1)/(1+tblBaseCF[[#This Row],[AnnualIntRate]])</f>
        <v>1</v>
      </c>
      <c r="BG56" s="69">
        <f>PV(tblBaseCF[[#This Row],[MonthlyIntRate]],12,-1/12,,1)</f>
        <v>1</v>
      </c>
      <c r="BH56" s="60">
        <f ca="1">MAX(IF(death_tpd_option="A",tblBaseCF[[#This Row],[Ben]]-tblBaseCF[[#This Row],[StartPAV]],tblBaseCF[[#This Row],[Ben]]),0)</f>
        <v>0</v>
      </c>
      <c r="BI56" s="70">
        <f ca="1">IFERROR(INDEX(tblBaseCOIRate[Rate],MATCH(tblBaseCF[[#This Row],[Age]],tblBaseCOIRate[Age],0)),0)</f>
        <v>1.6999999999999201E-3</v>
      </c>
      <c r="BJ56" s="60">
        <f ca="1">tblBaseCF[[#This Row],[SAR]]*tblBaseCF[[#This Row],[COIRate]]</f>
        <v>0</v>
      </c>
      <c r="BK56" s="62">
        <f ca="1">em_load*tblBaseCF[[#This Row],[pStandardCOI]]
*tblBaseCF[[#This Row],[EMLoadTermFlag]]</f>
        <v>0</v>
      </c>
      <c r="BL56" s="62">
        <f ca="1">pm_load/1000*tblBaseCF[[#This Row],[SAR]]
*tblBaseCF[[#This Row],[PMLoadTermFlag]]</f>
        <v>0</v>
      </c>
      <c r="BM56" s="60">
        <f ca="1">tblBaseCF[[#This Row],[AccBen]]*monthly_acc_coi*12</f>
        <v>0</v>
      </c>
      <c r="BN56" s="60">
        <f ca="1">tblBaseCF[[#This Row],[pStandardCOI]]+tblBaseCF[[#This Row],[pEMLoadCOI]]+tblBaseCF[[#This Row],[pPMLoadCOI]]+tblBaseCF[[#This Row],[pAccCOI]]</f>
        <v>0</v>
      </c>
      <c r="BO56" s="62">
        <f ca="1">IFERROR(INDEX(tblAdminChrg[Amount],MATCH(tblBaseCF[[#This Row],[CalYear]],tblAdminChrg[Cal_Year],0)),0)
*tblBaseCF[[#This Row],[ContFlag]]</f>
        <v>0</v>
      </c>
      <c r="BP56" s="60">
        <f ca="1">tblBaseCF[[#This Row],[pMonthlyAdminChrg]]*12</f>
        <v>0</v>
      </c>
      <c r="BQ56" s="60">
        <f ca="1">tblBaseCF[[#This Row],[pCOI]]+tblBaseCF[[#This Row],[pAdminChrg]]</f>
        <v>0</v>
      </c>
      <c r="BR56" s="60">
        <f ca="1">tblBaseCF[[#This Row],[pNomDeduct]]*tblBaseCF[[#This Row],[Duean1m12]]</f>
        <v>0</v>
      </c>
      <c r="BS56" s="57">
        <f ca="1">(tblBaseCF[[#This Row],[PAVAfterWdrlAlloc]]&gt;=tblBaseCF[[#This Row],[pNomDeduct]])
*tblBaseCF[[#This Row],[ContFlag]]</f>
        <v>0</v>
      </c>
      <c r="BT56" s="60">
        <f ca="1">tblBaseCF[[#This Row],[pStandardCOI]]*tblBaseCF[[#This Row],[DeductFlag]]</f>
        <v>0</v>
      </c>
      <c r="BU56" s="60">
        <f ca="1">tblBaseCF[[#This Row],[pEMLoadCOI]]*tblBaseCF[[#This Row],[DeductFlag]]</f>
        <v>0</v>
      </c>
      <c r="BV56" s="60">
        <f ca="1">tblBaseCF[[#This Row],[pPMLoadCOI]]*tblBaseCF[[#This Row],[DeductFlag]]</f>
        <v>0</v>
      </c>
      <c r="BW56" s="60">
        <f ca="1">tblBaseCF[[#This Row],[pAccCOI]]*tblBaseCF[[#This Row],[DeductFlag]]</f>
        <v>0</v>
      </c>
      <c r="BX56" s="60">
        <f ca="1">tblBaseCF[[#This Row],[pCOI]]*tblBaseCF[[#This Row],[DeductFlag]]</f>
        <v>0</v>
      </c>
      <c r="BY56" s="60">
        <f ca="1">tblBaseCF[[#This Row],[pMonthlyAdminChrg]]*tblBaseCF[[#This Row],[DeductFlag]]</f>
        <v>0</v>
      </c>
      <c r="BZ56" s="60">
        <f ca="1">tblBaseCF[[#This Row],[pAdminChrg]]*tblBaseCF[[#This Row],[DeductFlag]]</f>
        <v>0</v>
      </c>
      <c r="CA56" s="60">
        <f ca="1">tblBaseCF[[#This Row],[pNomDeduct]]*tblBaseCF[[#This Row],[DeductFlag]]</f>
        <v>0</v>
      </c>
      <c r="CB56" s="60">
        <f ca="1">tblBaseCF[[#This Row],[pDeduct]]*tblBaseCF[[#This Row],[DeductFlag]]</f>
        <v>0</v>
      </c>
      <c r="CC56" s="60">
        <f ca="1">MIN(tblBaseCF[[#This Row],[TAVAfterWdrlAlloc]],tblBaseCF[[#This Row],[Deduct]])</f>
        <v>0</v>
      </c>
      <c r="CD56" s="60">
        <f ca="1">tblBaseCF[[#This Row],[Deduct]]-tblBaseCF[[#This Row],[TAVDeduct]]</f>
        <v>0</v>
      </c>
      <c r="CE56" s="69">
        <f ca="1">(tblBaseCF[[#This Row],[TAVAfterWdrlAlloc]]-tblBaseCF[[#This Row],[TAVDeduct]])*tblBaseCF[[#This Row],[AnnualIntRate]]
*tblBaseCF[[#This Row],[DeductFlag]]</f>
        <v>0</v>
      </c>
      <c r="CF56" s="69">
        <f ca="1">(tblBaseCF[[#This Row],[EAVAfterWdrlAlloc]]-tblBaseCF[[#This Row],[EAVDeduct]])*tblBaseCF[[#This Row],[AnnualIntRate]]
*tblBaseCF[[#This Row],[DeductFlag]]</f>
        <v>0</v>
      </c>
      <c r="CG56" s="69">
        <f ca="1">tblBaseCF[[#This Row],[TAVInt]]+tblBaseCF[[#This Row],[EAVInt]]</f>
        <v>0</v>
      </c>
      <c r="CH56" s="62">
        <f ca="1">IFERROR(INDEX(tblLBRate[Rate],MATCH(tblBaseCF[[#This Row],[Year]],tblLBRate[Year],0)),0)
*tblBaseCF[[#This Row],[DeductFlag]]</f>
        <v>0</v>
      </c>
      <c r="CI56" s="60">
        <f ca="1">IFERROR(SUM(OFFSET(tblBaseCF[[#This Row],[TAVWithdrawal]],0,0,-lb_review_period,1)),0)
*(tblBaseCF[[#This Row],[LBRate]]&gt;0)</f>
        <v>0</v>
      </c>
      <c r="CJ56" s="60">
        <f ca="1">(tblBaseCF[[#This Row],[LBRate]]&gt;0)*(tblBaseCF[[#This Row],[LBTAVWithdrawal]]=0)</f>
        <v>0</v>
      </c>
      <c r="CK56" s="62" cm="1">
        <f t="array" aca="1" ref="CK56" ca="1">IF(tblBaseCF[[#This Row],[LBFlag]],
_xlfn.SWITCH(base,
"ILP1",AVERAGE(OFFSET(tblBaseCF[TP],0,0,-lb_review_period,1)),tp),0)
*tblBaseCF[[#This Row],[LBFlag]]</f>
        <v>0</v>
      </c>
      <c r="CL56" s="62">
        <f ca="1">tblBaseCF[[#This Row],[LBBasis]]*tblBaseCF[[#This Row],[LBRate]]</f>
        <v>0</v>
      </c>
      <c r="CM56" s="57" cm="1">
        <f t="array" aca="1" ref="CM56" ca="1">_xlfn.SWITCH(base,
"ILP1",0,($AF156&lt;500000000)*1
+($AF156&gt;=500000000)*($AF156&lt;1000000000)*2
+($AF156&gt;=1000000000)*3)
*tblBaseCF[[#This Row],[DeductFlag]]</f>
        <v>0</v>
      </c>
      <c r="CN56" s="2" t="str">
        <f ca="1">IF(tblBaseCF[[#This Row],[DeductFlag]],base&amp;"_"&amp;tblBaseCF[[#This Row],[SBCode]]&amp;"_"&amp;tblBaseCF[[#This Row],[Year]],"")</f>
        <v/>
      </c>
      <c r="CO56" s="3">
        <f ca="1">IFERROR(INDEX(tblSBRate[Index],MATCH(tblBaseCF[[#This Row],[SBIndex]],tblSBRate[Rate],0)),0)</f>
        <v>0</v>
      </c>
      <c r="CP56" s="63">
        <f ca="1">IFERROR(SUM(OFFSET(tblBaseCF[[#This Row],[TAVWithdrawal]],0,0,-sb_review_period,1)),0)
*(tblBaseCF[[#This Row],[SBRate]]&gt;0)</f>
        <v>0</v>
      </c>
      <c r="CQ56" s="63">
        <f ca="1">(tblBaseCF[[#This Row],[SBRate]]&gt;0)*(tblBaseCF[[#This Row],[SBTAVWithdrawal]]=0)</f>
        <v>0</v>
      </c>
      <c r="CR56" s="59" cm="1">
        <f t="array" aca="1" ref="CR56" ca="1">IF(tblBaseCF[[#This Row],[LBFlag]],
_xlfn.SWITCH(base,
"ILP1",0,tp),0)*tblBaseCF[[#This Row],[SBFlag]]</f>
        <v>0</v>
      </c>
      <c r="CS56" s="63">
        <f ca="1">tblBaseCF[[#This Row],[SBBasis]]*tblBaseCF[[#This Row],[SBRate]]</f>
        <v>0</v>
      </c>
      <c r="CT56" s="63">
        <f ca="1">tblBaseCF[[#This Row],[LB]]+tblBaseCF[[#This Row],[SB]]</f>
        <v>0</v>
      </c>
      <c r="CU56" s="59">
        <f ca="1">tblBaseCF[[#This Row],[TAVAfterWdrlAlloc]]-tblBaseCF[[#This Row],[TAVDeduct]]+tblBaseCF[[#This Row],[TAVInt]]+tblBaseCF[[#This Row],[Bonus]]</f>
        <v>0</v>
      </c>
      <c r="CV56" s="59">
        <f ca="1">tblBaseCF[[#This Row],[EAVAfterWdrlAlloc]]-tblBaseCF[[#This Row],[EAVDeduct]]+tblBaseCF[[#This Row],[EAVInt]]</f>
        <v>0</v>
      </c>
      <c r="CW56" s="63">
        <f ca="1">tblBaseCF[[#This Row],[EndTAV]]+tblBaseCF[[#This Row],[EndEAV]]</f>
        <v>0</v>
      </c>
      <c r="CX56" s="59">
        <f ca="1">INDEX(tblPlanPrem[TP],2)
*tblBaseCF[[#This Row],[TPTermFlag]]</f>
        <v>0</v>
      </c>
      <c r="CY56" s="59">
        <f ca="1">INDEX(tblPlanPrem[EP],2)
*tblBaseCF[[#This Row],[TPTermFlag]]</f>
        <v>0</v>
      </c>
      <c r="CZ56" s="63">
        <f ca="1">ROUNDUP(tblBaseCF[[#This Row],[UnroundedEMLoad]]*INDEX(tblPlanPrem[Factor],2),-3)</f>
        <v>0</v>
      </c>
      <c r="DA56" s="63">
        <f ca="1">ROUNDUP(tblBaseCF[[#This Row],[UnroundedPMLoad]]*INDEX(tblPlanPrem[Factor],2),-3)</f>
        <v>0</v>
      </c>
      <c r="DB56" s="63">
        <f ca="1">tblBaseCF[[#This Row],[SemiAnnualEMLoad]]+tblBaseCF[[#This Row],[SemiAnnualPMLoad]]</f>
        <v>0</v>
      </c>
      <c r="DC56" s="63">
        <f ca="1">tblBaseCF[[#This Row],[SemiAnnualTP]]+tblBaseCF[[#This Row],[SemiAnnualEP]]+tblBaseCF[[#This Row],[SemiAnnualLoad]]</f>
        <v>0</v>
      </c>
      <c r="DD56" s="59">
        <f ca="1">INDEX(tblPlanPrem[TP],3)
*tblBaseCF[[#This Row],[TPTermFlag]]</f>
        <v>0</v>
      </c>
      <c r="DE56" s="59">
        <f ca="1">INDEX(tblPlanPrem[EP],3)
*tblBaseCF[[#This Row],[TPTermFlag]]</f>
        <v>0</v>
      </c>
      <c r="DF56" s="63">
        <f ca="1">ROUNDUP(tblBaseCF[[#This Row],[UnroundedEMLoad]]*INDEX(tblPlanPrem[Factor],3),-3)</f>
        <v>0</v>
      </c>
      <c r="DG56" s="63">
        <f ca="1">ROUNDUP(tblBaseCF[[#This Row],[UnroundedPMLoad]]*INDEX(tblPlanPrem[Factor],3),-3)</f>
        <v>0</v>
      </c>
      <c r="DH56" s="60">
        <f ca="1">tblBaseCF[[#This Row],[QuarterlyEMLoad]]+tblBaseCF[[#This Row],[QuarterlyPMLoad]]</f>
        <v>0</v>
      </c>
      <c r="DI56" s="60">
        <f ca="1">tblBaseCF[[#This Row],[QuarterlyTP]]+tblBaseCF[[#This Row],[QuarterlyEP]]+tblBaseCF[[#This Row],[QuarterlyLoad]]</f>
        <v>0</v>
      </c>
      <c r="DJ56" s="59">
        <f ca="1">INDEX(tblPlanPrem[TP],4)
*tblBaseCF[[#This Row],[TPTermFlag]]</f>
        <v>0</v>
      </c>
      <c r="DK56" s="59">
        <f ca="1">INDEX(tblPlanPrem[EP],4)
*tblBaseCF[[#This Row],[TPTermFlag]]</f>
        <v>0</v>
      </c>
      <c r="DL56" s="63">
        <f ca="1">ROUNDUP(tblBaseCF[[#This Row],[UnroundedEMLoad]]*INDEX(tblPlanPrem[Factor],4),-3)</f>
        <v>0</v>
      </c>
      <c r="DM56" s="63">
        <f ca="1">ROUNDUP(tblBaseCF[[#This Row],[UnroundedPMLoad]]*INDEX(tblPlanPrem[Factor],4),-3)</f>
        <v>0</v>
      </c>
      <c r="DN56" s="60">
        <f ca="1">tblBaseCF[[#This Row],[MonthlyEMLoad]]+tblBaseCF[[#This Row],[MonthlyPMLoad]]</f>
        <v>0</v>
      </c>
      <c r="DO56" s="63">
        <f ca="1">tblBaseCF[[#This Row],[MonthlyTP]]+tblBaseCF[[#This Row],[MonthlyEP]]+tblBaseCF[[#This Row],[MonthlyLoad]]</f>
        <v>0</v>
      </c>
      <c r="DP56" s="3"/>
      <c r="DS56">
        <f t="shared" si="7"/>
        <v>0</v>
      </c>
      <c r="DT56">
        <f t="shared" si="8"/>
        <v>0</v>
      </c>
      <c r="DU56">
        <f t="shared" si="9"/>
        <v>0</v>
      </c>
      <c r="DV56">
        <f ca="1">tblBaseCF[[#This Row],[Year]]</f>
        <v>36</v>
      </c>
      <c r="DW56">
        <f ca="1">tblBaseCF[[#This Row],[Age]]</f>
        <v>35</v>
      </c>
      <c r="DX56">
        <f ca="1">tblBaseCF[[#This Row],[ContFlag]]</f>
        <v>0</v>
      </c>
      <c r="DY56" t="str">
        <f ca="1">tblBaseCF[[#This Row],[ContLog]]</f>
        <v>Insufficient PAV for deduction - Discontinue.</v>
      </c>
      <c r="DZ56">
        <f ca="1">tblBaseCF[[#This Row],[StartTAV]]</f>
        <v>0</v>
      </c>
      <c r="EA56">
        <f ca="1">tblBaseCF[[#This Row],[StartEAV]]</f>
        <v>0</v>
      </c>
      <c r="EB56">
        <f ca="1">tblBaseCF[[#This Row],[StartPAV]]</f>
        <v>0</v>
      </c>
      <c r="EC56">
        <f ca="1">tblBaseCF[[#This Row],[SVChrg]]</f>
        <v>0</v>
      </c>
      <c r="ED56">
        <f ca="1">tblBaseCF[[#This Row],[SV]]</f>
        <v>0</v>
      </c>
      <c r="EE56">
        <f ca="1">tblBaseCF[[#This Row],[Ben]]</f>
        <v>0</v>
      </c>
      <c r="EF56">
        <f ca="1">tblBaseCF[[#This Row],[AccBen]]</f>
        <v>0</v>
      </c>
      <c r="EG56">
        <f ca="1">tblBaseCF[[#This Row],[WithdrawalInput]]</f>
        <v>0</v>
      </c>
      <c r="EH56" t="str">
        <f ca="1">tblBaseCF[[#This Row],[WithdrawalLog]]</f>
        <v>No withdrawal.</v>
      </c>
      <c r="EI56">
        <f ca="1">tblBaseCF[[#This Row],[TAVWithdrawal]]</f>
        <v>0</v>
      </c>
      <c r="EJ56">
        <f ca="1">tblBaseCF[[#This Row],[EAVWithdrawal]]</f>
        <v>0</v>
      </c>
      <c r="EK56">
        <f ca="1">tblBaseCF[[#This Row],[Withdrawal]]</f>
        <v>0</v>
      </c>
      <c r="EL56">
        <f ca="1">tblBaseCF[[#This Row],[TP]]</f>
        <v>0</v>
      </c>
      <c r="EM56">
        <f ca="1">tblBaseCF[[#This Row],[TPAllocChrg]]</f>
        <v>0</v>
      </c>
      <c r="EN56">
        <f ca="1">tblBaseCF[[#This Row],[TPAlloc]]</f>
        <v>0</v>
      </c>
      <c r="EO56">
        <f ca="1">tblBaseCF[[#This Row],[EP]]</f>
        <v>0</v>
      </c>
      <c r="EP56">
        <f ca="1">tblBaseCF[[#This Row],[EPAllocChrg]]</f>
        <v>0</v>
      </c>
      <c r="EQ56">
        <f ca="1">tblBaseCF[[#This Row],[EPAlloc]]</f>
        <v>0</v>
      </c>
      <c r="ER56">
        <f ca="1">tblBaseCF[[#This Row],[EMLoad]]</f>
        <v>0</v>
      </c>
      <c r="ES56">
        <f ca="1">tblBaseCF[[#This Row],[PMLoad]]</f>
        <v>0</v>
      </c>
      <c r="ET56">
        <f ca="1">tblBaseCF[[#This Row],[Load]]</f>
        <v>0</v>
      </c>
      <c r="EU56">
        <f ca="1">tblBaseCF[[#This Row],[LoadAllocChrg]]</f>
        <v>0</v>
      </c>
      <c r="EV56">
        <f ca="1">tblBaseCF[[#This Row],[LoadAlloc]]</f>
        <v>0</v>
      </c>
      <c r="EW56">
        <f ca="1">tblBaseCF[[#This Row],[TotalPrem]]</f>
        <v>0</v>
      </c>
      <c r="EX56">
        <f ca="1">tblBaseCF[[#This Row],[AllocChrg]]</f>
        <v>0</v>
      </c>
      <c r="EY56">
        <f ca="1">tblBaseCF[[#This Row],[Alloc]]</f>
        <v>0</v>
      </c>
      <c r="EZ56">
        <f ca="1">tblBaseCF[[#This Row],[AccumTotalPrem]]</f>
        <v>0</v>
      </c>
      <c r="FA56">
        <f>tblBaseCF[[#This Row],[AnnualIntRate]]</f>
        <v>0</v>
      </c>
      <c r="FB56" s="50">
        <f>tblBaseCF[[#This Row],[Duean1m12]]</f>
        <v>1</v>
      </c>
      <c r="FC56">
        <f ca="1">tblBaseCF[[#This Row],[DeductFlag]]</f>
        <v>0</v>
      </c>
      <c r="FD56">
        <f ca="1">tblBaseCF[[#This Row],[AdminChrg]]</f>
        <v>0</v>
      </c>
      <c r="FE56">
        <f ca="1">tblBaseCF[[#This Row],[StandardCOI]]</f>
        <v>0</v>
      </c>
      <c r="FF56">
        <f ca="1">tblBaseCF[[#This Row],[EMLoadCOI]]</f>
        <v>0</v>
      </c>
      <c r="FG56">
        <f ca="1">tblBaseCF[[#This Row],[PMLoadCOI]]</f>
        <v>0</v>
      </c>
      <c r="FH56">
        <f ca="1">tblBaseCF[[#This Row],[COI]]</f>
        <v>0</v>
      </c>
      <c r="FI56" s="47">
        <f ca="1">tblBaseCF[[#This Row],[NomDeduct]]</f>
        <v>0</v>
      </c>
      <c r="FJ56">
        <f ca="1">tblBaseCF[[#This Row],[Deduct]]</f>
        <v>0</v>
      </c>
      <c r="FK56">
        <f ca="1">tblBaseCF[[#This Row],[TAVDeduct]]</f>
        <v>0</v>
      </c>
      <c r="FL56">
        <f ca="1">tblBaseCF[[#This Row],[EAVDeduct]]</f>
        <v>0</v>
      </c>
      <c r="FM56" s="24">
        <f ca="1">tblBaseCF[[#This Row],[TAVInt]]</f>
        <v>0</v>
      </c>
      <c r="FN56">
        <f ca="1">tblBaseCF[[#This Row],[EAVInt]]</f>
        <v>0</v>
      </c>
      <c r="FO56" s="47">
        <f ca="1">tblBaseCF[[#This Row],[LB]]</f>
        <v>0</v>
      </c>
      <c r="FP56">
        <f ca="1">tblBaseCF[[#This Row],[SB]]</f>
        <v>0</v>
      </c>
      <c r="FQ56">
        <f ca="1">tblBaseCF[[#This Row],[Bonus]]</f>
        <v>0</v>
      </c>
      <c r="FR56">
        <f ca="1">tblBaseCF[[#This Row],[EndTAV]]</f>
        <v>0</v>
      </c>
      <c r="FS56">
        <f ca="1">tblBaseCF[[#This Row],[EndEAV]]</f>
        <v>0</v>
      </c>
      <c r="FT56">
        <f ca="1">tblBaseCF[[#This Row],[EndPAV]]</f>
        <v>0</v>
      </c>
      <c r="FU56">
        <f ca="1">tblBaseCF[[#This Row],[SemiAnnualTP]]</f>
        <v>0</v>
      </c>
      <c r="FV56">
        <f ca="1">tblBaseCF[[#This Row],[SemiAnnualEP]]</f>
        <v>0</v>
      </c>
      <c r="FW56">
        <f ca="1">tblBaseCF[[#This Row],[SemiAnnualEMLoad]]</f>
        <v>0</v>
      </c>
      <c r="FX56">
        <f ca="1">tblBaseCF[[#This Row],[SemiAnnualPMLoad]]</f>
        <v>0</v>
      </c>
      <c r="FY56">
        <f ca="1">tblBaseCF[[#This Row],[SemiAnnualLoad]]</f>
        <v>0</v>
      </c>
      <c r="FZ56">
        <f ca="1">tblBaseCF[[#This Row],[SemiAnnualTotalPrem]]</f>
        <v>0</v>
      </c>
      <c r="GA56">
        <f ca="1">tblBaseCF[[#This Row],[QuarterlyTP]]</f>
        <v>0</v>
      </c>
      <c r="GB56">
        <f ca="1">tblBaseCF[[#This Row],[QuarterlyEP]]</f>
        <v>0</v>
      </c>
      <c r="GC56">
        <f ca="1">tblBaseCF[[#This Row],[QuarterlyEMLoad]]</f>
        <v>0</v>
      </c>
      <c r="GD56">
        <f ca="1">tblBaseCF[[#This Row],[QuarterlyPMLoad]]</f>
        <v>0</v>
      </c>
      <c r="GE56">
        <f ca="1">tblBaseCF[[#This Row],[QuarterlyLoad]]</f>
        <v>0</v>
      </c>
      <c r="GF56">
        <f ca="1">tblBaseCF[[#This Row],[QuarterlyTotalPrem]]</f>
        <v>0</v>
      </c>
      <c r="GG56">
        <f ca="1">tblBaseCF[[#This Row],[MonthlyTP]]</f>
        <v>0</v>
      </c>
      <c r="GH56">
        <f ca="1">tblBaseCF[[#This Row],[MonthlyEP]]</f>
        <v>0</v>
      </c>
      <c r="GI56">
        <f ca="1">tblBaseCF[[#This Row],[MonthlyEMLoad]]</f>
        <v>0</v>
      </c>
      <c r="GJ56">
        <f ca="1">tblBaseCF[[#This Row],[MonthlyPMLoad]]</f>
        <v>0</v>
      </c>
      <c r="GK56">
        <f ca="1">tblBaseCF[[#This Row],[MonthlyLoad]]</f>
        <v>0</v>
      </c>
      <c r="GL56">
        <f ca="1">tblBaseCF[[#This Row],[MonthlyTotalPrem]]</f>
        <v>0</v>
      </c>
      <c r="GO56" t="s">
        <v>134</v>
      </c>
      <c r="GP56" t="s">
        <v>135</v>
      </c>
      <c r="GQ56" t="s">
        <v>502</v>
      </c>
      <c r="GR56">
        <v>36</v>
      </c>
      <c r="GS56">
        <v>35</v>
      </c>
      <c r="GT56">
        <v>1</v>
      </c>
      <c r="GU56" t="s">
        <v>457</v>
      </c>
      <c r="GV56">
        <v>58287756.290736496</v>
      </c>
      <c r="GW56">
        <v>443172512.65449703</v>
      </c>
      <c r="GX56">
        <v>501460268.945234</v>
      </c>
      <c r="GY56">
        <v>0</v>
      </c>
      <c r="GZ56">
        <v>501460268.945234</v>
      </c>
      <c r="HA56">
        <v>501460268.945234</v>
      </c>
      <c r="HB56">
        <v>303000000</v>
      </c>
      <c r="HC56">
        <v>0</v>
      </c>
      <c r="HD56" t="s">
        <v>137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7.0000000000000007E-2</v>
      </c>
      <c r="HX56">
        <v>0.96964931039809399</v>
      </c>
      <c r="HY56">
        <v>1</v>
      </c>
      <c r="HZ56">
        <v>300000</v>
      </c>
      <c r="IA56">
        <v>0</v>
      </c>
      <c r="IB56">
        <v>0</v>
      </c>
      <c r="IC56">
        <v>0</v>
      </c>
      <c r="ID56">
        <v>272700</v>
      </c>
      <c r="IE56">
        <v>572700</v>
      </c>
      <c r="IF56">
        <v>555318.16006498795</v>
      </c>
      <c r="IG56">
        <v>555318.16006498795</v>
      </c>
      <c r="IH56">
        <v>0</v>
      </c>
      <c r="II56">
        <v>4041270.6691470002</v>
      </c>
      <c r="IJ56">
        <v>31022075.885814801</v>
      </c>
      <c r="IK56">
        <v>0</v>
      </c>
      <c r="IL56">
        <v>0</v>
      </c>
      <c r="IM56">
        <v>0</v>
      </c>
      <c r="IN56">
        <v>61773708.799818501</v>
      </c>
      <c r="IO56">
        <v>474194588.54031199</v>
      </c>
      <c r="IP56">
        <v>535968297.34013098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</row>
    <row r="57" spans="2:268" customFormat="1" x14ac:dyDescent="0.25">
      <c r="B57" s="2">
        <f ca="1">OFFSET(tblBaseCF[[#This Row],[Year]],-1,0)+1</f>
        <v>37</v>
      </c>
      <c r="C57" s="2">
        <f ca="1">(tblBaseCF[[#This Row],[Year]]&lt;=term)*1</f>
        <v>1</v>
      </c>
      <c r="D57" s="57">
        <f ca="1">(YEAR(rcd)+tblBaseCF[[#This Row],[Year]]-1)
*tblBaseCF[[#This Row],[PolTermFlag]]</f>
        <v>2061</v>
      </c>
      <c r="E57" s="57">
        <f ca="1">(mainLI_entry_age+tblBaseCF[[#This Row],[Year]]-1)
*tblBaseCF[[#This Row],[PolTermFlag]]</f>
        <v>36</v>
      </c>
      <c r="F57" s="57">
        <f ca="1">IF(tblBaseCF[[#This Row],[Year]]=1,1,OFFSET(tblBaseCF[[#This Row],[DeductFlag]],-1,0))
*tblBaseCF[[#This Row],[PolTermFlag]]</f>
        <v>0</v>
      </c>
      <c r="G5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7" s="57">
        <f ca="1">(tblBaseCF[[#This Row],[Year]]&lt;=acc_ben_term)
*tblBaseCF[[#This Row],[ContFlag]]</f>
        <v>0</v>
      </c>
      <c r="I57" s="57">
        <f ca="1">(tblBaseCF[[#This Row],[Year]]&lt;=tp_term)
*tblBaseCF[[#This Row],[ContFlag]]</f>
        <v>0</v>
      </c>
      <c r="J57" s="57">
        <f ca="1">(tblBaseCF[[#This Row],[Year]]&lt;=ep_term)
*tblBaseCF[[#This Row],[ContFlag]]</f>
        <v>0</v>
      </c>
      <c r="K57" s="57">
        <f ca="1">(tblBaseCF[[#This Row],[Year]]&lt;=em_load_term)*1</f>
        <v>0</v>
      </c>
      <c r="L57" s="57">
        <f ca="1">(tblBaseCF[[#This Row],[Year]]&lt;=pm_load_term)*1</f>
        <v>0</v>
      </c>
      <c r="M57" s="59">
        <f ca="1">IF(tblBaseCF[[#This Row],[Year]]=1,si,OFFSET(tblBaseCF[[#This Row],[EndSI]],-1,0))
*tblBaseCF[[#This Row],[ContFlag]]</f>
        <v>0</v>
      </c>
      <c r="N57" s="59">
        <f ca="1">OFFSET(tblBaseCF[[#This Row],[EndTAV]],-1,0)
*tblBaseCF[[#This Row],[ContFlag]]</f>
        <v>0</v>
      </c>
      <c r="O57" s="59">
        <f ca="1">OFFSET(tblBaseCF[[#This Row],[EndEAV]],-1,0)
*tblBaseCF[[#This Row],[ContFlag]]</f>
        <v>0</v>
      </c>
      <c r="P57" s="60">
        <f ca="1">tblBaseCF[[#This Row],[StartEAV]]+tblBaseCF[[#This Row],[StartTAV]]</f>
        <v>0</v>
      </c>
      <c r="Q57" s="61">
        <f ca="1">IFERROR(INDEX(tblJuvenileLienRate[Rate],MATCH(tblBaseCF[[#This Row],[Age]],tblJuvenileLienRate[Age],0)),1)
*tblBaseCF[[#This Row],[ContFlag]]</f>
        <v>0</v>
      </c>
      <c r="R5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7" s="62">
        <f ca="1">tblBaseCF[[#This Row],[StartSI]]*acc_ben_coeff*tblBaseCF[[#This Row],[JuvenileLienRate]]
*tblBaseCF[[#This Row],[AccBenTermFlag]]</f>
        <v>0</v>
      </c>
      <c r="T57" s="61">
        <f ca="1">(IFERROR(INDEX(tblSurrChrgRate[Rate],MATCH(tblBaseCF[[#This Row],[Year]],tblSurrChrgRate[Year],0)),0)
*tblBaseCF[[#This Row],[ContFlag]])</f>
        <v>0</v>
      </c>
      <c r="U57" s="60">
        <f ca="1">tp*tblBaseCF[[#This Row],[SrrChrgRate]]</f>
        <v>0</v>
      </c>
      <c r="V57" s="63">
        <f ca="1">MAX(tblBaseCF[[#This Row],[StartTAV]]-tblBaseCF[[#This Row],[SVChrg]],0)+tblBaseCF[[#This Row],[StartEAV]]</f>
        <v>0</v>
      </c>
      <c r="W57" s="59">
        <f ca="1">IFERROR(INDEX(tblWithdrawal_Output[Amount],MATCH(tblBaseCF[[#This Row],[Year]],tblWithdrawal_Output[Year],0)),0)
*tblBaseCF[[#This Row],[ContFlag]]</f>
        <v>0</v>
      </c>
      <c r="X57" s="59" t="b">
        <f ca="1">tblBaseCF[[#This Row],[WithdrawalInput]]&gt;0</f>
        <v>0</v>
      </c>
      <c r="Y57" s="59" t="b">
        <f ca="1">AND(tblBaseCF[[#This Row],[1stCheckProceed]],tblBaseCF[[#This Row],[WithdrawalInput]]&lt;=tblBaseCF[[#This Row],[StartPAV]])</f>
        <v>0</v>
      </c>
      <c r="Z57" s="59" t="b">
        <f ca="1">AND(tblBaseCF[[#This Row],[2ndCheckAmount]],(tblBaseCF[[#This Row],[StartPAV]]-tblBaseCF[[#This Row],[WithdrawalInput]])&gt;=min_pav_after_withdrawal)</f>
        <v>0</v>
      </c>
      <c r="AA5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7" s="59" t="b">
        <f ca="1">AND(tblBaseCF[[#This Row],[3rdCheckPAV]],tblBaseCF[[#This Row],[endSITest]]&gt;=min_base_si)</f>
        <v>0</v>
      </c>
      <c r="AC57" s="60">
        <f ca="1">tblBaseCF[[#This Row],[WithdrawalInput]]*tblBaseCF[[#This Row],[4thCheckSI]]</f>
        <v>0</v>
      </c>
      <c r="AD57" s="60">
        <f ca="1">MIN(tblBaseCF[[#This Row],[Withdrawal]],tblBaseCF[[#This Row],[StartEAV]])</f>
        <v>0</v>
      </c>
      <c r="AE57" s="60">
        <f ca="1">tblBaseCF[[#This Row],[Withdrawal]]-tblBaseCF[[#This Row],[EAVWithdrawal]]</f>
        <v>0</v>
      </c>
      <c r="AF57" s="60">
        <f ca="1">IF(tblBaseCF[[#This Row],[4thCheckSI]],tblBaseCF[[#This Row],[endSITest]],tblBaseCF[[#This Row],[StartSI]])</f>
        <v>0</v>
      </c>
      <c r="AG5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7" s="65">
        <f ca="1">IFERROR(INDEX(tblTPAllocChrgRate[Rate],MATCH(tblBaseCF[[#This Row],[Year]],tblTPAllocChrgRate[Year],0)),0)</f>
        <v>0.02</v>
      </c>
      <c r="AI57" s="62">
        <f ca="1">(tp+big_case_bonus_tp*(tblBaseCF[[#This Row],[Year]]=1))
*tblBaseCF[[#This Row],[TPTermFlag]]</f>
        <v>0</v>
      </c>
      <c r="AJ57" s="63">
        <f ca="1">tblBaseCF[[#This Row],[TP]]*tblBaseCF[[#This Row],[TPAllocChrgRate]]</f>
        <v>0</v>
      </c>
      <c r="AK57" s="60">
        <f ca="1">tblBaseCF[[#This Row],[TP]]-tblBaseCF[[#This Row],[TPAllocChrg]]</f>
        <v>0</v>
      </c>
      <c r="AL57" s="65">
        <f ca="1">IFERROR(INDEX(tblEPAllocChrgRate[Rate],MATCH(tblBaseCF[[#This Row],[Year]],tblEPAllocChrgRate[Year],0)),0)</f>
        <v>0.02</v>
      </c>
      <c r="AM57" s="60">
        <f ca="1">ep*tblBaseCF[[#This Row],[EPTermFlag]]</f>
        <v>0</v>
      </c>
      <c r="AN57" s="60">
        <f ca="1">tblBaseCF[[#This Row],[EP]]*tblBaseCF[[#This Row],[EPAllocChrgRate]]</f>
        <v>0</v>
      </c>
      <c r="AO57" s="63">
        <f ca="1">tblBaseCF[[#This Row],[EP]]-tblBaseCF[[#This Row],[EPAllocChrg]]</f>
        <v>0</v>
      </c>
      <c r="AP57" s="62">
        <f ca="1">tblBaseCF[[#This Row],[Ben]]*extra_prem_rate*em_load/1000/(1-tblBaseCF[[#This Row],[EPAllocChrgRate]])
*tblBaseCF[[#This Row],[EMLoadTermFlag]]</f>
        <v>0</v>
      </c>
      <c r="AQ57" s="62">
        <f ca="1">tblBaseCF[[#This Row],[Ben]]*pm_load/1000/(1-tblBaseCF[[#This Row],[EPAllocChrgRate]])
*tblBaseCF[[#This Row],[PMLoadTermFlag]]</f>
        <v>0</v>
      </c>
      <c r="AR57" s="60">
        <f ca="1">ROUNDUP(tblBaseCF[[#This Row],[UnroundedEMLoad]],-3)</f>
        <v>0</v>
      </c>
      <c r="AS57" s="62">
        <f ca="1">ROUNDUP(tblBaseCF[[#This Row],[Ben]]*pm_load/1000/(1-tblBaseCF[[#This Row],[EPAllocChrgRate]]),-3)
*tblBaseCF[[#This Row],[PMLoadTermFlag]]</f>
        <v>0</v>
      </c>
      <c r="AT57" s="60">
        <f ca="1">tblBaseCF[[#This Row],[EMLoad]]+tblBaseCF[[#This Row],[PMLoad]]</f>
        <v>0</v>
      </c>
      <c r="AU57" s="60">
        <f ca="1">tblBaseCF[[#This Row],[Load]]*tblBaseCF[[#This Row],[EPAllocChrgRate]]</f>
        <v>0</v>
      </c>
      <c r="AV57" s="60">
        <f ca="1">tblBaseCF[[#This Row],[Load]]-tblBaseCF[[#This Row],[LoadAllocChrg]]</f>
        <v>0</v>
      </c>
      <c r="AW57" s="60">
        <f ca="1">tblBaseCF[[#This Row],[TP]]+tblBaseCF[[#This Row],[EP]]+tblBaseCF[[#This Row],[Load]]</f>
        <v>0</v>
      </c>
      <c r="AX57" s="60">
        <f ca="1">tblBaseCF[[#This Row],[TPAllocChrg]]+tblBaseCF[[#This Row],[EPAllocChrg]]+tblBaseCF[[#This Row],[LoadAllocChrg]]</f>
        <v>0</v>
      </c>
      <c r="AY57" s="60">
        <f ca="1">tblBaseCF[[#This Row],[TPAlloc]]+tblBaseCF[[#This Row],[EPAlloc]]+tblBaseCF[[#This Row],[LoadAlloc]]</f>
        <v>0</v>
      </c>
      <c r="AZ57" s="60">
        <f ca="1">(OFFSET(tblBaseCF[[#This Row],[AccumTotalPrem]],-1,0)+tblBaseCF[[#This Row],[TotalPrem]])*tblBaseCF[[#This Row],[TPTermFlag]]</f>
        <v>0</v>
      </c>
      <c r="BA57" s="62">
        <f ca="1">(tblBaseCF[[#This Row],[StartTAV]]-tblBaseCF[[#This Row],[TAVWithdrawal]]+tblBaseCF[[#This Row],[TPAlloc]])
*tblBaseCF[[#This Row],[ContFlag]]</f>
        <v>0</v>
      </c>
      <c r="BB57" s="59">
        <f ca="1">(tblBaseCF[[#This Row],[StartEAV]]-tblBaseCF[[#This Row],[EAVWithdrawal]]+tblBaseCF[[#This Row],[EPAlloc]]+tblBaseCF[[#This Row],[LoadAlloc]])
*tblBaseCF[[#This Row],[ContFlag]]</f>
        <v>0</v>
      </c>
      <c r="BC57" s="59">
        <f ca="1">tblBaseCF[[#This Row],[TAVAfterWdrlAlloc]]+tblBaseCF[[#This Row],[EAVAfterWdrlAlloc]]</f>
        <v>0</v>
      </c>
      <c r="BD57" s="66">
        <f t="shared" si="6"/>
        <v>0</v>
      </c>
      <c r="BE57" s="67">
        <f>(1+tblBaseCF[[#This Row],[AnnualIntRate]])^(1/12)-1</f>
        <v>0</v>
      </c>
      <c r="BF57" s="68">
        <f>IFERROR(((1+tblBaseCF[[#This Row],[MonthlyIntRate]])^12-1)/12/(1-1/(1+tblBaseCF[[#This Row],[MonthlyIntRate]])),1)/(1+tblBaseCF[[#This Row],[AnnualIntRate]])</f>
        <v>1</v>
      </c>
      <c r="BG57" s="69">
        <f>PV(tblBaseCF[[#This Row],[MonthlyIntRate]],12,-1/12,,1)</f>
        <v>1</v>
      </c>
      <c r="BH57" s="60">
        <f ca="1">MAX(IF(death_tpd_option="A",tblBaseCF[[#This Row],[Ben]]-tblBaseCF[[#This Row],[StartPAV]],tblBaseCF[[#This Row],[Ben]]),0)</f>
        <v>0</v>
      </c>
      <c r="BI57" s="70">
        <f ca="1">IFERROR(INDEX(tblBaseCOIRate[Rate],MATCH(tblBaseCF[[#This Row],[Age]],tblBaseCOIRate[Age],0)),0)</f>
        <v>1.8200000000000399E-3</v>
      </c>
      <c r="BJ57" s="60">
        <f ca="1">tblBaseCF[[#This Row],[SAR]]*tblBaseCF[[#This Row],[COIRate]]</f>
        <v>0</v>
      </c>
      <c r="BK57" s="62">
        <f ca="1">em_load*tblBaseCF[[#This Row],[pStandardCOI]]
*tblBaseCF[[#This Row],[EMLoadTermFlag]]</f>
        <v>0</v>
      </c>
      <c r="BL57" s="62">
        <f ca="1">pm_load/1000*tblBaseCF[[#This Row],[SAR]]
*tblBaseCF[[#This Row],[PMLoadTermFlag]]</f>
        <v>0</v>
      </c>
      <c r="BM57" s="60">
        <f ca="1">tblBaseCF[[#This Row],[AccBen]]*monthly_acc_coi*12</f>
        <v>0</v>
      </c>
      <c r="BN57" s="60">
        <f ca="1">tblBaseCF[[#This Row],[pStandardCOI]]+tblBaseCF[[#This Row],[pEMLoadCOI]]+tblBaseCF[[#This Row],[pPMLoadCOI]]+tblBaseCF[[#This Row],[pAccCOI]]</f>
        <v>0</v>
      </c>
      <c r="BO57" s="62">
        <f ca="1">IFERROR(INDEX(tblAdminChrg[Amount],MATCH(tblBaseCF[[#This Row],[CalYear]],tblAdminChrg[Cal_Year],0)),0)
*tblBaseCF[[#This Row],[ContFlag]]</f>
        <v>0</v>
      </c>
      <c r="BP57" s="60">
        <f ca="1">tblBaseCF[[#This Row],[pMonthlyAdminChrg]]*12</f>
        <v>0</v>
      </c>
      <c r="BQ57" s="60">
        <f ca="1">tblBaseCF[[#This Row],[pCOI]]+tblBaseCF[[#This Row],[pAdminChrg]]</f>
        <v>0</v>
      </c>
      <c r="BR57" s="60">
        <f ca="1">tblBaseCF[[#This Row],[pNomDeduct]]*tblBaseCF[[#This Row],[Duean1m12]]</f>
        <v>0</v>
      </c>
      <c r="BS57" s="57">
        <f ca="1">(tblBaseCF[[#This Row],[PAVAfterWdrlAlloc]]&gt;=tblBaseCF[[#This Row],[pNomDeduct]])
*tblBaseCF[[#This Row],[ContFlag]]</f>
        <v>0</v>
      </c>
      <c r="BT57" s="60">
        <f ca="1">tblBaseCF[[#This Row],[pStandardCOI]]*tblBaseCF[[#This Row],[DeductFlag]]</f>
        <v>0</v>
      </c>
      <c r="BU57" s="60">
        <f ca="1">tblBaseCF[[#This Row],[pEMLoadCOI]]*tblBaseCF[[#This Row],[DeductFlag]]</f>
        <v>0</v>
      </c>
      <c r="BV57" s="60">
        <f ca="1">tblBaseCF[[#This Row],[pPMLoadCOI]]*tblBaseCF[[#This Row],[DeductFlag]]</f>
        <v>0</v>
      </c>
      <c r="BW57" s="60">
        <f ca="1">tblBaseCF[[#This Row],[pAccCOI]]*tblBaseCF[[#This Row],[DeductFlag]]</f>
        <v>0</v>
      </c>
      <c r="BX57" s="60">
        <f ca="1">tblBaseCF[[#This Row],[pCOI]]*tblBaseCF[[#This Row],[DeductFlag]]</f>
        <v>0</v>
      </c>
      <c r="BY57" s="60">
        <f ca="1">tblBaseCF[[#This Row],[pMonthlyAdminChrg]]*tblBaseCF[[#This Row],[DeductFlag]]</f>
        <v>0</v>
      </c>
      <c r="BZ57" s="60">
        <f ca="1">tblBaseCF[[#This Row],[pAdminChrg]]*tblBaseCF[[#This Row],[DeductFlag]]</f>
        <v>0</v>
      </c>
      <c r="CA57" s="60">
        <f ca="1">tblBaseCF[[#This Row],[pNomDeduct]]*tblBaseCF[[#This Row],[DeductFlag]]</f>
        <v>0</v>
      </c>
      <c r="CB57" s="60">
        <f ca="1">tblBaseCF[[#This Row],[pDeduct]]*tblBaseCF[[#This Row],[DeductFlag]]</f>
        <v>0</v>
      </c>
      <c r="CC57" s="60">
        <f ca="1">MIN(tblBaseCF[[#This Row],[TAVAfterWdrlAlloc]],tblBaseCF[[#This Row],[Deduct]])</f>
        <v>0</v>
      </c>
      <c r="CD57" s="60">
        <f ca="1">tblBaseCF[[#This Row],[Deduct]]-tblBaseCF[[#This Row],[TAVDeduct]]</f>
        <v>0</v>
      </c>
      <c r="CE57" s="69">
        <f ca="1">(tblBaseCF[[#This Row],[TAVAfterWdrlAlloc]]-tblBaseCF[[#This Row],[TAVDeduct]])*tblBaseCF[[#This Row],[AnnualIntRate]]
*tblBaseCF[[#This Row],[DeductFlag]]</f>
        <v>0</v>
      </c>
      <c r="CF57" s="69">
        <f ca="1">(tblBaseCF[[#This Row],[EAVAfterWdrlAlloc]]-tblBaseCF[[#This Row],[EAVDeduct]])*tblBaseCF[[#This Row],[AnnualIntRate]]
*tblBaseCF[[#This Row],[DeductFlag]]</f>
        <v>0</v>
      </c>
      <c r="CG57" s="69">
        <f ca="1">tblBaseCF[[#This Row],[TAVInt]]+tblBaseCF[[#This Row],[EAVInt]]</f>
        <v>0</v>
      </c>
      <c r="CH57" s="62">
        <f ca="1">IFERROR(INDEX(tblLBRate[Rate],MATCH(tblBaseCF[[#This Row],[Year]],tblLBRate[Year],0)),0)
*tblBaseCF[[#This Row],[DeductFlag]]</f>
        <v>0</v>
      </c>
      <c r="CI57" s="60">
        <f ca="1">IFERROR(SUM(OFFSET(tblBaseCF[[#This Row],[TAVWithdrawal]],0,0,-lb_review_period,1)),0)
*(tblBaseCF[[#This Row],[LBRate]]&gt;0)</f>
        <v>0</v>
      </c>
      <c r="CJ57" s="60">
        <f ca="1">(tblBaseCF[[#This Row],[LBRate]]&gt;0)*(tblBaseCF[[#This Row],[LBTAVWithdrawal]]=0)</f>
        <v>0</v>
      </c>
      <c r="CK57" s="62" cm="1">
        <f t="array" aca="1" ref="CK57" ca="1">IF(tblBaseCF[[#This Row],[LBFlag]],
_xlfn.SWITCH(base,
"ILP1",AVERAGE(OFFSET(tblBaseCF[TP],0,0,-lb_review_period,1)),tp),0)
*tblBaseCF[[#This Row],[LBFlag]]</f>
        <v>0</v>
      </c>
      <c r="CL57" s="62">
        <f ca="1">tblBaseCF[[#This Row],[LBBasis]]*tblBaseCF[[#This Row],[LBRate]]</f>
        <v>0</v>
      </c>
      <c r="CM57" s="57" cm="1">
        <f t="array" aca="1" ref="CM57" ca="1">_xlfn.SWITCH(base,
"ILP1",0,($AF157&lt;500000000)*1
+($AF157&gt;=500000000)*($AF157&lt;1000000000)*2
+($AF157&gt;=1000000000)*3)
*tblBaseCF[[#This Row],[DeductFlag]]</f>
        <v>0</v>
      </c>
      <c r="CN57" s="2" t="str">
        <f ca="1">IF(tblBaseCF[[#This Row],[DeductFlag]],base&amp;"_"&amp;tblBaseCF[[#This Row],[SBCode]]&amp;"_"&amp;tblBaseCF[[#This Row],[Year]],"")</f>
        <v/>
      </c>
      <c r="CO57" s="3">
        <f ca="1">IFERROR(INDEX(tblSBRate[Index],MATCH(tblBaseCF[[#This Row],[SBIndex]],tblSBRate[Rate],0)),0)</f>
        <v>0</v>
      </c>
      <c r="CP57" s="63">
        <f ca="1">IFERROR(SUM(OFFSET(tblBaseCF[[#This Row],[TAVWithdrawal]],0,0,-sb_review_period,1)),0)
*(tblBaseCF[[#This Row],[SBRate]]&gt;0)</f>
        <v>0</v>
      </c>
      <c r="CQ57" s="63">
        <f ca="1">(tblBaseCF[[#This Row],[SBRate]]&gt;0)*(tblBaseCF[[#This Row],[SBTAVWithdrawal]]=0)</f>
        <v>0</v>
      </c>
      <c r="CR57" s="59" cm="1">
        <f t="array" aca="1" ref="CR57" ca="1">IF(tblBaseCF[[#This Row],[LBFlag]],
_xlfn.SWITCH(base,
"ILP1",0,tp),0)*tblBaseCF[[#This Row],[SBFlag]]</f>
        <v>0</v>
      </c>
      <c r="CS57" s="63">
        <f ca="1">tblBaseCF[[#This Row],[SBBasis]]*tblBaseCF[[#This Row],[SBRate]]</f>
        <v>0</v>
      </c>
      <c r="CT57" s="63">
        <f ca="1">tblBaseCF[[#This Row],[LB]]+tblBaseCF[[#This Row],[SB]]</f>
        <v>0</v>
      </c>
      <c r="CU57" s="59">
        <f ca="1">tblBaseCF[[#This Row],[TAVAfterWdrlAlloc]]-tblBaseCF[[#This Row],[TAVDeduct]]+tblBaseCF[[#This Row],[TAVInt]]+tblBaseCF[[#This Row],[Bonus]]</f>
        <v>0</v>
      </c>
      <c r="CV57" s="59">
        <f ca="1">tblBaseCF[[#This Row],[EAVAfterWdrlAlloc]]-tblBaseCF[[#This Row],[EAVDeduct]]+tblBaseCF[[#This Row],[EAVInt]]</f>
        <v>0</v>
      </c>
      <c r="CW57" s="63">
        <f ca="1">tblBaseCF[[#This Row],[EndTAV]]+tblBaseCF[[#This Row],[EndEAV]]</f>
        <v>0</v>
      </c>
      <c r="CX57" s="59">
        <f ca="1">INDEX(tblPlanPrem[TP],2)
*tblBaseCF[[#This Row],[TPTermFlag]]</f>
        <v>0</v>
      </c>
      <c r="CY57" s="59">
        <f ca="1">INDEX(tblPlanPrem[EP],2)
*tblBaseCF[[#This Row],[TPTermFlag]]</f>
        <v>0</v>
      </c>
      <c r="CZ57" s="63">
        <f ca="1">ROUNDUP(tblBaseCF[[#This Row],[UnroundedEMLoad]]*INDEX(tblPlanPrem[Factor],2),-3)</f>
        <v>0</v>
      </c>
      <c r="DA57" s="63">
        <f ca="1">ROUNDUP(tblBaseCF[[#This Row],[UnroundedPMLoad]]*INDEX(tblPlanPrem[Factor],2),-3)</f>
        <v>0</v>
      </c>
      <c r="DB57" s="63">
        <f ca="1">tblBaseCF[[#This Row],[SemiAnnualEMLoad]]+tblBaseCF[[#This Row],[SemiAnnualPMLoad]]</f>
        <v>0</v>
      </c>
      <c r="DC57" s="63">
        <f ca="1">tblBaseCF[[#This Row],[SemiAnnualTP]]+tblBaseCF[[#This Row],[SemiAnnualEP]]+tblBaseCF[[#This Row],[SemiAnnualLoad]]</f>
        <v>0</v>
      </c>
      <c r="DD57" s="59">
        <f ca="1">INDEX(tblPlanPrem[TP],3)
*tblBaseCF[[#This Row],[TPTermFlag]]</f>
        <v>0</v>
      </c>
      <c r="DE57" s="59">
        <f ca="1">INDEX(tblPlanPrem[EP],3)
*tblBaseCF[[#This Row],[TPTermFlag]]</f>
        <v>0</v>
      </c>
      <c r="DF57" s="63">
        <f ca="1">ROUNDUP(tblBaseCF[[#This Row],[UnroundedEMLoad]]*INDEX(tblPlanPrem[Factor],3),-3)</f>
        <v>0</v>
      </c>
      <c r="DG57" s="63">
        <f ca="1">ROUNDUP(tblBaseCF[[#This Row],[UnroundedPMLoad]]*INDEX(tblPlanPrem[Factor],3),-3)</f>
        <v>0</v>
      </c>
      <c r="DH57" s="60">
        <f ca="1">tblBaseCF[[#This Row],[QuarterlyEMLoad]]+tblBaseCF[[#This Row],[QuarterlyPMLoad]]</f>
        <v>0</v>
      </c>
      <c r="DI57" s="60">
        <f ca="1">tblBaseCF[[#This Row],[QuarterlyTP]]+tblBaseCF[[#This Row],[QuarterlyEP]]+tblBaseCF[[#This Row],[QuarterlyLoad]]</f>
        <v>0</v>
      </c>
      <c r="DJ57" s="59">
        <f ca="1">INDEX(tblPlanPrem[TP],4)
*tblBaseCF[[#This Row],[TPTermFlag]]</f>
        <v>0</v>
      </c>
      <c r="DK57" s="59">
        <f ca="1">INDEX(tblPlanPrem[EP],4)
*tblBaseCF[[#This Row],[TPTermFlag]]</f>
        <v>0</v>
      </c>
      <c r="DL57" s="63">
        <f ca="1">ROUNDUP(tblBaseCF[[#This Row],[UnroundedEMLoad]]*INDEX(tblPlanPrem[Factor],4),-3)</f>
        <v>0</v>
      </c>
      <c r="DM57" s="63">
        <f ca="1">ROUNDUP(tblBaseCF[[#This Row],[UnroundedPMLoad]]*INDEX(tblPlanPrem[Factor],4),-3)</f>
        <v>0</v>
      </c>
      <c r="DN57" s="60">
        <f ca="1">tblBaseCF[[#This Row],[MonthlyEMLoad]]+tblBaseCF[[#This Row],[MonthlyPMLoad]]</f>
        <v>0</v>
      </c>
      <c r="DO57" s="63">
        <f ca="1">tblBaseCF[[#This Row],[MonthlyTP]]+tblBaseCF[[#This Row],[MonthlyEP]]+tblBaseCF[[#This Row],[MonthlyLoad]]</f>
        <v>0</v>
      </c>
      <c r="DP57" s="3"/>
      <c r="DS57">
        <f t="shared" si="7"/>
        <v>0</v>
      </c>
      <c r="DT57">
        <f t="shared" si="8"/>
        <v>0</v>
      </c>
      <c r="DU57">
        <f t="shared" si="9"/>
        <v>0</v>
      </c>
      <c r="DV57">
        <f ca="1">tblBaseCF[[#This Row],[Year]]</f>
        <v>37</v>
      </c>
      <c r="DW57">
        <f ca="1">tblBaseCF[[#This Row],[Age]]</f>
        <v>36</v>
      </c>
      <c r="DX57">
        <f ca="1">tblBaseCF[[#This Row],[ContFlag]]</f>
        <v>0</v>
      </c>
      <c r="DY57" t="str">
        <f ca="1">tblBaseCF[[#This Row],[ContLog]]</f>
        <v>Insufficient PAV for deduction - Discontinue.</v>
      </c>
      <c r="DZ57">
        <f ca="1">tblBaseCF[[#This Row],[StartTAV]]</f>
        <v>0</v>
      </c>
      <c r="EA57">
        <f ca="1">tblBaseCF[[#This Row],[StartEAV]]</f>
        <v>0</v>
      </c>
      <c r="EB57">
        <f ca="1">tblBaseCF[[#This Row],[StartPAV]]</f>
        <v>0</v>
      </c>
      <c r="EC57">
        <f ca="1">tblBaseCF[[#This Row],[SVChrg]]</f>
        <v>0</v>
      </c>
      <c r="ED57">
        <f ca="1">tblBaseCF[[#This Row],[SV]]</f>
        <v>0</v>
      </c>
      <c r="EE57">
        <f ca="1">tblBaseCF[[#This Row],[Ben]]</f>
        <v>0</v>
      </c>
      <c r="EF57">
        <f ca="1">tblBaseCF[[#This Row],[AccBen]]</f>
        <v>0</v>
      </c>
      <c r="EG57">
        <f ca="1">tblBaseCF[[#This Row],[WithdrawalInput]]</f>
        <v>0</v>
      </c>
      <c r="EH57" t="str">
        <f ca="1">tblBaseCF[[#This Row],[WithdrawalLog]]</f>
        <v>No withdrawal.</v>
      </c>
      <c r="EI57">
        <f ca="1">tblBaseCF[[#This Row],[TAVWithdrawal]]</f>
        <v>0</v>
      </c>
      <c r="EJ57">
        <f ca="1">tblBaseCF[[#This Row],[EAVWithdrawal]]</f>
        <v>0</v>
      </c>
      <c r="EK57">
        <f ca="1">tblBaseCF[[#This Row],[Withdrawal]]</f>
        <v>0</v>
      </c>
      <c r="EL57">
        <f ca="1">tblBaseCF[[#This Row],[TP]]</f>
        <v>0</v>
      </c>
      <c r="EM57">
        <f ca="1">tblBaseCF[[#This Row],[TPAllocChrg]]</f>
        <v>0</v>
      </c>
      <c r="EN57">
        <f ca="1">tblBaseCF[[#This Row],[TPAlloc]]</f>
        <v>0</v>
      </c>
      <c r="EO57">
        <f ca="1">tblBaseCF[[#This Row],[EP]]</f>
        <v>0</v>
      </c>
      <c r="EP57">
        <f ca="1">tblBaseCF[[#This Row],[EPAllocChrg]]</f>
        <v>0</v>
      </c>
      <c r="EQ57">
        <f ca="1">tblBaseCF[[#This Row],[EPAlloc]]</f>
        <v>0</v>
      </c>
      <c r="ER57">
        <f ca="1">tblBaseCF[[#This Row],[EMLoad]]</f>
        <v>0</v>
      </c>
      <c r="ES57">
        <f ca="1">tblBaseCF[[#This Row],[PMLoad]]</f>
        <v>0</v>
      </c>
      <c r="ET57">
        <f ca="1">tblBaseCF[[#This Row],[Load]]</f>
        <v>0</v>
      </c>
      <c r="EU57">
        <f ca="1">tblBaseCF[[#This Row],[LoadAllocChrg]]</f>
        <v>0</v>
      </c>
      <c r="EV57">
        <f ca="1">tblBaseCF[[#This Row],[LoadAlloc]]</f>
        <v>0</v>
      </c>
      <c r="EW57">
        <f ca="1">tblBaseCF[[#This Row],[TotalPrem]]</f>
        <v>0</v>
      </c>
      <c r="EX57">
        <f ca="1">tblBaseCF[[#This Row],[AllocChrg]]</f>
        <v>0</v>
      </c>
      <c r="EY57">
        <f ca="1">tblBaseCF[[#This Row],[Alloc]]</f>
        <v>0</v>
      </c>
      <c r="EZ57">
        <f ca="1">tblBaseCF[[#This Row],[AccumTotalPrem]]</f>
        <v>0</v>
      </c>
      <c r="FA57">
        <f>tblBaseCF[[#This Row],[AnnualIntRate]]</f>
        <v>0</v>
      </c>
      <c r="FB57" s="50">
        <f>tblBaseCF[[#This Row],[Duean1m12]]</f>
        <v>1</v>
      </c>
      <c r="FC57">
        <f ca="1">tblBaseCF[[#This Row],[DeductFlag]]</f>
        <v>0</v>
      </c>
      <c r="FD57">
        <f ca="1">tblBaseCF[[#This Row],[AdminChrg]]</f>
        <v>0</v>
      </c>
      <c r="FE57">
        <f ca="1">tblBaseCF[[#This Row],[StandardCOI]]</f>
        <v>0</v>
      </c>
      <c r="FF57">
        <f ca="1">tblBaseCF[[#This Row],[EMLoadCOI]]</f>
        <v>0</v>
      </c>
      <c r="FG57">
        <f ca="1">tblBaseCF[[#This Row],[PMLoadCOI]]</f>
        <v>0</v>
      </c>
      <c r="FH57">
        <f ca="1">tblBaseCF[[#This Row],[COI]]</f>
        <v>0</v>
      </c>
      <c r="FI57" s="47">
        <f ca="1">tblBaseCF[[#This Row],[NomDeduct]]</f>
        <v>0</v>
      </c>
      <c r="FJ57">
        <f ca="1">tblBaseCF[[#This Row],[Deduct]]</f>
        <v>0</v>
      </c>
      <c r="FK57">
        <f ca="1">tblBaseCF[[#This Row],[TAVDeduct]]</f>
        <v>0</v>
      </c>
      <c r="FL57">
        <f ca="1">tblBaseCF[[#This Row],[EAVDeduct]]</f>
        <v>0</v>
      </c>
      <c r="FM57" s="24">
        <f ca="1">tblBaseCF[[#This Row],[TAVInt]]</f>
        <v>0</v>
      </c>
      <c r="FN57">
        <f ca="1">tblBaseCF[[#This Row],[EAVInt]]</f>
        <v>0</v>
      </c>
      <c r="FO57" s="47">
        <f ca="1">tblBaseCF[[#This Row],[LB]]</f>
        <v>0</v>
      </c>
      <c r="FP57">
        <f ca="1">tblBaseCF[[#This Row],[SB]]</f>
        <v>0</v>
      </c>
      <c r="FQ57">
        <f ca="1">tblBaseCF[[#This Row],[Bonus]]</f>
        <v>0</v>
      </c>
      <c r="FR57">
        <f ca="1">tblBaseCF[[#This Row],[EndTAV]]</f>
        <v>0</v>
      </c>
      <c r="FS57">
        <f ca="1">tblBaseCF[[#This Row],[EndEAV]]</f>
        <v>0</v>
      </c>
      <c r="FT57">
        <f ca="1">tblBaseCF[[#This Row],[EndPAV]]</f>
        <v>0</v>
      </c>
      <c r="FU57">
        <f ca="1">tblBaseCF[[#This Row],[SemiAnnualTP]]</f>
        <v>0</v>
      </c>
      <c r="FV57">
        <f ca="1">tblBaseCF[[#This Row],[SemiAnnualEP]]</f>
        <v>0</v>
      </c>
      <c r="FW57">
        <f ca="1">tblBaseCF[[#This Row],[SemiAnnualEMLoad]]</f>
        <v>0</v>
      </c>
      <c r="FX57">
        <f ca="1">tblBaseCF[[#This Row],[SemiAnnualPMLoad]]</f>
        <v>0</v>
      </c>
      <c r="FY57">
        <f ca="1">tblBaseCF[[#This Row],[SemiAnnualLoad]]</f>
        <v>0</v>
      </c>
      <c r="FZ57">
        <f ca="1">tblBaseCF[[#This Row],[SemiAnnualTotalPrem]]</f>
        <v>0</v>
      </c>
      <c r="GA57">
        <f ca="1">tblBaseCF[[#This Row],[QuarterlyTP]]</f>
        <v>0</v>
      </c>
      <c r="GB57">
        <f ca="1">tblBaseCF[[#This Row],[QuarterlyEP]]</f>
        <v>0</v>
      </c>
      <c r="GC57">
        <f ca="1">tblBaseCF[[#This Row],[QuarterlyEMLoad]]</f>
        <v>0</v>
      </c>
      <c r="GD57">
        <f ca="1">tblBaseCF[[#This Row],[QuarterlyPMLoad]]</f>
        <v>0</v>
      </c>
      <c r="GE57">
        <f ca="1">tblBaseCF[[#This Row],[QuarterlyLoad]]</f>
        <v>0</v>
      </c>
      <c r="GF57">
        <f ca="1">tblBaseCF[[#This Row],[QuarterlyTotalPrem]]</f>
        <v>0</v>
      </c>
      <c r="GG57">
        <f ca="1">tblBaseCF[[#This Row],[MonthlyTP]]</f>
        <v>0</v>
      </c>
      <c r="GH57">
        <f ca="1">tblBaseCF[[#This Row],[MonthlyEP]]</f>
        <v>0</v>
      </c>
      <c r="GI57">
        <f ca="1">tblBaseCF[[#This Row],[MonthlyEMLoad]]</f>
        <v>0</v>
      </c>
      <c r="GJ57">
        <f ca="1">tblBaseCF[[#This Row],[MonthlyPMLoad]]</f>
        <v>0</v>
      </c>
      <c r="GK57">
        <f ca="1">tblBaseCF[[#This Row],[MonthlyLoad]]</f>
        <v>0</v>
      </c>
      <c r="GL57">
        <f ca="1">tblBaseCF[[#This Row],[MonthlyTotalPrem]]</f>
        <v>0</v>
      </c>
      <c r="GO57" t="s">
        <v>134</v>
      </c>
      <c r="GP57" t="s">
        <v>135</v>
      </c>
      <c r="GQ57" t="s">
        <v>502</v>
      </c>
      <c r="GR57">
        <v>37</v>
      </c>
      <c r="GS57">
        <v>36</v>
      </c>
      <c r="GT57">
        <v>1</v>
      </c>
      <c r="GU57" t="s">
        <v>457</v>
      </c>
      <c r="GV57">
        <v>61773708.799818501</v>
      </c>
      <c r="GW57">
        <v>474194588.54031199</v>
      </c>
      <c r="GX57">
        <v>535968297.34013098</v>
      </c>
      <c r="GY57">
        <v>0</v>
      </c>
      <c r="GZ57">
        <v>535968297.34013098</v>
      </c>
      <c r="HA57">
        <v>535968297.34013098</v>
      </c>
      <c r="HB57">
        <v>303000000</v>
      </c>
      <c r="HC57">
        <v>0</v>
      </c>
      <c r="HD57" t="s">
        <v>137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7.0000000000000007E-2</v>
      </c>
      <c r="HX57">
        <v>0.96964931039809399</v>
      </c>
      <c r="HY57">
        <v>1</v>
      </c>
      <c r="HZ57">
        <v>300000</v>
      </c>
      <c r="IA57">
        <v>0</v>
      </c>
      <c r="IB57">
        <v>0</v>
      </c>
      <c r="IC57">
        <v>0</v>
      </c>
      <c r="ID57">
        <v>272700</v>
      </c>
      <c r="IE57">
        <v>572700</v>
      </c>
      <c r="IF57">
        <v>555318.16006498795</v>
      </c>
      <c r="IG57">
        <v>555318.16006498795</v>
      </c>
      <c r="IH57">
        <v>0</v>
      </c>
      <c r="II57">
        <v>4285287.3447827501</v>
      </c>
      <c r="IJ57">
        <v>33193621.1978218</v>
      </c>
      <c r="IK57">
        <v>0</v>
      </c>
      <c r="IL57">
        <v>0</v>
      </c>
      <c r="IM57">
        <v>0</v>
      </c>
      <c r="IN57">
        <v>65503677.984536298</v>
      </c>
      <c r="IO57">
        <v>507388209.73813403</v>
      </c>
      <c r="IP57">
        <v>572891887.72266996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</row>
    <row r="58" spans="2:268" customFormat="1" x14ac:dyDescent="0.25">
      <c r="B58" s="2">
        <f ca="1">OFFSET(tblBaseCF[[#This Row],[Year]],-1,0)+1</f>
        <v>38</v>
      </c>
      <c r="C58" s="2">
        <f ca="1">(tblBaseCF[[#This Row],[Year]]&lt;=term)*1</f>
        <v>1</v>
      </c>
      <c r="D58" s="57">
        <f ca="1">(YEAR(rcd)+tblBaseCF[[#This Row],[Year]]-1)
*tblBaseCF[[#This Row],[PolTermFlag]]</f>
        <v>2062</v>
      </c>
      <c r="E58" s="57">
        <f ca="1">(mainLI_entry_age+tblBaseCF[[#This Row],[Year]]-1)
*tblBaseCF[[#This Row],[PolTermFlag]]</f>
        <v>37</v>
      </c>
      <c r="F58" s="57">
        <f ca="1">IF(tblBaseCF[[#This Row],[Year]]=1,1,OFFSET(tblBaseCF[[#This Row],[DeductFlag]],-1,0))
*tblBaseCF[[#This Row],[PolTermFlag]]</f>
        <v>0</v>
      </c>
      <c r="G5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8" s="57">
        <f ca="1">(tblBaseCF[[#This Row],[Year]]&lt;=acc_ben_term)
*tblBaseCF[[#This Row],[ContFlag]]</f>
        <v>0</v>
      </c>
      <c r="I58" s="57">
        <f ca="1">(tblBaseCF[[#This Row],[Year]]&lt;=tp_term)
*tblBaseCF[[#This Row],[ContFlag]]</f>
        <v>0</v>
      </c>
      <c r="J58" s="57">
        <f ca="1">(tblBaseCF[[#This Row],[Year]]&lt;=ep_term)
*tblBaseCF[[#This Row],[ContFlag]]</f>
        <v>0</v>
      </c>
      <c r="K58" s="57">
        <f ca="1">(tblBaseCF[[#This Row],[Year]]&lt;=em_load_term)*1</f>
        <v>0</v>
      </c>
      <c r="L58" s="57">
        <f ca="1">(tblBaseCF[[#This Row],[Year]]&lt;=pm_load_term)*1</f>
        <v>0</v>
      </c>
      <c r="M58" s="59">
        <f ca="1">IF(tblBaseCF[[#This Row],[Year]]=1,si,OFFSET(tblBaseCF[[#This Row],[EndSI]],-1,0))
*tblBaseCF[[#This Row],[ContFlag]]</f>
        <v>0</v>
      </c>
      <c r="N58" s="59">
        <f ca="1">OFFSET(tblBaseCF[[#This Row],[EndTAV]],-1,0)
*tblBaseCF[[#This Row],[ContFlag]]</f>
        <v>0</v>
      </c>
      <c r="O58" s="59">
        <f ca="1">OFFSET(tblBaseCF[[#This Row],[EndEAV]],-1,0)
*tblBaseCF[[#This Row],[ContFlag]]</f>
        <v>0</v>
      </c>
      <c r="P58" s="60">
        <f ca="1">tblBaseCF[[#This Row],[StartEAV]]+tblBaseCF[[#This Row],[StartTAV]]</f>
        <v>0</v>
      </c>
      <c r="Q58" s="61">
        <f ca="1">IFERROR(INDEX(tblJuvenileLienRate[Rate],MATCH(tblBaseCF[[#This Row],[Age]],tblJuvenileLienRate[Age],0)),1)
*tblBaseCF[[#This Row],[ContFlag]]</f>
        <v>0</v>
      </c>
      <c r="R5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8" s="62">
        <f ca="1">tblBaseCF[[#This Row],[StartSI]]*acc_ben_coeff*tblBaseCF[[#This Row],[JuvenileLienRate]]
*tblBaseCF[[#This Row],[AccBenTermFlag]]</f>
        <v>0</v>
      </c>
      <c r="T58" s="61">
        <f ca="1">(IFERROR(INDEX(tblSurrChrgRate[Rate],MATCH(tblBaseCF[[#This Row],[Year]],tblSurrChrgRate[Year],0)),0)
*tblBaseCF[[#This Row],[ContFlag]])</f>
        <v>0</v>
      </c>
      <c r="U58" s="60">
        <f ca="1">tp*tblBaseCF[[#This Row],[SrrChrgRate]]</f>
        <v>0</v>
      </c>
      <c r="V58" s="63">
        <f ca="1">MAX(tblBaseCF[[#This Row],[StartTAV]]-tblBaseCF[[#This Row],[SVChrg]],0)+tblBaseCF[[#This Row],[StartEAV]]</f>
        <v>0</v>
      </c>
      <c r="W58" s="59">
        <f ca="1">IFERROR(INDEX(tblWithdrawal_Output[Amount],MATCH(tblBaseCF[[#This Row],[Year]],tblWithdrawal_Output[Year],0)),0)
*tblBaseCF[[#This Row],[ContFlag]]</f>
        <v>0</v>
      </c>
      <c r="X58" s="59" t="b">
        <f ca="1">tblBaseCF[[#This Row],[WithdrawalInput]]&gt;0</f>
        <v>0</v>
      </c>
      <c r="Y58" s="59" t="b">
        <f ca="1">AND(tblBaseCF[[#This Row],[1stCheckProceed]],tblBaseCF[[#This Row],[WithdrawalInput]]&lt;=tblBaseCF[[#This Row],[StartPAV]])</f>
        <v>0</v>
      </c>
      <c r="Z58" s="59" t="b">
        <f ca="1">AND(tblBaseCF[[#This Row],[2ndCheckAmount]],(tblBaseCF[[#This Row],[StartPAV]]-tblBaseCF[[#This Row],[WithdrawalInput]])&gt;=min_pav_after_withdrawal)</f>
        <v>0</v>
      </c>
      <c r="AA5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8" s="59" t="b">
        <f ca="1">AND(tblBaseCF[[#This Row],[3rdCheckPAV]],tblBaseCF[[#This Row],[endSITest]]&gt;=min_base_si)</f>
        <v>0</v>
      </c>
      <c r="AC58" s="60">
        <f ca="1">tblBaseCF[[#This Row],[WithdrawalInput]]*tblBaseCF[[#This Row],[4thCheckSI]]</f>
        <v>0</v>
      </c>
      <c r="AD58" s="60">
        <f ca="1">MIN(tblBaseCF[[#This Row],[Withdrawal]],tblBaseCF[[#This Row],[StartEAV]])</f>
        <v>0</v>
      </c>
      <c r="AE58" s="60">
        <f ca="1">tblBaseCF[[#This Row],[Withdrawal]]-tblBaseCF[[#This Row],[EAVWithdrawal]]</f>
        <v>0</v>
      </c>
      <c r="AF58" s="60">
        <f ca="1">IF(tblBaseCF[[#This Row],[4thCheckSI]],tblBaseCF[[#This Row],[endSITest]],tblBaseCF[[#This Row],[StartSI]])</f>
        <v>0</v>
      </c>
      <c r="AG5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8" s="65">
        <f ca="1">IFERROR(INDEX(tblTPAllocChrgRate[Rate],MATCH(tblBaseCF[[#This Row],[Year]],tblTPAllocChrgRate[Year],0)),0)</f>
        <v>0.02</v>
      </c>
      <c r="AI58" s="62">
        <f ca="1">(tp+big_case_bonus_tp*(tblBaseCF[[#This Row],[Year]]=1))
*tblBaseCF[[#This Row],[TPTermFlag]]</f>
        <v>0</v>
      </c>
      <c r="AJ58" s="63">
        <f ca="1">tblBaseCF[[#This Row],[TP]]*tblBaseCF[[#This Row],[TPAllocChrgRate]]</f>
        <v>0</v>
      </c>
      <c r="AK58" s="60">
        <f ca="1">tblBaseCF[[#This Row],[TP]]-tblBaseCF[[#This Row],[TPAllocChrg]]</f>
        <v>0</v>
      </c>
      <c r="AL58" s="65">
        <f ca="1">IFERROR(INDEX(tblEPAllocChrgRate[Rate],MATCH(tblBaseCF[[#This Row],[Year]],tblEPAllocChrgRate[Year],0)),0)</f>
        <v>0.02</v>
      </c>
      <c r="AM58" s="60">
        <f ca="1">ep*tblBaseCF[[#This Row],[EPTermFlag]]</f>
        <v>0</v>
      </c>
      <c r="AN58" s="60">
        <f ca="1">tblBaseCF[[#This Row],[EP]]*tblBaseCF[[#This Row],[EPAllocChrgRate]]</f>
        <v>0</v>
      </c>
      <c r="AO58" s="63">
        <f ca="1">tblBaseCF[[#This Row],[EP]]-tblBaseCF[[#This Row],[EPAllocChrg]]</f>
        <v>0</v>
      </c>
      <c r="AP58" s="62">
        <f ca="1">tblBaseCF[[#This Row],[Ben]]*extra_prem_rate*em_load/1000/(1-tblBaseCF[[#This Row],[EPAllocChrgRate]])
*tblBaseCF[[#This Row],[EMLoadTermFlag]]</f>
        <v>0</v>
      </c>
      <c r="AQ58" s="62">
        <f ca="1">tblBaseCF[[#This Row],[Ben]]*pm_load/1000/(1-tblBaseCF[[#This Row],[EPAllocChrgRate]])
*tblBaseCF[[#This Row],[PMLoadTermFlag]]</f>
        <v>0</v>
      </c>
      <c r="AR58" s="60">
        <f ca="1">ROUNDUP(tblBaseCF[[#This Row],[UnroundedEMLoad]],-3)</f>
        <v>0</v>
      </c>
      <c r="AS58" s="62">
        <f ca="1">ROUNDUP(tblBaseCF[[#This Row],[Ben]]*pm_load/1000/(1-tblBaseCF[[#This Row],[EPAllocChrgRate]]),-3)
*tblBaseCF[[#This Row],[PMLoadTermFlag]]</f>
        <v>0</v>
      </c>
      <c r="AT58" s="60">
        <f ca="1">tblBaseCF[[#This Row],[EMLoad]]+tblBaseCF[[#This Row],[PMLoad]]</f>
        <v>0</v>
      </c>
      <c r="AU58" s="60">
        <f ca="1">tblBaseCF[[#This Row],[Load]]*tblBaseCF[[#This Row],[EPAllocChrgRate]]</f>
        <v>0</v>
      </c>
      <c r="AV58" s="60">
        <f ca="1">tblBaseCF[[#This Row],[Load]]-tblBaseCF[[#This Row],[LoadAllocChrg]]</f>
        <v>0</v>
      </c>
      <c r="AW58" s="60">
        <f ca="1">tblBaseCF[[#This Row],[TP]]+tblBaseCF[[#This Row],[EP]]+tblBaseCF[[#This Row],[Load]]</f>
        <v>0</v>
      </c>
      <c r="AX58" s="60">
        <f ca="1">tblBaseCF[[#This Row],[TPAllocChrg]]+tblBaseCF[[#This Row],[EPAllocChrg]]+tblBaseCF[[#This Row],[LoadAllocChrg]]</f>
        <v>0</v>
      </c>
      <c r="AY58" s="60">
        <f ca="1">tblBaseCF[[#This Row],[TPAlloc]]+tblBaseCF[[#This Row],[EPAlloc]]+tblBaseCF[[#This Row],[LoadAlloc]]</f>
        <v>0</v>
      </c>
      <c r="AZ58" s="60">
        <f ca="1">(OFFSET(tblBaseCF[[#This Row],[AccumTotalPrem]],-1,0)+tblBaseCF[[#This Row],[TotalPrem]])*tblBaseCF[[#This Row],[TPTermFlag]]</f>
        <v>0</v>
      </c>
      <c r="BA58" s="62">
        <f ca="1">(tblBaseCF[[#This Row],[StartTAV]]-tblBaseCF[[#This Row],[TAVWithdrawal]]+tblBaseCF[[#This Row],[TPAlloc]])
*tblBaseCF[[#This Row],[ContFlag]]</f>
        <v>0</v>
      </c>
      <c r="BB58" s="59">
        <f ca="1">(tblBaseCF[[#This Row],[StartEAV]]-tblBaseCF[[#This Row],[EAVWithdrawal]]+tblBaseCF[[#This Row],[EPAlloc]]+tblBaseCF[[#This Row],[LoadAlloc]])
*tblBaseCF[[#This Row],[ContFlag]]</f>
        <v>0</v>
      </c>
      <c r="BC58" s="59">
        <f ca="1">tblBaseCF[[#This Row],[TAVAfterWdrlAlloc]]+tblBaseCF[[#This Row],[EAVAfterWdrlAlloc]]</f>
        <v>0</v>
      </c>
      <c r="BD58" s="66">
        <f t="shared" si="6"/>
        <v>0</v>
      </c>
      <c r="BE58" s="67">
        <f>(1+tblBaseCF[[#This Row],[AnnualIntRate]])^(1/12)-1</f>
        <v>0</v>
      </c>
      <c r="BF58" s="68">
        <f>IFERROR(((1+tblBaseCF[[#This Row],[MonthlyIntRate]])^12-1)/12/(1-1/(1+tblBaseCF[[#This Row],[MonthlyIntRate]])),1)/(1+tblBaseCF[[#This Row],[AnnualIntRate]])</f>
        <v>1</v>
      </c>
      <c r="BG58" s="69">
        <f>PV(tblBaseCF[[#This Row],[MonthlyIntRate]],12,-1/12,,1)</f>
        <v>1</v>
      </c>
      <c r="BH58" s="60">
        <f ca="1">MAX(IF(death_tpd_option="A",tblBaseCF[[#This Row],[Ben]]-tblBaseCF[[#This Row],[StartPAV]],tblBaseCF[[#This Row],[Ben]]),0)</f>
        <v>0</v>
      </c>
      <c r="BI58" s="70">
        <f ca="1">IFERROR(INDEX(tblBaseCOIRate[Rate],MATCH(tblBaseCF[[#This Row],[Age]],tblBaseCOIRate[Age],0)),0)</f>
        <v>1.9600000000000702E-3</v>
      </c>
      <c r="BJ58" s="60">
        <f ca="1">tblBaseCF[[#This Row],[SAR]]*tblBaseCF[[#This Row],[COIRate]]</f>
        <v>0</v>
      </c>
      <c r="BK58" s="62">
        <f ca="1">em_load*tblBaseCF[[#This Row],[pStandardCOI]]
*tblBaseCF[[#This Row],[EMLoadTermFlag]]</f>
        <v>0</v>
      </c>
      <c r="BL58" s="62">
        <f ca="1">pm_load/1000*tblBaseCF[[#This Row],[SAR]]
*tblBaseCF[[#This Row],[PMLoadTermFlag]]</f>
        <v>0</v>
      </c>
      <c r="BM58" s="60">
        <f ca="1">tblBaseCF[[#This Row],[AccBen]]*monthly_acc_coi*12</f>
        <v>0</v>
      </c>
      <c r="BN58" s="60">
        <f ca="1">tblBaseCF[[#This Row],[pStandardCOI]]+tblBaseCF[[#This Row],[pEMLoadCOI]]+tblBaseCF[[#This Row],[pPMLoadCOI]]+tblBaseCF[[#This Row],[pAccCOI]]</f>
        <v>0</v>
      </c>
      <c r="BO58" s="62">
        <f ca="1">IFERROR(INDEX(tblAdminChrg[Amount],MATCH(tblBaseCF[[#This Row],[CalYear]],tblAdminChrg[Cal_Year],0)),0)
*tblBaseCF[[#This Row],[ContFlag]]</f>
        <v>0</v>
      </c>
      <c r="BP58" s="60">
        <f ca="1">tblBaseCF[[#This Row],[pMonthlyAdminChrg]]*12</f>
        <v>0</v>
      </c>
      <c r="BQ58" s="60">
        <f ca="1">tblBaseCF[[#This Row],[pCOI]]+tblBaseCF[[#This Row],[pAdminChrg]]</f>
        <v>0</v>
      </c>
      <c r="BR58" s="60">
        <f ca="1">tblBaseCF[[#This Row],[pNomDeduct]]*tblBaseCF[[#This Row],[Duean1m12]]</f>
        <v>0</v>
      </c>
      <c r="BS58" s="57">
        <f ca="1">(tblBaseCF[[#This Row],[PAVAfterWdrlAlloc]]&gt;=tblBaseCF[[#This Row],[pNomDeduct]])
*tblBaseCF[[#This Row],[ContFlag]]</f>
        <v>0</v>
      </c>
      <c r="BT58" s="60">
        <f ca="1">tblBaseCF[[#This Row],[pStandardCOI]]*tblBaseCF[[#This Row],[DeductFlag]]</f>
        <v>0</v>
      </c>
      <c r="BU58" s="60">
        <f ca="1">tblBaseCF[[#This Row],[pEMLoadCOI]]*tblBaseCF[[#This Row],[DeductFlag]]</f>
        <v>0</v>
      </c>
      <c r="BV58" s="60">
        <f ca="1">tblBaseCF[[#This Row],[pPMLoadCOI]]*tblBaseCF[[#This Row],[DeductFlag]]</f>
        <v>0</v>
      </c>
      <c r="BW58" s="60">
        <f ca="1">tblBaseCF[[#This Row],[pAccCOI]]*tblBaseCF[[#This Row],[DeductFlag]]</f>
        <v>0</v>
      </c>
      <c r="BX58" s="60">
        <f ca="1">tblBaseCF[[#This Row],[pCOI]]*tblBaseCF[[#This Row],[DeductFlag]]</f>
        <v>0</v>
      </c>
      <c r="BY58" s="60">
        <f ca="1">tblBaseCF[[#This Row],[pMonthlyAdminChrg]]*tblBaseCF[[#This Row],[DeductFlag]]</f>
        <v>0</v>
      </c>
      <c r="BZ58" s="60">
        <f ca="1">tblBaseCF[[#This Row],[pAdminChrg]]*tblBaseCF[[#This Row],[DeductFlag]]</f>
        <v>0</v>
      </c>
      <c r="CA58" s="60">
        <f ca="1">tblBaseCF[[#This Row],[pNomDeduct]]*tblBaseCF[[#This Row],[DeductFlag]]</f>
        <v>0</v>
      </c>
      <c r="CB58" s="60">
        <f ca="1">tblBaseCF[[#This Row],[pDeduct]]*tblBaseCF[[#This Row],[DeductFlag]]</f>
        <v>0</v>
      </c>
      <c r="CC58" s="60">
        <f ca="1">MIN(tblBaseCF[[#This Row],[TAVAfterWdrlAlloc]],tblBaseCF[[#This Row],[Deduct]])</f>
        <v>0</v>
      </c>
      <c r="CD58" s="60">
        <f ca="1">tblBaseCF[[#This Row],[Deduct]]-tblBaseCF[[#This Row],[TAVDeduct]]</f>
        <v>0</v>
      </c>
      <c r="CE58" s="69">
        <f ca="1">(tblBaseCF[[#This Row],[TAVAfterWdrlAlloc]]-tblBaseCF[[#This Row],[TAVDeduct]])*tblBaseCF[[#This Row],[AnnualIntRate]]
*tblBaseCF[[#This Row],[DeductFlag]]</f>
        <v>0</v>
      </c>
      <c r="CF58" s="69">
        <f ca="1">(tblBaseCF[[#This Row],[EAVAfterWdrlAlloc]]-tblBaseCF[[#This Row],[EAVDeduct]])*tblBaseCF[[#This Row],[AnnualIntRate]]
*tblBaseCF[[#This Row],[DeductFlag]]</f>
        <v>0</v>
      </c>
      <c r="CG58" s="69">
        <f ca="1">tblBaseCF[[#This Row],[TAVInt]]+tblBaseCF[[#This Row],[EAVInt]]</f>
        <v>0</v>
      </c>
      <c r="CH58" s="62">
        <f ca="1">IFERROR(INDEX(tblLBRate[Rate],MATCH(tblBaseCF[[#This Row],[Year]],tblLBRate[Year],0)),0)
*tblBaseCF[[#This Row],[DeductFlag]]</f>
        <v>0</v>
      </c>
      <c r="CI58" s="60">
        <f ca="1">IFERROR(SUM(OFFSET(tblBaseCF[[#This Row],[TAVWithdrawal]],0,0,-lb_review_period,1)),0)
*(tblBaseCF[[#This Row],[LBRate]]&gt;0)</f>
        <v>0</v>
      </c>
      <c r="CJ58" s="60">
        <f ca="1">(tblBaseCF[[#This Row],[LBRate]]&gt;0)*(tblBaseCF[[#This Row],[LBTAVWithdrawal]]=0)</f>
        <v>0</v>
      </c>
      <c r="CK58" s="62" cm="1">
        <f t="array" aca="1" ref="CK58" ca="1">IF(tblBaseCF[[#This Row],[LBFlag]],
_xlfn.SWITCH(base,
"ILP1",AVERAGE(OFFSET(tblBaseCF[TP],0,0,-lb_review_period,1)),tp),0)
*tblBaseCF[[#This Row],[LBFlag]]</f>
        <v>0</v>
      </c>
      <c r="CL58" s="62">
        <f ca="1">tblBaseCF[[#This Row],[LBBasis]]*tblBaseCF[[#This Row],[LBRate]]</f>
        <v>0</v>
      </c>
      <c r="CM58" s="57" cm="1">
        <f t="array" aca="1" ref="CM58" ca="1">_xlfn.SWITCH(base,
"ILP1",0,($AF158&lt;500000000)*1
+($AF158&gt;=500000000)*($AF158&lt;1000000000)*2
+($AF158&gt;=1000000000)*3)
*tblBaseCF[[#This Row],[DeductFlag]]</f>
        <v>0</v>
      </c>
      <c r="CN58" s="2" t="str">
        <f ca="1">IF(tblBaseCF[[#This Row],[DeductFlag]],base&amp;"_"&amp;tblBaseCF[[#This Row],[SBCode]]&amp;"_"&amp;tblBaseCF[[#This Row],[Year]],"")</f>
        <v/>
      </c>
      <c r="CO58" s="3">
        <f ca="1">IFERROR(INDEX(tblSBRate[Index],MATCH(tblBaseCF[[#This Row],[SBIndex]],tblSBRate[Rate],0)),0)</f>
        <v>0</v>
      </c>
      <c r="CP58" s="63">
        <f ca="1">IFERROR(SUM(OFFSET(tblBaseCF[[#This Row],[TAVWithdrawal]],0,0,-sb_review_period,1)),0)
*(tblBaseCF[[#This Row],[SBRate]]&gt;0)</f>
        <v>0</v>
      </c>
      <c r="CQ58" s="63">
        <f ca="1">(tblBaseCF[[#This Row],[SBRate]]&gt;0)*(tblBaseCF[[#This Row],[SBTAVWithdrawal]]=0)</f>
        <v>0</v>
      </c>
      <c r="CR58" s="59" cm="1">
        <f t="array" aca="1" ref="CR58" ca="1">IF(tblBaseCF[[#This Row],[LBFlag]],
_xlfn.SWITCH(base,
"ILP1",0,tp),0)*tblBaseCF[[#This Row],[SBFlag]]</f>
        <v>0</v>
      </c>
      <c r="CS58" s="63">
        <f ca="1">tblBaseCF[[#This Row],[SBBasis]]*tblBaseCF[[#This Row],[SBRate]]</f>
        <v>0</v>
      </c>
      <c r="CT58" s="63">
        <f ca="1">tblBaseCF[[#This Row],[LB]]+tblBaseCF[[#This Row],[SB]]</f>
        <v>0</v>
      </c>
      <c r="CU58" s="59">
        <f ca="1">tblBaseCF[[#This Row],[TAVAfterWdrlAlloc]]-tblBaseCF[[#This Row],[TAVDeduct]]+tblBaseCF[[#This Row],[TAVInt]]+tblBaseCF[[#This Row],[Bonus]]</f>
        <v>0</v>
      </c>
      <c r="CV58" s="59">
        <f ca="1">tblBaseCF[[#This Row],[EAVAfterWdrlAlloc]]-tblBaseCF[[#This Row],[EAVDeduct]]+tblBaseCF[[#This Row],[EAVInt]]</f>
        <v>0</v>
      </c>
      <c r="CW58" s="63">
        <f ca="1">tblBaseCF[[#This Row],[EndTAV]]+tblBaseCF[[#This Row],[EndEAV]]</f>
        <v>0</v>
      </c>
      <c r="CX58" s="59">
        <f ca="1">INDEX(tblPlanPrem[TP],2)
*tblBaseCF[[#This Row],[TPTermFlag]]</f>
        <v>0</v>
      </c>
      <c r="CY58" s="59">
        <f ca="1">INDEX(tblPlanPrem[EP],2)
*tblBaseCF[[#This Row],[TPTermFlag]]</f>
        <v>0</v>
      </c>
      <c r="CZ58" s="63">
        <f ca="1">ROUNDUP(tblBaseCF[[#This Row],[UnroundedEMLoad]]*INDEX(tblPlanPrem[Factor],2),-3)</f>
        <v>0</v>
      </c>
      <c r="DA58" s="63">
        <f ca="1">ROUNDUP(tblBaseCF[[#This Row],[UnroundedPMLoad]]*INDEX(tblPlanPrem[Factor],2),-3)</f>
        <v>0</v>
      </c>
      <c r="DB58" s="63">
        <f ca="1">tblBaseCF[[#This Row],[SemiAnnualEMLoad]]+tblBaseCF[[#This Row],[SemiAnnualPMLoad]]</f>
        <v>0</v>
      </c>
      <c r="DC58" s="63">
        <f ca="1">tblBaseCF[[#This Row],[SemiAnnualTP]]+tblBaseCF[[#This Row],[SemiAnnualEP]]+tblBaseCF[[#This Row],[SemiAnnualLoad]]</f>
        <v>0</v>
      </c>
      <c r="DD58" s="59">
        <f ca="1">INDEX(tblPlanPrem[TP],3)
*tblBaseCF[[#This Row],[TPTermFlag]]</f>
        <v>0</v>
      </c>
      <c r="DE58" s="59">
        <f ca="1">INDEX(tblPlanPrem[EP],3)
*tblBaseCF[[#This Row],[TPTermFlag]]</f>
        <v>0</v>
      </c>
      <c r="DF58" s="63">
        <f ca="1">ROUNDUP(tblBaseCF[[#This Row],[UnroundedEMLoad]]*INDEX(tblPlanPrem[Factor],3),-3)</f>
        <v>0</v>
      </c>
      <c r="DG58" s="63">
        <f ca="1">ROUNDUP(tblBaseCF[[#This Row],[UnroundedPMLoad]]*INDEX(tblPlanPrem[Factor],3),-3)</f>
        <v>0</v>
      </c>
      <c r="DH58" s="60">
        <f ca="1">tblBaseCF[[#This Row],[QuarterlyEMLoad]]+tblBaseCF[[#This Row],[QuarterlyPMLoad]]</f>
        <v>0</v>
      </c>
      <c r="DI58" s="60">
        <f ca="1">tblBaseCF[[#This Row],[QuarterlyTP]]+tblBaseCF[[#This Row],[QuarterlyEP]]+tblBaseCF[[#This Row],[QuarterlyLoad]]</f>
        <v>0</v>
      </c>
      <c r="DJ58" s="59">
        <f ca="1">INDEX(tblPlanPrem[TP],4)
*tblBaseCF[[#This Row],[TPTermFlag]]</f>
        <v>0</v>
      </c>
      <c r="DK58" s="59">
        <f ca="1">INDEX(tblPlanPrem[EP],4)
*tblBaseCF[[#This Row],[TPTermFlag]]</f>
        <v>0</v>
      </c>
      <c r="DL58" s="63">
        <f ca="1">ROUNDUP(tblBaseCF[[#This Row],[UnroundedEMLoad]]*INDEX(tblPlanPrem[Factor],4),-3)</f>
        <v>0</v>
      </c>
      <c r="DM58" s="63">
        <f ca="1">ROUNDUP(tblBaseCF[[#This Row],[UnroundedPMLoad]]*INDEX(tblPlanPrem[Factor],4),-3)</f>
        <v>0</v>
      </c>
      <c r="DN58" s="60">
        <f ca="1">tblBaseCF[[#This Row],[MonthlyEMLoad]]+tblBaseCF[[#This Row],[MonthlyPMLoad]]</f>
        <v>0</v>
      </c>
      <c r="DO58" s="63">
        <f ca="1">tblBaseCF[[#This Row],[MonthlyTP]]+tblBaseCF[[#This Row],[MonthlyEP]]+tblBaseCF[[#This Row],[MonthlyLoad]]</f>
        <v>0</v>
      </c>
      <c r="DP58" s="3"/>
      <c r="DS58">
        <f t="shared" si="7"/>
        <v>0</v>
      </c>
      <c r="DT58">
        <f t="shared" si="8"/>
        <v>0</v>
      </c>
      <c r="DU58">
        <f t="shared" si="9"/>
        <v>0</v>
      </c>
      <c r="DV58">
        <f ca="1">tblBaseCF[[#This Row],[Year]]</f>
        <v>38</v>
      </c>
      <c r="DW58">
        <f ca="1">tblBaseCF[[#This Row],[Age]]</f>
        <v>37</v>
      </c>
      <c r="DX58">
        <f ca="1">tblBaseCF[[#This Row],[ContFlag]]</f>
        <v>0</v>
      </c>
      <c r="DY58" t="str">
        <f ca="1">tblBaseCF[[#This Row],[ContLog]]</f>
        <v>Insufficient PAV for deduction - Discontinue.</v>
      </c>
      <c r="DZ58">
        <f ca="1">tblBaseCF[[#This Row],[StartTAV]]</f>
        <v>0</v>
      </c>
      <c r="EA58">
        <f ca="1">tblBaseCF[[#This Row],[StartEAV]]</f>
        <v>0</v>
      </c>
      <c r="EB58">
        <f ca="1">tblBaseCF[[#This Row],[StartPAV]]</f>
        <v>0</v>
      </c>
      <c r="EC58">
        <f ca="1">tblBaseCF[[#This Row],[SVChrg]]</f>
        <v>0</v>
      </c>
      <c r="ED58">
        <f ca="1">tblBaseCF[[#This Row],[SV]]</f>
        <v>0</v>
      </c>
      <c r="EE58">
        <f ca="1">tblBaseCF[[#This Row],[Ben]]</f>
        <v>0</v>
      </c>
      <c r="EF58">
        <f ca="1">tblBaseCF[[#This Row],[AccBen]]</f>
        <v>0</v>
      </c>
      <c r="EG58">
        <f ca="1">tblBaseCF[[#This Row],[WithdrawalInput]]</f>
        <v>0</v>
      </c>
      <c r="EH58" t="str">
        <f ca="1">tblBaseCF[[#This Row],[WithdrawalLog]]</f>
        <v>No withdrawal.</v>
      </c>
      <c r="EI58">
        <f ca="1">tblBaseCF[[#This Row],[TAVWithdrawal]]</f>
        <v>0</v>
      </c>
      <c r="EJ58">
        <f ca="1">tblBaseCF[[#This Row],[EAVWithdrawal]]</f>
        <v>0</v>
      </c>
      <c r="EK58">
        <f ca="1">tblBaseCF[[#This Row],[Withdrawal]]</f>
        <v>0</v>
      </c>
      <c r="EL58">
        <f ca="1">tblBaseCF[[#This Row],[TP]]</f>
        <v>0</v>
      </c>
      <c r="EM58">
        <f ca="1">tblBaseCF[[#This Row],[TPAllocChrg]]</f>
        <v>0</v>
      </c>
      <c r="EN58">
        <f ca="1">tblBaseCF[[#This Row],[TPAlloc]]</f>
        <v>0</v>
      </c>
      <c r="EO58">
        <f ca="1">tblBaseCF[[#This Row],[EP]]</f>
        <v>0</v>
      </c>
      <c r="EP58">
        <f ca="1">tblBaseCF[[#This Row],[EPAllocChrg]]</f>
        <v>0</v>
      </c>
      <c r="EQ58">
        <f ca="1">tblBaseCF[[#This Row],[EPAlloc]]</f>
        <v>0</v>
      </c>
      <c r="ER58">
        <f ca="1">tblBaseCF[[#This Row],[EMLoad]]</f>
        <v>0</v>
      </c>
      <c r="ES58">
        <f ca="1">tblBaseCF[[#This Row],[PMLoad]]</f>
        <v>0</v>
      </c>
      <c r="ET58">
        <f ca="1">tblBaseCF[[#This Row],[Load]]</f>
        <v>0</v>
      </c>
      <c r="EU58">
        <f ca="1">tblBaseCF[[#This Row],[LoadAllocChrg]]</f>
        <v>0</v>
      </c>
      <c r="EV58">
        <f ca="1">tblBaseCF[[#This Row],[LoadAlloc]]</f>
        <v>0</v>
      </c>
      <c r="EW58">
        <f ca="1">tblBaseCF[[#This Row],[TotalPrem]]</f>
        <v>0</v>
      </c>
      <c r="EX58">
        <f ca="1">tblBaseCF[[#This Row],[AllocChrg]]</f>
        <v>0</v>
      </c>
      <c r="EY58">
        <f ca="1">tblBaseCF[[#This Row],[Alloc]]</f>
        <v>0</v>
      </c>
      <c r="EZ58">
        <f ca="1">tblBaseCF[[#This Row],[AccumTotalPrem]]</f>
        <v>0</v>
      </c>
      <c r="FA58">
        <f>tblBaseCF[[#This Row],[AnnualIntRate]]</f>
        <v>0</v>
      </c>
      <c r="FB58" s="50">
        <f>tblBaseCF[[#This Row],[Duean1m12]]</f>
        <v>1</v>
      </c>
      <c r="FC58">
        <f ca="1">tblBaseCF[[#This Row],[DeductFlag]]</f>
        <v>0</v>
      </c>
      <c r="FD58">
        <f ca="1">tblBaseCF[[#This Row],[AdminChrg]]</f>
        <v>0</v>
      </c>
      <c r="FE58">
        <f ca="1">tblBaseCF[[#This Row],[StandardCOI]]</f>
        <v>0</v>
      </c>
      <c r="FF58">
        <f ca="1">tblBaseCF[[#This Row],[EMLoadCOI]]</f>
        <v>0</v>
      </c>
      <c r="FG58">
        <f ca="1">tblBaseCF[[#This Row],[PMLoadCOI]]</f>
        <v>0</v>
      </c>
      <c r="FH58">
        <f ca="1">tblBaseCF[[#This Row],[COI]]</f>
        <v>0</v>
      </c>
      <c r="FI58" s="47">
        <f ca="1">tblBaseCF[[#This Row],[NomDeduct]]</f>
        <v>0</v>
      </c>
      <c r="FJ58">
        <f ca="1">tblBaseCF[[#This Row],[Deduct]]</f>
        <v>0</v>
      </c>
      <c r="FK58">
        <f ca="1">tblBaseCF[[#This Row],[TAVDeduct]]</f>
        <v>0</v>
      </c>
      <c r="FL58">
        <f ca="1">tblBaseCF[[#This Row],[EAVDeduct]]</f>
        <v>0</v>
      </c>
      <c r="FM58" s="24">
        <f ca="1">tblBaseCF[[#This Row],[TAVInt]]</f>
        <v>0</v>
      </c>
      <c r="FN58">
        <f ca="1">tblBaseCF[[#This Row],[EAVInt]]</f>
        <v>0</v>
      </c>
      <c r="FO58" s="47">
        <f ca="1">tblBaseCF[[#This Row],[LB]]</f>
        <v>0</v>
      </c>
      <c r="FP58">
        <f ca="1">tblBaseCF[[#This Row],[SB]]</f>
        <v>0</v>
      </c>
      <c r="FQ58">
        <f ca="1">tblBaseCF[[#This Row],[Bonus]]</f>
        <v>0</v>
      </c>
      <c r="FR58">
        <f ca="1">tblBaseCF[[#This Row],[EndTAV]]</f>
        <v>0</v>
      </c>
      <c r="FS58">
        <f ca="1">tblBaseCF[[#This Row],[EndEAV]]</f>
        <v>0</v>
      </c>
      <c r="FT58">
        <f ca="1">tblBaseCF[[#This Row],[EndPAV]]</f>
        <v>0</v>
      </c>
      <c r="FU58">
        <f ca="1">tblBaseCF[[#This Row],[SemiAnnualTP]]</f>
        <v>0</v>
      </c>
      <c r="FV58">
        <f ca="1">tblBaseCF[[#This Row],[SemiAnnualEP]]</f>
        <v>0</v>
      </c>
      <c r="FW58">
        <f ca="1">tblBaseCF[[#This Row],[SemiAnnualEMLoad]]</f>
        <v>0</v>
      </c>
      <c r="FX58">
        <f ca="1">tblBaseCF[[#This Row],[SemiAnnualPMLoad]]</f>
        <v>0</v>
      </c>
      <c r="FY58">
        <f ca="1">tblBaseCF[[#This Row],[SemiAnnualLoad]]</f>
        <v>0</v>
      </c>
      <c r="FZ58">
        <f ca="1">tblBaseCF[[#This Row],[SemiAnnualTotalPrem]]</f>
        <v>0</v>
      </c>
      <c r="GA58">
        <f ca="1">tblBaseCF[[#This Row],[QuarterlyTP]]</f>
        <v>0</v>
      </c>
      <c r="GB58">
        <f ca="1">tblBaseCF[[#This Row],[QuarterlyEP]]</f>
        <v>0</v>
      </c>
      <c r="GC58">
        <f ca="1">tblBaseCF[[#This Row],[QuarterlyEMLoad]]</f>
        <v>0</v>
      </c>
      <c r="GD58">
        <f ca="1">tblBaseCF[[#This Row],[QuarterlyPMLoad]]</f>
        <v>0</v>
      </c>
      <c r="GE58">
        <f ca="1">tblBaseCF[[#This Row],[QuarterlyLoad]]</f>
        <v>0</v>
      </c>
      <c r="GF58">
        <f ca="1">tblBaseCF[[#This Row],[QuarterlyTotalPrem]]</f>
        <v>0</v>
      </c>
      <c r="GG58">
        <f ca="1">tblBaseCF[[#This Row],[MonthlyTP]]</f>
        <v>0</v>
      </c>
      <c r="GH58">
        <f ca="1">tblBaseCF[[#This Row],[MonthlyEP]]</f>
        <v>0</v>
      </c>
      <c r="GI58">
        <f ca="1">tblBaseCF[[#This Row],[MonthlyEMLoad]]</f>
        <v>0</v>
      </c>
      <c r="GJ58">
        <f ca="1">tblBaseCF[[#This Row],[MonthlyPMLoad]]</f>
        <v>0</v>
      </c>
      <c r="GK58">
        <f ca="1">tblBaseCF[[#This Row],[MonthlyLoad]]</f>
        <v>0</v>
      </c>
      <c r="GL58">
        <f ca="1">tblBaseCF[[#This Row],[MonthlyTotalPrem]]</f>
        <v>0</v>
      </c>
      <c r="GO58" t="s">
        <v>134</v>
      </c>
      <c r="GP58" t="s">
        <v>135</v>
      </c>
      <c r="GQ58" t="s">
        <v>502</v>
      </c>
      <c r="GR58">
        <v>38</v>
      </c>
      <c r="GS58">
        <v>37</v>
      </c>
      <c r="GT58">
        <v>1</v>
      </c>
      <c r="GU58" t="s">
        <v>457</v>
      </c>
      <c r="GV58">
        <v>65503677.984536298</v>
      </c>
      <c r="GW58">
        <v>507388209.73813403</v>
      </c>
      <c r="GX58">
        <v>572891887.72266996</v>
      </c>
      <c r="GY58">
        <v>0</v>
      </c>
      <c r="GZ58">
        <v>572891887.72266996</v>
      </c>
      <c r="HA58">
        <v>572891887.72266996</v>
      </c>
      <c r="HB58">
        <v>303000000</v>
      </c>
      <c r="HC58">
        <v>0</v>
      </c>
      <c r="HD58" t="s">
        <v>137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7.0000000000000007E-2</v>
      </c>
      <c r="HX58">
        <v>0.96964931039809399</v>
      </c>
      <c r="HY58">
        <v>1</v>
      </c>
      <c r="HZ58">
        <v>300000</v>
      </c>
      <c r="IA58">
        <v>0</v>
      </c>
      <c r="IB58">
        <v>0</v>
      </c>
      <c r="IC58">
        <v>0</v>
      </c>
      <c r="ID58">
        <v>272700</v>
      </c>
      <c r="IE58">
        <v>572700</v>
      </c>
      <c r="IF58">
        <v>555318.16006498795</v>
      </c>
      <c r="IG58">
        <v>555318.16006498795</v>
      </c>
      <c r="IH58">
        <v>0</v>
      </c>
      <c r="II58">
        <v>4546385.1877129897</v>
      </c>
      <c r="IJ58">
        <v>35517174.681669399</v>
      </c>
      <c r="IK58">
        <v>0</v>
      </c>
      <c r="IL58">
        <v>0</v>
      </c>
      <c r="IM58">
        <v>0</v>
      </c>
      <c r="IN58">
        <v>69494745.012184307</v>
      </c>
      <c r="IO58">
        <v>542905384.41980302</v>
      </c>
      <c r="IP58">
        <v>612400129.431988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</row>
    <row r="59" spans="2:268" customFormat="1" x14ac:dyDescent="0.25">
      <c r="B59" s="2">
        <f ca="1">OFFSET(tblBaseCF[[#This Row],[Year]],-1,0)+1</f>
        <v>39</v>
      </c>
      <c r="C59" s="2">
        <f ca="1">(tblBaseCF[[#This Row],[Year]]&lt;=term)*1</f>
        <v>1</v>
      </c>
      <c r="D59" s="57">
        <f ca="1">(YEAR(rcd)+tblBaseCF[[#This Row],[Year]]-1)
*tblBaseCF[[#This Row],[PolTermFlag]]</f>
        <v>2063</v>
      </c>
      <c r="E59" s="57">
        <f ca="1">(mainLI_entry_age+tblBaseCF[[#This Row],[Year]]-1)
*tblBaseCF[[#This Row],[PolTermFlag]]</f>
        <v>38</v>
      </c>
      <c r="F59" s="57">
        <f ca="1">IF(tblBaseCF[[#This Row],[Year]]=1,1,OFFSET(tblBaseCF[[#This Row],[DeductFlag]],-1,0))
*tblBaseCF[[#This Row],[PolTermFlag]]</f>
        <v>0</v>
      </c>
      <c r="G5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59" s="57">
        <f ca="1">(tblBaseCF[[#This Row],[Year]]&lt;=acc_ben_term)
*tblBaseCF[[#This Row],[ContFlag]]</f>
        <v>0</v>
      </c>
      <c r="I59" s="57">
        <f ca="1">(tblBaseCF[[#This Row],[Year]]&lt;=tp_term)
*tblBaseCF[[#This Row],[ContFlag]]</f>
        <v>0</v>
      </c>
      <c r="J59" s="57">
        <f ca="1">(tblBaseCF[[#This Row],[Year]]&lt;=ep_term)
*tblBaseCF[[#This Row],[ContFlag]]</f>
        <v>0</v>
      </c>
      <c r="K59" s="57">
        <f ca="1">(tblBaseCF[[#This Row],[Year]]&lt;=em_load_term)*1</f>
        <v>0</v>
      </c>
      <c r="L59" s="57">
        <f ca="1">(tblBaseCF[[#This Row],[Year]]&lt;=pm_load_term)*1</f>
        <v>0</v>
      </c>
      <c r="M59" s="59">
        <f ca="1">IF(tblBaseCF[[#This Row],[Year]]=1,si,OFFSET(tblBaseCF[[#This Row],[EndSI]],-1,0))
*tblBaseCF[[#This Row],[ContFlag]]</f>
        <v>0</v>
      </c>
      <c r="N59" s="59">
        <f ca="1">OFFSET(tblBaseCF[[#This Row],[EndTAV]],-1,0)
*tblBaseCF[[#This Row],[ContFlag]]</f>
        <v>0</v>
      </c>
      <c r="O59" s="59">
        <f ca="1">OFFSET(tblBaseCF[[#This Row],[EndEAV]],-1,0)
*tblBaseCF[[#This Row],[ContFlag]]</f>
        <v>0</v>
      </c>
      <c r="P59" s="60">
        <f ca="1">tblBaseCF[[#This Row],[StartEAV]]+tblBaseCF[[#This Row],[StartTAV]]</f>
        <v>0</v>
      </c>
      <c r="Q59" s="61">
        <f ca="1">IFERROR(INDEX(tblJuvenileLienRate[Rate],MATCH(tblBaseCF[[#This Row],[Age]],tblJuvenileLienRate[Age],0)),1)
*tblBaseCF[[#This Row],[ContFlag]]</f>
        <v>0</v>
      </c>
      <c r="R5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59" s="62">
        <f ca="1">tblBaseCF[[#This Row],[StartSI]]*acc_ben_coeff*tblBaseCF[[#This Row],[JuvenileLienRate]]
*tblBaseCF[[#This Row],[AccBenTermFlag]]</f>
        <v>0</v>
      </c>
      <c r="T59" s="61">
        <f ca="1">(IFERROR(INDEX(tblSurrChrgRate[Rate],MATCH(tblBaseCF[[#This Row],[Year]],tblSurrChrgRate[Year],0)),0)
*tblBaseCF[[#This Row],[ContFlag]])</f>
        <v>0</v>
      </c>
      <c r="U59" s="60">
        <f ca="1">tp*tblBaseCF[[#This Row],[SrrChrgRate]]</f>
        <v>0</v>
      </c>
      <c r="V59" s="63">
        <f ca="1">MAX(tblBaseCF[[#This Row],[StartTAV]]-tblBaseCF[[#This Row],[SVChrg]],0)+tblBaseCF[[#This Row],[StartEAV]]</f>
        <v>0</v>
      </c>
      <c r="W59" s="59">
        <f ca="1">IFERROR(INDEX(tblWithdrawal_Output[Amount],MATCH(tblBaseCF[[#This Row],[Year]],tblWithdrawal_Output[Year],0)),0)
*tblBaseCF[[#This Row],[ContFlag]]</f>
        <v>0</v>
      </c>
      <c r="X59" s="59" t="b">
        <f ca="1">tblBaseCF[[#This Row],[WithdrawalInput]]&gt;0</f>
        <v>0</v>
      </c>
      <c r="Y59" s="59" t="b">
        <f ca="1">AND(tblBaseCF[[#This Row],[1stCheckProceed]],tblBaseCF[[#This Row],[WithdrawalInput]]&lt;=tblBaseCF[[#This Row],[StartPAV]])</f>
        <v>0</v>
      </c>
      <c r="Z59" s="59" t="b">
        <f ca="1">AND(tblBaseCF[[#This Row],[2ndCheckAmount]],(tblBaseCF[[#This Row],[StartPAV]]-tblBaseCF[[#This Row],[WithdrawalInput]])&gt;=min_pav_after_withdrawal)</f>
        <v>0</v>
      </c>
      <c r="AA5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59" s="59" t="b">
        <f ca="1">AND(tblBaseCF[[#This Row],[3rdCheckPAV]],tblBaseCF[[#This Row],[endSITest]]&gt;=min_base_si)</f>
        <v>0</v>
      </c>
      <c r="AC59" s="60">
        <f ca="1">tblBaseCF[[#This Row],[WithdrawalInput]]*tblBaseCF[[#This Row],[4thCheckSI]]</f>
        <v>0</v>
      </c>
      <c r="AD59" s="60">
        <f ca="1">MIN(tblBaseCF[[#This Row],[Withdrawal]],tblBaseCF[[#This Row],[StartEAV]])</f>
        <v>0</v>
      </c>
      <c r="AE59" s="60">
        <f ca="1">tblBaseCF[[#This Row],[Withdrawal]]-tblBaseCF[[#This Row],[EAVWithdrawal]]</f>
        <v>0</v>
      </c>
      <c r="AF59" s="60">
        <f ca="1">IF(tblBaseCF[[#This Row],[4thCheckSI]],tblBaseCF[[#This Row],[endSITest]],tblBaseCF[[#This Row],[StartSI]])</f>
        <v>0</v>
      </c>
      <c r="AG5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59" s="65">
        <f ca="1">IFERROR(INDEX(tblTPAllocChrgRate[Rate],MATCH(tblBaseCF[[#This Row],[Year]],tblTPAllocChrgRate[Year],0)),0)</f>
        <v>0.02</v>
      </c>
      <c r="AI59" s="62">
        <f ca="1">(tp+big_case_bonus_tp*(tblBaseCF[[#This Row],[Year]]=1))
*tblBaseCF[[#This Row],[TPTermFlag]]</f>
        <v>0</v>
      </c>
      <c r="AJ59" s="63">
        <f ca="1">tblBaseCF[[#This Row],[TP]]*tblBaseCF[[#This Row],[TPAllocChrgRate]]</f>
        <v>0</v>
      </c>
      <c r="AK59" s="60">
        <f ca="1">tblBaseCF[[#This Row],[TP]]-tblBaseCF[[#This Row],[TPAllocChrg]]</f>
        <v>0</v>
      </c>
      <c r="AL59" s="65">
        <f ca="1">IFERROR(INDEX(tblEPAllocChrgRate[Rate],MATCH(tblBaseCF[[#This Row],[Year]],tblEPAllocChrgRate[Year],0)),0)</f>
        <v>0.02</v>
      </c>
      <c r="AM59" s="60">
        <f ca="1">ep*tblBaseCF[[#This Row],[EPTermFlag]]</f>
        <v>0</v>
      </c>
      <c r="AN59" s="60">
        <f ca="1">tblBaseCF[[#This Row],[EP]]*tblBaseCF[[#This Row],[EPAllocChrgRate]]</f>
        <v>0</v>
      </c>
      <c r="AO59" s="63">
        <f ca="1">tblBaseCF[[#This Row],[EP]]-tblBaseCF[[#This Row],[EPAllocChrg]]</f>
        <v>0</v>
      </c>
      <c r="AP59" s="62">
        <f ca="1">tblBaseCF[[#This Row],[Ben]]*extra_prem_rate*em_load/1000/(1-tblBaseCF[[#This Row],[EPAllocChrgRate]])
*tblBaseCF[[#This Row],[EMLoadTermFlag]]</f>
        <v>0</v>
      </c>
      <c r="AQ59" s="62">
        <f ca="1">tblBaseCF[[#This Row],[Ben]]*pm_load/1000/(1-tblBaseCF[[#This Row],[EPAllocChrgRate]])
*tblBaseCF[[#This Row],[PMLoadTermFlag]]</f>
        <v>0</v>
      </c>
      <c r="AR59" s="60">
        <f ca="1">ROUNDUP(tblBaseCF[[#This Row],[UnroundedEMLoad]],-3)</f>
        <v>0</v>
      </c>
      <c r="AS59" s="62">
        <f ca="1">ROUNDUP(tblBaseCF[[#This Row],[Ben]]*pm_load/1000/(1-tblBaseCF[[#This Row],[EPAllocChrgRate]]),-3)
*tblBaseCF[[#This Row],[PMLoadTermFlag]]</f>
        <v>0</v>
      </c>
      <c r="AT59" s="60">
        <f ca="1">tblBaseCF[[#This Row],[EMLoad]]+tblBaseCF[[#This Row],[PMLoad]]</f>
        <v>0</v>
      </c>
      <c r="AU59" s="60">
        <f ca="1">tblBaseCF[[#This Row],[Load]]*tblBaseCF[[#This Row],[EPAllocChrgRate]]</f>
        <v>0</v>
      </c>
      <c r="AV59" s="60">
        <f ca="1">tblBaseCF[[#This Row],[Load]]-tblBaseCF[[#This Row],[LoadAllocChrg]]</f>
        <v>0</v>
      </c>
      <c r="AW59" s="60">
        <f ca="1">tblBaseCF[[#This Row],[TP]]+tblBaseCF[[#This Row],[EP]]+tblBaseCF[[#This Row],[Load]]</f>
        <v>0</v>
      </c>
      <c r="AX59" s="60">
        <f ca="1">tblBaseCF[[#This Row],[TPAllocChrg]]+tblBaseCF[[#This Row],[EPAllocChrg]]+tblBaseCF[[#This Row],[LoadAllocChrg]]</f>
        <v>0</v>
      </c>
      <c r="AY59" s="60">
        <f ca="1">tblBaseCF[[#This Row],[TPAlloc]]+tblBaseCF[[#This Row],[EPAlloc]]+tblBaseCF[[#This Row],[LoadAlloc]]</f>
        <v>0</v>
      </c>
      <c r="AZ59" s="60">
        <f ca="1">(OFFSET(tblBaseCF[[#This Row],[AccumTotalPrem]],-1,0)+tblBaseCF[[#This Row],[TotalPrem]])*tblBaseCF[[#This Row],[TPTermFlag]]</f>
        <v>0</v>
      </c>
      <c r="BA59" s="62">
        <f ca="1">(tblBaseCF[[#This Row],[StartTAV]]-tblBaseCF[[#This Row],[TAVWithdrawal]]+tblBaseCF[[#This Row],[TPAlloc]])
*tblBaseCF[[#This Row],[ContFlag]]</f>
        <v>0</v>
      </c>
      <c r="BB59" s="59">
        <f ca="1">(tblBaseCF[[#This Row],[StartEAV]]-tblBaseCF[[#This Row],[EAVWithdrawal]]+tblBaseCF[[#This Row],[EPAlloc]]+tblBaseCF[[#This Row],[LoadAlloc]])
*tblBaseCF[[#This Row],[ContFlag]]</f>
        <v>0</v>
      </c>
      <c r="BC59" s="59">
        <f ca="1">tblBaseCF[[#This Row],[TAVAfterWdrlAlloc]]+tblBaseCF[[#This Row],[EAVAfterWdrlAlloc]]</f>
        <v>0</v>
      </c>
      <c r="BD59" s="66">
        <f t="shared" si="6"/>
        <v>0</v>
      </c>
      <c r="BE59" s="67">
        <f>(1+tblBaseCF[[#This Row],[AnnualIntRate]])^(1/12)-1</f>
        <v>0</v>
      </c>
      <c r="BF59" s="68">
        <f>IFERROR(((1+tblBaseCF[[#This Row],[MonthlyIntRate]])^12-1)/12/(1-1/(1+tblBaseCF[[#This Row],[MonthlyIntRate]])),1)/(1+tblBaseCF[[#This Row],[AnnualIntRate]])</f>
        <v>1</v>
      </c>
      <c r="BG59" s="69">
        <f>PV(tblBaseCF[[#This Row],[MonthlyIntRate]],12,-1/12,,1)</f>
        <v>1</v>
      </c>
      <c r="BH59" s="60">
        <f ca="1">MAX(IF(death_tpd_option="A",tblBaseCF[[#This Row],[Ben]]-tblBaseCF[[#This Row],[StartPAV]],tblBaseCF[[#This Row],[Ben]]),0)</f>
        <v>0</v>
      </c>
      <c r="BI59" s="70">
        <f ca="1">IFERROR(INDEX(tblBaseCOIRate[Rate],MATCH(tblBaseCF[[#This Row],[Age]],tblBaseCOIRate[Age],0)),0)</f>
        <v>2.12999999999997E-3</v>
      </c>
      <c r="BJ59" s="60">
        <f ca="1">tblBaseCF[[#This Row],[SAR]]*tblBaseCF[[#This Row],[COIRate]]</f>
        <v>0</v>
      </c>
      <c r="BK59" s="62">
        <f ca="1">em_load*tblBaseCF[[#This Row],[pStandardCOI]]
*tblBaseCF[[#This Row],[EMLoadTermFlag]]</f>
        <v>0</v>
      </c>
      <c r="BL59" s="62">
        <f ca="1">pm_load/1000*tblBaseCF[[#This Row],[SAR]]
*tblBaseCF[[#This Row],[PMLoadTermFlag]]</f>
        <v>0</v>
      </c>
      <c r="BM59" s="60">
        <f ca="1">tblBaseCF[[#This Row],[AccBen]]*monthly_acc_coi*12</f>
        <v>0</v>
      </c>
      <c r="BN59" s="60">
        <f ca="1">tblBaseCF[[#This Row],[pStandardCOI]]+tblBaseCF[[#This Row],[pEMLoadCOI]]+tblBaseCF[[#This Row],[pPMLoadCOI]]+tblBaseCF[[#This Row],[pAccCOI]]</f>
        <v>0</v>
      </c>
      <c r="BO59" s="62">
        <f ca="1">IFERROR(INDEX(tblAdminChrg[Amount],MATCH(tblBaseCF[[#This Row],[CalYear]],tblAdminChrg[Cal_Year],0)),0)
*tblBaseCF[[#This Row],[ContFlag]]</f>
        <v>0</v>
      </c>
      <c r="BP59" s="60">
        <f ca="1">tblBaseCF[[#This Row],[pMonthlyAdminChrg]]*12</f>
        <v>0</v>
      </c>
      <c r="BQ59" s="60">
        <f ca="1">tblBaseCF[[#This Row],[pCOI]]+tblBaseCF[[#This Row],[pAdminChrg]]</f>
        <v>0</v>
      </c>
      <c r="BR59" s="60">
        <f ca="1">tblBaseCF[[#This Row],[pNomDeduct]]*tblBaseCF[[#This Row],[Duean1m12]]</f>
        <v>0</v>
      </c>
      <c r="BS59" s="57">
        <f ca="1">(tblBaseCF[[#This Row],[PAVAfterWdrlAlloc]]&gt;=tblBaseCF[[#This Row],[pNomDeduct]])
*tblBaseCF[[#This Row],[ContFlag]]</f>
        <v>0</v>
      </c>
      <c r="BT59" s="60">
        <f ca="1">tblBaseCF[[#This Row],[pStandardCOI]]*tblBaseCF[[#This Row],[DeductFlag]]</f>
        <v>0</v>
      </c>
      <c r="BU59" s="60">
        <f ca="1">tblBaseCF[[#This Row],[pEMLoadCOI]]*tblBaseCF[[#This Row],[DeductFlag]]</f>
        <v>0</v>
      </c>
      <c r="BV59" s="60">
        <f ca="1">tblBaseCF[[#This Row],[pPMLoadCOI]]*tblBaseCF[[#This Row],[DeductFlag]]</f>
        <v>0</v>
      </c>
      <c r="BW59" s="60">
        <f ca="1">tblBaseCF[[#This Row],[pAccCOI]]*tblBaseCF[[#This Row],[DeductFlag]]</f>
        <v>0</v>
      </c>
      <c r="BX59" s="60">
        <f ca="1">tblBaseCF[[#This Row],[pCOI]]*tblBaseCF[[#This Row],[DeductFlag]]</f>
        <v>0</v>
      </c>
      <c r="BY59" s="60">
        <f ca="1">tblBaseCF[[#This Row],[pMonthlyAdminChrg]]*tblBaseCF[[#This Row],[DeductFlag]]</f>
        <v>0</v>
      </c>
      <c r="BZ59" s="60">
        <f ca="1">tblBaseCF[[#This Row],[pAdminChrg]]*tblBaseCF[[#This Row],[DeductFlag]]</f>
        <v>0</v>
      </c>
      <c r="CA59" s="60">
        <f ca="1">tblBaseCF[[#This Row],[pNomDeduct]]*tblBaseCF[[#This Row],[DeductFlag]]</f>
        <v>0</v>
      </c>
      <c r="CB59" s="60">
        <f ca="1">tblBaseCF[[#This Row],[pDeduct]]*tblBaseCF[[#This Row],[DeductFlag]]</f>
        <v>0</v>
      </c>
      <c r="CC59" s="60">
        <f ca="1">MIN(tblBaseCF[[#This Row],[TAVAfterWdrlAlloc]],tblBaseCF[[#This Row],[Deduct]])</f>
        <v>0</v>
      </c>
      <c r="CD59" s="60">
        <f ca="1">tblBaseCF[[#This Row],[Deduct]]-tblBaseCF[[#This Row],[TAVDeduct]]</f>
        <v>0</v>
      </c>
      <c r="CE59" s="69">
        <f ca="1">(tblBaseCF[[#This Row],[TAVAfterWdrlAlloc]]-tblBaseCF[[#This Row],[TAVDeduct]])*tblBaseCF[[#This Row],[AnnualIntRate]]
*tblBaseCF[[#This Row],[DeductFlag]]</f>
        <v>0</v>
      </c>
      <c r="CF59" s="69">
        <f ca="1">(tblBaseCF[[#This Row],[EAVAfterWdrlAlloc]]-tblBaseCF[[#This Row],[EAVDeduct]])*tblBaseCF[[#This Row],[AnnualIntRate]]
*tblBaseCF[[#This Row],[DeductFlag]]</f>
        <v>0</v>
      </c>
      <c r="CG59" s="69">
        <f ca="1">tblBaseCF[[#This Row],[TAVInt]]+tblBaseCF[[#This Row],[EAVInt]]</f>
        <v>0</v>
      </c>
      <c r="CH59" s="62">
        <f ca="1">IFERROR(INDEX(tblLBRate[Rate],MATCH(tblBaseCF[[#This Row],[Year]],tblLBRate[Year],0)),0)
*tblBaseCF[[#This Row],[DeductFlag]]</f>
        <v>0</v>
      </c>
      <c r="CI59" s="60">
        <f ca="1">IFERROR(SUM(OFFSET(tblBaseCF[[#This Row],[TAVWithdrawal]],0,0,-lb_review_period,1)),0)
*(tblBaseCF[[#This Row],[LBRate]]&gt;0)</f>
        <v>0</v>
      </c>
      <c r="CJ59" s="60">
        <f ca="1">(tblBaseCF[[#This Row],[LBRate]]&gt;0)*(tblBaseCF[[#This Row],[LBTAVWithdrawal]]=0)</f>
        <v>0</v>
      </c>
      <c r="CK59" s="62" cm="1">
        <f t="array" aca="1" ref="CK59" ca="1">IF(tblBaseCF[[#This Row],[LBFlag]],
_xlfn.SWITCH(base,
"ILP1",AVERAGE(OFFSET(tblBaseCF[TP],0,0,-lb_review_period,1)),tp),0)
*tblBaseCF[[#This Row],[LBFlag]]</f>
        <v>0</v>
      </c>
      <c r="CL59" s="62">
        <f ca="1">tblBaseCF[[#This Row],[LBBasis]]*tblBaseCF[[#This Row],[LBRate]]</f>
        <v>0</v>
      </c>
      <c r="CM59" s="57" cm="1">
        <f t="array" aca="1" ref="CM59" ca="1">_xlfn.SWITCH(base,
"ILP1",0,($AF159&lt;500000000)*1
+($AF159&gt;=500000000)*($AF159&lt;1000000000)*2
+($AF159&gt;=1000000000)*3)
*tblBaseCF[[#This Row],[DeductFlag]]</f>
        <v>0</v>
      </c>
      <c r="CN59" s="2" t="str">
        <f ca="1">IF(tblBaseCF[[#This Row],[DeductFlag]],base&amp;"_"&amp;tblBaseCF[[#This Row],[SBCode]]&amp;"_"&amp;tblBaseCF[[#This Row],[Year]],"")</f>
        <v/>
      </c>
      <c r="CO59" s="3">
        <f ca="1">IFERROR(INDEX(tblSBRate[Index],MATCH(tblBaseCF[[#This Row],[SBIndex]],tblSBRate[Rate],0)),0)</f>
        <v>0</v>
      </c>
      <c r="CP59" s="63">
        <f ca="1">IFERROR(SUM(OFFSET(tblBaseCF[[#This Row],[TAVWithdrawal]],0,0,-sb_review_period,1)),0)
*(tblBaseCF[[#This Row],[SBRate]]&gt;0)</f>
        <v>0</v>
      </c>
      <c r="CQ59" s="63">
        <f ca="1">(tblBaseCF[[#This Row],[SBRate]]&gt;0)*(tblBaseCF[[#This Row],[SBTAVWithdrawal]]=0)</f>
        <v>0</v>
      </c>
      <c r="CR59" s="59" cm="1">
        <f t="array" aca="1" ref="CR59" ca="1">IF(tblBaseCF[[#This Row],[LBFlag]],
_xlfn.SWITCH(base,
"ILP1",0,tp),0)*tblBaseCF[[#This Row],[SBFlag]]</f>
        <v>0</v>
      </c>
      <c r="CS59" s="63">
        <f ca="1">tblBaseCF[[#This Row],[SBBasis]]*tblBaseCF[[#This Row],[SBRate]]</f>
        <v>0</v>
      </c>
      <c r="CT59" s="63">
        <f ca="1">tblBaseCF[[#This Row],[LB]]+tblBaseCF[[#This Row],[SB]]</f>
        <v>0</v>
      </c>
      <c r="CU59" s="59">
        <f ca="1">tblBaseCF[[#This Row],[TAVAfterWdrlAlloc]]-tblBaseCF[[#This Row],[TAVDeduct]]+tblBaseCF[[#This Row],[TAVInt]]+tblBaseCF[[#This Row],[Bonus]]</f>
        <v>0</v>
      </c>
      <c r="CV59" s="59">
        <f ca="1">tblBaseCF[[#This Row],[EAVAfterWdrlAlloc]]-tblBaseCF[[#This Row],[EAVDeduct]]+tblBaseCF[[#This Row],[EAVInt]]</f>
        <v>0</v>
      </c>
      <c r="CW59" s="63">
        <f ca="1">tblBaseCF[[#This Row],[EndTAV]]+tblBaseCF[[#This Row],[EndEAV]]</f>
        <v>0</v>
      </c>
      <c r="CX59" s="59">
        <f ca="1">INDEX(tblPlanPrem[TP],2)
*tblBaseCF[[#This Row],[TPTermFlag]]</f>
        <v>0</v>
      </c>
      <c r="CY59" s="59">
        <f ca="1">INDEX(tblPlanPrem[EP],2)
*tblBaseCF[[#This Row],[TPTermFlag]]</f>
        <v>0</v>
      </c>
      <c r="CZ59" s="63">
        <f ca="1">ROUNDUP(tblBaseCF[[#This Row],[UnroundedEMLoad]]*INDEX(tblPlanPrem[Factor],2),-3)</f>
        <v>0</v>
      </c>
      <c r="DA59" s="63">
        <f ca="1">ROUNDUP(tblBaseCF[[#This Row],[UnroundedPMLoad]]*INDEX(tblPlanPrem[Factor],2),-3)</f>
        <v>0</v>
      </c>
      <c r="DB59" s="63">
        <f ca="1">tblBaseCF[[#This Row],[SemiAnnualEMLoad]]+tblBaseCF[[#This Row],[SemiAnnualPMLoad]]</f>
        <v>0</v>
      </c>
      <c r="DC59" s="63">
        <f ca="1">tblBaseCF[[#This Row],[SemiAnnualTP]]+tblBaseCF[[#This Row],[SemiAnnualEP]]+tblBaseCF[[#This Row],[SemiAnnualLoad]]</f>
        <v>0</v>
      </c>
      <c r="DD59" s="59">
        <f ca="1">INDEX(tblPlanPrem[TP],3)
*tblBaseCF[[#This Row],[TPTermFlag]]</f>
        <v>0</v>
      </c>
      <c r="DE59" s="59">
        <f ca="1">INDEX(tblPlanPrem[EP],3)
*tblBaseCF[[#This Row],[TPTermFlag]]</f>
        <v>0</v>
      </c>
      <c r="DF59" s="63">
        <f ca="1">ROUNDUP(tblBaseCF[[#This Row],[UnroundedEMLoad]]*INDEX(tblPlanPrem[Factor],3),-3)</f>
        <v>0</v>
      </c>
      <c r="DG59" s="63">
        <f ca="1">ROUNDUP(tblBaseCF[[#This Row],[UnroundedPMLoad]]*INDEX(tblPlanPrem[Factor],3),-3)</f>
        <v>0</v>
      </c>
      <c r="DH59" s="60">
        <f ca="1">tblBaseCF[[#This Row],[QuarterlyEMLoad]]+tblBaseCF[[#This Row],[QuarterlyPMLoad]]</f>
        <v>0</v>
      </c>
      <c r="DI59" s="60">
        <f ca="1">tblBaseCF[[#This Row],[QuarterlyTP]]+tblBaseCF[[#This Row],[QuarterlyEP]]+tblBaseCF[[#This Row],[QuarterlyLoad]]</f>
        <v>0</v>
      </c>
      <c r="DJ59" s="59">
        <f ca="1">INDEX(tblPlanPrem[TP],4)
*tblBaseCF[[#This Row],[TPTermFlag]]</f>
        <v>0</v>
      </c>
      <c r="DK59" s="59">
        <f ca="1">INDEX(tblPlanPrem[EP],4)
*tblBaseCF[[#This Row],[TPTermFlag]]</f>
        <v>0</v>
      </c>
      <c r="DL59" s="63">
        <f ca="1">ROUNDUP(tblBaseCF[[#This Row],[UnroundedEMLoad]]*INDEX(tblPlanPrem[Factor],4),-3)</f>
        <v>0</v>
      </c>
      <c r="DM59" s="63">
        <f ca="1">ROUNDUP(tblBaseCF[[#This Row],[UnroundedPMLoad]]*INDEX(tblPlanPrem[Factor],4),-3)</f>
        <v>0</v>
      </c>
      <c r="DN59" s="60">
        <f ca="1">tblBaseCF[[#This Row],[MonthlyEMLoad]]+tblBaseCF[[#This Row],[MonthlyPMLoad]]</f>
        <v>0</v>
      </c>
      <c r="DO59" s="63">
        <f ca="1">tblBaseCF[[#This Row],[MonthlyTP]]+tblBaseCF[[#This Row],[MonthlyEP]]+tblBaseCF[[#This Row],[MonthlyLoad]]</f>
        <v>0</v>
      </c>
      <c r="DP59" s="3"/>
      <c r="DS59">
        <f t="shared" si="7"/>
        <v>0</v>
      </c>
      <c r="DT59">
        <f t="shared" si="8"/>
        <v>0</v>
      </c>
      <c r="DU59">
        <f t="shared" si="9"/>
        <v>0</v>
      </c>
      <c r="DV59">
        <f ca="1">tblBaseCF[[#This Row],[Year]]</f>
        <v>39</v>
      </c>
      <c r="DW59">
        <f ca="1">tblBaseCF[[#This Row],[Age]]</f>
        <v>38</v>
      </c>
      <c r="DX59">
        <f ca="1">tblBaseCF[[#This Row],[ContFlag]]</f>
        <v>0</v>
      </c>
      <c r="DY59" t="str">
        <f ca="1">tblBaseCF[[#This Row],[ContLog]]</f>
        <v>Insufficient PAV for deduction - Discontinue.</v>
      </c>
      <c r="DZ59">
        <f ca="1">tblBaseCF[[#This Row],[StartTAV]]</f>
        <v>0</v>
      </c>
      <c r="EA59">
        <f ca="1">tblBaseCF[[#This Row],[StartEAV]]</f>
        <v>0</v>
      </c>
      <c r="EB59">
        <f ca="1">tblBaseCF[[#This Row],[StartPAV]]</f>
        <v>0</v>
      </c>
      <c r="EC59">
        <f ca="1">tblBaseCF[[#This Row],[SVChrg]]</f>
        <v>0</v>
      </c>
      <c r="ED59">
        <f ca="1">tblBaseCF[[#This Row],[SV]]</f>
        <v>0</v>
      </c>
      <c r="EE59">
        <f ca="1">tblBaseCF[[#This Row],[Ben]]</f>
        <v>0</v>
      </c>
      <c r="EF59">
        <f ca="1">tblBaseCF[[#This Row],[AccBen]]</f>
        <v>0</v>
      </c>
      <c r="EG59">
        <f ca="1">tblBaseCF[[#This Row],[WithdrawalInput]]</f>
        <v>0</v>
      </c>
      <c r="EH59" t="str">
        <f ca="1">tblBaseCF[[#This Row],[WithdrawalLog]]</f>
        <v>No withdrawal.</v>
      </c>
      <c r="EI59">
        <f ca="1">tblBaseCF[[#This Row],[TAVWithdrawal]]</f>
        <v>0</v>
      </c>
      <c r="EJ59">
        <f ca="1">tblBaseCF[[#This Row],[EAVWithdrawal]]</f>
        <v>0</v>
      </c>
      <c r="EK59">
        <f ca="1">tblBaseCF[[#This Row],[Withdrawal]]</f>
        <v>0</v>
      </c>
      <c r="EL59">
        <f ca="1">tblBaseCF[[#This Row],[TP]]</f>
        <v>0</v>
      </c>
      <c r="EM59">
        <f ca="1">tblBaseCF[[#This Row],[TPAllocChrg]]</f>
        <v>0</v>
      </c>
      <c r="EN59">
        <f ca="1">tblBaseCF[[#This Row],[TPAlloc]]</f>
        <v>0</v>
      </c>
      <c r="EO59">
        <f ca="1">tblBaseCF[[#This Row],[EP]]</f>
        <v>0</v>
      </c>
      <c r="EP59">
        <f ca="1">tblBaseCF[[#This Row],[EPAllocChrg]]</f>
        <v>0</v>
      </c>
      <c r="EQ59">
        <f ca="1">tblBaseCF[[#This Row],[EPAlloc]]</f>
        <v>0</v>
      </c>
      <c r="ER59">
        <f ca="1">tblBaseCF[[#This Row],[EMLoad]]</f>
        <v>0</v>
      </c>
      <c r="ES59">
        <f ca="1">tblBaseCF[[#This Row],[PMLoad]]</f>
        <v>0</v>
      </c>
      <c r="ET59">
        <f ca="1">tblBaseCF[[#This Row],[Load]]</f>
        <v>0</v>
      </c>
      <c r="EU59">
        <f ca="1">tblBaseCF[[#This Row],[LoadAllocChrg]]</f>
        <v>0</v>
      </c>
      <c r="EV59">
        <f ca="1">tblBaseCF[[#This Row],[LoadAlloc]]</f>
        <v>0</v>
      </c>
      <c r="EW59">
        <f ca="1">tblBaseCF[[#This Row],[TotalPrem]]</f>
        <v>0</v>
      </c>
      <c r="EX59">
        <f ca="1">tblBaseCF[[#This Row],[AllocChrg]]</f>
        <v>0</v>
      </c>
      <c r="EY59">
        <f ca="1">tblBaseCF[[#This Row],[Alloc]]</f>
        <v>0</v>
      </c>
      <c r="EZ59">
        <f ca="1">tblBaseCF[[#This Row],[AccumTotalPrem]]</f>
        <v>0</v>
      </c>
      <c r="FA59">
        <f>tblBaseCF[[#This Row],[AnnualIntRate]]</f>
        <v>0</v>
      </c>
      <c r="FB59" s="50">
        <f>tblBaseCF[[#This Row],[Duean1m12]]</f>
        <v>1</v>
      </c>
      <c r="FC59">
        <f ca="1">tblBaseCF[[#This Row],[DeductFlag]]</f>
        <v>0</v>
      </c>
      <c r="FD59">
        <f ca="1">tblBaseCF[[#This Row],[AdminChrg]]</f>
        <v>0</v>
      </c>
      <c r="FE59">
        <f ca="1">tblBaseCF[[#This Row],[StandardCOI]]</f>
        <v>0</v>
      </c>
      <c r="FF59">
        <f ca="1">tblBaseCF[[#This Row],[EMLoadCOI]]</f>
        <v>0</v>
      </c>
      <c r="FG59">
        <f ca="1">tblBaseCF[[#This Row],[PMLoadCOI]]</f>
        <v>0</v>
      </c>
      <c r="FH59">
        <f ca="1">tblBaseCF[[#This Row],[COI]]</f>
        <v>0</v>
      </c>
      <c r="FI59" s="47">
        <f ca="1">tblBaseCF[[#This Row],[NomDeduct]]</f>
        <v>0</v>
      </c>
      <c r="FJ59">
        <f ca="1">tblBaseCF[[#This Row],[Deduct]]</f>
        <v>0</v>
      </c>
      <c r="FK59">
        <f ca="1">tblBaseCF[[#This Row],[TAVDeduct]]</f>
        <v>0</v>
      </c>
      <c r="FL59">
        <f ca="1">tblBaseCF[[#This Row],[EAVDeduct]]</f>
        <v>0</v>
      </c>
      <c r="FM59" s="24">
        <f ca="1">tblBaseCF[[#This Row],[TAVInt]]</f>
        <v>0</v>
      </c>
      <c r="FN59">
        <f ca="1">tblBaseCF[[#This Row],[EAVInt]]</f>
        <v>0</v>
      </c>
      <c r="FO59" s="47">
        <f ca="1">tblBaseCF[[#This Row],[LB]]</f>
        <v>0</v>
      </c>
      <c r="FP59">
        <f ca="1">tblBaseCF[[#This Row],[SB]]</f>
        <v>0</v>
      </c>
      <c r="FQ59">
        <f ca="1">tblBaseCF[[#This Row],[Bonus]]</f>
        <v>0</v>
      </c>
      <c r="FR59">
        <f ca="1">tblBaseCF[[#This Row],[EndTAV]]</f>
        <v>0</v>
      </c>
      <c r="FS59">
        <f ca="1">tblBaseCF[[#This Row],[EndEAV]]</f>
        <v>0</v>
      </c>
      <c r="FT59">
        <f ca="1">tblBaseCF[[#This Row],[EndPAV]]</f>
        <v>0</v>
      </c>
      <c r="FU59">
        <f ca="1">tblBaseCF[[#This Row],[SemiAnnualTP]]</f>
        <v>0</v>
      </c>
      <c r="FV59">
        <f ca="1">tblBaseCF[[#This Row],[SemiAnnualEP]]</f>
        <v>0</v>
      </c>
      <c r="FW59">
        <f ca="1">tblBaseCF[[#This Row],[SemiAnnualEMLoad]]</f>
        <v>0</v>
      </c>
      <c r="FX59">
        <f ca="1">tblBaseCF[[#This Row],[SemiAnnualPMLoad]]</f>
        <v>0</v>
      </c>
      <c r="FY59">
        <f ca="1">tblBaseCF[[#This Row],[SemiAnnualLoad]]</f>
        <v>0</v>
      </c>
      <c r="FZ59">
        <f ca="1">tblBaseCF[[#This Row],[SemiAnnualTotalPrem]]</f>
        <v>0</v>
      </c>
      <c r="GA59">
        <f ca="1">tblBaseCF[[#This Row],[QuarterlyTP]]</f>
        <v>0</v>
      </c>
      <c r="GB59">
        <f ca="1">tblBaseCF[[#This Row],[QuarterlyEP]]</f>
        <v>0</v>
      </c>
      <c r="GC59">
        <f ca="1">tblBaseCF[[#This Row],[QuarterlyEMLoad]]</f>
        <v>0</v>
      </c>
      <c r="GD59">
        <f ca="1">tblBaseCF[[#This Row],[QuarterlyPMLoad]]</f>
        <v>0</v>
      </c>
      <c r="GE59">
        <f ca="1">tblBaseCF[[#This Row],[QuarterlyLoad]]</f>
        <v>0</v>
      </c>
      <c r="GF59">
        <f ca="1">tblBaseCF[[#This Row],[QuarterlyTotalPrem]]</f>
        <v>0</v>
      </c>
      <c r="GG59">
        <f ca="1">tblBaseCF[[#This Row],[MonthlyTP]]</f>
        <v>0</v>
      </c>
      <c r="GH59">
        <f ca="1">tblBaseCF[[#This Row],[MonthlyEP]]</f>
        <v>0</v>
      </c>
      <c r="GI59">
        <f ca="1">tblBaseCF[[#This Row],[MonthlyEMLoad]]</f>
        <v>0</v>
      </c>
      <c r="GJ59">
        <f ca="1">tblBaseCF[[#This Row],[MonthlyPMLoad]]</f>
        <v>0</v>
      </c>
      <c r="GK59">
        <f ca="1">tblBaseCF[[#This Row],[MonthlyLoad]]</f>
        <v>0</v>
      </c>
      <c r="GL59">
        <f ca="1">tblBaseCF[[#This Row],[MonthlyTotalPrem]]</f>
        <v>0</v>
      </c>
      <c r="GO59" t="s">
        <v>134</v>
      </c>
      <c r="GP59" t="s">
        <v>135</v>
      </c>
      <c r="GQ59" t="s">
        <v>502</v>
      </c>
      <c r="GR59">
        <v>39</v>
      </c>
      <c r="GS59">
        <v>38</v>
      </c>
      <c r="GT59">
        <v>1</v>
      </c>
      <c r="GU59" t="s">
        <v>457</v>
      </c>
      <c r="GV59">
        <v>69494745.012184307</v>
      </c>
      <c r="GW59">
        <v>542905384.41980302</v>
      </c>
      <c r="GX59">
        <v>612400129.431988</v>
      </c>
      <c r="GY59">
        <v>0</v>
      </c>
      <c r="GZ59">
        <v>612400129.431988</v>
      </c>
      <c r="HA59">
        <v>612400129.431988</v>
      </c>
      <c r="HB59">
        <v>303000000</v>
      </c>
      <c r="HC59">
        <v>0</v>
      </c>
      <c r="HD59" t="s">
        <v>137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7.0000000000000007E-2</v>
      </c>
      <c r="HX59">
        <v>0.96964931039809399</v>
      </c>
      <c r="HY59">
        <v>1</v>
      </c>
      <c r="HZ59">
        <v>300000</v>
      </c>
      <c r="IA59">
        <v>0</v>
      </c>
      <c r="IB59">
        <v>0</v>
      </c>
      <c r="IC59">
        <v>0</v>
      </c>
      <c r="ID59">
        <v>272700</v>
      </c>
      <c r="IE59">
        <v>572700</v>
      </c>
      <c r="IF59">
        <v>555318.16006498795</v>
      </c>
      <c r="IG59">
        <v>555318.16006498795</v>
      </c>
      <c r="IH59">
        <v>0</v>
      </c>
      <c r="II59">
        <v>4825759.8796483502</v>
      </c>
      <c r="IJ59">
        <v>38003376.909386203</v>
      </c>
      <c r="IK59">
        <v>0</v>
      </c>
      <c r="IL59">
        <v>0</v>
      </c>
      <c r="IM59">
        <v>0</v>
      </c>
      <c r="IN59">
        <v>73765186.731767595</v>
      </c>
      <c r="IO59">
        <v>580908761.32919002</v>
      </c>
      <c r="IP59">
        <v>654673948.06095695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</row>
    <row r="60" spans="2:268" customFormat="1" x14ac:dyDescent="0.25">
      <c r="B60" s="2">
        <f ca="1">OFFSET(tblBaseCF[[#This Row],[Year]],-1,0)+1</f>
        <v>40</v>
      </c>
      <c r="C60" s="2">
        <f ca="1">(tblBaseCF[[#This Row],[Year]]&lt;=term)*1</f>
        <v>1</v>
      </c>
      <c r="D60" s="57">
        <f ca="1">(YEAR(rcd)+tblBaseCF[[#This Row],[Year]]-1)
*tblBaseCF[[#This Row],[PolTermFlag]]</f>
        <v>2064</v>
      </c>
      <c r="E60" s="57">
        <f ca="1">(mainLI_entry_age+tblBaseCF[[#This Row],[Year]]-1)
*tblBaseCF[[#This Row],[PolTermFlag]]</f>
        <v>39</v>
      </c>
      <c r="F60" s="57">
        <f ca="1">IF(tblBaseCF[[#This Row],[Year]]=1,1,OFFSET(tblBaseCF[[#This Row],[DeductFlag]],-1,0))
*tblBaseCF[[#This Row],[PolTermFlag]]</f>
        <v>0</v>
      </c>
      <c r="G6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0" s="57">
        <f ca="1">(tblBaseCF[[#This Row],[Year]]&lt;=acc_ben_term)
*tblBaseCF[[#This Row],[ContFlag]]</f>
        <v>0</v>
      </c>
      <c r="I60" s="57">
        <f ca="1">(tblBaseCF[[#This Row],[Year]]&lt;=tp_term)
*tblBaseCF[[#This Row],[ContFlag]]</f>
        <v>0</v>
      </c>
      <c r="J60" s="57">
        <f ca="1">(tblBaseCF[[#This Row],[Year]]&lt;=ep_term)
*tblBaseCF[[#This Row],[ContFlag]]</f>
        <v>0</v>
      </c>
      <c r="K60" s="57">
        <f ca="1">(tblBaseCF[[#This Row],[Year]]&lt;=em_load_term)*1</f>
        <v>0</v>
      </c>
      <c r="L60" s="57">
        <f ca="1">(tblBaseCF[[#This Row],[Year]]&lt;=pm_load_term)*1</f>
        <v>0</v>
      </c>
      <c r="M60" s="59">
        <f ca="1">IF(tblBaseCF[[#This Row],[Year]]=1,si,OFFSET(tblBaseCF[[#This Row],[EndSI]],-1,0))
*tblBaseCF[[#This Row],[ContFlag]]</f>
        <v>0</v>
      </c>
      <c r="N60" s="59">
        <f ca="1">OFFSET(tblBaseCF[[#This Row],[EndTAV]],-1,0)
*tblBaseCF[[#This Row],[ContFlag]]</f>
        <v>0</v>
      </c>
      <c r="O60" s="59">
        <f ca="1">OFFSET(tblBaseCF[[#This Row],[EndEAV]],-1,0)
*tblBaseCF[[#This Row],[ContFlag]]</f>
        <v>0</v>
      </c>
      <c r="P60" s="60">
        <f ca="1">tblBaseCF[[#This Row],[StartEAV]]+tblBaseCF[[#This Row],[StartTAV]]</f>
        <v>0</v>
      </c>
      <c r="Q60" s="61">
        <f ca="1">IFERROR(INDEX(tblJuvenileLienRate[Rate],MATCH(tblBaseCF[[#This Row],[Age]],tblJuvenileLienRate[Age],0)),1)
*tblBaseCF[[#This Row],[ContFlag]]</f>
        <v>0</v>
      </c>
      <c r="R6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0" s="62">
        <f ca="1">tblBaseCF[[#This Row],[StartSI]]*acc_ben_coeff*tblBaseCF[[#This Row],[JuvenileLienRate]]
*tblBaseCF[[#This Row],[AccBenTermFlag]]</f>
        <v>0</v>
      </c>
      <c r="T60" s="61">
        <f ca="1">(IFERROR(INDEX(tblSurrChrgRate[Rate],MATCH(tblBaseCF[[#This Row],[Year]],tblSurrChrgRate[Year],0)),0)
*tblBaseCF[[#This Row],[ContFlag]])</f>
        <v>0</v>
      </c>
      <c r="U60" s="60">
        <f ca="1">tp*tblBaseCF[[#This Row],[SrrChrgRate]]</f>
        <v>0</v>
      </c>
      <c r="V60" s="63">
        <f ca="1">MAX(tblBaseCF[[#This Row],[StartTAV]]-tblBaseCF[[#This Row],[SVChrg]],0)+tblBaseCF[[#This Row],[StartEAV]]</f>
        <v>0</v>
      </c>
      <c r="W60" s="59">
        <f ca="1">IFERROR(INDEX(tblWithdrawal_Output[Amount],MATCH(tblBaseCF[[#This Row],[Year]],tblWithdrawal_Output[Year],0)),0)
*tblBaseCF[[#This Row],[ContFlag]]</f>
        <v>0</v>
      </c>
      <c r="X60" s="59" t="b">
        <f ca="1">tblBaseCF[[#This Row],[WithdrawalInput]]&gt;0</f>
        <v>0</v>
      </c>
      <c r="Y60" s="59" t="b">
        <f ca="1">AND(tblBaseCF[[#This Row],[1stCheckProceed]],tblBaseCF[[#This Row],[WithdrawalInput]]&lt;=tblBaseCF[[#This Row],[StartPAV]])</f>
        <v>0</v>
      </c>
      <c r="Z60" s="59" t="b">
        <f ca="1">AND(tblBaseCF[[#This Row],[2ndCheckAmount]],(tblBaseCF[[#This Row],[StartPAV]]-tblBaseCF[[#This Row],[WithdrawalInput]])&gt;=min_pav_after_withdrawal)</f>
        <v>0</v>
      </c>
      <c r="AA6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0" s="59" t="b">
        <f ca="1">AND(tblBaseCF[[#This Row],[3rdCheckPAV]],tblBaseCF[[#This Row],[endSITest]]&gt;=min_base_si)</f>
        <v>0</v>
      </c>
      <c r="AC60" s="60">
        <f ca="1">tblBaseCF[[#This Row],[WithdrawalInput]]*tblBaseCF[[#This Row],[4thCheckSI]]</f>
        <v>0</v>
      </c>
      <c r="AD60" s="60">
        <f ca="1">MIN(tblBaseCF[[#This Row],[Withdrawal]],tblBaseCF[[#This Row],[StartEAV]])</f>
        <v>0</v>
      </c>
      <c r="AE60" s="60">
        <f ca="1">tblBaseCF[[#This Row],[Withdrawal]]-tblBaseCF[[#This Row],[EAVWithdrawal]]</f>
        <v>0</v>
      </c>
      <c r="AF60" s="60">
        <f ca="1">IF(tblBaseCF[[#This Row],[4thCheckSI]],tblBaseCF[[#This Row],[endSITest]],tblBaseCF[[#This Row],[StartSI]])</f>
        <v>0</v>
      </c>
      <c r="AG6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0" s="65">
        <f ca="1">IFERROR(INDEX(tblTPAllocChrgRate[Rate],MATCH(tblBaseCF[[#This Row],[Year]],tblTPAllocChrgRate[Year],0)),0)</f>
        <v>0.02</v>
      </c>
      <c r="AI60" s="62">
        <f ca="1">(tp+big_case_bonus_tp*(tblBaseCF[[#This Row],[Year]]=1))
*tblBaseCF[[#This Row],[TPTermFlag]]</f>
        <v>0</v>
      </c>
      <c r="AJ60" s="63">
        <f ca="1">tblBaseCF[[#This Row],[TP]]*tblBaseCF[[#This Row],[TPAllocChrgRate]]</f>
        <v>0</v>
      </c>
      <c r="AK60" s="60">
        <f ca="1">tblBaseCF[[#This Row],[TP]]-tblBaseCF[[#This Row],[TPAllocChrg]]</f>
        <v>0</v>
      </c>
      <c r="AL60" s="65">
        <f ca="1">IFERROR(INDEX(tblEPAllocChrgRate[Rate],MATCH(tblBaseCF[[#This Row],[Year]],tblEPAllocChrgRate[Year],0)),0)</f>
        <v>0.02</v>
      </c>
      <c r="AM60" s="60">
        <f ca="1">ep*tblBaseCF[[#This Row],[EPTermFlag]]</f>
        <v>0</v>
      </c>
      <c r="AN60" s="60">
        <f ca="1">tblBaseCF[[#This Row],[EP]]*tblBaseCF[[#This Row],[EPAllocChrgRate]]</f>
        <v>0</v>
      </c>
      <c r="AO60" s="63">
        <f ca="1">tblBaseCF[[#This Row],[EP]]-tblBaseCF[[#This Row],[EPAllocChrg]]</f>
        <v>0</v>
      </c>
      <c r="AP60" s="62">
        <f ca="1">tblBaseCF[[#This Row],[Ben]]*extra_prem_rate*em_load/1000/(1-tblBaseCF[[#This Row],[EPAllocChrgRate]])
*tblBaseCF[[#This Row],[EMLoadTermFlag]]</f>
        <v>0</v>
      </c>
      <c r="AQ60" s="62">
        <f ca="1">tblBaseCF[[#This Row],[Ben]]*pm_load/1000/(1-tblBaseCF[[#This Row],[EPAllocChrgRate]])
*tblBaseCF[[#This Row],[PMLoadTermFlag]]</f>
        <v>0</v>
      </c>
      <c r="AR60" s="60">
        <f ca="1">ROUNDUP(tblBaseCF[[#This Row],[UnroundedEMLoad]],-3)</f>
        <v>0</v>
      </c>
      <c r="AS60" s="62">
        <f ca="1">ROUNDUP(tblBaseCF[[#This Row],[Ben]]*pm_load/1000/(1-tblBaseCF[[#This Row],[EPAllocChrgRate]]),-3)
*tblBaseCF[[#This Row],[PMLoadTermFlag]]</f>
        <v>0</v>
      </c>
      <c r="AT60" s="60">
        <f ca="1">tblBaseCF[[#This Row],[EMLoad]]+tblBaseCF[[#This Row],[PMLoad]]</f>
        <v>0</v>
      </c>
      <c r="AU60" s="60">
        <f ca="1">tblBaseCF[[#This Row],[Load]]*tblBaseCF[[#This Row],[EPAllocChrgRate]]</f>
        <v>0</v>
      </c>
      <c r="AV60" s="60">
        <f ca="1">tblBaseCF[[#This Row],[Load]]-tblBaseCF[[#This Row],[LoadAllocChrg]]</f>
        <v>0</v>
      </c>
      <c r="AW60" s="60">
        <f ca="1">tblBaseCF[[#This Row],[TP]]+tblBaseCF[[#This Row],[EP]]+tblBaseCF[[#This Row],[Load]]</f>
        <v>0</v>
      </c>
      <c r="AX60" s="60">
        <f ca="1">tblBaseCF[[#This Row],[TPAllocChrg]]+tblBaseCF[[#This Row],[EPAllocChrg]]+tblBaseCF[[#This Row],[LoadAllocChrg]]</f>
        <v>0</v>
      </c>
      <c r="AY60" s="60">
        <f ca="1">tblBaseCF[[#This Row],[TPAlloc]]+tblBaseCF[[#This Row],[EPAlloc]]+tblBaseCF[[#This Row],[LoadAlloc]]</f>
        <v>0</v>
      </c>
      <c r="AZ60" s="60">
        <f ca="1">(OFFSET(tblBaseCF[[#This Row],[AccumTotalPrem]],-1,0)+tblBaseCF[[#This Row],[TotalPrem]])*tblBaseCF[[#This Row],[TPTermFlag]]</f>
        <v>0</v>
      </c>
      <c r="BA60" s="62">
        <f ca="1">(tblBaseCF[[#This Row],[StartTAV]]-tblBaseCF[[#This Row],[TAVWithdrawal]]+tblBaseCF[[#This Row],[TPAlloc]])
*tblBaseCF[[#This Row],[ContFlag]]</f>
        <v>0</v>
      </c>
      <c r="BB60" s="59">
        <f ca="1">(tblBaseCF[[#This Row],[StartEAV]]-tblBaseCF[[#This Row],[EAVWithdrawal]]+tblBaseCF[[#This Row],[EPAlloc]]+tblBaseCF[[#This Row],[LoadAlloc]])
*tblBaseCF[[#This Row],[ContFlag]]</f>
        <v>0</v>
      </c>
      <c r="BC60" s="59">
        <f ca="1">tblBaseCF[[#This Row],[TAVAfterWdrlAlloc]]+tblBaseCF[[#This Row],[EAVAfterWdrlAlloc]]</f>
        <v>0</v>
      </c>
      <c r="BD60" s="66">
        <f t="shared" si="6"/>
        <v>0</v>
      </c>
      <c r="BE60" s="67">
        <f>(1+tblBaseCF[[#This Row],[AnnualIntRate]])^(1/12)-1</f>
        <v>0</v>
      </c>
      <c r="BF60" s="68">
        <f>IFERROR(((1+tblBaseCF[[#This Row],[MonthlyIntRate]])^12-1)/12/(1-1/(1+tblBaseCF[[#This Row],[MonthlyIntRate]])),1)/(1+tblBaseCF[[#This Row],[AnnualIntRate]])</f>
        <v>1</v>
      </c>
      <c r="BG60" s="69">
        <f>PV(tblBaseCF[[#This Row],[MonthlyIntRate]],12,-1/12,,1)</f>
        <v>1</v>
      </c>
      <c r="BH60" s="60">
        <f ca="1">MAX(IF(death_tpd_option="A",tblBaseCF[[#This Row],[Ben]]-tblBaseCF[[#This Row],[StartPAV]],tblBaseCF[[#This Row],[Ben]]),0)</f>
        <v>0</v>
      </c>
      <c r="BI60" s="70">
        <f ca="1">IFERROR(INDEX(tblBaseCOIRate[Rate],MATCH(tblBaseCF[[#This Row],[Age]],tblBaseCOIRate[Age],0)),0)</f>
        <v>2.31999999999999E-3</v>
      </c>
      <c r="BJ60" s="60">
        <f ca="1">tblBaseCF[[#This Row],[SAR]]*tblBaseCF[[#This Row],[COIRate]]</f>
        <v>0</v>
      </c>
      <c r="BK60" s="62">
        <f ca="1">em_load*tblBaseCF[[#This Row],[pStandardCOI]]
*tblBaseCF[[#This Row],[EMLoadTermFlag]]</f>
        <v>0</v>
      </c>
      <c r="BL60" s="62">
        <f ca="1">pm_load/1000*tblBaseCF[[#This Row],[SAR]]
*tblBaseCF[[#This Row],[PMLoadTermFlag]]</f>
        <v>0</v>
      </c>
      <c r="BM60" s="60">
        <f ca="1">tblBaseCF[[#This Row],[AccBen]]*monthly_acc_coi*12</f>
        <v>0</v>
      </c>
      <c r="BN60" s="60">
        <f ca="1">tblBaseCF[[#This Row],[pStandardCOI]]+tblBaseCF[[#This Row],[pEMLoadCOI]]+tblBaseCF[[#This Row],[pPMLoadCOI]]+tblBaseCF[[#This Row],[pAccCOI]]</f>
        <v>0</v>
      </c>
      <c r="BO60" s="62">
        <f ca="1">IFERROR(INDEX(tblAdminChrg[Amount],MATCH(tblBaseCF[[#This Row],[CalYear]],tblAdminChrg[Cal_Year],0)),0)
*tblBaseCF[[#This Row],[ContFlag]]</f>
        <v>0</v>
      </c>
      <c r="BP60" s="60">
        <f ca="1">tblBaseCF[[#This Row],[pMonthlyAdminChrg]]*12</f>
        <v>0</v>
      </c>
      <c r="BQ60" s="60">
        <f ca="1">tblBaseCF[[#This Row],[pCOI]]+tblBaseCF[[#This Row],[pAdminChrg]]</f>
        <v>0</v>
      </c>
      <c r="BR60" s="60">
        <f ca="1">tblBaseCF[[#This Row],[pNomDeduct]]*tblBaseCF[[#This Row],[Duean1m12]]</f>
        <v>0</v>
      </c>
      <c r="BS60" s="57">
        <f ca="1">(tblBaseCF[[#This Row],[PAVAfterWdrlAlloc]]&gt;=tblBaseCF[[#This Row],[pNomDeduct]])
*tblBaseCF[[#This Row],[ContFlag]]</f>
        <v>0</v>
      </c>
      <c r="BT60" s="60">
        <f ca="1">tblBaseCF[[#This Row],[pStandardCOI]]*tblBaseCF[[#This Row],[DeductFlag]]</f>
        <v>0</v>
      </c>
      <c r="BU60" s="60">
        <f ca="1">tblBaseCF[[#This Row],[pEMLoadCOI]]*tblBaseCF[[#This Row],[DeductFlag]]</f>
        <v>0</v>
      </c>
      <c r="BV60" s="60">
        <f ca="1">tblBaseCF[[#This Row],[pPMLoadCOI]]*tblBaseCF[[#This Row],[DeductFlag]]</f>
        <v>0</v>
      </c>
      <c r="BW60" s="60">
        <f ca="1">tblBaseCF[[#This Row],[pAccCOI]]*tblBaseCF[[#This Row],[DeductFlag]]</f>
        <v>0</v>
      </c>
      <c r="BX60" s="60">
        <f ca="1">tblBaseCF[[#This Row],[pCOI]]*tblBaseCF[[#This Row],[DeductFlag]]</f>
        <v>0</v>
      </c>
      <c r="BY60" s="60">
        <f ca="1">tblBaseCF[[#This Row],[pMonthlyAdminChrg]]*tblBaseCF[[#This Row],[DeductFlag]]</f>
        <v>0</v>
      </c>
      <c r="BZ60" s="60">
        <f ca="1">tblBaseCF[[#This Row],[pAdminChrg]]*tblBaseCF[[#This Row],[DeductFlag]]</f>
        <v>0</v>
      </c>
      <c r="CA60" s="60">
        <f ca="1">tblBaseCF[[#This Row],[pNomDeduct]]*tblBaseCF[[#This Row],[DeductFlag]]</f>
        <v>0</v>
      </c>
      <c r="CB60" s="60">
        <f ca="1">tblBaseCF[[#This Row],[pDeduct]]*tblBaseCF[[#This Row],[DeductFlag]]</f>
        <v>0</v>
      </c>
      <c r="CC60" s="60">
        <f ca="1">MIN(tblBaseCF[[#This Row],[TAVAfterWdrlAlloc]],tblBaseCF[[#This Row],[Deduct]])</f>
        <v>0</v>
      </c>
      <c r="CD60" s="60">
        <f ca="1">tblBaseCF[[#This Row],[Deduct]]-tblBaseCF[[#This Row],[TAVDeduct]]</f>
        <v>0</v>
      </c>
      <c r="CE60" s="69">
        <f ca="1">(tblBaseCF[[#This Row],[TAVAfterWdrlAlloc]]-tblBaseCF[[#This Row],[TAVDeduct]])*tblBaseCF[[#This Row],[AnnualIntRate]]
*tblBaseCF[[#This Row],[DeductFlag]]</f>
        <v>0</v>
      </c>
      <c r="CF60" s="69">
        <f ca="1">(tblBaseCF[[#This Row],[EAVAfterWdrlAlloc]]-tblBaseCF[[#This Row],[EAVDeduct]])*tblBaseCF[[#This Row],[AnnualIntRate]]
*tblBaseCF[[#This Row],[DeductFlag]]</f>
        <v>0</v>
      </c>
      <c r="CG60" s="69">
        <f ca="1">tblBaseCF[[#This Row],[TAVInt]]+tblBaseCF[[#This Row],[EAVInt]]</f>
        <v>0</v>
      </c>
      <c r="CH60" s="62">
        <f ca="1">IFERROR(INDEX(tblLBRate[Rate],MATCH(tblBaseCF[[#This Row],[Year]],tblLBRate[Year],0)),0)
*tblBaseCF[[#This Row],[DeductFlag]]</f>
        <v>0</v>
      </c>
      <c r="CI60" s="60">
        <f ca="1">IFERROR(SUM(OFFSET(tblBaseCF[[#This Row],[TAVWithdrawal]],0,0,-lb_review_period,1)),0)
*(tblBaseCF[[#This Row],[LBRate]]&gt;0)</f>
        <v>0</v>
      </c>
      <c r="CJ60" s="60">
        <f ca="1">(tblBaseCF[[#This Row],[LBRate]]&gt;0)*(tblBaseCF[[#This Row],[LBTAVWithdrawal]]=0)</f>
        <v>0</v>
      </c>
      <c r="CK60" s="62" cm="1">
        <f t="array" aca="1" ref="CK60" ca="1">IF(tblBaseCF[[#This Row],[LBFlag]],
_xlfn.SWITCH(base,
"ILP1",AVERAGE(OFFSET(tblBaseCF[TP],0,0,-lb_review_period,1)),tp),0)
*tblBaseCF[[#This Row],[LBFlag]]</f>
        <v>0</v>
      </c>
      <c r="CL60" s="62">
        <f ca="1">tblBaseCF[[#This Row],[LBBasis]]*tblBaseCF[[#This Row],[LBRate]]</f>
        <v>0</v>
      </c>
      <c r="CM60" s="57" cm="1">
        <f t="array" aca="1" ref="CM60" ca="1">_xlfn.SWITCH(base,
"ILP1",0,($AF160&lt;500000000)*1
+($AF160&gt;=500000000)*($AF160&lt;1000000000)*2
+($AF160&gt;=1000000000)*3)
*tblBaseCF[[#This Row],[DeductFlag]]</f>
        <v>0</v>
      </c>
      <c r="CN60" s="2" t="str">
        <f ca="1">IF(tblBaseCF[[#This Row],[DeductFlag]],base&amp;"_"&amp;tblBaseCF[[#This Row],[SBCode]]&amp;"_"&amp;tblBaseCF[[#This Row],[Year]],"")</f>
        <v/>
      </c>
      <c r="CO60" s="3">
        <f ca="1">IFERROR(INDEX(tblSBRate[Index],MATCH(tblBaseCF[[#This Row],[SBIndex]],tblSBRate[Rate],0)),0)</f>
        <v>0</v>
      </c>
      <c r="CP60" s="63">
        <f ca="1">IFERROR(SUM(OFFSET(tblBaseCF[[#This Row],[TAVWithdrawal]],0,0,-sb_review_period,1)),0)
*(tblBaseCF[[#This Row],[SBRate]]&gt;0)</f>
        <v>0</v>
      </c>
      <c r="CQ60" s="63">
        <f ca="1">(tblBaseCF[[#This Row],[SBRate]]&gt;0)*(tblBaseCF[[#This Row],[SBTAVWithdrawal]]=0)</f>
        <v>0</v>
      </c>
      <c r="CR60" s="59" cm="1">
        <f t="array" aca="1" ref="CR60" ca="1">IF(tblBaseCF[[#This Row],[LBFlag]],
_xlfn.SWITCH(base,
"ILP1",0,tp),0)*tblBaseCF[[#This Row],[SBFlag]]</f>
        <v>0</v>
      </c>
      <c r="CS60" s="63">
        <f ca="1">tblBaseCF[[#This Row],[SBBasis]]*tblBaseCF[[#This Row],[SBRate]]</f>
        <v>0</v>
      </c>
      <c r="CT60" s="63">
        <f ca="1">tblBaseCF[[#This Row],[LB]]+tblBaseCF[[#This Row],[SB]]</f>
        <v>0</v>
      </c>
      <c r="CU60" s="59">
        <f ca="1">tblBaseCF[[#This Row],[TAVAfterWdrlAlloc]]-tblBaseCF[[#This Row],[TAVDeduct]]+tblBaseCF[[#This Row],[TAVInt]]+tblBaseCF[[#This Row],[Bonus]]</f>
        <v>0</v>
      </c>
      <c r="CV60" s="59">
        <f ca="1">tblBaseCF[[#This Row],[EAVAfterWdrlAlloc]]-tblBaseCF[[#This Row],[EAVDeduct]]+tblBaseCF[[#This Row],[EAVInt]]</f>
        <v>0</v>
      </c>
      <c r="CW60" s="63">
        <f ca="1">tblBaseCF[[#This Row],[EndTAV]]+tblBaseCF[[#This Row],[EndEAV]]</f>
        <v>0</v>
      </c>
      <c r="CX60" s="59">
        <f ca="1">INDEX(tblPlanPrem[TP],2)
*tblBaseCF[[#This Row],[TPTermFlag]]</f>
        <v>0</v>
      </c>
      <c r="CY60" s="59">
        <f ca="1">INDEX(tblPlanPrem[EP],2)
*tblBaseCF[[#This Row],[TPTermFlag]]</f>
        <v>0</v>
      </c>
      <c r="CZ60" s="63">
        <f ca="1">ROUNDUP(tblBaseCF[[#This Row],[UnroundedEMLoad]]*INDEX(tblPlanPrem[Factor],2),-3)</f>
        <v>0</v>
      </c>
      <c r="DA60" s="63">
        <f ca="1">ROUNDUP(tblBaseCF[[#This Row],[UnroundedPMLoad]]*INDEX(tblPlanPrem[Factor],2),-3)</f>
        <v>0</v>
      </c>
      <c r="DB60" s="63">
        <f ca="1">tblBaseCF[[#This Row],[SemiAnnualEMLoad]]+tblBaseCF[[#This Row],[SemiAnnualPMLoad]]</f>
        <v>0</v>
      </c>
      <c r="DC60" s="63">
        <f ca="1">tblBaseCF[[#This Row],[SemiAnnualTP]]+tblBaseCF[[#This Row],[SemiAnnualEP]]+tblBaseCF[[#This Row],[SemiAnnualLoad]]</f>
        <v>0</v>
      </c>
      <c r="DD60" s="59">
        <f ca="1">INDEX(tblPlanPrem[TP],3)
*tblBaseCF[[#This Row],[TPTermFlag]]</f>
        <v>0</v>
      </c>
      <c r="DE60" s="59">
        <f ca="1">INDEX(tblPlanPrem[EP],3)
*tblBaseCF[[#This Row],[TPTermFlag]]</f>
        <v>0</v>
      </c>
      <c r="DF60" s="63">
        <f ca="1">ROUNDUP(tblBaseCF[[#This Row],[UnroundedEMLoad]]*INDEX(tblPlanPrem[Factor],3),-3)</f>
        <v>0</v>
      </c>
      <c r="DG60" s="63">
        <f ca="1">ROUNDUP(tblBaseCF[[#This Row],[UnroundedPMLoad]]*INDEX(tblPlanPrem[Factor],3),-3)</f>
        <v>0</v>
      </c>
      <c r="DH60" s="60">
        <f ca="1">tblBaseCF[[#This Row],[QuarterlyEMLoad]]+tblBaseCF[[#This Row],[QuarterlyPMLoad]]</f>
        <v>0</v>
      </c>
      <c r="DI60" s="60">
        <f ca="1">tblBaseCF[[#This Row],[QuarterlyTP]]+tblBaseCF[[#This Row],[QuarterlyEP]]+tblBaseCF[[#This Row],[QuarterlyLoad]]</f>
        <v>0</v>
      </c>
      <c r="DJ60" s="59">
        <f ca="1">INDEX(tblPlanPrem[TP],4)
*tblBaseCF[[#This Row],[TPTermFlag]]</f>
        <v>0</v>
      </c>
      <c r="DK60" s="59">
        <f ca="1">INDEX(tblPlanPrem[EP],4)
*tblBaseCF[[#This Row],[TPTermFlag]]</f>
        <v>0</v>
      </c>
      <c r="DL60" s="63">
        <f ca="1">ROUNDUP(tblBaseCF[[#This Row],[UnroundedEMLoad]]*INDEX(tblPlanPrem[Factor],4),-3)</f>
        <v>0</v>
      </c>
      <c r="DM60" s="63">
        <f ca="1">ROUNDUP(tblBaseCF[[#This Row],[UnroundedPMLoad]]*INDEX(tblPlanPrem[Factor],4),-3)</f>
        <v>0</v>
      </c>
      <c r="DN60" s="60">
        <f ca="1">tblBaseCF[[#This Row],[MonthlyEMLoad]]+tblBaseCF[[#This Row],[MonthlyPMLoad]]</f>
        <v>0</v>
      </c>
      <c r="DO60" s="63">
        <f ca="1">tblBaseCF[[#This Row],[MonthlyTP]]+tblBaseCF[[#This Row],[MonthlyEP]]+tblBaseCF[[#This Row],[MonthlyLoad]]</f>
        <v>0</v>
      </c>
      <c r="DP60" s="3"/>
      <c r="DS60">
        <f t="shared" si="7"/>
        <v>0</v>
      </c>
      <c r="DT60">
        <f t="shared" si="8"/>
        <v>0</v>
      </c>
      <c r="DU60">
        <f t="shared" si="9"/>
        <v>0</v>
      </c>
      <c r="DV60">
        <f ca="1">tblBaseCF[[#This Row],[Year]]</f>
        <v>40</v>
      </c>
      <c r="DW60">
        <f ca="1">tblBaseCF[[#This Row],[Age]]</f>
        <v>39</v>
      </c>
      <c r="DX60">
        <f ca="1">tblBaseCF[[#This Row],[ContFlag]]</f>
        <v>0</v>
      </c>
      <c r="DY60" t="str">
        <f ca="1">tblBaseCF[[#This Row],[ContLog]]</f>
        <v>Insufficient PAV for deduction - Discontinue.</v>
      </c>
      <c r="DZ60">
        <f ca="1">tblBaseCF[[#This Row],[StartTAV]]</f>
        <v>0</v>
      </c>
      <c r="EA60">
        <f ca="1">tblBaseCF[[#This Row],[StartEAV]]</f>
        <v>0</v>
      </c>
      <c r="EB60">
        <f ca="1">tblBaseCF[[#This Row],[StartPAV]]</f>
        <v>0</v>
      </c>
      <c r="EC60">
        <f ca="1">tblBaseCF[[#This Row],[SVChrg]]</f>
        <v>0</v>
      </c>
      <c r="ED60">
        <f ca="1">tblBaseCF[[#This Row],[SV]]</f>
        <v>0</v>
      </c>
      <c r="EE60">
        <f ca="1">tblBaseCF[[#This Row],[Ben]]</f>
        <v>0</v>
      </c>
      <c r="EF60">
        <f ca="1">tblBaseCF[[#This Row],[AccBen]]</f>
        <v>0</v>
      </c>
      <c r="EG60">
        <f ca="1">tblBaseCF[[#This Row],[WithdrawalInput]]</f>
        <v>0</v>
      </c>
      <c r="EH60" t="str">
        <f ca="1">tblBaseCF[[#This Row],[WithdrawalLog]]</f>
        <v>No withdrawal.</v>
      </c>
      <c r="EI60">
        <f ca="1">tblBaseCF[[#This Row],[TAVWithdrawal]]</f>
        <v>0</v>
      </c>
      <c r="EJ60">
        <f ca="1">tblBaseCF[[#This Row],[EAVWithdrawal]]</f>
        <v>0</v>
      </c>
      <c r="EK60">
        <f ca="1">tblBaseCF[[#This Row],[Withdrawal]]</f>
        <v>0</v>
      </c>
      <c r="EL60">
        <f ca="1">tblBaseCF[[#This Row],[TP]]</f>
        <v>0</v>
      </c>
      <c r="EM60">
        <f ca="1">tblBaseCF[[#This Row],[TPAllocChrg]]</f>
        <v>0</v>
      </c>
      <c r="EN60">
        <f ca="1">tblBaseCF[[#This Row],[TPAlloc]]</f>
        <v>0</v>
      </c>
      <c r="EO60">
        <f ca="1">tblBaseCF[[#This Row],[EP]]</f>
        <v>0</v>
      </c>
      <c r="EP60">
        <f ca="1">tblBaseCF[[#This Row],[EPAllocChrg]]</f>
        <v>0</v>
      </c>
      <c r="EQ60">
        <f ca="1">tblBaseCF[[#This Row],[EPAlloc]]</f>
        <v>0</v>
      </c>
      <c r="ER60">
        <f ca="1">tblBaseCF[[#This Row],[EMLoad]]</f>
        <v>0</v>
      </c>
      <c r="ES60">
        <f ca="1">tblBaseCF[[#This Row],[PMLoad]]</f>
        <v>0</v>
      </c>
      <c r="ET60">
        <f ca="1">tblBaseCF[[#This Row],[Load]]</f>
        <v>0</v>
      </c>
      <c r="EU60">
        <f ca="1">tblBaseCF[[#This Row],[LoadAllocChrg]]</f>
        <v>0</v>
      </c>
      <c r="EV60">
        <f ca="1">tblBaseCF[[#This Row],[LoadAlloc]]</f>
        <v>0</v>
      </c>
      <c r="EW60">
        <f ca="1">tblBaseCF[[#This Row],[TotalPrem]]</f>
        <v>0</v>
      </c>
      <c r="EX60">
        <f ca="1">tblBaseCF[[#This Row],[AllocChrg]]</f>
        <v>0</v>
      </c>
      <c r="EY60">
        <f ca="1">tblBaseCF[[#This Row],[Alloc]]</f>
        <v>0</v>
      </c>
      <c r="EZ60">
        <f ca="1">tblBaseCF[[#This Row],[AccumTotalPrem]]</f>
        <v>0</v>
      </c>
      <c r="FA60">
        <f>tblBaseCF[[#This Row],[AnnualIntRate]]</f>
        <v>0</v>
      </c>
      <c r="FB60" s="50">
        <f>tblBaseCF[[#This Row],[Duean1m12]]</f>
        <v>1</v>
      </c>
      <c r="FC60">
        <f ca="1">tblBaseCF[[#This Row],[DeductFlag]]</f>
        <v>0</v>
      </c>
      <c r="FD60">
        <f ca="1">tblBaseCF[[#This Row],[AdminChrg]]</f>
        <v>0</v>
      </c>
      <c r="FE60">
        <f ca="1">tblBaseCF[[#This Row],[StandardCOI]]</f>
        <v>0</v>
      </c>
      <c r="FF60">
        <f ca="1">tblBaseCF[[#This Row],[EMLoadCOI]]</f>
        <v>0</v>
      </c>
      <c r="FG60">
        <f ca="1">tblBaseCF[[#This Row],[PMLoadCOI]]</f>
        <v>0</v>
      </c>
      <c r="FH60">
        <f ca="1">tblBaseCF[[#This Row],[COI]]</f>
        <v>0</v>
      </c>
      <c r="FI60" s="47">
        <f ca="1">tblBaseCF[[#This Row],[NomDeduct]]</f>
        <v>0</v>
      </c>
      <c r="FJ60">
        <f ca="1">tblBaseCF[[#This Row],[Deduct]]</f>
        <v>0</v>
      </c>
      <c r="FK60">
        <f ca="1">tblBaseCF[[#This Row],[TAVDeduct]]</f>
        <v>0</v>
      </c>
      <c r="FL60">
        <f ca="1">tblBaseCF[[#This Row],[EAVDeduct]]</f>
        <v>0</v>
      </c>
      <c r="FM60" s="24">
        <f ca="1">tblBaseCF[[#This Row],[TAVInt]]</f>
        <v>0</v>
      </c>
      <c r="FN60">
        <f ca="1">tblBaseCF[[#This Row],[EAVInt]]</f>
        <v>0</v>
      </c>
      <c r="FO60" s="47">
        <f ca="1">tblBaseCF[[#This Row],[LB]]</f>
        <v>0</v>
      </c>
      <c r="FP60">
        <f ca="1">tblBaseCF[[#This Row],[SB]]</f>
        <v>0</v>
      </c>
      <c r="FQ60">
        <f ca="1">tblBaseCF[[#This Row],[Bonus]]</f>
        <v>0</v>
      </c>
      <c r="FR60">
        <f ca="1">tblBaseCF[[#This Row],[EndTAV]]</f>
        <v>0</v>
      </c>
      <c r="FS60">
        <f ca="1">tblBaseCF[[#This Row],[EndEAV]]</f>
        <v>0</v>
      </c>
      <c r="FT60">
        <f ca="1">tblBaseCF[[#This Row],[EndPAV]]</f>
        <v>0</v>
      </c>
      <c r="FU60">
        <f ca="1">tblBaseCF[[#This Row],[SemiAnnualTP]]</f>
        <v>0</v>
      </c>
      <c r="FV60">
        <f ca="1">tblBaseCF[[#This Row],[SemiAnnualEP]]</f>
        <v>0</v>
      </c>
      <c r="FW60">
        <f ca="1">tblBaseCF[[#This Row],[SemiAnnualEMLoad]]</f>
        <v>0</v>
      </c>
      <c r="FX60">
        <f ca="1">tblBaseCF[[#This Row],[SemiAnnualPMLoad]]</f>
        <v>0</v>
      </c>
      <c r="FY60">
        <f ca="1">tblBaseCF[[#This Row],[SemiAnnualLoad]]</f>
        <v>0</v>
      </c>
      <c r="FZ60">
        <f ca="1">tblBaseCF[[#This Row],[SemiAnnualTotalPrem]]</f>
        <v>0</v>
      </c>
      <c r="GA60">
        <f ca="1">tblBaseCF[[#This Row],[QuarterlyTP]]</f>
        <v>0</v>
      </c>
      <c r="GB60">
        <f ca="1">tblBaseCF[[#This Row],[QuarterlyEP]]</f>
        <v>0</v>
      </c>
      <c r="GC60">
        <f ca="1">tblBaseCF[[#This Row],[QuarterlyEMLoad]]</f>
        <v>0</v>
      </c>
      <c r="GD60">
        <f ca="1">tblBaseCF[[#This Row],[QuarterlyPMLoad]]</f>
        <v>0</v>
      </c>
      <c r="GE60">
        <f ca="1">tblBaseCF[[#This Row],[QuarterlyLoad]]</f>
        <v>0</v>
      </c>
      <c r="GF60">
        <f ca="1">tblBaseCF[[#This Row],[QuarterlyTotalPrem]]</f>
        <v>0</v>
      </c>
      <c r="GG60">
        <f ca="1">tblBaseCF[[#This Row],[MonthlyTP]]</f>
        <v>0</v>
      </c>
      <c r="GH60">
        <f ca="1">tblBaseCF[[#This Row],[MonthlyEP]]</f>
        <v>0</v>
      </c>
      <c r="GI60">
        <f ca="1">tblBaseCF[[#This Row],[MonthlyEMLoad]]</f>
        <v>0</v>
      </c>
      <c r="GJ60">
        <f ca="1">tblBaseCF[[#This Row],[MonthlyPMLoad]]</f>
        <v>0</v>
      </c>
      <c r="GK60">
        <f ca="1">tblBaseCF[[#This Row],[MonthlyLoad]]</f>
        <v>0</v>
      </c>
      <c r="GL60">
        <f ca="1">tblBaseCF[[#This Row],[MonthlyTotalPrem]]</f>
        <v>0</v>
      </c>
      <c r="GO60" t="s">
        <v>134</v>
      </c>
      <c r="GP60" t="s">
        <v>135</v>
      </c>
      <c r="GQ60" t="s">
        <v>502</v>
      </c>
      <c r="GR60">
        <v>40</v>
      </c>
      <c r="GS60">
        <v>39</v>
      </c>
      <c r="GT60">
        <v>1</v>
      </c>
      <c r="GU60" t="s">
        <v>457</v>
      </c>
      <c r="GV60">
        <v>73765186.731767595</v>
      </c>
      <c r="GW60">
        <v>580908761.32919002</v>
      </c>
      <c r="GX60">
        <v>654673948.06095695</v>
      </c>
      <c r="GY60">
        <v>0</v>
      </c>
      <c r="GZ60">
        <v>654673948.06095695</v>
      </c>
      <c r="HA60">
        <v>654673948.06095695</v>
      </c>
      <c r="HB60">
        <v>303000000</v>
      </c>
      <c r="HC60">
        <v>0</v>
      </c>
      <c r="HD60" t="s">
        <v>137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7.0000000000000007E-2</v>
      </c>
      <c r="HX60">
        <v>0.96964931039809399</v>
      </c>
      <c r="HY60">
        <v>1</v>
      </c>
      <c r="HZ60">
        <v>300000</v>
      </c>
      <c r="IA60">
        <v>0</v>
      </c>
      <c r="IB60">
        <v>0</v>
      </c>
      <c r="IC60">
        <v>0</v>
      </c>
      <c r="ID60">
        <v>272700</v>
      </c>
      <c r="IE60">
        <v>572700</v>
      </c>
      <c r="IF60">
        <v>555318.16006498795</v>
      </c>
      <c r="IG60">
        <v>555318.16006498795</v>
      </c>
      <c r="IH60">
        <v>0</v>
      </c>
      <c r="II60">
        <v>5124690.8000191804</v>
      </c>
      <c r="IJ60">
        <v>40663613.293043301</v>
      </c>
      <c r="IK60">
        <v>0</v>
      </c>
      <c r="IL60">
        <v>0</v>
      </c>
      <c r="IM60">
        <v>0</v>
      </c>
      <c r="IN60">
        <v>78334559.371721804</v>
      </c>
      <c r="IO60">
        <v>621572374.62223303</v>
      </c>
      <c r="IP60">
        <v>699906933.99395502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</row>
    <row r="61" spans="2:268" customFormat="1" x14ac:dyDescent="0.25">
      <c r="B61" s="2">
        <f ca="1">OFFSET(tblBaseCF[[#This Row],[Year]],-1,0)+1</f>
        <v>41</v>
      </c>
      <c r="C61" s="2">
        <f ca="1">(tblBaseCF[[#This Row],[Year]]&lt;=term)*1</f>
        <v>1</v>
      </c>
      <c r="D61" s="57">
        <f ca="1">(YEAR(rcd)+tblBaseCF[[#This Row],[Year]]-1)
*tblBaseCF[[#This Row],[PolTermFlag]]</f>
        <v>2065</v>
      </c>
      <c r="E61" s="57">
        <f ca="1">(mainLI_entry_age+tblBaseCF[[#This Row],[Year]]-1)
*tblBaseCF[[#This Row],[PolTermFlag]]</f>
        <v>40</v>
      </c>
      <c r="F61" s="57">
        <f ca="1">IF(tblBaseCF[[#This Row],[Year]]=1,1,OFFSET(tblBaseCF[[#This Row],[DeductFlag]],-1,0))
*tblBaseCF[[#This Row],[PolTermFlag]]</f>
        <v>0</v>
      </c>
      <c r="G6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1" s="57">
        <f ca="1">(tblBaseCF[[#This Row],[Year]]&lt;=acc_ben_term)
*tblBaseCF[[#This Row],[ContFlag]]</f>
        <v>0</v>
      </c>
      <c r="I61" s="57">
        <f ca="1">(tblBaseCF[[#This Row],[Year]]&lt;=tp_term)
*tblBaseCF[[#This Row],[ContFlag]]</f>
        <v>0</v>
      </c>
      <c r="J61" s="57">
        <f ca="1">(tblBaseCF[[#This Row],[Year]]&lt;=ep_term)
*tblBaseCF[[#This Row],[ContFlag]]</f>
        <v>0</v>
      </c>
      <c r="K61" s="57">
        <f ca="1">(tblBaseCF[[#This Row],[Year]]&lt;=em_load_term)*1</f>
        <v>0</v>
      </c>
      <c r="L61" s="57">
        <f ca="1">(tblBaseCF[[#This Row],[Year]]&lt;=pm_load_term)*1</f>
        <v>0</v>
      </c>
      <c r="M61" s="59">
        <f ca="1">IF(tblBaseCF[[#This Row],[Year]]=1,si,OFFSET(tblBaseCF[[#This Row],[EndSI]],-1,0))
*tblBaseCF[[#This Row],[ContFlag]]</f>
        <v>0</v>
      </c>
      <c r="N61" s="59">
        <f ca="1">OFFSET(tblBaseCF[[#This Row],[EndTAV]],-1,0)
*tblBaseCF[[#This Row],[ContFlag]]</f>
        <v>0</v>
      </c>
      <c r="O61" s="59">
        <f ca="1">OFFSET(tblBaseCF[[#This Row],[EndEAV]],-1,0)
*tblBaseCF[[#This Row],[ContFlag]]</f>
        <v>0</v>
      </c>
      <c r="P61" s="60">
        <f ca="1">tblBaseCF[[#This Row],[StartEAV]]+tblBaseCF[[#This Row],[StartTAV]]</f>
        <v>0</v>
      </c>
      <c r="Q61" s="61">
        <f ca="1">IFERROR(INDEX(tblJuvenileLienRate[Rate],MATCH(tblBaseCF[[#This Row],[Age]],tblJuvenileLienRate[Age],0)),1)
*tblBaseCF[[#This Row],[ContFlag]]</f>
        <v>0</v>
      </c>
      <c r="R6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1" s="62">
        <f ca="1">tblBaseCF[[#This Row],[StartSI]]*acc_ben_coeff*tblBaseCF[[#This Row],[JuvenileLienRate]]
*tblBaseCF[[#This Row],[AccBenTermFlag]]</f>
        <v>0</v>
      </c>
      <c r="T61" s="61">
        <f ca="1">(IFERROR(INDEX(tblSurrChrgRate[Rate],MATCH(tblBaseCF[[#This Row],[Year]],tblSurrChrgRate[Year],0)),0)
*tblBaseCF[[#This Row],[ContFlag]])</f>
        <v>0</v>
      </c>
      <c r="U61" s="60">
        <f ca="1">tp*tblBaseCF[[#This Row],[SrrChrgRate]]</f>
        <v>0</v>
      </c>
      <c r="V61" s="63">
        <f ca="1">MAX(tblBaseCF[[#This Row],[StartTAV]]-tblBaseCF[[#This Row],[SVChrg]],0)+tblBaseCF[[#This Row],[StartEAV]]</f>
        <v>0</v>
      </c>
      <c r="W61" s="59">
        <f ca="1">IFERROR(INDEX(tblWithdrawal_Output[Amount],MATCH(tblBaseCF[[#This Row],[Year]],tblWithdrawal_Output[Year],0)),0)
*tblBaseCF[[#This Row],[ContFlag]]</f>
        <v>0</v>
      </c>
      <c r="X61" s="59" t="b">
        <f ca="1">tblBaseCF[[#This Row],[WithdrawalInput]]&gt;0</f>
        <v>0</v>
      </c>
      <c r="Y61" s="59" t="b">
        <f ca="1">AND(tblBaseCF[[#This Row],[1stCheckProceed]],tblBaseCF[[#This Row],[WithdrawalInput]]&lt;=tblBaseCF[[#This Row],[StartPAV]])</f>
        <v>0</v>
      </c>
      <c r="Z61" s="59" t="b">
        <f ca="1">AND(tblBaseCF[[#This Row],[2ndCheckAmount]],(tblBaseCF[[#This Row],[StartPAV]]-tblBaseCF[[#This Row],[WithdrawalInput]])&gt;=min_pav_after_withdrawal)</f>
        <v>0</v>
      </c>
      <c r="AA6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1" s="59" t="b">
        <f ca="1">AND(tblBaseCF[[#This Row],[3rdCheckPAV]],tblBaseCF[[#This Row],[endSITest]]&gt;=min_base_si)</f>
        <v>0</v>
      </c>
      <c r="AC61" s="60">
        <f ca="1">tblBaseCF[[#This Row],[WithdrawalInput]]*tblBaseCF[[#This Row],[4thCheckSI]]</f>
        <v>0</v>
      </c>
      <c r="AD61" s="60">
        <f ca="1">MIN(tblBaseCF[[#This Row],[Withdrawal]],tblBaseCF[[#This Row],[StartEAV]])</f>
        <v>0</v>
      </c>
      <c r="AE61" s="60">
        <f ca="1">tblBaseCF[[#This Row],[Withdrawal]]-tblBaseCF[[#This Row],[EAVWithdrawal]]</f>
        <v>0</v>
      </c>
      <c r="AF61" s="60">
        <f ca="1">IF(tblBaseCF[[#This Row],[4thCheckSI]],tblBaseCF[[#This Row],[endSITest]],tblBaseCF[[#This Row],[StartSI]])</f>
        <v>0</v>
      </c>
      <c r="AG6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1" s="65">
        <f ca="1">IFERROR(INDEX(tblTPAllocChrgRate[Rate],MATCH(tblBaseCF[[#This Row],[Year]],tblTPAllocChrgRate[Year],0)),0)</f>
        <v>0.02</v>
      </c>
      <c r="AI61" s="62">
        <f ca="1">(tp+big_case_bonus_tp*(tblBaseCF[[#This Row],[Year]]=1))
*tblBaseCF[[#This Row],[TPTermFlag]]</f>
        <v>0</v>
      </c>
      <c r="AJ61" s="63">
        <f ca="1">tblBaseCF[[#This Row],[TP]]*tblBaseCF[[#This Row],[TPAllocChrgRate]]</f>
        <v>0</v>
      </c>
      <c r="AK61" s="60">
        <f ca="1">tblBaseCF[[#This Row],[TP]]-tblBaseCF[[#This Row],[TPAllocChrg]]</f>
        <v>0</v>
      </c>
      <c r="AL61" s="65">
        <f ca="1">IFERROR(INDEX(tblEPAllocChrgRate[Rate],MATCH(tblBaseCF[[#This Row],[Year]],tblEPAllocChrgRate[Year],0)),0)</f>
        <v>0.02</v>
      </c>
      <c r="AM61" s="60">
        <f ca="1">ep*tblBaseCF[[#This Row],[EPTermFlag]]</f>
        <v>0</v>
      </c>
      <c r="AN61" s="60">
        <f ca="1">tblBaseCF[[#This Row],[EP]]*tblBaseCF[[#This Row],[EPAllocChrgRate]]</f>
        <v>0</v>
      </c>
      <c r="AO61" s="63">
        <f ca="1">tblBaseCF[[#This Row],[EP]]-tblBaseCF[[#This Row],[EPAllocChrg]]</f>
        <v>0</v>
      </c>
      <c r="AP61" s="62">
        <f ca="1">tblBaseCF[[#This Row],[Ben]]*extra_prem_rate*em_load/1000/(1-tblBaseCF[[#This Row],[EPAllocChrgRate]])
*tblBaseCF[[#This Row],[EMLoadTermFlag]]</f>
        <v>0</v>
      </c>
      <c r="AQ61" s="62">
        <f ca="1">tblBaseCF[[#This Row],[Ben]]*pm_load/1000/(1-tblBaseCF[[#This Row],[EPAllocChrgRate]])
*tblBaseCF[[#This Row],[PMLoadTermFlag]]</f>
        <v>0</v>
      </c>
      <c r="AR61" s="60">
        <f ca="1">ROUNDUP(tblBaseCF[[#This Row],[UnroundedEMLoad]],-3)</f>
        <v>0</v>
      </c>
      <c r="AS61" s="62">
        <f ca="1">ROUNDUP(tblBaseCF[[#This Row],[Ben]]*pm_load/1000/(1-tblBaseCF[[#This Row],[EPAllocChrgRate]]),-3)
*tblBaseCF[[#This Row],[PMLoadTermFlag]]</f>
        <v>0</v>
      </c>
      <c r="AT61" s="60">
        <f ca="1">tblBaseCF[[#This Row],[EMLoad]]+tblBaseCF[[#This Row],[PMLoad]]</f>
        <v>0</v>
      </c>
      <c r="AU61" s="60">
        <f ca="1">tblBaseCF[[#This Row],[Load]]*tblBaseCF[[#This Row],[EPAllocChrgRate]]</f>
        <v>0</v>
      </c>
      <c r="AV61" s="60">
        <f ca="1">tblBaseCF[[#This Row],[Load]]-tblBaseCF[[#This Row],[LoadAllocChrg]]</f>
        <v>0</v>
      </c>
      <c r="AW61" s="60">
        <f ca="1">tblBaseCF[[#This Row],[TP]]+tblBaseCF[[#This Row],[EP]]+tblBaseCF[[#This Row],[Load]]</f>
        <v>0</v>
      </c>
      <c r="AX61" s="60">
        <f ca="1">tblBaseCF[[#This Row],[TPAllocChrg]]+tblBaseCF[[#This Row],[EPAllocChrg]]+tblBaseCF[[#This Row],[LoadAllocChrg]]</f>
        <v>0</v>
      </c>
      <c r="AY61" s="60">
        <f ca="1">tblBaseCF[[#This Row],[TPAlloc]]+tblBaseCF[[#This Row],[EPAlloc]]+tblBaseCF[[#This Row],[LoadAlloc]]</f>
        <v>0</v>
      </c>
      <c r="AZ61" s="60">
        <f ca="1">(OFFSET(tblBaseCF[[#This Row],[AccumTotalPrem]],-1,0)+tblBaseCF[[#This Row],[TotalPrem]])*tblBaseCF[[#This Row],[TPTermFlag]]</f>
        <v>0</v>
      </c>
      <c r="BA61" s="62">
        <f ca="1">(tblBaseCF[[#This Row],[StartTAV]]-tblBaseCF[[#This Row],[TAVWithdrawal]]+tblBaseCF[[#This Row],[TPAlloc]])
*tblBaseCF[[#This Row],[ContFlag]]</f>
        <v>0</v>
      </c>
      <c r="BB61" s="59">
        <f ca="1">(tblBaseCF[[#This Row],[StartEAV]]-tblBaseCF[[#This Row],[EAVWithdrawal]]+tblBaseCF[[#This Row],[EPAlloc]]+tblBaseCF[[#This Row],[LoadAlloc]])
*tblBaseCF[[#This Row],[ContFlag]]</f>
        <v>0</v>
      </c>
      <c r="BC61" s="59">
        <f ca="1">tblBaseCF[[#This Row],[TAVAfterWdrlAlloc]]+tblBaseCF[[#This Row],[EAVAfterWdrlAlloc]]</f>
        <v>0</v>
      </c>
      <c r="BD61" s="66">
        <f t="shared" si="6"/>
        <v>0</v>
      </c>
      <c r="BE61" s="67">
        <f>(1+tblBaseCF[[#This Row],[AnnualIntRate]])^(1/12)-1</f>
        <v>0</v>
      </c>
      <c r="BF61" s="68">
        <f>IFERROR(((1+tblBaseCF[[#This Row],[MonthlyIntRate]])^12-1)/12/(1-1/(1+tblBaseCF[[#This Row],[MonthlyIntRate]])),1)/(1+tblBaseCF[[#This Row],[AnnualIntRate]])</f>
        <v>1</v>
      </c>
      <c r="BG61" s="69">
        <f>PV(tblBaseCF[[#This Row],[MonthlyIntRate]],12,-1/12,,1)</f>
        <v>1</v>
      </c>
      <c r="BH61" s="60">
        <f ca="1">MAX(IF(death_tpd_option="A",tblBaseCF[[#This Row],[Ben]]-tblBaseCF[[#This Row],[StartPAV]],tblBaseCF[[#This Row],[Ben]]),0)</f>
        <v>0</v>
      </c>
      <c r="BI61" s="70">
        <f ca="1">IFERROR(INDEX(tblBaseCOIRate[Rate],MATCH(tblBaseCF[[#This Row],[Age]],tblBaseCOIRate[Age],0)),0)</f>
        <v>2.5300000000000301E-3</v>
      </c>
      <c r="BJ61" s="60">
        <f ca="1">tblBaseCF[[#This Row],[SAR]]*tblBaseCF[[#This Row],[COIRate]]</f>
        <v>0</v>
      </c>
      <c r="BK61" s="62">
        <f ca="1">em_load*tblBaseCF[[#This Row],[pStandardCOI]]
*tblBaseCF[[#This Row],[EMLoadTermFlag]]</f>
        <v>0</v>
      </c>
      <c r="BL61" s="62">
        <f ca="1">pm_load/1000*tblBaseCF[[#This Row],[SAR]]
*tblBaseCF[[#This Row],[PMLoadTermFlag]]</f>
        <v>0</v>
      </c>
      <c r="BM61" s="60">
        <f ca="1">tblBaseCF[[#This Row],[AccBen]]*monthly_acc_coi*12</f>
        <v>0</v>
      </c>
      <c r="BN61" s="60">
        <f ca="1">tblBaseCF[[#This Row],[pStandardCOI]]+tblBaseCF[[#This Row],[pEMLoadCOI]]+tblBaseCF[[#This Row],[pPMLoadCOI]]+tblBaseCF[[#This Row],[pAccCOI]]</f>
        <v>0</v>
      </c>
      <c r="BO61" s="62">
        <f ca="1">IFERROR(INDEX(tblAdminChrg[Amount],MATCH(tblBaseCF[[#This Row],[CalYear]],tblAdminChrg[Cal_Year],0)),0)
*tblBaseCF[[#This Row],[ContFlag]]</f>
        <v>0</v>
      </c>
      <c r="BP61" s="60">
        <f ca="1">tblBaseCF[[#This Row],[pMonthlyAdminChrg]]*12</f>
        <v>0</v>
      </c>
      <c r="BQ61" s="60">
        <f ca="1">tblBaseCF[[#This Row],[pCOI]]+tblBaseCF[[#This Row],[pAdminChrg]]</f>
        <v>0</v>
      </c>
      <c r="BR61" s="60">
        <f ca="1">tblBaseCF[[#This Row],[pNomDeduct]]*tblBaseCF[[#This Row],[Duean1m12]]</f>
        <v>0</v>
      </c>
      <c r="BS61" s="57">
        <f ca="1">(tblBaseCF[[#This Row],[PAVAfterWdrlAlloc]]&gt;=tblBaseCF[[#This Row],[pNomDeduct]])
*tblBaseCF[[#This Row],[ContFlag]]</f>
        <v>0</v>
      </c>
      <c r="BT61" s="60">
        <f ca="1">tblBaseCF[[#This Row],[pStandardCOI]]*tblBaseCF[[#This Row],[DeductFlag]]</f>
        <v>0</v>
      </c>
      <c r="BU61" s="60">
        <f ca="1">tblBaseCF[[#This Row],[pEMLoadCOI]]*tblBaseCF[[#This Row],[DeductFlag]]</f>
        <v>0</v>
      </c>
      <c r="BV61" s="60">
        <f ca="1">tblBaseCF[[#This Row],[pPMLoadCOI]]*tblBaseCF[[#This Row],[DeductFlag]]</f>
        <v>0</v>
      </c>
      <c r="BW61" s="60">
        <f ca="1">tblBaseCF[[#This Row],[pAccCOI]]*tblBaseCF[[#This Row],[DeductFlag]]</f>
        <v>0</v>
      </c>
      <c r="BX61" s="60">
        <f ca="1">tblBaseCF[[#This Row],[pCOI]]*tblBaseCF[[#This Row],[DeductFlag]]</f>
        <v>0</v>
      </c>
      <c r="BY61" s="60">
        <f ca="1">tblBaseCF[[#This Row],[pMonthlyAdminChrg]]*tblBaseCF[[#This Row],[DeductFlag]]</f>
        <v>0</v>
      </c>
      <c r="BZ61" s="60">
        <f ca="1">tblBaseCF[[#This Row],[pAdminChrg]]*tblBaseCF[[#This Row],[DeductFlag]]</f>
        <v>0</v>
      </c>
      <c r="CA61" s="60">
        <f ca="1">tblBaseCF[[#This Row],[pNomDeduct]]*tblBaseCF[[#This Row],[DeductFlag]]</f>
        <v>0</v>
      </c>
      <c r="CB61" s="60">
        <f ca="1">tblBaseCF[[#This Row],[pDeduct]]*tblBaseCF[[#This Row],[DeductFlag]]</f>
        <v>0</v>
      </c>
      <c r="CC61" s="60">
        <f ca="1">MIN(tblBaseCF[[#This Row],[TAVAfterWdrlAlloc]],tblBaseCF[[#This Row],[Deduct]])</f>
        <v>0</v>
      </c>
      <c r="CD61" s="60">
        <f ca="1">tblBaseCF[[#This Row],[Deduct]]-tblBaseCF[[#This Row],[TAVDeduct]]</f>
        <v>0</v>
      </c>
      <c r="CE61" s="69">
        <f ca="1">(tblBaseCF[[#This Row],[TAVAfterWdrlAlloc]]-tblBaseCF[[#This Row],[TAVDeduct]])*tblBaseCF[[#This Row],[AnnualIntRate]]
*tblBaseCF[[#This Row],[DeductFlag]]</f>
        <v>0</v>
      </c>
      <c r="CF61" s="69">
        <f ca="1">(tblBaseCF[[#This Row],[EAVAfterWdrlAlloc]]-tblBaseCF[[#This Row],[EAVDeduct]])*tblBaseCF[[#This Row],[AnnualIntRate]]
*tblBaseCF[[#This Row],[DeductFlag]]</f>
        <v>0</v>
      </c>
      <c r="CG61" s="69">
        <f ca="1">tblBaseCF[[#This Row],[TAVInt]]+tblBaseCF[[#This Row],[EAVInt]]</f>
        <v>0</v>
      </c>
      <c r="CH61" s="62">
        <f ca="1">IFERROR(INDEX(tblLBRate[Rate],MATCH(tblBaseCF[[#This Row],[Year]],tblLBRate[Year],0)),0)
*tblBaseCF[[#This Row],[DeductFlag]]</f>
        <v>0</v>
      </c>
      <c r="CI61" s="60">
        <f ca="1">IFERROR(SUM(OFFSET(tblBaseCF[[#This Row],[TAVWithdrawal]],0,0,-lb_review_period,1)),0)
*(tblBaseCF[[#This Row],[LBRate]]&gt;0)</f>
        <v>0</v>
      </c>
      <c r="CJ61" s="60">
        <f ca="1">(tblBaseCF[[#This Row],[LBRate]]&gt;0)*(tblBaseCF[[#This Row],[LBTAVWithdrawal]]=0)</f>
        <v>0</v>
      </c>
      <c r="CK61" s="62" cm="1">
        <f t="array" aca="1" ref="CK61" ca="1">IF(tblBaseCF[[#This Row],[LBFlag]],
_xlfn.SWITCH(base,
"ILP1",AVERAGE(OFFSET(tblBaseCF[TP],0,0,-lb_review_period,1)),tp),0)
*tblBaseCF[[#This Row],[LBFlag]]</f>
        <v>0</v>
      </c>
      <c r="CL61" s="62">
        <f ca="1">tblBaseCF[[#This Row],[LBBasis]]*tblBaseCF[[#This Row],[LBRate]]</f>
        <v>0</v>
      </c>
      <c r="CM61" s="57" cm="1">
        <f t="array" aca="1" ref="CM61" ca="1">_xlfn.SWITCH(base,
"ILP1",0,($AF161&lt;500000000)*1
+($AF161&gt;=500000000)*($AF161&lt;1000000000)*2
+($AF161&gt;=1000000000)*3)
*tblBaseCF[[#This Row],[DeductFlag]]</f>
        <v>0</v>
      </c>
      <c r="CN61" s="2" t="str">
        <f ca="1">IF(tblBaseCF[[#This Row],[DeductFlag]],base&amp;"_"&amp;tblBaseCF[[#This Row],[SBCode]]&amp;"_"&amp;tblBaseCF[[#This Row],[Year]],"")</f>
        <v/>
      </c>
      <c r="CO61" s="3">
        <f ca="1">IFERROR(INDEX(tblSBRate[Index],MATCH(tblBaseCF[[#This Row],[SBIndex]],tblSBRate[Rate],0)),0)</f>
        <v>0</v>
      </c>
      <c r="CP61" s="63">
        <f ca="1">IFERROR(SUM(OFFSET(tblBaseCF[[#This Row],[TAVWithdrawal]],0,0,-sb_review_period,1)),0)
*(tblBaseCF[[#This Row],[SBRate]]&gt;0)</f>
        <v>0</v>
      </c>
      <c r="CQ61" s="63">
        <f ca="1">(tblBaseCF[[#This Row],[SBRate]]&gt;0)*(tblBaseCF[[#This Row],[SBTAVWithdrawal]]=0)</f>
        <v>0</v>
      </c>
      <c r="CR61" s="59" cm="1">
        <f t="array" aca="1" ref="CR61" ca="1">IF(tblBaseCF[[#This Row],[LBFlag]],
_xlfn.SWITCH(base,
"ILP1",0,tp),0)*tblBaseCF[[#This Row],[SBFlag]]</f>
        <v>0</v>
      </c>
      <c r="CS61" s="63">
        <f ca="1">tblBaseCF[[#This Row],[SBBasis]]*tblBaseCF[[#This Row],[SBRate]]</f>
        <v>0</v>
      </c>
      <c r="CT61" s="63">
        <f ca="1">tblBaseCF[[#This Row],[LB]]+tblBaseCF[[#This Row],[SB]]</f>
        <v>0</v>
      </c>
      <c r="CU61" s="59">
        <f ca="1">tblBaseCF[[#This Row],[TAVAfterWdrlAlloc]]-tblBaseCF[[#This Row],[TAVDeduct]]+tblBaseCF[[#This Row],[TAVInt]]+tblBaseCF[[#This Row],[Bonus]]</f>
        <v>0</v>
      </c>
      <c r="CV61" s="59">
        <f ca="1">tblBaseCF[[#This Row],[EAVAfterWdrlAlloc]]-tblBaseCF[[#This Row],[EAVDeduct]]+tblBaseCF[[#This Row],[EAVInt]]</f>
        <v>0</v>
      </c>
      <c r="CW61" s="63">
        <f ca="1">tblBaseCF[[#This Row],[EndTAV]]+tblBaseCF[[#This Row],[EndEAV]]</f>
        <v>0</v>
      </c>
      <c r="CX61" s="59">
        <f ca="1">INDEX(tblPlanPrem[TP],2)
*tblBaseCF[[#This Row],[TPTermFlag]]</f>
        <v>0</v>
      </c>
      <c r="CY61" s="59">
        <f ca="1">INDEX(tblPlanPrem[EP],2)
*tblBaseCF[[#This Row],[TPTermFlag]]</f>
        <v>0</v>
      </c>
      <c r="CZ61" s="63">
        <f ca="1">ROUNDUP(tblBaseCF[[#This Row],[UnroundedEMLoad]]*INDEX(tblPlanPrem[Factor],2),-3)</f>
        <v>0</v>
      </c>
      <c r="DA61" s="63">
        <f ca="1">ROUNDUP(tblBaseCF[[#This Row],[UnroundedPMLoad]]*INDEX(tblPlanPrem[Factor],2),-3)</f>
        <v>0</v>
      </c>
      <c r="DB61" s="63">
        <f ca="1">tblBaseCF[[#This Row],[SemiAnnualEMLoad]]+tblBaseCF[[#This Row],[SemiAnnualPMLoad]]</f>
        <v>0</v>
      </c>
      <c r="DC61" s="63">
        <f ca="1">tblBaseCF[[#This Row],[SemiAnnualTP]]+tblBaseCF[[#This Row],[SemiAnnualEP]]+tblBaseCF[[#This Row],[SemiAnnualLoad]]</f>
        <v>0</v>
      </c>
      <c r="DD61" s="59">
        <f ca="1">INDEX(tblPlanPrem[TP],3)
*tblBaseCF[[#This Row],[TPTermFlag]]</f>
        <v>0</v>
      </c>
      <c r="DE61" s="59">
        <f ca="1">INDEX(tblPlanPrem[EP],3)
*tblBaseCF[[#This Row],[TPTermFlag]]</f>
        <v>0</v>
      </c>
      <c r="DF61" s="63">
        <f ca="1">ROUNDUP(tblBaseCF[[#This Row],[UnroundedEMLoad]]*INDEX(tblPlanPrem[Factor],3),-3)</f>
        <v>0</v>
      </c>
      <c r="DG61" s="63">
        <f ca="1">ROUNDUP(tblBaseCF[[#This Row],[UnroundedPMLoad]]*INDEX(tblPlanPrem[Factor],3),-3)</f>
        <v>0</v>
      </c>
      <c r="DH61" s="60">
        <f ca="1">tblBaseCF[[#This Row],[QuarterlyEMLoad]]+tblBaseCF[[#This Row],[QuarterlyPMLoad]]</f>
        <v>0</v>
      </c>
      <c r="DI61" s="60">
        <f ca="1">tblBaseCF[[#This Row],[QuarterlyTP]]+tblBaseCF[[#This Row],[QuarterlyEP]]+tblBaseCF[[#This Row],[QuarterlyLoad]]</f>
        <v>0</v>
      </c>
      <c r="DJ61" s="59">
        <f ca="1">INDEX(tblPlanPrem[TP],4)
*tblBaseCF[[#This Row],[TPTermFlag]]</f>
        <v>0</v>
      </c>
      <c r="DK61" s="59">
        <f ca="1">INDEX(tblPlanPrem[EP],4)
*tblBaseCF[[#This Row],[TPTermFlag]]</f>
        <v>0</v>
      </c>
      <c r="DL61" s="63">
        <f ca="1">ROUNDUP(tblBaseCF[[#This Row],[UnroundedEMLoad]]*INDEX(tblPlanPrem[Factor],4),-3)</f>
        <v>0</v>
      </c>
      <c r="DM61" s="63">
        <f ca="1">ROUNDUP(tblBaseCF[[#This Row],[UnroundedPMLoad]]*INDEX(tblPlanPrem[Factor],4),-3)</f>
        <v>0</v>
      </c>
      <c r="DN61" s="60">
        <f ca="1">tblBaseCF[[#This Row],[MonthlyEMLoad]]+tblBaseCF[[#This Row],[MonthlyPMLoad]]</f>
        <v>0</v>
      </c>
      <c r="DO61" s="63">
        <f ca="1">tblBaseCF[[#This Row],[MonthlyTP]]+tblBaseCF[[#This Row],[MonthlyEP]]+tblBaseCF[[#This Row],[MonthlyLoad]]</f>
        <v>0</v>
      </c>
      <c r="DP61" s="3"/>
      <c r="DS61">
        <f t="shared" si="7"/>
        <v>0</v>
      </c>
      <c r="DT61">
        <f t="shared" si="8"/>
        <v>0</v>
      </c>
      <c r="DU61">
        <f t="shared" si="9"/>
        <v>0</v>
      </c>
      <c r="DV61">
        <f ca="1">tblBaseCF[[#This Row],[Year]]</f>
        <v>41</v>
      </c>
      <c r="DW61">
        <f ca="1">tblBaseCF[[#This Row],[Age]]</f>
        <v>40</v>
      </c>
      <c r="DX61">
        <f ca="1">tblBaseCF[[#This Row],[ContFlag]]</f>
        <v>0</v>
      </c>
      <c r="DY61" t="str">
        <f ca="1">tblBaseCF[[#This Row],[ContLog]]</f>
        <v>Insufficient PAV for deduction - Discontinue.</v>
      </c>
      <c r="DZ61">
        <f ca="1">tblBaseCF[[#This Row],[StartTAV]]</f>
        <v>0</v>
      </c>
      <c r="EA61">
        <f ca="1">tblBaseCF[[#This Row],[StartEAV]]</f>
        <v>0</v>
      </c>
      <c r="EB61">
        <f ca="1">tblBaseCF[[#This Row],[StartPAV]]</f>
        <v>0</v>
      </c>
      <c r="EC61">
        <f ca="1">tblBaseCF[[#This Row],[SVChrg]]</f>
        <v>0</v>
      </c>
      <c r="ED61">
        <f ca="1">tblBaseCF[[#This Row],[SV]]</f>
        <v>0</v>
      </c>
      <c r="EE61">
        <f ca="1">tblBaseCF[[#This Row],[Ben]]</f>
        <v>0</v>
      </c>
      <c r="EF61">
        <f ca="1">tblBaseCF[[#This Row],[AccBen]]</f>
        <v>0</v>
      </c>
      <c r="EG61">
        <f ca="1">tblBaseCF[[#This Row],[WithdrawalInput]]</f>
        <v>0</v>
      </c>
      <c r="EH61" t="str">
        <f ca="1">tblBaseCF[[#This Row],[WithdrawalLog]]</f>
        <v>No withdrawal.</v>
      </c>
      <c r="EI61">
        <f ca="1">tblBaseCF[[#This Row],[TAVWithdrawal]]</f>
        <v>0</v>
      </c>
      <c r="EJ61">
        <f ca="1">tblBaseCF[[#This Row],[EAVWithdrawal]]</f>
        <v>0</v>
      </c>
      <c r="EK61">
        <f ca="1">tblBaseCF[[#This Row],[Withdrawal]]</f>
        <v>0</v>
      </c>
      <c r="EL61">
        <f ca="1">tblBaseCF[[#This Row],[TP]]</f>
        <v>0</v>
      </c>
      <c r="EM61">
        <f ca="1">tblBaseCF[[#This Row],[TPAllocChrg]]</f>
        <v>0</v>
      </c>
      <c r="EN61">
        <f ca="1">tblBaseCF[[#This Row],[TPAlloc]]</f>
        <v>0</v>
      </c>
      <c r="EO61">
        <f ca="1">tblBaseCF[[#This Row],[EP]]</f>
        <v>0</v>
      </c>
      <c r="EP61">
        <f ca="1">tblBaseCF[[#This Row],[EPAllocChrg]]</f>
        <v>0</v>
      </c>
      <c r="EQ61">
        <f ca="1">tblBaseCF[[#This Row],[EPAlloc]]</f>
        <v>0</v>
      </c>
      <c r="ER61">
        <f ca="1">tblBaseCF[[#This Row],[EMLoad]]</f>
        <v>0</v>
      </c>
      <c r="ES61">
        <f ca="1">tblBaseCF[[#This Row],[PMLoad]]</f>
        <v>0</v>
      </c>
      <c r="ET61">
        <f ca="1">tblBaseCF[[#This Row],[Load]]</f>
        <v>0</v>
      </c>
      <c r="EU61">
        <f ca="1">tblBaseCF[[#This Row],[LoadAllocChrg]]</f>
        <v>0</v>
      </c>
      <c r="EV61">
        <f ca="1">tblBaseCF[[#This Row],[LoadAlloc]]</f>
        <v>0</v>
      </c>
      <c r="EW61">
        <f ca="1">tblBaseCF[[#This Row],[TotalPrem]]</f>
        <v>0</v>
      </c>
      <c r="EX61">
        <f ca="1">tblBaseCF[[#This Row],[AllocChrg]]</f>
        <v>0</v>
      </c>
      <c r="EY61">
        <f ca="1">tblBaseCF[[#This Row],[Alloc]]</f>
        <v>0</v>
      </c>
      <c r="EZ61">
        <f ca="1">tblBaseCF[[#This Row],[AccumTotalPrem]]</f>
        <v>0</v>
      </c>
      <c r="FA61">
        <f>tblBaseCF[[#This Row],[AnnualIntRate]]</f>
        <v>0</v>
      </c>
      <c r="FB61" s="50">
        <f>tblBaseCF[[#This Row],[Duean1m12]]</f>
        <v>1</v>
      </c>
      <c r="FC61">
        <f ca="1">tblBaseCF[[#This Row],[DeductFlag]]</f>
        <v>0</v>
      </c>
      <c r="FD61">
        <f ca="1">tblBaseCF[[#This Row],[AdminChrg]]</f>
        <v>0</v>
      </c>
      <c r="FE61">
        <f ca="1">tblBaseCF[[#This Row],[StandardCOI]]</f>
        <v>0</v>
      </c>
      <c r="FF61">
        <f ca="1">tblBaseCF[[#This Row],[EMLoadCOI]]</f>
        <v>0</v>
      </c>
      <c r="FG61">
        <f ca="1">tblBaseCF[[#This Row],[PMLoadCOI]]</f>
        <v>0</v>
      </c>
      <c r="FH61">
        <f ca="1">tblBaseCF[[#This Row],[COI]]</f>
        <v>0</v>
      </c>
      <c r="FI61" s="47">
        <f ca="1">tblBaseCF[[#This Row],[NomDeduct]]</f>
        <v>0</v>
      </c>
      <c r="FJ61">
        <f ca="1">tblBaseCF[[#This Row],[Deduct]]</f>
        <v>0</v>
      </c>
      <c r="FK61">
        <f ca="1">tblBaseCF[[#This Row],[TAVDeduct]]</f>
        <v>0</v>
      </c>
      <c r="FL61">
        <f ca="1">tblBaseCF[[#This Row],[EAVDeduct]]</f>
        <v>0</v>
      </c>
      <c r="FM61" s="24">
        <f ca="1">tblBaseCF[[#This Row],[TAVInt]]</f>
        <v>0</v>
      </c>
      <c r="FN61">
        <f ca="1">tblBaseCF[[#This Row],[EAVInt]]</f>
        <v>0</v>
      </c>
      <c r="FO61" s="47">
        <f ca="1">tblBaseCF[[#This Row],[LB]]</f>
        <v>0</v>
      </c>
      <c r="FP61">
        <f ca="1">tblBaseCF[[#This Row],[SB]]</f>
        <v>0</v>
      </c>
      <c r="FQ61">
        <f ca="1">tblBaseCF[[#This Row],[Bonus]]</f>
        <v>0</v>
      </c>
      <c r="FR61">
        <f ca="1">tblBaseCF[[#This Row],[EndTAV]]</f>
        <v>0</v>
      </c>
      <c r="FS61">
        <f ca="1">tblBaseCF[[#This Row],[EndEAV]]</f>
        <v>0</v>
      </c>
      <c r="FT61">
        <f ca="1">tblBaseCF[[#This Row],[EndPAV]]</f>
        <v>0</v>
      </c>
      <c r="FU61">
        <f ca="1">tblBaseCF[[#This Row],[SemiAnnualTP]]</f>
        <v>0</v>
      </c>
      <c r="FV61">
        <f ca="1">tblBaseCF[[#This Row],[SemiAnnualEP]]</f>
        <v>0</v>
      </c>
      <c r="FW61">
        <f ca="1">tblBaseCF[[#This Row],[SemiAnnualEMLoad]]</f>
        <v>0</v>
      </c>
      <c r="FX61">
        <f ca="1">tblBaseCF[[#This Row],[SemiAnnualPMLoad]]</f>
        <v>0</v>
      </c>
      <c r="FY61">
        <f ca="1">tblBaseCF[[#This Row],[SemiAnnualLoad]]</f>
        <v>0</v>
      </c>
      <c r="FZ61">
        <f ca="1">tblBaseCF[[#This Row],[SemiAnnualTotalPrem]]</f>
        <v>0</v>
      </c>
      <c r="GA61">
        <f ca="1">tblBaseCF[[#This Row],[QuarterlyTP]]</f>
        <v>0</v>
      </c>
      <c r="GB61">
        <f ca="1">tblBaseCF[[#This Row],[QuarterlyEP]]</f>
        <v>0</v>
      </c>
      <c r="GC61">
        <f ca="1">tblBaseCF[[#This Row],[QuarterlyEMLoad]]</f>
        <v>0</v>
      </c>
      <c r="GD61">
        <f ca="1">tblBaseCF[[#This Row],[QuarterlyPMLoad]]</f>
        <v>0</v>
      </c>
      <c r="GE61">
        <f ca="1">tblBaseCF[[#This Row],[QuarterlyLoad]]</f>
        <v>0</v>
      </c>
      <c r="GF61">
        <f ca="1">tblBaseCF[[#This Row],[QuarterlyTotalPrem]]</f>
        <v>0</v>
      </c>
      <c r="GG61">
        <f ca="1">tblBaseCF[[#This Row],[MonthlyTP]]</f>
        <v>0</v>
      </c>
      <c r="GH61">
        <f ca="1">tblBaseCF[[#This Row],[MonthlyEP]]</f>
        <v>0</v>
      </c>
      <c r="GI61">
        <f ca="1">tblBaseCF[[#This Row],[MonthlyEMLoad]]</f>
        <v>0</v>
      </c>
      <c r="GJ61">
        <f ca="1">tblBaseCF[[#This Row],[MonthlyPMLoad]]</f>
        <v>0</v>
      </c>
      <c r="GK61">
        <f ca="1">tblBaseCF[[#This Row],[MonthlyLoad]]</f>
        <v>0</v>
      </c>
      <c r="GL61">
        <f ca="1">tblBaseCF[[#This Row],[MonthlyTotalPrem]]</f>
        <v>0</v>
      </c>
      <c r="GO61" t="s">
        <v>134</v>
      </c>
      <c r="GP61" t="s">
        <v>135</v>
      </c>
      <c r="GQ61" t="s">
        <v>502</v>
      </c>
      <c r="GR61">
        <v>41</v>
      </c>
      <c r="GS61">
        <v>40</v>
      </c>
      <c r="GT61">
        <v>1</v>
      </c>
      <c r="GU61" t="s">
        <v>457</v>
      </c>
      <c r="GV61">
        <v>78334559.371721804</v>
      </c>
      <c r="GW61">
        <v>621572374.62223303</v>
      </c>
      <c r="GX61">
        <v>699906933.99395502</v>
      </c>
      <c r="GY61">
        <v>0</v>
      </c>
      <c r="GZ61">
        <v>699906933.99395502</v>
      </c>
      <c r="HA61">
        <v>699906933.99395502</v>
      </c>
      <c r="HB61">
        <v>303000000</v>
      </c>
      <c r="HC61">
        <v>0</v>
      </c>
      <c r="HD61" t="s">
        <v>137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7.0000000000000007E-2</v>
      </c>
      <c r="HX61">
        <v>0.96964931039809399</v>
      </c>
      <c r="HY61">
        <v>1</v>
      </c>
      <c r="HZ61">
        <v>300000</v>
      </c>
      <c r="IA61">
        <v>0</v>
      </c>
      <c r="IB61">
        <v>0</v>
      </c>
      <c r="IC61">
        <v>0</v>
      </c>
      <c r="ID61">
        <v>272700</v>
      </c>
      <c r="IE61">
        <v>572700</v>
      </c>
      <c r="IF61">
        <v>555318.16006498795</v>
      </c>
      <c r="IG61">
        <v>555318.16006498795</v>
      </c>
      <c r="IH61">
        <v>0</v>
      </c>
      <c r="II61">
        <v>5444546.8848159797</v>
      </c>
      <c r="IJ61">
        <v>43510066.223556302</v>
      </c>
      <c r="IK61">
        <v>0</v>
      </c>
      <c r="IL61">
        <v>0</v>
      </c>
      <c r="IM61">
        <v>0</v>
      </c>
      <c r="IN61">
        <v>83223788.0964728</v>
      </c>
      <c r="IO61">
        <v>665082440.84578896</v>
      </c>
      <c r="IP61">
        <v>748306228.94226205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</row>
    <row r="62" spans="2:268" customFormat="1" x14ac:dyDescent="0.25">
      <c r="B62" s="2">
        <f ca="1">OFFSET(tblBaseCF[[#This Row],[Year]],-1,0)+1</f>
        <v>42</v>
      </c>
      <c r="C62" s="2">
        <f ca="1">(tblBaseCF[[#This Row],[Year]]&lt;=term)*1</f>
        <v>1</v>
      </c>
      <c r="D62" s="57">
        <f ca="1">(YEAR(rcd)+tblBaseCF[[#This Row],[Year]]-1)
*tblBaseCF[[#This Row],[PolTermFlag]]</f>
        <v>2066</v>
      </c>
      <c r="E62" s="57">
        <f ca="1">(mainLI_entry_age+tblBaseCF[[#This Row],[Year]]-1)
*tblBaseCF[[#This Row],[PolTermFlag]]</f>
        <v>41</v>
      </c>
      <c r="F62" s="57">
        <f ca="1">IF(tblBaseCF[[#This Row],[Year]]=1,1,OFFSET(tblBaseCF[[#This Row],[DeductFlag]],-1,0))
*tblBaseCF[[#This Row],[PolTermFlag]]</f>
        <v>0</v>
      </c>
      <c r="G6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2" s="57">
        <f ca="1">(tblBaseCF[[#This Row],[Year]]&lt;=acc_ben_term)
*tblBaseCF[[#This Row],[ContFlag]]</f>
        <v>0</v>
      </c>
      <c r="I62" s="57">
        <f ca="1">(tblBaseCF[[#This Row],[Year]]&lt;=tp_term)
*tblBaseCF[[#This Row],[ContFlag]]</f>
        <v>0</v>
      </c>
      <c r="J62" s="57">
        <f ca="1">(tblBaseCF[[#This Row],[Year]]&lt;=ep_term)
*tblBaseCF[[#This Row],[ContFlag]]</f>
        <v>0</v>
      </c>
      <c r="K62" s="57">
        <f ca="1">(tblBaseCF[[#This Row],[Year]]&lt;=em_load_term)*1</f>
        <v>0</v>
      </c>
      <c r="L62" s="57">
        <f ca="1">(tblBaseCF[[#This Row],[Year]]&lt;=pm_load_term)*1</f>
        <v>0</v>
      </c>
      <c r="M62" s="59">
        <f ca="1">IF(tblBaseCF[[#This Row],[Year]]=1,si,OFFSET(tblBaseCF[[#This Row],[EndSI]],-1,0))
*tblBaseCF[[#This Row],[ContFlag]]</f>
        <v>0</v>
      </c>
      <c r="N62" s="59">
        <f ca="1">OFFSET(tblBaseCF[[#This Row],[EndTAV]],-1,0)
*tblBaseCF[[#This Row],[ContFlag]]</f>
        <v>0</v>
      </c>
      <c r="O62" s="59">
        <f ca="1">OFFSET(tblBaseCF[[#This Row],[EndEAV]],-1,0)
*tblBaseCF[[#This Row],[ContFlag]]</f>
        <v>0</v>
      </c>
      <c r="P62" s="60">
        <f ca="1">tblBaseCF[[#This Row],[StartEAV]]+tblBaseCF[[#This Row],[StartTAV]]</f>
        <v>0</v>
      </c>
      <c r="Q62" s="61">
        <f ca="1">IFERROR(INDEX(tblJuvenileLienRate[Rate],MATCH(tblBaseCF[[#This Row],[Age]],tblJuvenileLienRate[Age],0)),1)
*tblBaseCF[[#This Row],[ContFlag]]</f>
        <v>0</v>
      </c>
      <c r="R6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2" s="62">
        <f ca="1">tblBaseCF[[#This Row],[StartSI]]*acc_ben_coeff*tblBaseCF[[#This Row],[JuvenileLienRate]]
*tblBaseCF[[#This Row],[AccBenTermFlag]]</f>
        <v>0</v>
      </c>
      <c r="T62" s="61">
        <f ca="1">(IFERROR(INDEX(tblSurrChrgRate[Rate],MATCH(tblBaseCF[[#This Row],[Year]],tblSurrChrgRate[Year],0)),0)
*tblBaseCF[[#This Row],[ContFlag]])</f>
        <v>0</v>
      </c>
      <c r="U62" s="60">
        <f ca="1">tp*tblBaseCF[[#This Row],[SrrChrgRate]]</f>
        <v>0</v>
      </c>
      <c r="V62" s="63">
        <f ca="1">MAX(tblBaseCF[[#This Row],[StartTAV]]-tblBaseCF[[#This Row],[SVChrg]],0)+tblBaseCF[[#This Row],[StartEAV]]</f>
        <v>0</v>
      </c>
      <c r="W62" s="59">
        <f ca="1">IFERROR(INDEX(tblWithdrawal_Output[Amount],MATCH(tblBaseCF[[#This Row],[Year]],tblWithdrawal_Output[Year],0)),0)
*tblBaseCF[[#This Row],[ContFlag]]</f>
        <v>0</v>
      </c>
      <c r="X62" s="59" t="b">
        <f ca="1">tblBaseCF[[#This Row],[WithdrawalInput]]&gt;0</f>
        <v>0</v>
      </c>
      <c r="Y62" s="59" t="b">
        <f ca="1">AND(tblBaseCF[[#This Row],[1stCheckProceed]],tblBaseCF[[#This Row],[WithdrawalInput]]&lt;=tblBaseCF[[#This Row],[StartPAV]])</f>
        <v>0</v>
      </c>
      <c r="Z62" s="59" t="b">
        <f ca="1">AND(tblBaseCF[[#This Row],[2ndCheckAmount]],(tblBaseCF[[#This Row],[StartPAV]]-tblBaseCF[[#This Row],[WithdrawalInput]])&gt;=min_pav_after_withdrawal)</f>
        <v>0</v>
      </c>
      <c r="AA6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2" s="59" t="b">
        <f ca="1">AND(tblBaseCF[[#This Row],[3rdCheckPAV]],tblBaseCF[[#This Row],[endSITest]]&gt;=min_base_si)</f>
        <v>0</v>
      </c>
      <c r="AC62" s="60">
        <f ca="1">tblBaseCF[[#This Row],[WithdrawalInput]]*tblBaseCF[[#This Row],[4thCheckSI]]</f>
        <v>0</v>
      </c>
      <c r="AD62" s="60">
        <f ca="1">MIN(tblBaseCF[[#This Row],[Withdrawal]],tblBaseCF[[#This Row],[StartEAV]])</f>
        <v>0</v>
      </c>
      <c r="AE62" s="60">
        <f ca="1">tblBaseCF[[#This Row],[Withdrawal]]-tblBaseCF[[#This Row],[EAVWithdrawal]]</f>
        <v>0</v>
      </c>
      <c r="AF62" s="60">
        <f ca="1">IF(tblBaseCF[[#This Row],[4thCheckSI]],tblBaseCF[[#This Row],[endSITest]],tblBaseCF[[#This Row],[StartSI]])</f>
        <v>0</v>
      </c>
      <c r="AG6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2" s="65">
        <f ca="1">IFERROR(INDEX(tblTPAllocChrgRate[Rate],MATCH(tblBaseCF[[#This Row],[Year]],tblTPAllocChrgRate[Year],0)),0)</f>
        <v>0.02</v>
      </c>
      <c r="AI62" s="62">
        <f ca="1">(tp+big_case_bonus_tp*(tblBaseCF[[#This Row],[Year]]=1))
*tblBaseCF[[#This Row],[TPTermFlag]]</f>
        <v>0</v>
      </c>
      <c r="AJ62" s="63">
        <f ca="1">tblBaseCF[[#This Row],[TP]]*tblBaseCF[[#This Row],[TPAllocChrgRate]]</f>
        <v>0</v>
      </c>
      <c r="AK62" s="60">
        <f ca="1">tblBaseCF[[#This Row],[TP]]-tblBaseCF[[#This Row],[TPAllocChrg]]</f>
        <v>0</v>
      </c>
      <c r="AL62" s="65">
        <f ca="1">IFERROR(INDEX(tblEPAllocChrgRate[Rate],MATCH(tblBaseCF[[#This Row],[Year]],tblEPAllocChrgRate[Year],0)),0)</f>
        <v>0.02</v>
      </c>
      <c r="AM62" s="60">
        <f ca="1">ep*tblBaseCF[[#This Row],[EPTermFlag]]</f>
        <v>0</v>
      </c>
      <c r="AN62" s="60">
        <f ca="1">tblBaseCF[[#This Row],[EP]]*tblBaseCF[[#This Row],[EPAllocChrgRate]]</f>
        <v>0</v>
      </c>
      <c r="AO62" s="63">
        <f ca="1">tblBaseCF[[#This Row],[EP]]-tblBaseCF[[#This Row],[EPAllocChrg]]</f>
        <v>0</v>
      </c>
      <c r="AP62" s="62">
        <f ca="1">tblBaseCF[[#This Row],[Ben]]*extra_prem_rate*em_load/1000/(1-tblBaseCF[[#This Row],[EPAllocChrgRate]])
*tblBaseCF[[#This Row],[EMLoadTermFlag]]</f>
        <v>0</v>
      </c>
      <c r="AQ62" s="62">
        <f ca="1">tblBaseCF[[#This Row],[Ben]]*pm_load/1000/(1-tblBaseCF[[#This Row],[EPAllocChrgRate]])
*tblBaseCF[[#This Row],[PMLoadTermFlag]]</f>
        <v>0</v>
      </c>
      <c r="AR62" s="60">
        <f ca="1">ROUNDUP(tblBaseCF[[#This Row],[UnroundedEMLoad]],-3)</f>
        <v>0</v>
      </c>
      <c r="AS62" s="62">
        <f ca="1">ROUNDUP(tblBaseCF[[#This Row],[Ben]]*pm_load/1000/(1-tblBaseCF[[#This Row],[EPAllocChrgRate]]),-3)
*tblBaseCF[[#This Row],[PMLoadTermFlag]]</f>
        <v>0</v>
      </c>
      <c r="AT62" s="60">
        <f ca="1">tblBaseCF[[#This Row],[EMLoad]]+tblBaseCF[[#This Row],[PMLoad]]</f>
        <v>0</v>
      </c>
      <c r="AU62" s="60">
        <f ca="1">tblBaseCF[[#This Row],[Load]]*tblBaseCF[[#This Row],[EPAllocChrgRate]]</f>
        <v>0</v>
      </c>
      <c r="AV62" s="60">
        <f ca="1">tblBaseCF[[#This Row],[Load]]-tblBaseCF[[#This Row],[LoadAllocChrg]]</f>
        <v>0</v>
      </c>
      <c r="AW62" s="60">
        <f ca="1">tblBaseCF[[#This Row],[TP]]+tblBaseCF[[#This Row],[EP]]+tblBaseCF[[#This Row],[Load]]</f>
        <v>0</v>
      </c>
      <c r="AX62" s="60">
        <f ca="1">tblBaseCF[[#This Row],[TPAllocChrg]]+tblBaseCF[[#This Row],[EPAllocChrg]]+tblBaseCF[[#This Row],[LoadAllocChrg]]</f>
        <v>0</v>
      </c>
      <c r="AY62" s="60">
        <f ca="1">tblBaseCF[[#This Row],[TPAlloc]]+tblBaseCF[[#This Row],[EPAlloc]]+tblBaseCF[[#This Row],[LoadAlloc]]</f>
        <v>0</v>
      </c>
      <c r="AZ62" s="60">
        <f ca="1">(OFFSET(tblBaseCF[[#This Row],[AccumTotalPrem]],-1,0)+tblBaseCF[[#This Row],[TotalPrem]])*tblBaseCF[[#This Row],[TPTermFlag]]</f>
        <v>0</v>
      </c>
      <c r="BA62" s="62">
        <f ca="1">(tblBaseCF[[#This Row],[StartTAV]]-tblBaseCF[[#This Row],[TAVWithdrawal]]+tblBaseCF[[#This Row],[TPAlloc]])
*tblBaseCF[[#This Row],[ContFlag]]</f>
        <v>0</v>
      </c>
      <c r="BB62" s="59">
        <f ca="1">(tblBaseCF[[#This Row],[StartEAV]]-tblBaseCF[[#This Row],[EAVWithdrawal]]+tblBaseCF[[#This Row],[EPAlloc]]+tblBaseCF[[#This Row],[LoadAlloc]])
*tblBaseCF[[#This Row],[ContFlag]]</f>
        <v>0</v>
      </c>
      <c r="BC62" s="59">
        <f ca="1">tblBaseCF[[#This Row],[TAVAfterWdrlAlloc]]+tblBaseCF[[#This Row],[EAVAfterWdrlAlloc]]</f>
        <v>0</v>
      </c>
      <c r="BD62" s="66">
        <f t="shared" si="6"/>
        <v>0</v>
      </c>
      <c r="BE62" s="67">
        <f>(1+tblBaseCF[[#This Row],[AnnualIntRate]])^(1/12)-1</f>
        <v>0</v>
      </c>
      <c r="BF62" s="68">
        <f>IFERROR(((1+tblBaseCF[[#This Row],[MonthlyIntRate]])^12-1)/12/(1-1/(1+tblBaseCF[[#This Row],[MonthlyIntRate]])),1)/(1+tblBaseCF[[#This Row],[AnnualIntRate]])</f>
        <v>1</v>
      </c>
      <c r="BG62" s="69">
        <f>PV(tblBaseCF[[#This Row],[MonthlyIntRate]],12,-1/12,,1)</f>
        <v>1</v>
      </c>
      <c r="BH62" s="60">
        <f ca="1">MAX(IF(death_tpd_option="A",tblBaseCF[[#This Row],[Ben]]-tblBaseCF[[#This Row],[StartPAV]],tblBaseCF[[#This Row],[Ben]]),0)</f>
        <v>0</v>
      </c>
      <c r="BI62" s="70">
        <f ca="1">IFERROR(INDEX(tblBaseCOIRate[Rate],MATCH(tblBaseCF[[#This Row],[Age]],tblBaseCOIRate[Age],0)),0)</f>
        <v>2.74999999999992E-3</v>
      </c>
      <c r="BJ62" s="60">
        <f ca="1">tblBaseCF[[#This Row],[SAR]]*tblBaseCF[[#This Row],[COIRate]]</f>
        <v>0</v>
      </c>
      <c r="BK62" s="62">
        <f ca="1">em_load*tblBaseCF[[#This Row],[pStandardCOI]]
*tblBaseCF[[#This Row],[EMLoadTermFlag]]</f>
        <v>0</v>
      </c>
      <c r="BL62" s="62">
        <f ca="1">pm_load/1000*tblBaseCF[[#This Row],[SAR]]
*tblBaseCF[[#This Row],[PMLoadTermFlag]]</f>
        <v>0</v>
      </c>
      <c r="BM62" s="60">
        <f ca="1">tblBaseCF[[#This Row],[AccBen]]*monthly_acc_coi*12</f>
        <v>0</v>
      </c>
      <c r="BN62" s="60">
        <f ca="1">tblBaseCF[[#This Row],[pStandardCOI]]+tblBaseCF[[#This Row],[pEMLoadCOI]]+tblBaseCF[[#This Row],[pPMLoadCOI]]+tblBaseCF[[#This Row],[pAccCOI]]</f>
        <v>0</v>
      </c>
      <c r="BO62" s="62">
        <f ca="1">IFERROR(INDEX(tblAdminChrg[Amount],MATCH(tblBaseCF[[#This Row],[CalYear]],tblAdminChrg[Cal_Year],0)),0)
*tblBaseCF[[#This Row],[ContFlag]]</f>
        <v>0</v>
      </c>
      <c r="BP62" s="60">
        <f ca="1">tblBaseCF[[#This Row],[pMonthlyAdminChrg]]*12</f>
        <v>0</v>
      </c>
      <c r="BQ62" s="60">
        <f ca="1">tblBaseCF[[#This Row],[pCOI]]+tblBaseCF[[#This Row],[pAdminChrg]]</f>
        <v>0</v>
      </c>
      <c r="BR62" s="60">
        <f ca="1">tblBaseCF[[#This Row],[pNomDeduct]]*tblBaseCF[[#This Row],[Duean1m12]]</f>
        <v>0</v>
      </c>
      <c r="BS62" s="57">
        <f ca="1">(tblBaseCF[[#This Row],[PAVAfterWdrlAlloc]]&gt;=tblBaseCF[[#This Row],[pNomDeduct]])
*tblBaseCF[[#This Row],[ContFlag]]</f>
        <v>0</v>
      </c>
      <c r="BT62" s="60">
        <f ca="1">tblBaseCF[[#This Row],[pStandardCOI]]*tblBaseCF[[#This Row],[DeductFlag]]</f>
        <v>0</v>
      </c>
      <c r="BU62" s="60">
        <f ca="1">tblBaseCF[[#This Row],[pEMLoadCOI]]*tblBaseCF[[#This Row],[DeductFlag]]</f>
        <v>0</v>
      </c>
      <c r="BV62" s="60">
        <f ca="1">tblBaseCF[[#This Row],[pPMLoadCOI]]*tblBaseCF[[#This Row],[DeductFlag]]</f>
        <v>0</v>
      </c>
      <c r="BW62" s="60">
        <f ca="1">tblBaseCF[[#This Row],[pAccCOI]]*tblBaseCF[[#This Row],[DeductFlag]]</f>
        <v>0</v>
      </c>
      <c r="BX62" s="60">
        <f ca="1">tblBaseCF[[#This Row],[pCOI]]*tblBaseCF[[#This Row],[DeductFlag]]</f>
        <v>0</v>
      </c>
      <c r="BY62" s="60">
        <f ca="1">tblBaseCF[[#This Row],[pMonthlyAdminChrg]]*tblBaseCF[[#This Row],[DeductFlag]]</f>
        <v>0</v>
      </c>
      <c r="BZ62" s="60">
        <f ca="1">tblBaseCF[[#This Row],[pAdminChrg]]*tblBaseCF[[#This Row],[DeductFlag]]</f>
        <v>0</v>
      </c>
      <c r="CA62" s="60">
        <f ca="1">tblBaseCF[[#This Row],[pNomDeduct]]*tblBaseCF[[#This Row],[DeductFlag]]</f>
        <v>0</v>
      </c>
      <c r="CB62" s="60">
        <f ca="1">tblBaseCF[[#This Row],[pDeduct]]*tblBaseCF[[#This Row],[DeductFlag]]</f>
        <v>0</v>
      </c>
      <c r="CC62" s="60">
        <f ca="1">MIN(tblBaseCF[[#This Row],[TAVAfterWdrlAlloc]],tblBaseCF[[#This Row],[Deduct]])</f>
        <v>0</v>
      </c>
      <c r="CD62" s="60">
        <f ca="1">tblBaseCF[[#This Row],[Deduct]]-tblBaseCF[[#This Row],[TAVDeduct]]</f>
        <v>0</v>
      </c>
      <c r="CE62" s="69">
        <f ca="1">(tblBaseCF[[#This Row],[TAVAfterWdrlAlloc]]-tblBaseCF[[#This Row],[TAVDeduct]])*tblBaseCF[[#This Row],[AnnualIntRate]]
*tblBaseCF[[#This Row],[DeductFlag]]</f>
        <v>0</v>
      </c>
      <c r="CF62" s="69">
        <f ca="1">(tblBaseCF[[#This Row],[EAVAfterWdrlAlloc]]-tblBaseCF[[#This Row],[EAVDeduct]])*tblBaseCF[[#This Row],[AnnualIntRate]]
*tblBaseCF[[#This Row],[DeductFlag]]</f>
        <v>0</v>
      </c>
      <c r="CG62" s="69">
        <f ca="1">tblBaseCF[[#This Row],[TAVInt]]+tblBaseCF[[#This Row],[EAVInt]]</f>
        <v>0</v>
      </c>
      <c r="CH62" s="62">
        <f ca="1">IFERROR(INDEX(tblLBRate[Rate],MATCH(tblBaseCF[[#This Row],[Year]],tblLBRate[Year],0)),0)
*tblBaseCF[[#This Row],[DeductFlag]]</f>
        <v>0</v>
      </c>
      <c r="CI62" s="60">
        <f ca="1">IFERROR(SUM(OFFSET(tblBaseCF[[#This Row],[TAVWithdrawal]],0,0,-lb_review_period,1)),0)
*(tblBaseCF[[#This Row],[LBRate]]&gt;0)</f>
        <v>0</v>
      </c>
      <c r="CJ62" s="60">
        <f ca="1">(tblBaseCF[[#This Row],[LBRate]]&gt;0)*(tblBaseCF[[#This Row],[LBTAVWithdrawal]]=0)</f>
        <v>0</v>
      </c>
      <c r="CK62" s="62" cm="1">
        <f t="array" aca="1" ref="CK62" ca="1">IF(tblBaseCF[[#This Row],[LBFlag]],
_xlfn.SWITCH(base,
"ILP1",AVERAGE(OFFSET(tblBaseCF[TP],0,0,-lb_review_period,1)),tp),0)
*tblBaseCF[[#This Row],[LBFlag]]</f>
        <v>0</v>
      </c>
      <c r="CL62" s="62">
        <f ca="1">tblBaseCF[[#This Row],[LBBasis]]*tblBaseCF[[#This Row],[LBRate]]</f>
        <v>0</v>
      </c>
      <c r="CM62" s="57" cm="1">
        <f t="array" aca="1" ref="CM62" ca="1">_xlfn.SWITCH(base,
"ILP1",0,($AF162&lt;500000000)*1
+($AF162&gt;=500000000)*($AF162&lt;1000000000)*2
+($AF162&gt;=1000000000)*3)
*tblBaseCF[[#This Row],[DeductFlag]]</f>
        <v>0</v>
      </c>
      <c r="CN62" s="2" t="str">
        <f ca="1">IF(tblBaseCF[[#This Row],[DeductFlag]],base&amp;"_"&amp;tblBaseCF[[#This Row],[SBCode]]&amp;"_"&amp;tblBaseCF[[#This Row],[Year]],"")</f>
        <v/>
      </c>
      <c r="CO62" s="3">
        <f ca="1">IFERROR(INDEX(tblSBRate[Index],MATCH(tblBaseCF[[#This Row],[SBIndex]],tblSBRate[Rate],0)),0)</f>
        <v>0</v>
      </c>
      <c r="CP62" s="63">
        <f ca="1">IFERROR(SUM(OFFSET(tblBaseCF[[#This Row],[TAVWithdrawal]],0,0,-sb_review_period,1)),0)
*(tblBaseCF[[#This Row],[SBRate]]&gt;0)</f>
        <v>0</v>
      </c>
      <c r="CQ62" s="63">
        <f ca="1">(tblBaseCF[[#This Row],[SBRate]]&gt;0)*(tblBaseCF[[#This Row],[SBTAVWithdrawal]]=0)</f>
        <v>0</v>
      </c>
      <c r="CR62" s="59" cm="1">
        <f t="array" aca="1" ref="CR62" ca="1">IF(tblBaseCF[[#This Row],[LBFlag]],
_xlfn.SWITCH(base,
"ILP1",0,tp),0)*tblBaseCF[[#This Row],[SBFlag]]</f>
        <v>0</v>
      </c>
      <c r="CS62" s="63">
        <f ca="1">tblBaseCF[[#This Row],[SBBasis]]*tblBaseCF[[#This Row],[SBRate]]</f>
        <v>0</v>
      </c>
      <c r="CT62" s="63">
        <f ca="1">tblBaseCF[[#This Row],[LB]]+tblBaseCF[[#This Row],[SB]]</f>
        <v>0</v>
      </c>
      <c r="CU62" s="59">
        <f ca="1">tblBaseCF[[#This Row],[TAVAfterWdrlAlloc]]-tblBaseCF[[#This Row],[TAVDeduct]]+tblBaseCF[[#This Row],[TAVInt]]+tblBaseCF[[#This Row],[Bonus]]</f>
        <v>0</v>
      </c>
      <c r="CV62" s="59">
        <f ca="1">tblBaseCF[[#This Row],[EAVAfterWdrlAlloc]]-tblBaseCF[[#This Row],[EAVDeduct]]+tblBaseCF[[#This Row],[EAVInt]]</f>
        <v>0</v>
      </c>
      <c r="CW62" s="63">
        <f ca="1">tblBaseCF[[#This Row],[EndTAV]]+tblBaseCF[[#This Row],[EndEAV]]</f>
        <v>0</v>
      </c>
      <c r="CX62" s="59">
        <f ca="1">INDEX(tblPlanPrem[TP],2)
*tblBaseCF[[#This Row],[TPTermFlag]]</f>
        <v>0</v>
      </c>
      <c r="CY62" s="59">
        <f ca="1">INDEX(tblPlanPrem[EP],2)
*tblBaseCF[[#This Row],[TPTermFlag]]</f>
        <v>0</v>
      </c>
      <c r="CZ62" s="63">
        <f ca="1">ROUNDUP(tblBaseCF[[#This Row],[UnroundedEMLoad]]*INDEX(tblPlanPrem[Factor],2),-3)</f>
        <v>0</v>
      </c>
      <c r="DA62" s="63">
        <f ca="1">ROUNDUP(tblBaseCF[[#This Row],[UnroundedPMLoad]]*INDEX(tblPlanPrem[Factor],2),-3)</f>
        <v>0</v>
      </c>
      <c r="DB62" s="63">
        <f ca="1">tblBaseCF[[#This Row],[SemiAnnualEMLoad]]+tblBaseCF[[#This Row],[SemiAnnualPMLoad]]</f>
        <v>0</v>
      </c>
      <c r="DC62" s="63">
        <f ca="1">tblBaseCF[[#This Row],[SemiAnnualTP]]+tblBaseCF[[#This Row],[SemiAnnualEP]]+tblBaseCF[[#This Row],[SemiAnnualLoad]]</f>
        <v>0</v>
      </c>
      <c r="DD62" s="59">
        <f ca="1">INDEX(tblPlanPrem[TP],3)
*tblBaseCF[[#This Row],[TPTermFlag]]</f>
        <v>0</v>
      </c>
      <c r="DE62" s="59">
        <f ca="1">INDEX(tblPlanPrem[EP],3)
*tblBaseCF[[#This Row],[TPTermFlag]]</f>
        <v>0</v>
      </c>
      <c r="DF62" s="63">
        <f ca="1">ROUNDUP(tblBaseCF[[#This Row],[UnroundedEMLoad]]*INDEX(tblPlanPrem[Factor],3),-3)</f>
        <v>0</v>
      </c>
      <c r="DG62" s="63">
        <f ca="1">ROUNDUP(tblBaseCF[[#This Row],[UnroundedPMLoad]]*INDEX(tblPlanPrem[Factor],3),-3)</f>
        <v>0</v>
      </c>
      <c r="DH62" s="60">
        <f ca="1">tblBaseCF[[#This Row],[QuarterlyEMLoad]]+tblBaseCF[[#This Row],[QuarterlyPMLoad]]</f>
        <v>0</v>
      </c>
      <c r="DI62" s="60">
        <f ca="1">tblBaseCF[[#This Row],[QuarterlyTP]]+tblBaseCF[[#This Row],[QuarterlyEP]]+tblBaseCF[[#This Row],[QuarterlyLoad]]</f>
        <v>0</v>
      </c>
      <c r="DJ62" s="59">
        <f ca="1">INDEX(tblPlanPrem[TP],4)
*tblBaseCF[[#This Row],[TPTermFlag]]</f>
        <v>0</v>
      </c>
      <c r="DK62" s="59">
        <f ca="1">INDEX(tblPlanPrem[EP],4)
*tblBaseCF[[#This Row],[TPTermFlag]]</f>
        <v>0</v>
      </c>
      <c r="DL62" s="63">
        <f ca="1">ROUNDUP(tblBaseCF[[#This Row],[UnroundedEMLoad]]*INDEX(tblPlanPrem[Factor],4),-3)</f>
        <v>0</v>
      </c>
      <c r="DM62" s="63">
        <f ca="1">ROUNDUP(tblBaseCF[[#This Row],[UnroundedPMLoad]]*INDEX(tblPlanPrem[Factor],4),-3)</f>
        <v>0</v>
      </c>
      <c r="DN62" s="60">
        <f ca="1">tblBaseCF[[#This Row],[MonthlyEMLoad]]+tblBaseCF[[#This Row],[MonthlyPMLoad]]</f>
        <v>0</v>
      </c>
      <c r="DO62" s="63">
        <f ca="1">tblBaseCF[[#This Row],[MonthlyTP]]+tblBaseCF[[#This Row],[MonthlyEP]]+tblBaseCF[[#This Row],[MonthlyLoad]]</f>
        <v>0</v>
      </c>
      <c r="DP62" s="3"/>
      <c r="DS62">
        <f t="shared" si="7"/>
        <v>0</v>
      </c>
      <c r="DT62">
        <f t="shared" si="8"/>
        <v>0</v>
      </c>
      <c r="DU62">
        <f t="shared" si="9"/>
        <v>0</v>
      </c>
      <c r="DV62">
        <f ca="1">tblBaseCF[[#This Row],[Year]]</f>
        <v>42</v>
      </c>
      <c r="DW62">
        <f ca="1">tblBaseCF[[#This Row],[Age]]</f>
        <v>41</v>
      </c>
      <c r="DX62">
        <f ca="1">tblBaseCF[[#This Row],[ContFlag]]</f>
        <v>0</v>
      </c>
      <c r="DY62" t="str">
        <f ca="1">tblBaseCF[[#This Row],[ContLog]]</f>
        <v>Insufficient PAV for deduction - Discontinue.</v>
      </c>
      <c r="DZ62">
        <f ca="1">tblBaseCF[[#This Row],[StartTAV]]</f>
        <v>0</v>
      </c>
      <c r="EA62">
        <f ca="1">tblBaseCF[[#This Row],[StartEAV]]</f>
        <v>0</v>
      </c>
      <c r="EB62">
        <f ca="1">tblBaseCF[[#This Row],[StartPAV]]</f>
        <v>0</v>
      </c>
      <c r="EC62">
        <f ca="1">tblBaseCF[[#This Row],[SVChrg]]</f>
        <v>0</v>
      </c>
      <c r="ED62">
        <f ca="1">tblBaseCF[[#This Row],[SV]]</f>
        <v>0</v>
      </c>
      <c r="EE62">
        <f ca="1">tblBaseCF[[#This Row],[Ben]]</f>
        <v>0</v>
      </c>
      <c r="EF62">
        <f ca="1">tblBaseCF[[#This Row],[AccBen]]</f>
        <v>0</v>
      </c>
      <c r="EG62">
        <f ca="1">tblBaseCF[[#This Row],[WithdrawalInput]]</f>
        <v>0</v>
      </c>
      <c r="EH62" t="str">
        <f ca="1">tblBaseCF[[#This Row],[WithdrawalLog]]</f>
        <v>No withdrawal.</v>
      </c>
      <c r="EI62">
        <f ca="1">tblBaseCF[[#This Row],[TAVWithdrawal]]</f>
        <v>0</v>
      </c>
      <c r="EJ62">
        <f ca="1">tblBaseCF[[#This Row],[EAVWithdrawal]]</f>
        <v>0</v>
      </c>
      <c r="EK62">
        <f ca="1">tblBaseCF[[#This Row],[Withdrawal]]</f>
        <v>0</v>
      </c>
      <c r="EL62">
        <f ca="1">tblBaseCF[[#This Row],[TP]]</f>
        <v>0</v>
      </c>
      <c r="EM62">
        <f ca="1">tblBaseCF[[#This Row],[TPAllocChrg]]</f>
        <v>0</v>
      </c>
      <c r="EN62">
        <f ca="1">tblBaseCF[[#This Row],[TPAlloc]]</f>
        <v>0</v>
      </c>
      <c r="EO62">
        <f ca="1">tblBaseCF[[#This Row],[EP]]</f>
        <v>0</v>
      </c>
      <c r="EP62">
        <f ca="1">tblBaseCF[[#This Row],[EPAllocChrg]]</f>
        <v>0</v>
      </c>
      <c r="EQ62">
        <f ca="1">tblBaseCF[[#This Row],[EPAlloc]]</f>
        <v>0</v>
      </c>
      <c r="ER62">
        <f ca="1">tblBaseCF[[#This Row],[EMLoad]]</f>
        <v>0</v>
      </c>
      <c r="ES62">
        <f ca="1">tblBaseCF[[#This Row],[PMLoad]]</f>
        <v>0</v>
      </c>
      <c r="ET62">
        <f ca="1">tblBaseCF[[#This Row],[Load]]</f>
        <v>0</v>
      </c>
      <c r="EU62">
        <f ca="1">tblBaseCF[[#This Row],[LoadAllocChrg]]</f>
        <v>0</v>
      </c>
      <c r="EV62">
        <f ca="1">tblBaseCF[[#This Row],[LoadAlloc]]</f>
        <v>0</v>
      </c>
      <c r="EW62">
        <f ca="1">tblBaseCF[[#This Row],[TotalPrem]]</f>
        <v>0</v>
      </c>
      <c r="EX62">
        <f ca="1">tblBaseCF[[#This Row],[AllocChrg]]</f>
        <v>0</v>
      </c>
      <c r="EY62">
        <f ca="1">tblBaseCF[[#This Row],[Alloc]]</f>
        <v>0</v>
      </c>
      <c r="EZ62">
        <f ca="1">tblBaseCF[[#This Row],[AccumTotalPrem]]</f>
        <v>0</v>
      </c>
      <c r="FA62">
        <f>tblBaseCF[[#This Row],[AnnualIntRate]]</f>
        <v>0</v>
      </c>
      <c r="FB62" s="50">
        <f>tblBaseCF[[#This Row],[Duean1m12]]</f>
        <v>1</v>
      </c>
      <c r="FC62">
        <f ca="1">tblBaseCF[[#This Row],[DeductFlag]]</f>
        <v>0</v>
      </c>
      <c r="FD62">
        <f ca="1">tblBaseCF[[#This Row],[AdminChrg]]</f>
        <v>0</v>
      </c>
      <c r="FE62">
        <f ca="1">tblBaseCF[[#This Row],[StandardCOI]]</f>
        <v>0</v>
      </c>
      <c r="FF62">
        <f ca="1">tblBaseCF[[#This Row],[EMLoadCOI]]</f>
        <v>0</v>
      </c>
      <c r="FG62">
        <f ca="1">tblBaseCF[[#This Row],[PMLoadCOI]]</f>
        <v>0</v>
      </c>
      <c r="FH62">
        <f ca="1">tblBaseCF[[#This Row],[COI]]</f>
        <v>0</v>
      </c>
      <c r="FI62" s="47">
        <f ca="1">tblBaseCF[[#This Row],[NomDeduct]]</f>
        <v>0</v>
      </c>
      <c r="FJ62">
        <f ca="1">tblBaseCF[[#This Row],[Deduct]]</f>
        <v>0</v>
      </c>
      <c r="FK62">
        <f ca="1">tblBaseCF[[#This Row],[TAVDeduct]]</f>
        <v>0</v>
      </c>
      <c r="FL62">
        <f ca="1">tblBaseCF[[#This Row],[EAVDeduct]]</f>
        <v>0</v>
      </c>
      <c r="FM62" s="24">
        <f ca="1">tblBaseCF[[#This Row],[TAVInt]]</f>
        <v>0</v>
      </c>
      <c r="FN62">
        <f ca="1">tblBaseCF[[#This Row],[EAVInt]]</f>
        <v>0</v>
      </c>
      <c r="FO62" s="47">
        <f ca="1">tblBaseCF[[#This Row],[LB]]</f>
        <v>0</v>
      </c>
      <c r="FP62">
        <f ca="1">tblBaseCF[[#This Row],[SB]]</f>
        <v>0</v>
      </c>
      <c r="FQ62">
        <f ca="1">tblBaseCF[[#This Row],[Bonus]]</f>
        <v>0</v>
      </c>
      <c r="FR62">
        <f ca="1">tblBaseCF[[#This Row],[EndTAV]]</f>
        <v>0</v>
      </c>
      <c r="FS62">
        <f ca="1">tblBaseCF[[#This Row],[EndEAV]]</f>
        <v>0</v>
      </c>
      <c r="FT62">
        <f ca="1">tblBaseCF[[#This Row],[EndPAV]]</f>
        <v>0</v>
      </c>
      <c r="FU62">
        <f ca="1">tblBaseCF[[#This Row],[SemiAnnualTP]]</f>
        <v>0</v>
      </c>
      <c r="FV62">
        <f ca="1">tblBaseCF[[#This Row],[SemiAnnualEP]]</f>
        <v>0</v>
      </c>
      <c r="FW62">
        <f ca="1">tblBaseCF[[#This Row],[SemiAnnualEMLoad]]</f>
        <v>0</v>
      </c>
      <c r="FX62">
        <f ca="1">tblBaseCF[[#This Row],[SemiAnnualPMLoad]]</f>
        <v>0</v>
      </c>
      <c r="FY62">
        <f ca="1">tblBaseCF[[#This Row],[SemiAnnualLoad]]</f>
        <v>0</v>
      </c>
      <c r="FZ62">
        <f ca="1">tblBaseCF[[#This Row],[SemiAnnualTotalPrem]]</f>
        <v>0</v>
      </c>
      <c r="GA62">
        <f ca="1">tblBaseCF[[#This Row],[QuarterlyTP]]</f>
        <v>0</v>
      </c>
      <c r="GB62">
        <f ca="1">tblBaseCF[[#This Row],[QuarterlyEP]]</f>
        <v>0</v>
      </c>
      <c r="GC62">
        <f ca="1">tblBaseCF[[#This Row],[QuarterlyEMLoad]]</f>
        <v>0</v>
      </c>
      <c r="GD62">
        <f ca="1">tblBaseCF[[#This Row],[QuarterlyPMLoad]]</f>
        <v>0</v>
      </c>
      <c r="GE62">
        <f ca="1">tblBaseCF[[#This Row],[QuarterlyLoad]]</f>
        <v>0</v>
      </c>
      <c r="GF62">
        <f ca="1">tblBaseCF[[#This Row],[QuarterlyTotalPrem]]</f>
        <v>0</v>
      </c>
      <c r="GG62">
        <f ca="1">tblBaseCF[[#This Row],[MonthlyTP]]</f>
        <v>0</v>
      </c>
      <c r="GH62">
        <f ca="1">tblBaseCF[[#This Row],[MonthlyEP]]</f>
        <v>0</v>
      </c>
      <c r="GI62">
        <f ca="1">tblBaseCF[[#This Row],[MonthlyEMLoad]]</f>
        <v>0</v>
      </c>
      <c r="GJ62">
        <f ca="1">tblBaseCF[[#This Row],[MonthlyPMLoad]]</f>
        <v>0</v>
      </c>
      <c r="GK62">
        <f ca="1">tblBaseCF[[#This Row],[MonthlyLoad]]</f>
        <v>0</v>
      </c>
      <c r="GL62">
        <f ca="1">tblBaseCF[[#This Row],[MonthlyTotalPrem]]</f>
        <v>0</v>
      </c>
      <c r="GO62" t="s">
        <v>134</v>
      </c>
      <c r="GP62" t="s">
        <v>135</v>
      </c>
      <c r="GQ62" t="s">
        <v>502</v>
      </c>
      <c r="GR62">
        <v>42</v>
      </c>
      <c r="GS62">
        <v>41</v>
      </c>
      <c r="GT62">
        <v>1</v>
      </c>
      <c r="GU62" t="s">
        <v>457</v>
      </c>
      <c r="GV62">
        <v>83223788.0964728</v>
      </c>
      <c r="GW62">
        <v>665082440.84578896</v>
      </c>
      <c r="GX62">
        <v>748306228.94226205</v>
      </c>
      <c r="GY62">
        <v>0</v>
      </c>
      <c r="GZ62">
        <v>748306228.94226205</v>
      </c>
      <c r="HA62">
        <v>748306228.94226205</v>
      </c>
      <c r="HB62">
        <v>303000000</v>
      </c>
      <c r="HC62">
        <v>0</v>
      </c>
      <c r="HD62" t="s">
        <v>137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7.0000000000000007E-2</v>
      </c>
      <c r="HX62">
        <v>0.96964931039809399</v>
      </c>
      <c r="HY62">
        <v>1</v>
      </c>
      <c r="HZ62">
        <v>300000</v>
      </c>
      <c r="IA62">
        <v>0</v>
      </c>
      <c r="IB62">
        <v>0</v>
      </c>
      <c r="IC62">
        <v>0</v>
      </c>
      <c r="ID62">
        <v>272700</v>
      </c>
      <c r="IE62">
        <v>572700</v>
      </c>
      <c r="IF62">
        <v>555318.16006498795</v>
      </c>
      <c r="IG62">
        <v>555318.16006498795</v>
      </c>
      <c r="IH62">
        <v>0</v>
      </c>
      <c r="II62">
        <v>5786792.8955485504</v>
      </c>
      <c r="IJ62">
        <v>46555770.859205201</v>
      </c>
      <c r="IK62">
        <v>0</v>
      </c>
      <c r="IL62">
        <v>0</v>
      </c>
      <c r="IM62">
        <v>0</v>
      </c>
      <c r="IN62">
        <v>88455262.831956297</v>
      </c>
      <c r="IO62">
        <v>711638211.70499396</v>
      </c>
      <c r="IP62">
        <v>800093474.53695095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</row>
    <row r="63" spans="2:268" customFormat="1" x14ac:dyDescent="0.25">
      <c r="B63" s="2">
        <f ca="1">OFFSET(tblBaseCF[[#This Row],[Year]],-1,0)+1</f>
        <v>43</v>
      </c>
      <c r="C63" s="2">
        <f ca="1">(tblBaseCF[[#This Row],[Year]]&lt;=term)*1</f>
        <v>1</v>
      </c>
      <c r="D63" s="57">
        <f ca="1">(YEAR(rcd)+tblBaseCF[[#This Row],[Year]]-1)
*tblBaseCF[[#This Row],[PolTermFlag]]</f>
        <v>2067</v>
      </c>
      <c r="E63" s="57">
        <f ca="1">(mainLI_entry_age+tblBaseCF[[#This Row],[Year]]-1)
*tblBaseCF[[#This Row],[PolTermFlag]]</f>
        <v>42</v>
      </c>
      <c r="F63" s="57">
        <f ca="1">IF(tblBaseCF[[#This Row],[Year]]=1,1,OFFSET(tblBaseCF[[#This Row],[DeductFlag]],-1,0))
*tblBaseCF[[#This Row],[PolTermFlag]]</f>
        <v>0</v>
      </c>
      <c r="G6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3" s="57">
        <f ca="1">(tblBaseCF[[#This Row],[Year]]&lt;=acc_ben_term)
*tblBaseCF[[#This Row],[ContFlag]]</f>
        <v>0</v>
      </c>
      <c r="I63" s="57">
        <f ca="1">(tblBaseCF[[#This Row],[Year]]&lt;=tp_term)
*tblBaseCF[[#This Row],[ContFlag]]</f>
        <v>0</v>
      </c>
      <c r="J63" s="57">
        <f ca="1">(tblBaseCF[[#This Row],[Year]]&lt;=ep_term)
*tblBaseCF[[#This Row],[ContFlag]]</f>
        <v>0</v>
      </c>
      <c r="K63" s="57">
        <f ca="1">(tblBaseCF[[#This Row],[Year]]&lt;=em_load_term)*1</f>
        <v>0</v>
      </c>
      <c r="L63" s="57">
        <f ca="1">(tblBaseCF[[#This Row],[Year]]&lt;=pm_load_term)*1</f>
        <v>0</v>
      </c>
      <c r="M63" s="59">
        <f ca="1">IF(tblBaseCF[[#This Row],[Year]]=1,si,OFFSET(tblBaseCF[[#This Row],[EndSI]],-1,0))
*tblBaseCF[[#This Row],[ContFlag]]</f>
        <v>0</v>
      </c>
      <c r="N63" s="59">
        <f ca="1">OFFSET(tblBaseCF[[#This Row],[EndTAV]],-1,0)
*tblBaseCF[[#This Row],[ContFlag]]</f>
        <v>0</v>
      </c>
      <c r="O63" s="59">
        <f ca="1">OFFSET(tblBaseCF[[#This Row],[EndEAV]],-1,0)
*tblBaseCF[[#This Row],[ContFlag]]</f>
        <v>0</v>
      </c>
      <c r="P63" s="60">
        <f ca="1">tblBaseCF[[#This Row],[StartEAV]]+tblBaseCF[[#This Row],[StartTAV]]</f>
        <v>0</v>
      </c>
      <c r="Q63" s="61">
        <f ca="1">IFERROR(INDEX(tblJuvenileLienRate[Rate],MATCH(tblBaseCF[[#This Row],[Age]],tblJuvenileLienRate[Age],0)),1)
*tblBaseCF[[#This Row],[ContFlag]]</f>
        <v>0</v>
      </c>
      <c r="R6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3" s="62">
        <f ca="1">tblBaseCF[[#This Row],[StartSI]]*acc_ben_coeff*tblBaseCF[[#This Row],[JuvenileLienRate]]
*tblBaseCF[[#This Row],[AccBenTermFlag]]</f>
        <v>0</v>
      </c>
      <c r="T63" s="61">
        <f ca="1">(IFERROR(INDEX(tblSurrChrgRate[Rate],MATCH(tblBaseCF[[#This Row],[Year]],tblSurrChrgRate[Year],0)),0)
*tblBaseCF[[#This Row],[ContFlag]])</f>
        <v>0</v>
      </c>
      <c r="U63" s="60">
        <f ca="1">tp*tblBaseCF[[#This Row],[SrrChrgRate]]</f>
        <v>0</v>
      </c>
      <c r="V63" s="63">
        <f ca="1">MAX(tblBaseCF[[#This Row],[StartTAV]]-tblBaseCF[[#This Row],[SVChrg]],0)+tblBaseCF[[#This Row],[StartEAV]]</f>
        <v>0</v>
      </c>
      <c r="W63" s="59">
        <f ca="1">IFERROR(INDEX(tblWithdrawal_Output[Amount],MATCH(tblBaseCF[[#This Row],[Year]],tblWithdrawal_Output[Year],0)),0)
*tblBaseCF[[#This Row],[ContFlag]]</f>
        <v>0</v>
      </c>
      <c r="X63" s="59" t="b">
        <f ca="1">tblBaseCF[[#This Row],[WithdrawalInput]]&gt;0</f>
        <v>0</v>
      </c>
      <c r="Y63" s="59" t="b">
        <f ca="1">AND(tblBaseCF[[#This Row],[1stCheckProceed]],tblBaseCF[[#This Row],[WithdrawalInput]]&lt;=tblBaseCF[[#This Row],[StartPAV]])</f>
        <v>0</v>
      </c>
      <c r="Z63" s="59" t="b">
        <f ca="1">AND(tblBaseCF[[#This Row],[2ndCheckAmount]],(tblBaseCF[[#This Row],[StartPAV]]-tblBaseCF[[#This Row],[WithdrawalInput]])&gt;=min_pav_after_withdrawal)</f>
        <v>0</v>
      </c>
      <c r="AA6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3" s="59" t="b">
        <f ca="1">AND(tblBaseCF[[#This Row],[3rdCheckPAV]],tblBaseCF[[#This Row],[endSITest]]&gt;=min_base_si)</f>
        <v>0</v>
      </c>
      <c r="AC63" s="60">
        <f ca="1">tblBaseCF[[#This Row],[WithdrawalInput]]*tblBaseCF[[#This Row],[4thCheckSI]]</f>
        <v>0</v>
      </c>
      <c r="AD63" s="60">
        <f ca="1">MIN(tblBaseCF[[#This Row],[Withdrawal]],tblBaseCF[[#This Row],[StartEAV]])</f>
        <v>0</v>
      </c>
      <c r="AE63" s="60">
        <f ca="1">tblBaseCF[[#This Row],[Withdrawal]]-tblBaseCF[[#This Row],[EAVWithdrawal]]</f>
        <v>0</v>
      </c>
      <c r="AF63" s="60">
        <f ca="1">IF(tblBaseCF[[#This Row],[4thCheckSI]],tblBaseCF[[#This Row],[endSITest]],tblBaseCF[[#This Row],[StartSI]])</f>
        <v>0</v>
      </c>
      <c r="AG6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3" s="65">
        <f ca="1">IFERROR(INDEX(tblTPAllocChrgRate[Rate],MATCH(tblBaseCF[[#This Row],[Year]],tblTPAllocChrgRate[Year],0)),0)</f>
        <v>0.02</v>
      </c>
      <c r="AI63" s="62">
        <f ca="1">(tp+big_case_bonus_tp*(tblBaseCF[[#This Row],[Year]]=1))
*tblBaseCF[[#This Row],[TPTermFlag]]</f>
        <v>0</v>
      </c>
      <c r="AJ63" s="63">
        <f ca="1">tblBaseCF[[#This Row],[TP]]*tblBaseCF[[#This Row],[TPAllocChrgRate]]</f>
        <v>0</v>
      </c>
      <c r="AK63" s="60">
        <f ca="1">tblBaseCF[[#This Row],[TP]]-tblBaseCF[[#This Row],[TPAllocChrg]]</f>
        <v>0</v>
      </c>
      <c r="AL63" s="65">
        <f ca="1">IFERROR(INDEX(tblEPAllocChrgRate[Rate],MATCH(tblBaseCF[[#This Row],[Year]],tblEPAllocChrgRate[Year],0)),0)</f>
        <v>0.02</v>
      </c>
      <c r="AM63" s="60">
        <f ca="1">ep*tblBaseCF[[#This Row],[EPTermFlag]]</f>
        <v>0</v>
      </c>
      <c r="AN63" s="60">
        <f ca="1">tblBaseCF[[#This Row],[EP]]*tblBaseCF[[#This Row],[EPAllocChrgRate]]</f>
        <v>0</v>
      </c>
      <c r="AO63" s="63">
        <f ca="1">tblBaseCF[[#This Row],[EP]]-tblBaseCF[[#This Row],[EPAllocChrg]]</f>
        <v>0</v>
      </c>
      <c r="AP63" s="62">
        <f ca="1">tblBaseCF[[#This Row],[Ben]]*extra_prem_rate*em_load/1000/(1-tblBaseCF[[#This Row],[EPAllocChrgRate]])
*tblBaseCF[[#This Row],[EMLoadTermFlag]]</f>
        <v>0</v>
      </c>
      <c r="AQ63" s="62">
        <f ca="1">tblBaseCF[[#This Row],[Ben]]*pm_load/1000/(1-tblBaseCF[[#This Row],[EPAllocChrgRate]])
*tblBaseCF[[#This Row],[PMLoadTermFlag]]</f>
        <v>0</v>
      </c>
      <c r="AR63" s="60">
        <f ca="1">ROUNDUP(tblBaseCF[[#This Row],[UnroundedEMLoad]],-3)</f>
        <v>0</v>
      </c>
      <c r="AS63" s="62">
        <f ca="1">ROUNDUP(tblBaseCF[[#This Row],[Ben]]*pm_load/1000/(1-tblBaseCF[[#This Row],[EPAllocChrgRate]]),-3)
*tblBaseCF[[#This Row],[PMLoadTermFlag]]</f>
        <v>0</v>
      </c>
      <c r="AT63" s="60">
        <f ca="1">tblBaseCF[[#This Row],[EMLoad]]+tblBaseCF[[#This Row],[PMLoad]]</f>
        <v>0</v>
      </c>
      <c r="AU63" s="60">
        <f ca="1">tblBaseCF[[#This Row],[Load]]*tblBaseCF[[#This Row],[EPAllocChrgRate]]</f>
        <v>0</v>
      </c>
      <c r="AV63" s="60">
        <f ca="1">tblBaseCF[[#This Row],[Load]]-tblBaseCF[[#This Row],[LoadAllocChrg]]</f>
        <v>0</v>
      </c>
      <c r="AW63" s="60">
        <f ca="1">tblBaseCF[[#This Row],[TP]]+tblBaseCF[[#This Row],[EP]]+tblBaseCF[[#This Row],[Load]]</f>
        <v>0</v>
      </c>
      <c r="AX63" s="60">
        <f ca="1">tblBaseCF[[#This Row],[TPAllocChrg]]+tblBaseCF[[#This Row],[EPAllocChrg]]+tblBaseCF[[#This Row],[LoadAllocChrg]]</f>
        <v>0</v>
      </c>
      <c r="AY63" s="60">
        <f ca="1">tblBaseCF[[#This Row],[TPAlloc]]+tblBaseCF[[#This Row],[EPAlloc]]+tblBaseCF[[#This Row],[LoadAlloc]]</f>
        <v>0</v>
      </c>
      <c r="AZ63" s="60">
        <f ca="1">(OFFSET(tblBaseCF[[#This Row],[AccumTotalPrem]],-1,0)+tblBaseCF[[#This Row],[TotalPrem]])*tblBaseCF[[#This Row],[TPTermFlag]]</f>
        <v>0</v>
      </c>
      <c r="BA63" s="62">
        <f ca="1">(tblBaseCF[[#This Row],[StartTAV]]-tblBaseCF[[#This Row],[TAVWithdrawal]]+tblBaseCF[[#This Row],[TPAlloc]])
*tblBaseCF[[#This Row],[ContFlag]]</f>
        <v>0</v>
      </c>
      <c r="BB63" s="59">
        <f ca="1">(tblBaseCF[[#This Row],[StartEAV]]-tblBaseCF[[#This Row],[EAVWithdrawal]]+tblBaseCF[[#This Row],[EPAlloc]]+tblBaseCF[[#This Row],[LoadAlloc]])
*tblBaseCF[[#This Row],[ContFlag]]</f>
        <v>0</v>
      </c>
      <c r="BC63" s="59">
        <f ca="1">tblBaseCF[[#This Row],[TAVAfterWdrlAlloc]]+tblBaseCF[[#This Row],[EAVAfterWdrlAlloc]]</f>
        <v>0</v>
      </c>
      <c r="BD63" s="66">
        <f t="shared" si="6"/>
        <v>0</v>
      </c>
      <c r="BE63" s="67">
        <f>(1+tblBaseCF[[#This Row],[AnnualIntRate]])^(1/12)-1</f>
        <v>0</v>
      </c>
      <c r="BF63" s="68">
        <f>IFERROR(((1+tblBaseCF[[#This Row],[MonthlyIntRate]])^12-1)/12/(1-1/(1+tblBaseCF[[#This Row],[MonthlyIntRate]])),1)/(1+tblBaseCF[[#This Row],[AnnualIntRate]])</f>
        <v>1</v>
      </c>
      <c r="BG63" s="69">
        <f>PV(tblBaseCF[[#This Row],[MonthlyIntRate]],12,-1/12,,1)</f>
        <v>1</v>
      </c>
      <c r="BH63" s="60">
        <f ca="1">MAX(IF(death_tpd_option="A",tblBaseCF[[#This Row],[Ben]]-tblBaseCF[[#This Row],[StartPAV]],tblBaseCF[[#This Row],[Ben]]),0)</f>
        <v>0</v>
      </c>
      <c r="BI63" s="70">
        <f ca="1">IFERROR(INDEX(tblBaseCOIRate[Rate],MATCH(tblBaseCF[[#This Row],[Age]],tblBaseCOIRate[Age],0)),0)</f>
        <v>2.9799999999999801E-3</v>
      </c>
      <c r="BJ63" s="60">
        <f ca="1">tblBaseCF[[#This Row],[SAR]]*tblBaseCF[[#This Row],[COIRate]]</f>
        <v>0</v>
      </c>
      <c r="BK63" s="62">
        <f ca="1">em_load*tblBaseCF[[#This Row],[pStandardCOI]]
*tblBaseCF[[#This Row],[EMLoadTermFlag]]</f>
        <v>0</v>
      </c>
      <c r="BL63" s="62">
        <f ca="1">pm_load/1000*tblBaseCF[[#This Row],[SAR]]
*tblBaseCF[[#This Row],[PMLoadTermFlag]]</f>
        <v>0</v>
      </c>
      <c r="BM63" s="60">
        <f ca="1">tblBaseCF[[#This Row],[AccBen]]*monthly_acc_coi*12</f>
        <v>0</v>
      </c>
      <c r="BN63" s="60">
        <f ca="1">tblBaseCF[[#This Row],[pStandardCOI]]+tblBaseCF[[#This Row],[pEMLoadCOI]]+tblBaseCF[[#This Row],[pPMLoadCOI]]+tblBaseCF[[#This Row],[pAccCOI]]</f>
        <v>0</v>
      </c>
      <c r="BO63" s="62">
        <f ca="1">IFERROR(INDEX(tblAdminChrg[Amount],MATCH(tblBaseCF[[#This Row],[CalYear]],tblAdminChrg[Cal_Year],0)),0)
*tblBaseCF[[#This Row],[ContFlag]]</f>
        <v>0</v>
      </c>
      <c r="BP63" s="60">
        <f ca="1">tblBaseCF[[#This Row],[pMonthlyAdminChrg]]*12</f>
        <v>0</v>
      </c>
      <c r="BQ63" s="60">
        <f ca="1">tblBaseCF[[#This Row],[pCOI]]+tblBaseCF[[#This Row],[pAdminChrg]]</f>
        <v>0</v>
      </c>
      <c r="BR63" s="60">
        <f ca="1">tblBaseCF[[#This Row],[pNomDeduct]]*tblBaseCF[[#This Row],[Duean1m12]]</f>
        <v>0</v>
      </c>
      <c r="BS63" s="57">
        <f ca="1">(tblBaseCF[[#This Row],[PAVAfterWdrlAlloc]]&gt;=tblBaseCF[[#This Row],[pNomDeduct]])
*tblBaseCF[[#This Row],[ContFlag]]</f>
        <v>0</v>
      </c>
      <c r="BT63" s="60">
        <f ca="1">tblBaseCF[[#This Row],[pStandardCOI]]*tblBaseCF[[#This Row],[DeductFlag]]</f>
        <v>0</v>
      </c>
      <c r="BU63" s="60">
        <f ca="1">tblBaseCF[[#This Row],[pEMLoadCOI]]*tblBaseCF[[#This Row],[DeductFlag]]</f>
        <v>0</v>
      </c>
      <c r="BV63" s="60">
        <f ca="1">tblBaseCF[[#This Row],[pPMLoadCOI]]*tblBaseCF[[#This Row],[DeductFlag]]</f>
        <v>0</v>
      </c>
      <c r="BW63" s="60">
        <f ca="1">tblBaseCF[[#This Row],[pAccCOI]]*tblBaseCF[[#This Row],[DeductFlag]]</f>
        <v>0</v>
      </c>
      <c r="BX63" s="60">
        <f ca="1">tblBaseCF[[#This Row],[pCOI]]*tblBaseCF[[#This Row],[DeductFlag]]</f>
        <v>0</v>
      </c>
      <c r="BY63" s="60">
        <f ca="1">tblBaseCF[[#This Row],[pMonthlyAdminChrg]]*tblBaseCF[[#This Row],[DeductFlag]]</f>
        <v>0</v>
      </c>
      <c r="BZ63" s="60">
        <f ca="1">tblBaseCF[[#This Row],[pAdminChrg]]*tblBaseCF[[#This Row],[DeductFlag]]</f>
        <v>0</v>
      </c>
      <c r="CA63" s="60">
        <f ca="1">tblBaseCF[[#This Row],[pNomDeduct]]*tblBaseCF[[#This Row],[DeductFlag]]</f>
        <v>0</v>
      </c>
      <c r="CB63" s="60">
        <f ca="1">tblBaseCF[[#This Row],[pDeduct]]*tblBaseCF[[#This Row],[DeductFlag]]</f>
        <v>0</v>
      </c>
      <c r="CC63" s="60">
        <f ca="1">MIN(tblBaseCF[[#This Row],[TAVAfterWdrlAlloc]],tblBaseCF[[#This Row],[Deduct]])</f>
        <v>0</v>
      </c>
      <c r="CD63" s="60">
        <f ca="1">tblBaseCF[[#This Row],[Deduct]]-tblBaseCF[[#This Row],[TAVDeduct]]</f>
        <v>0</v>
      </c>
      <c r="CE63" s="69">
        <f ca="1">(tblBaseCF[[#This Row],[TAVAfterWdrlAlloc]]-tblBaseCF[[#This Row],[TAVDeduct]])*tblBaseCF[[#This Row],[AnnualIntRate]]
*tblBaseCF[[#This Row],[DeductFlag]]</f>
        <v>0</v>
      </c>
      <c r="CF63" s="69">
        <f ca="1">(tblBaseCF[[#This Row],[EAVAfterWdrlAlloc]]-tblBaseCF[[#This Row],[EAVDeduct]])*tblBaseCF[[#This Row],[AnnualIntRate]]
*tblBaseCF[[#This Row],[DeductFlag]]</f>
        <v>0</v>
      </c>
      <c r="CG63" s="69">
        <f ca="1">tblBaseCF[[#This Row],[TAVInt]]+tblBaseCF[[#This Row],[EAVInt]]</f>
        <v>0</v>
      </c>
      <c r="CH63" s="62">
        <f ca="1">IFERROR(INDEX(tblLBRate[Rate],MATCH(tblBaseCF[[#This Row],[Year]],tblLBRate[Year],0)),0)
*tblBaseCF[[#This Row],[DeductFlag]]</f>
        <v>0</v>
      </c>
      <c r="CI63" s="60">
        <f ca="1">IFERROR(SUM(OFFSET(tblBaseCF[[#This Row],[TAVWithdrawal]],0,0,-lb_review_period,1)),0)
*(tblBaseCF[[#This Row],[LBRate]]&gt;0)</f>
        <v>0</v>
      </c>
      <c r="CJ63" s="60">
        <f ca="1">(tblBaseCF[[#This Row],[LBRate]]&gt;0)*(tblBaseCF[[#This Row],[LBTAVWithdrawal]]=0)</f>
        <v>0</v>
      </c>
      <c r="CK63" s="62" cm="1">
        <f t="array" aca="1" ref="CK63" ca="1">IF(tblBaseCF[[#This Row],[LBFlag]],
_xlfn.SWITCH(base,
"ILP1",AVERAGE(OFFSET(tblBaseCF[TP],0,0,-lb_review_period,1)),tp),0)
*tblBaseCF[[#This Row],[LBFlag]]</f>
        <v>0</v>
      </c>
      <c r="CL63" s="62">
        <f ca="1">tblBaseCF[[#This Row],[LBBasis]]*tblBaseCF[[#This Row],[LBRate]]</f>
        <v>0</v>
      </c>
      <c r="CM63" s="57" cm="1">
        <f t="array" aca="1" ref="CM63" ca="1">_xlfn.SWITCH(base,
"ILP1",0,($AF163&lt;500000000)*1
+($AF163&gt;=500000000)*($AF163&lt;1000000000)*2
+($AF163&gt;=1000000000)*3)
*tblBaseCF[[#This Row],[DeductFlag]]</f>
        <v>0</v>
      </c>
      <c r="CN63" s="2" t="str">
        <f ca="1">IF(tblBaseCF[[#This Row],[DeductFlag]],base&amp;"_"&amp;tblBaseCF[[#This Row],[SBCode]]&amp;"_"&amp;tblBaseCF[[#This Row],[Year]],"")</f>
        <v/>
      </c>
      <c r="CO63" s="3">
        <f ca="1">IFERROR(INDEX(tblSBRate[Index],MATCH(tblBaseCF[[#This Row],[SBIndex]],tblSBRate[Rate],0)),0)</f>
        <v>0</v>
      </c>
      <c r="CP63" s="63">
        <f ca="1">IFERROR(SUM(OFFSET(tblBaseCF[[#This Row],[TAVWithdrawal]],0,0,-sb_review_period,1)),0)
*(tblBaseCF[[#This Row],[SBRate]]&gt;0)</f>
        <v>0</v>
      </c>
      <c r="CQ63" s="63">
        <f ca="1">(tblBaseCF[[#This Row],[SBRate]]&gt;0)*(tblBaseCF[[#This Row],[SBTAVWithdrawal]]=0)</f>
        <v>0</v>
      </c>
      <c r="CR63" s="59" cm="1">
        <f t="array" aca="1" ref="CR63" ca="1">IF(tblBaseCF[[#This Row],[LBFlag]],
_xlfn.SWITCH(base,
"ILP1",0,tp),0)*tblBaseCF[[#This Row],[SBFlag]]</f>
        <v>0</v>
      </c>
      <c r="CS63" s="63">
        <f ca="1">tblBaseCF[[#This Row],[SBBasis]]*tblBaseCF[[#This Row],[SBRate]]</f>
        <v>0</v>
      </c>
      <c r="CT63" s="63">
        <f ca="1">tblBaseCF[[#This Row],[LB]]+tblBaseCF[[#This Row],[SB]]</f>
        <v>0</v>
      </c>
      <c r="CU63" s="59">
        <f ca="1">tblBaseCF[[#This Row],[TAVAfterWdrlAlloc]]-tblBaseCF[[#This Row],[TAVDeduct]]+tblBaseCF[[#This Row],[TAVInt]]+tblBaseCF[[#This Row],[Bonus]]</f>
        <v>0</v>
      </c>
      <c r="CV63" s="59">
        <f ca="1">tblBaseCF[[#This Row],[EAVAfterWdrlAlloc]]-tblBaseCF[[#This Row],[EAVDeduct]]+tblBaseCF[[#This Row],[EAVInt]]</f>
        <v>0</v>
      </c>
      <c r="CW63" s="63">
        <f ca="1">tblBaseCF[[#This Row],[EndTAV]]+tblBaseCF[[#This Row],[EndEAV]]</f>
        <v>0</v>
      </c>
      <c r="CX63" s="59">
        <f ca="1">INDEX(tblPlanPrem[TP],2)
*tblBaseCF[[#This Row],[TPTermFlag]]</f>
        <v>0</v>
      </c>
      <c r="CY63" s="59">
        <f ca="1">INDEX(tblPlanPrem[EP],2)
*tblBaseCF[[#This Row],[TPTermFlag]]</f>
        <v>0</v>
      </c>
      <c r="CZ63" s="63">
        <f ca="1">ROUNDUP(tblBaseCF[[#This Row],[UnroundedEMLoad]]*INDEX(tblPlanPrem[Factor],2),-3)</f>
        <v>0</v>
      </c>
      <c r="DA63" s="63">
        <f ca="1">ROUNDUP(tblBaseCF[[#This Row],[UnroundedPMLoad]]*INDEX(tblPlanPrem[Factor],2),-3)</f>
        <v>0</v>
      </c>
      <c r="DB63" s="63">
        <f ca="1">tblBaseCF[[#This Row],[SemiAnnualEMLoad]]+tblBaseCF[[#This Row],[SemiAnnualPMLoad]]</f>
        <v>0</v>
      </c>
      <c r="DC63" s="63">
        <f ca="1">tblBaseCF[[#This Row],[SemiAnnualTP]]+tblBaseCF[[#This Row],[SemiAnnualEP]]+tblBaseCF[[#This Row],[SemiAnnualLoad]]</f>
        <v>0</v>
      </c>
      <c r="DD63" s="59">
        <f ca="1">INDEX(tblPlanPrem[TP],3)
*tblBaseCF[[#This Row],[TPTermFlag]]</f>
        <v>0</v>
      </c>
      <c r="DE63" s="59">
        <f ca="1">INDEX(tblPlanPrem[EP],3)
*tblBaseCF[[#This Row],[TPTermFlag]]</f>
        <v>0</v>
      </c>
      <c r="DF63" s="63">
        <f ca="1">ROUNDUP(tblBaseCF[[#This Row],[UnroundedEMLoad]]*INDEX(tblPlanPrem[Factor],3),-3)</f>
        <v>0</v>
      </c>
      <c r="DG63" s="63">
        <f ca="1">ROUNDUP(tblBaseCF[[#This Row],[UnroundedPMLoad]]*INDEX(tblPlanPrem[Factor],3),-3)</f>
        <v>0</v>
      </c>
      <c r="DH63" s="60">
        <f ca="1">tblBaseCF[[#This Row],[QuarterlyEMLoad]]+tblBaseCF[[#This Row],[QuarterlyPMLoad]]</f>
        <v>0</v>
      </c>
      <c r="DI63" s="60">
        <f ca="1">tblBaseCF[[#This Row],[QuarterlyTP]]+tblBaseCF[[#This Row],[QuarterlyEP]]+tblBaseCF[[#This Row],[QuarterlyLoad]]</f>
        <v>0</v>
      </c>
      <c r="DJ63" s="59">
        <f ca="1">INDEX(tblPlanPrem[TP],4)
*tblBaseCF[[#This Row],[TPTermFlag]]</f>
        <v>0</v>
      </c>
      <c r="DK63" s="59">
        <f ca="1">INDEX(tblPlanPrem[EP],4)
*tblBaseCF[[#This Row],[TPTermFlag]]</f>
        <v>0</v>
      </c>
      <c r="DL63" s="63">
        <f ca="1">ROUNDUP(tblBaseCF[[#This Row],[UnroundedEMLoad]]*INDEX(tblPlanPrem[Factor],4),-3)</f>
        <v>0</v>
      </c>
      <c r="DM63" s="63">
        <f ca="1">ROUNDUP(tblBaseCF[[#This Row],[UnroundedPMLoad]]*INDEX(tblPlanPrem[Factor],4),-3)</f>
        <v>0</v>
      </c>
      <c r="DN63" s="60">
        <f ca="1">tblBaseCF[[#This Row],[MonthlyEMLoad]]+tblBaseCF[[#This Row],[MonthlyPMLoad]]</f>
        <v>0</v>
      </c>
      <c r="DO63" s="63">
        <f ca="1">tblBaseCF[[#This Row],[MonthlyTP]]+tblBaseCF[[#This Row],[MonthlyEP]]+tblBaseCF[[#This Row],[MonthlyLoad]]</f>
        <v>0</v>
      </c>
      <c r="DP63" s="3"/>
      <c r="DS63">
        <f t="shared" si="7"/>
        <v>0</v>
      </c>
      <c r="DT63">
        <f t="shared" si="8"/>
        <v>0</v>
      </c>
      <c r="DU63">
        <f t="shared" si="9"/>
        <v>0</v>
      </c>
      <c r="DV63">
        <f ca="1">tblBaseCF[[#This Row],[Year]]</f>
        <v>43</v>
      </c>
      <c r="DW63">
        <f ca="1">tblBaseCF[[#This Row],[Age]]</f>
        <v>42</v>
      </c>
      <c r="DX63">
        <f ca="1">tblBaseCF[[#This Row],[ContFlag]]</f>
        <v>0</v>
      </c>
      <c r="DY63" t="str">
        <f ca="1">tblBaseCF[[#This Row],[ContLog]]</f>
        <v>Insufficient PAV for deduction - Discontinue.</v>
      </c>
      <c r="DZ63">
        <f ca="1">tblBaseCF[[#This Row],[StartTAV]]</f>
        <v>0</v>
      </c>
      <c r="EA63">
        <f ca="1">tblBaseCF[[#This Row],[StartEAV]]</f>
        <v>0</v>
      </c>
      <c r="EB63">
        <f ca="1">tblBaseCF[[#This Row],[StartPAV]]</f>
        <v>0</v>
      </c>
      <c r="EC63">
        <f ca="1">tblBaseCF[[#This Row],[SVChrg]]</f>
        <v>0</v>
      </c>
      <c r="ED63">
        <f ca="1">tblBaseCF[[#This Row],[SV]]</f>
        <v>0</v>
      </c>
      <c r="EE63">
        <f ca="1">tblBaseCF[[#This Row],[Ben]]</f>
        <v>0</v>
      </c>
      <c r="EF63">
        <f ca="1">tblBaseCF[[#This Row],[AccBen]]</f>
        <v>0</v>
      </c>
      <c r="EG63">
        <f ca="1">tblBaseCF[[#This Row],[WithdrawalInput]]</f>
        <v>0</v>
      </c>
      <c r="EH63" t="str">
        <f ca="1">tblBaseCF[[#This Row],[WithdrawalLog]]</f>
        <v>No withdrawal.</v>
      </c>
      <c r="EI63">
        <f ca="1">tblBaseCF[[#This Row],[TAVWithdrawal]]</f>
        <v>0</v>
      </c>
      <c r="EJ63">
        <f ca="1">tblBaseCF[[#This Row],[EAVWithdrawal]]</f>
        <v>0</v>
      </c>
      <c r="EK63">
        <f ca="1">tblBaseCF[[#This Row],[Withdrawal]]</f>
        <v>0</v>
      </c>
      <c r="EL63">
        <f ca="1">tblBaseCF[[#This Row],[TP]]</f>
        <v>0</v>
      </c>
      <c r="EM63">
        <f ca="1">tblBaseCF[[#This Row],[TPAllocChrg]]</f>
        <v>0</v>
      </c>
      <c r="EN63">
        <f ca="1">tblBaseCF[[#This Row],[TPAlloc]]</f>
        <v>0</v>
      </c>
      <c r="EO63">
        <f ca="1">tblBaseCF[[#This Row],[EP]]</f>
        <v>0</v>
      </c>
      <c r="EP63">
        <f ca="1">tblBaseCF[[#This Row],[EPAllocChrg]]</f>
        <v>0</v>
      </c>
      <c r="EQ63">
        <f ca="1">tblBaseCF[[#This Row],[EPAlloc]]</f>
        <v>0</v>
      </c>
      <c r="ER63">
        <f ca="1">tblBaseCF[[#This Row],[EMLoad]]</f>
        <v>0</v>
      </c>
      <c r="ES63">
        <f ca="1">tblBaseCF[[#This Row],[PMLoad]]</f>
        <v>0</v>
      </c>
      <c r="ET63">
        <f ca="1">tblBaseCF[[#This Row],[Load]]</f>
        <v>0</v>
      </c>
      <c r="EU63">
        <f ca="1">tblBaseCF[[#This Row],[LoadAllocChrg]]</f>
        <v>0</v>
      </c>
      <c r="EV63">
        <f ca="1">tblBaseCF[[#This Row],[LoadAlloc]]</f>
        <v>0</v>
      </c>
      <c r="EW63">
        <f ca="1">tblBaseCF[[#This Row],[TotalPrem]]</f>
        <v>0</v>
      </c>
      <c r="EX63">
        <f ca="1">tblBaseCF[[#This Row],[AllocChrg]]</f>
        <v>0</v>
      </c>
      <c r="EY63">
        <f ca="1">tblBaseCF[[#This Row],[Alloc]]</f>
        <v>0</v>
      </c>
      <c r="EZ63">
        <f ca="1">tblBaseCF[[#This Row],[AccumTotalPrem]]</f>
        <v>0</v>
      </c>
      <c r="FA63">
        <f>tblBaseCF[[#This Row],[AnnualIntRate]]</f>
        <v>0</v>
      </c>
      <c r="FB63" s="50">
        <f>tblBaseCF[[#This Row],[Duean1m12]]</f>
        <v>1</v>
      </c>
      <c r="FC63">
        <f ca="1">tblBaseCF[[#This Row],[DeductFlag]]</f>
        <v>0</v>
      </c>
      <c r="FD63">
        <f ca="1">tblBaseCF[[#This Row],[AdminChrg]]</f>
        <v>0</v>
      </c>
      <c r="FE63">
        <f ca="1">tblBaseCF[[#This Row],[StandardCOI]]</f>
        <v>0</v>
      </c>
      <c r="FF63">
        <f ca="1">tblBaseCF[[#This Row],[EMLoadCOI]]</f>
        <v>0</v>
      </c>
      <c r="FG63">
        <f ca="1">tblBaseCF[[#This Row],[PMLoadCOI]]</f>
        <v>0</v>
      </c>
      <c r="FH63">
        <f ca="1">tblBaseCF[[#This Row],[COI]]</f>
        <v>0</v>
      </c>
      <c r="FI63" s="47">
        <f ca="1">tblBaseCF[[#This Row],[NomDeduct]]</f>
        <v>0</v>
      </c>
      <c r="FJ63">
        <f ca="1">tblBaseCF[[#This Row],[Deduct]]</f>
        <v>0</v>
      </c>
      <c r="FK63">
        <f ca="1">tblBaseCF[[#This Row],[TAVDeduct]]</f>
        <v>0</v>
      </c>
      <c r="FL63">
        <f ca="1">tblBaseCF[[#This Row],[EAVDeduct]]</f>
        <v>0</v>
      </c>
      <c r="FM63" s="24">
        <f ca="1">tblBaseCF[[#This Row],[TAVInt]]</f>
        <v>0</v>
      </c>
      <c r="FN63">
        <f ca="1">tblBaseCF[[#This Row],[EAVInt]]</f>
        <v>0</v>
      </c>
      <c r="FO63" s="47">
        <f ca="1">tblBaseCF[[#This Row],[LB]]</f>
        <v>0</v>
      </c>
      <c r="FP63">
        <f ca="1">tblBaseCF[[#This Row],[SB]]</f>
        <v>0</v>
      </c>
      <c r="FQ63">
        <f ca="1">tblBaseCF[[#This Row],[Bonus]]</f>
        <v>0</v>
      </c>
      <c r="FR63">
        <f ca="1">tblBaseCF[[#This Row],[EndTAV]]</f>
        <v>0</v>
      </c>
      <c r="FS63">
        <f ca="1">tblBaseCF[[#This Row],[EndEAV]]</f>
        <v>0</v>
      </c>
      <c r="FT63">
        <f ca="1">tblBaseCF[[#This Row],[EndPAV]]</f>
        <v>0</v>
      </c>
      <c r="FU63">
        <f ca="1">tblBaseCF[[#This Row],[SemiAnnualTP]]</f>
        <v>0</v>
      </c>
      <c r="FV63">
        <f ca="1">tblBaseCF[[#This Row],[SemiAnnualEP]]</f>
        <v>0</v>
      </c>
      <c r="FW63">
        <f ca="1">tblBaseCF[[#This Row],[SemiAnnualEMLoad]]</f>
        <v>0</v>
      </c>
      <c r="FX63">
        <f ca="1">tblBaseCF[[#This Row],[SemiAnnualPMLoad]]</f>
        <v>0</v>
      </c>
      <c r="FY63">
        <f ca="1">tblBaseCF[[#This Row],[SemiAnnualLoad]]</f>
        <v>0</v>
      </c>
      <c r="FZ63">
        <f ca="1">tblBaseCF[[#This Row],[SemiAnnualTotalPrem]]</f>
        <v>0</v>
      </c>
      <c r="GA63">
        <f ca="1">tblBaseCF[[#This Row],[QuarterlyTP]]</f>
        <v>0</v>
      </c>
      <c r="GB63">
        <f ca="1">tblBaseCF[[#This Row],[QuarterlyEP]]</f>
        <v>0</v>
      </c>
      <c r="GC63">
        <f ca="1">tblBaseCF[[#This Row],[QuarterlyEMLoad]]</f>
        <v>0</v>
      </c>
      <c r="GD63">
        <f ca="1">tblBaseCF[[#This Row],[QuarterlyPMLoad]]</f>
        <v>0</v>
      </c>
      <c r="GE63">
        <f ca="1">tblBaseCF[[#This Row],[QuarterlyLoad]]</f>
        <v>0</v>
      </c>
      <c r="GF63">
        <f ca="1">tblBaseCF[[#This Row],[QuarterlyTotalPrem]]</f>
        <v>0</v>
      </c>
      <c r="GG63">
        <f ca="1">tblBaseCF[[#This Row],[MonthlyTP]]</f>
        <v>0</v>
      </c>
      <c r="GH63">
        <f ca="1">tblBaseCF[[#This Row],[MonthlyEP]]</f>
        <v>0</v>
      </c>
      <c r="GI63">
        <f ca="1">tblBaseCF[[#This Row],[MonthlyEMLoad]]</f>
        <v>0</v>
      </c>
      <c r="GJ63">
        <f ca="1">tblBaseCF[[#This Row],[MonthlyPMLoad]]</f>
        <v>0</v>
      </c>
      <c r="GK63">
        <f ca="1">tblBaseCF[[#This Row],[MonthlyLoad]]</f>
        <v>0</v>
      </c>
      <c r="GL63">
        <f ca="1">tblBaseCF[[#This Row],[MonthlyTotalPrem]]</f>
        <v>0</v>
      </c>
      <c r="GO63" t="s">
        <v>134</v>
      </c>
      <c r="GP63" t="s">
        <v>135</v>
      </c>
      <c r="GQ63" t="s">
        <v>502</v>
      </c>
      <c r="GR63">
        <v>43</v>
      </c>
      <c r="GS63">
        <v>42</v>
      </c>
      <c r="GT63">
        <v>1</v>
      </c>
      <c r="GU63" t="s">
        <v>457</v>
      </c>
      <c r="GV63">
        <v>88455262.831956297</v>
      </c>
      <c r="GW63">
        <v>711638211.70499396</v>
      </c>
      <c r="GX63">
        <v>800093474.53695095</v>
      </c>
      <c r="GY63">
        <v>0</v>
      </c>
      <c r="GZ63">
        <v>800093474.53695095</v>
      </c>
      <c r="HA63">
        <v>800093474.53695095</v>
      </c>
      <c r="HB63">
        <v>303000000</v>
      </c>
      <c r="HC63">
        <v>0</v>
      </c>
      <c r="HD63" t="s">
        <v>137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7.0000000000000007E-2</v>
      </c>
      <c r="HX63">
        <v>0.96964931039809399</v>
      </c>
      <c r="HY63">
        <v>1</v>
      </c>
      <c r="HZ63">
        <v>300000</v>
      </c>
      <c r="IA63">
        <v>0</v>
      </c>
      <c r="IB63">
        <v>0</v>
      </c>
      <c r="IC63">
        <v>0</v>
      </c>
      <c r="ID63">
        <v>272700</v>
      </c>
      <c r="IE63">
        <v>572700</v>
      </c>
      <c r="IF63">
        <v>555318.16006498795</v>
      </c>
      <c r="IG63">
        <v>555318.16006498795</v>
      </c>
      <c r="IH63">
        <v>0</v>
      </c>
      <c r="II63">
        <v>6152996.1270323899</v>
      </c>
      <c r="IJ63">
        <v>49814674.819349602</v>
      </c>
      <c r="IK63">
        <v>0</v>
      </c>
      <c r="IL63">
        <v>0</v>
      </c>
      <c r="IM63">
        <v>0</v>
      </c>
      <c r="IN63">
        <v>94052940.798923701</v>
      </c>
      <c r="IO63">
        <v>761452886.52434397</v>
      </c>
      <c r="IP63">
        <v>855505827.32326806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</row>
    <row r="64" spans="2:268" customFormat="1" x14ac:dyDescent="0.25">
      <c r="B64" s="2">
        <f ca="1">OFFSET(tblBaseCF[[#This Row],[Year]],-1,0)+1</f>
        <v>44</v>
      </c>
      <c r="C64" s="2">
        <f ca="1">(tblBaseCF[[#This Row],[Year]]&lt;=term)*1</f>
        <v>1</v>
      </c>
      <c r="D64" s="57">
        <f ca="1">(YEAR(rcd)+tblBaseCF[[#This Row],[Year]]-1)
*tblBaseCF[[#This Row],[PolTermFlag]]</f>
        <v>2068</v>
      </c>
      <c r="E64" s="57">
        <f ca="1">(mainLI_entry_age+tblBaseCF[[#This Row],[Year]]-1)
*tblBaseCF[[#This Row],[PolTermFlag]]</f>
        <v>43</v>
      </c>
      <c r="F64" s="57">
        <f ca="1">IF(tblBaseCF[[#This Row],[Year]]=1,1,OFFSET(tblBaseCF[[#This Row],[DeductFlag]],-1,0))
*tblBaseCF[[#This Row],[PolTermFlag]]</f>
        <v>0</v>
      </c>
      <c r="G6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4" s="57">
        <f ca="1">(tblBaseCF[[#This Row],[Year]]&lt;=acc_ben_term)
*tblBaseCF[[#This Row],[ContFlag]]</f>
        <v>0</v>
      </c>
      <c r="I64" s="57">
        <f ca="1">(tblBaseCF[[#This Row],[Year]]&lt;=tp_term)
*tblBaseCF[[#This Row],[ContFlag]]</f>
        <v>0</v>
      </c>
      <c r="J64" s="57">
        <f ca="1">(tblBaseCF[[#This Row],[Year]]&lt;=ep_term)
*tblBaseCF[[#This Row],[ContFlag]]</f>
        <v>0</v>
      </c>
      <c r="K64" s="57">
        <f ca="1">(tblBaseCF[[#This Row],[Year]]&lt;=em_load_term)*1</f>
        <v>0</v>
      </c>
      <c r="L64" s="57">
        <f ca="1">(tblBaseCF[[#This Row],[Year]]&lt;=pm_load_term)*1</f>
        <v>0</v>
      </c>
      <c r="M64" s="59">
        <f ca="1">IF(tblBaseCF[[#This Row],[Year]]=1,si,OFFSET(tblBaseCF[[#This Row],[EndSI]],-1,0))
*tblBaseCF[[#This Row],[ContFlag]]</f>
        <v>0</v>
      </c>
      <c r="N64" s="59">
        <f ca="1">OFFSET(tblBaseCF[[#This Row],[EndTAV]],-1,0)
*tblBaseCF[[#This Row],[ContFlag]]</f>
        <v>0</v>
      </c>
      <c r="O64" s="59">
        <f ca="1">OFFSET(tblBaseCF[[#This Row],[EndEAV]],-1,0)
*tblBaseCF[[#This Row],[ContFlag]]</f>
        <v>0</v>
      </c>
      <c r="P64" s="60">
        <f ca="1">tblBaseCF[[#This Row],[StartEAV]]+tblBaseCF[[#This Row],[StartTAV]]</f>
        <v>0</v>
      </c>
      <c r="Q64" s="61">
        <f ca="1">IFERROR(INDEX(tblJuvenileLienRate[Rate],MATCH(tblBaseCF[[#This Row],[Age]],tblJuvenileLienRate[Age],0)),1)
*tblBaseCF[[#This Row],[ContFlag]]</f>
        <v>0</v>
      </c>
      <c r="R6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4" s="62">
        <f ca="1">tblBaseCF[[#This Row],[StartSI]]*acc_ben_coeff*tblBaseCF[[#This Row],[JuvenileLienRate]]
*tblBaseCF[[#This Row],[AccBenTermFlag]]</f>
        <v>0</v>
      </c>
      <c r="T64" s="61">
        <f ca="1">(IFERROR(INDEX(tblSurrChrgRate[Rate],MATCH(tblBaseCF[[#This Row],[Year]],tblSurrChrgRate[Year],0)),0)
*tblBaseCF[[#This Row],[ContFlag]])</f>
        <v>0</v>
      </c>
      <c r="U64" s="60">
        <f ca="1">tp*tblBaseCF[[#This Row],[SrrChrgRate]]</f>
        <v>0</v>
      </c>
      <c r="V64" s="63">
        <f ca="1">MAX(tblBaseCF[[#This Row],[StartTAV]]-tblBaseCF[[#This Row],[SVChrg]],0)+tblBaseCF[[#This Row],[StartEAV]]</f>
        <v>0</v>
      </c>
      <c r="W64" s="59">
        <f ca="1">IFERROR(INDEX(tblWithdrawal_Output[Amount],MATCH(tblBaseCF[[#This Row],[Year]],tblWithdrawal_Output[Year],0)),0)
*tblBaseCF[[#This Row],[ContFlag]]</f>
        <v>0</v>
      </c>
      <c r="X64" s="59" t="b">
        <f ca="1">tblBaseCF[[#This Row],[WithdrawalInput]]&gt;0</f>
        <v>0</v>
      </c>
      <c r="Y64" s="59" t="b">
        <f ca="1">AND(tblBaseCF[[#This Row],[1stCheckProceed]],tblBaseCF[[#This Row],[WithdrawalInput]]&lt;=tblBaseCF[[#This Row],[StartPAV]])</f>
        <v>0</v>
      </c>
      <c r="Z64" s="59" t="b">
        <f ca="1">AND(tblBaseCF[[#This Row],[2ndCheckAmount]],(tblBaseCF[[#This Row],[StartPAV]]-tblBaseCF[[#This Row],[WithdrawalInput]])&gt;=min_pav_after_withdrawal)</f>
        <v>0</v>
      </c>
      <c r="AA6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4" s="59" t="b">
        <f ca="1">AND(tblBaseCF[[#This Row],[3rdCheckPAV]],tblBaseCF[[#This Row],[endSITest]]&gt;=min_base_si)</f>
        <v>0</v>
      </c>
      <c r="AC64" s="60">
        <f ca="1">tblBaseCF[[#This Row],[WithdrawalInput]]*tblBaseCF[[#This Row],[4thCheckSI]]</f>
        <v>0</v>
      </c>
      <c r="AD64" s="60">
        <f ca="1">MIN(tblBaseCF[[#This Row],[Withdrawal]],tblBaseCF[[#This Row],[StartEAV]])</f>
        <v>0</v>
      </c>
      <c r="AE64" s="60">
        <f ca="1">tblBaseCF[[#This Row],[Withdrawal]]-tblBaseCF[[#This Row],[EAVWithdrawal]]</f>
        <v>0</v>
      </c>
      <c r="AF64" s="60">
        <f ca="1">IF(tblBaseCF[[#This Row],[4thCheckSI]],tblBaseCF[[#This Row],[endSITest]],tblBaseCF[[#This Row],[StartSI]])</f>
        <v>0</v>
      </c>
      <c r="AG6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4" s="65">
        <f ca="1">IFERROR(INDEX(tblTPAllocChrgRate[Rate],MATCH(tblBaseCF[[#This Row],[Year]],tblTPAllocChrgRate[Year],0)),0)</f>
        <v>0.02</v>
      </c>
      <c r="AI64" s="62">
        <f ca="1">(tp+big_case_bonus_tp*(tblBaseCF[[#This Row],[Year]]=1))
*tblBaseCF[[#This Row],[TPTermFlag]]</f>
        <v>0</v>
      </c>
      <c r="AJ64" s="63">
        <f ca="1">tblBaseCF[[#This Row],[TP]]*tblBaseCF[[#This Row],[TPAllocChrgRate]]</f>
        <v>0</v>
      </c>
      <c r="AK64" s="60">
        <f ca="1">tblBaseCF[[#This Row],[TP]]-tblBaseCF[[#This Row],[TPAllocChrg]]</f>
        <v>0</v>
      </c>
      <c r="AL64" s="65">
        <f ca="1">IFERROR(INDEX(tblEPAllocChrgRate[Rate],MATCH(tblBaseCF[[#This Row],[Year]],tblEPAllocChrgRate[Year],0)),0)</f>
        <v>0.02</v>
      </c>
      <c r="AM64" s="60">
        <f ca="1">ep*tblBaseCF[[#This Row],[EPTermFlag]]</f>
        <v>0</v>
      </c>
      <c r="AN64" s="60">
        <f ca="1">tblBaseCF[[#This Row],[EP]]*tblBaseCF[[#This Row],[EPAllocChrgRate]]</f>
        <v>0</v>
      </c>
      <c r="AO64" s="63">
        <f ca="1">tblBaseCF[[#This Row],[EP]]-tblBaseCF[[#This Row],[EPAllocChrg]]</f>
        <v>0</v>
      </c>
      <c r="AP64" s="62">
        <f ca="1">tblBaseCF[[#This Row],[Ben]]*extra_prem_rate*em_load/1000/(1-tblBaseCF[[#This Row],[EPAllocChrgRate]])
*tblBaseCF[[#This Row],[EMLoadTermFlag]]</f>
        <v>0</v>
      </c>
      <c r="AQ64" s="62">
        <f ca="1">tblBaseCF[[#This Row],[Ben]]*pm_load/1000/(1-tblBaseCF[[#This Row],[EPAllocChrgRate]])
*tblBaseCF[[#This Row],[PMLoadTermFlag]]</f>
        <v>0</v>
      </c>
      <c r="AR64" s="60">
        <f ca="1">ROUNDUP(tblBaseCF[[#This Row],[UnroundedEMLoad]],-3)</f>
        <v>0</v>
      </c>
      <c r="AS64" s="62">
        <f ca="1">ROUNDUP(tblBaseCF[[#This Row],[Ben]]*pm_load/1000/(1-tblBaseCF[[#This Row],[EPAllocChrgRate]]),-3)
*tblBaseCF[[#This Row],[PMLoadTermFlag]]</f>
        <v>0</v>
      </c>
      <c r="AT64" s="60">
        <f ca="1">tblBaseCF[[#This Row],[EMLoad]]+tblBaseCF[[#This Row],[PMLoad]]</f>
        <v>0</v>
      </c>
      <c r="AU64" s="60">
        <f ca="1">tblBaseCF[[#This Row],[Load]]*tblBaseCF[[#This Row],[EPAllocChrgRate]]</f>
        <v>0</v>
      </c>
      <c r="AV64" s="60">
        <f ca="1">tblBaseCF[[#This Row],[Load]]-tblBaseCF[[#This Row],[LoadAllocChrg]]</f>
        <v>0</v>
      </c>
      <c r="AW64" s="60">
        <f ca="1">tblBaseCF[[#This Row],[TP]]+tblBaseCF[[#This Row],[EP]]+tblBaseCF[[#This Row],[Load]]</f>
        <v>0</v>
      </c>
      <c r="AX64" s="60">
        <f ca="1">tblBaseCF[[#This Row],[TPAllocChrg]]+tblBaseCF[[#This Row],[EPAllocChrg]]+tblBaseCF[[#This Row],[LoadAllocChrg]]</f>
        <v>0</v>
      </c>
      <c r="AY64" s="60">
        <f ca="1">tblBaseCF[[#This Row],[TPAlloc]]+tblBaseCF[[#This Row],[EPAlloc]]+tblBaseCF[[#This Row],[LoadAlloc]]</f>
        <v>0</v>
      </c>
      <c r="AZ64" s="60">
        <f ca="1">(OFFSET(tblBaseCF[[#This Row],[AccumTotalPrem]],-1,0)+tblBaseCF[[#This Row],[TotalPrem]])*tblBaseCF[[#This Row],[TPTermFlag]]</f>
        <v>0</v>
      </c>
      <c r="BA64" s="62">
        <f ca="1">(tblBaseCF[[#This Row],[StartTAV]]-tblBaseCF[[#This Row],[TAVWithdrawal]]+tblBaseCF[[#This Row],[TPAlloc]])
*tblBaseCF[[#This Row],[ContFlag]]</f>
        <v>0</v>
      </c>
      <c r="BB64" s="59">
        <f ca="1">(tblBaseCF[[#This Row],[StartEAV]]-tblBaseCF[[#This Row],[EAVWithdrawal]]+tblBaseCF[[#This Row],[EPAlloc]]+tblBaseCF[[#This Row],[LoadAlloc]])
*tblBaseCF[[#This Row],[ContFlag]]</f>
        <v>0</v>
      </c>
      <c r="BC64" s="59">
        <f ca="1">tblBaseCF[[#This Row],[TAVAfterWdrlAlloc]]+tblBaseCF[[#This Row],[EAVAfterWdrlAlloc]]</f>
        <v>0</v>
      </c>
      <c r="BD64" s="66">
        <f t="shared" si="6"/>
        <v>0</v>
      </c>
      <c r="BE64" s="67">
        <f>(1+tblBaseCF[[#This Row],[AnnualIntRate]])^(1/12)-1</f>
        <v>0</v>
      </c>
      <c r="BF64" s="68">
        <f>IFERROR(((1+tblBaseCF[[#This Row],[MonthlyIntRate]])^12-1)/12/(1-1/(1+tblBaseCF[[#This Row],[MonthlyIntRate]])),1)/(1+tblBaseCF[[#This Row],[AnnualIntRate]])</f>
        <v>1</v>
      </c>
      <c r="BG64" s="69">
        <f>PV(tblBaseCF[[#This Row],[MonthlyIntRate]],12,-1/12,,1)</f>
        <v>1</v>
      </c>
      <c r="BH64" s="60">
        <f ca="1">MAX(IF(death_tpd_option="A",tblBaseCF[[#This Row],[Ben]]-tblBaseCF[[#This Row],[StartPAV]],tblBaseCF[[#This Row],[Ben]]),0)</f>
        <v>0</v>
      </c>
      <c r="BI64" s="70">
        <f ca="1">IFERROR(INDEX(tblBaseCOIRate[Rate],MATCH(tblBaseCF[[#This Row],[Age]],tblBaseCOIRate[Age],0)),0)</f>
        <v>3.1999999999999802E-3</v>
      </c>
      <c r="BJ64" s="60">
        <f ca="1">tblBaseCF[[#This Row],[SAR]]*tblBaseCF[[#This Row],[COIRate]]</f>
        <v>0</v>
      </c>
      <c r="BK64" s="62">
        <f ca="1">em_load*tblBaseCF[[#This Row],[pStandardCOI]]
*tblBaseCF[[#This Row],[EMLoadTermFlag]]</f>
        <v>0</v>
      </c>
      <c r="BL64" s="62">
        <f ca="1">pm_load/1000*tblBaseCF[[#This Row],[SAR]]
*tblBaseCF[[#This Row],[PMLoadTermFlag]]</f>
        <v>0</v>
      </c>
      <c r="BM64" s="60">
        <f ca="1">tblBaseCF[[#This Row],[AccBen]]*monthly_acc_coi*12</f>
        <v>0</v>
      </c>
      <c r="BN64" s="60">
        <f ca="1">tblBaseCF[[#This Row],[pStandardCOI]]+tblBaseCF[[#This Row],[pEMLoadCOI]]+tblBaseCF[[#This Row],[pPMLoadCOI]]+tblBaseCF[[#This Row],[pAccCOI]]</f>
        <v>0</v>
      </c>
      <c r="BO64" s="62">
        <f ca="1">IFERROR(INDEX(tblAdminChrg[Amount],MATCH(tblBaseCF[[#This Row],[CalYear]],tblAdminChrg[Cal_Year],0)),0)
*tblBaseCF[[#This Row],[ContFlag]]</f>
        <v>0</v>
      </c>
      <c r="BP64" s="60">
        <f ca="1">tblBaseCF[[#This Row],[pMonthlyAdminChrg]]*12</f>
        <v>0</v>
      </c>
      <c r="BQ64" s="60">
        <f ca="1">tblBaseCF[[#This Row],[pCOI]]+tblBaseCF[[#This Row],[pAdminChrg]]</f>
        <v>0</v>
      </c>
      <c r="BR64" s="60">
        <f ca="1">tblBaseCF[[#This Row],[pNomDeduct]]*tblBaseCF[[#This Row],[Duean1m12]]</f>
        <v>0</v>
      </c>
      <c r="BS64" s="57">
        <f ca="1">(tblBaseCF[[#This Row],[PAVAfterWdrlAlloc]]&gt;=tblBaseCF[[#This Row],[pNomDeduct]])
*tblBaseCF[[#This Row],[ContFlag]]</f>
        <v>0</v>
      </c>
      <c r="BT64" s="60">
        <f ca="1">tblBaseCF[[#This Row],[pStandardCOI]]*tblBaseCF[[#This Row],[DeductFlag]]</f>
        <v>0</v>
      </c>
      <c r="BU64" s="60">
        <f ca="1">tblBaseCF[[#This Row],[pEMLoadCOI]]*tblBaseCF[[#This Row],[DeductFlag]]</f>
        <v>0</v>
      </c>
      <c r="BV64" s="60">
        <f ca="1">tblBaseCF[[#This Row],[pPMLoadCOI]]*tblBaseCF[[#This Row],[DeductFlag]]</f>
        <v>0</v>
      </c>
      <c r="BW64" s="60">
        <f ca="1">tblBaseCF[[#This Row],[pAccCOI]]*tblBaseCF[[#This Row],[DeductFlag]]</f>
        <v>0</v>
      </c>
      <c r="BX64" s="60">
        <f ca="1">tblBaseCF[[#This Row],[pCOI]]*tblBaseCF[[#This Row],[DeductFlag]]</f>
        <v>0</v>
      </c>
      <c r="BY64" s="60">
        <f ca="1">tblBaseCF[[#This Row],[pMonthlyAdminChrg]]*tblBaseCF[[#This Row],[DeductFlag]]</f>
        <v>0</v>
      </c>
      <c r="BZ64" s="60">
        <f ca="1">tblBaseCF[[#This Row],[pAdminChrg]]*tblBaseCF[[#This Row],[DeductFlag]]</f>
        <v>0</v>
      </c>
      <c r="CA64" s="60">
        <f ca="1">tblBaseCF[[#This Row],[pNomDeduct]]*tblBaseCF[[#This Row],[DeductFlag]]</f>
        <v>0</v>
      </c>
      <c r="CB64" s="60">
        <f ca="1">tblBaseCF[[#This Row],[pDeduct]]*tblBaseCF[[#This Row],[DeductFlag]]</f>
        <v>0</v>
      </c>
      <c r="CC64" s="60">
        <f ca="1">MIN(tblBaseCF[[#This Row],[TAVAfterWdrlAlloc]],tblBaseCF[[#This Row],[Deduct]])</f>
        <v>0</v>
      </c>
      <c r="CD64" s="60">
        <f ca="1">tblBaseCF[[#This Row],[Deduct]]-tblBaseCF[[#This Row],[TAVDeduct]]</f>
        <v>0</v>
      </c>
      <c r="CE64" s="69">
        <f ca="1">(tblBaseCF[[#This Row],[TAVAfterWdrlAlloc]]-tblBaseCF[[#This Row],[TAVDeduct]])*tblBaseCF[[#This Row],[AnnualIntRate]]
*tblBaseCF[[#This Row],[DeductFlag]]</f>
        <v>0</v>
      </c>
      <c r="CF64" s="69">
        <f ca="1">(tblBaseCF[[#This Row],[EAVAfterWdrlAlloc]]-tblBaseCF[[#This Row],[EAVDeduct]])*tblBaseCF[[#This Row],[AnnualIntRate]]
*tblBaseCF[[#This Row],[DeductFlag]]</f>
        <v>0</v>
      </c>
      <c r="CG64" s="69">
        <f ca="1">tblBaseCF[[#This Row],[TAVInt]]+tblBaseCF[[#This Row],[EAVInt]]</f>
        <v>0</v>
      </c>
      <c r="CH64" s="62">
        <f ca="1">IFERROR(INDEX(tblLBRate[Rate],MATCH(tblBaseCF[[#This Row],[Year]],tblLBRate[Year],0)),0)
*tblBaseCF[[#This Row],[DeductFlag]]</f>
        <v>0</v>
      </c>
      <c r="CI64" s="60">
        <f ca="1">IFERROR(SUM(OFFSET(tblBaseCF[[#This Row],[TAVWithdrawal]],0,0,-lb_review_period,1)),0)
*(tblBaseCF[[#This Row],[LBRate]]&gt;0)</f>
        <v>0</v>
      </c>
      <c r="CJ64" s="60">
        <f ca="1">(tblBaseCF[[#This Row],[LBRate]]&gt;0)*(tblBaseCF[[#This Row],[LBTAVWithdrawal]]=0)</f>
        <v>0</v>
      </c>
      <c r="CK64" s="62" cm="1">
        <f t="array" aca="1" ref="CK64" ca="1">IF(tblBaseCF[[#This Row],[LBFlag]],
_xlfn.SWITCH(base,
"ILP1",AVERAGE(OFFSET(tblBaseCF[TP],0,0,-lb_review_period,1)),tp),0)
*tblBaseCF[[#This Row],[LBFlag]]</f>
        <v>0</v>
      </c>
      <c r="CL64" s="62">
        <f ca="1">tblBaseCF[[#This Row],[LBBasis]]*tblBaseCF[[#This Row],[LBRate]]</f>
        <v>0</v>
      </c>
      <c r="CM64" s="57" cm="1">
        <f t="array" aca="1" ref="CM64" ca="1">_xlfn.SWITCH(base,
"ILP1",0,($AF164&lt;500000000)*1
+($AF164&gt;=500000000)*($AF164&lt;1000000000)*2
+($AF164&gt;=1000000000)*3)
*tblBaseCF[[#This Row],[DeductFlag]]</f>
        <v>0</v>
      </c>
      <c r="CN64" s="2" t="str">
        <f ca="1">IF(tblBaseCF[[#This Row],[DeductFlag]],base&amp;"_"&amp;tblBaseCF[[#This Row],[SBCode]]&amp;"_"&amp;tblBaseCF[[#This Row],[Year]],"")</f>
        <v/>
      </c>
      <c r="CO64" s="3">
        <f ca="1">IFERROR(INDEX(tblSBRate[Index],MATCH(tblBaseCF[[#This Row],[SBIndex]],tblSBRate[Rate],0)),0)</f>
        <v>0</v>
      </c>
      <c r="CP64" s="63">
        <f ca="1">IFERROR(SUM(OFFSET(tblBaseCF[[#This Row],[TAVWithdrawal]],0,0,-sb_review_period,1)),0)
*(tblBaseCF[[#This Row],[SBRate]]&gt;0)</f>
        <v>0</v>
      </c>
      <c r="CQ64" s="63">
        <f ca="1">(tblBaseCF[[#This Row],[SBRate]]&gt;0)*(tblBaseCF[[#This Row],[SBTAVWithdrawal]]=0)</f>
        <v>0</v>
      </c>
      <c r="CR64" s="59" cm="1">
        <f t="array" aca="1" ref="CR64" ca="1">IF(tblBaseCF[[#This Row],[LBFlag]],
_xlfn.SWITCH(base,
"ILP1",0,tp),0)*tblBaseCF[[#This Row],[SBFlag]]</f>
        <v>0</v>
      </c>
      <c r="CS64" s="63">
        <f ca="1">tblBaseCF[[#This Row],[SBBasis]]*tblBaseCF[[#This Row],[SBRate]]</f>
        <v>0</v>
      </c>
      <c r="CT64" s="63">
        <f ca="1">tblBaseCF[[#This Row],[LB]]+tblBaseCF[[#This Row],[SB]]</f>
        <v>0</v>
      </c>
      <c r="CU64" s="59">
        <f ca="1">tblBaseCF[[#This Row],[TAVAfterWdrlAlloc]]-tblBaseCF[[#This Row],[TAVDeduct]]+tblBaseCF[[#This Row],[TAVInt]]+tblBaseCF[[#This Row],[Bonus]]</f>
        <v>0</v>
      </c>
      <c r="CV64" s="59">
        <f ca="1">tblBaseCF[[#This Row],[EAVAfterWdrlAlloc]]-tblBaseCF[[#This Row],[EAVDeduct]]+tblBaseCF[[#This Row],[EAVInt]]</f>
        <v>0</v>
      </c>
      <c r="CW64" s="63">
        <f ca="1">tblBaseCF[[#This Row],[EndTAV]]+tblBaseCF[[#This Row],[EndEAV]]</f>
        <v>0</v>
      </c>
      <c r="CX64" s="59">
        <f ca="1">INDEX(tblPlanPrem[TP],2)
*tblBaseCF[[#This Row],[TPTermFlag]]</f>
        <v>0</v>
      </c>
      <c r="CY64" s="59">
        <f ca="1">INDEX(tblPlanPrem[EP],2)
*tblBaseCF[[#This Row],[TPTermFlag]]</f>
        <v>0</v>
      </c>
      <c r="CZ64" s="63">
        <f ca="1">ROUNDUP(tblBaseCF[[#This Row],[UnroundedEMLoad]]*INDEX(tblPlanPrem[Factor],2),-3)</f>
        <v>0</v>
      </c>
      <c r="DA64" s="63">
        <f ca="1">ROUNDUP(tblBaseCF[[#This Row],[UnroundedPMLoad]]*INDEX(tblPlanPrem[Factor],2),-3)</f>
        <v>0</v>
      </c>
      <c r="DB64" s="63">
        <f ca="1">tblBaseCF[[#This Row],[SemiAnnualEMLoad]]+tblBaseCF[[#This Row],[SemiAnnualPMLoad]]</f>
        <v>0</v>
      </c>
      <c r="DC64" s="63">
        <f ca="1">tblBaseCF[[#This Row],[SemiAnnualTP]]+tblBaseCF[[#This Row],[SemiAnnualEP]]+tblBaseCF[[#This Row],[SemiAnnualLoad]]</f>
        <v>0</v>
      </c>
      <c r="DD64" s="59">
        <f ca="1">INDEX(tblPlanPrem[TP],3)
*tblBaseCF[[#This Row],[TPTermFlag]]</f>
        <v>0</v>
      </c>
      <c r="DE64" s="59">
        <f ca="1">INDEX(tblPlanPrem[EP],3)
*tblBaseCF[[#This Row],[TPTermFlag]]</f>
        <v>0</v>
      </c>
      <c r="DF64" s="63">
        <f ca="1">ROUNDUP(tblBaseCF[[#This Row],[UnroundedEMLoad]]*INDEX(tblPlanPrem[Factor],3),-3)</f>
        <v>0</v>
      </c>
      <c r="DG64" s="63">
        <f ca="1">ROUNDUP(tblBaseCF[[#This Row],[UnroundedPMLoad]]*INDEX(tblPlanPrem[Factor],3),-3)</f>
        <v>0</v>
      </c>
      <c r="DH64" s="60">
        <f ca="1">tblBaseCF[[#This Row],[QuarterlyEMLoad]]+tblBaseCF[[#This Row],[QuarterlyPMLoad]]</f>
        <v>0</v>
      </c>
      <c r="DI64" s="60">
        <f ca="1">tblBaseCF[[#This Row],[QuarterlyTP]]+tblBaseCF[[#This Row],[QuarterlyEP]]+tblBaseCF[[#This Row],[QuarterlyLoad]]</f>
        <v>0</v>
      </c>
      <c r="DJ64" s="59">
        <f ca="1">INDEX(tblPlanPrem[TP],4)
*tblBaseCF[[#This Row],[TPTermFlag]]</f>
        <v>0</v>
      </c>
      <c r="DK64" s="59">
        <f ca="1">INDEX(tblPlanPrem[EP],4)
*tblBaseCF[[#This Row],[TPTermFlag]]</f>
        <v>0</v>
      </c>
      <c r="DL64" s="63">
        <f ca="1">ROUNDUP(tblBaseCF[[#This Row],[UnroundedEMLoad]]*INDEX(tblPlanPrem[Factor],4),-3)</f>
        <v>0</v>
      </c>
      <c r="DM64" s="63">
        <f ca="1">ROUNDUP(tblBaseCF[[#This Row],[UnroundedPMLoad]]*INDEX(tblPlanPrem[Factor],4),-3)</f>
        <v>0</v>
      </c>
      <c r="DN64" s="60">
        <f ca="1">tblBaseCF[[#This Row],[MonthlyEMLoad]]+tblBaseCF[[#This Row],[MonthlyPMLoad]]</f>
        <v>0</v>
      </c>
      <c r="DO64" s="63">
        <f ca="1">tblBaseCF[[#This Row],[MonthlyTP]]+tblBaseCF[[#This Row],[MonthlyEP]]+tblBaseCF[[#This Row],[MonthlyLoad]]</f>
        <v>0</v>
      </c>
      <c r="DP64" s="3"/>
      <c r="DS64">
        <f t="shared" si="7"/>
        <v>0</v>
      </c>
      <c r="DT64">
        <f t="shared" si="8"/>
        <v>0</v>
      </c>
      <c r="DU64">
        <f t="shared" si="9"/>
        <v>0</v>
      </c>
      <c r="DV64">
        <f ca="1">tblBaseCF[[#This Row],[Year]]</f>
        <v>44</v>
      </c>
      <c r="DW64">
        <f ca="1">tblBaseCF[[#This Row],[Age]]</f>
        <v>43</v>
      </c>
      <c r="DX64">
        <f ca="1">tblBaseCF[[#This Row],[ContFlag]]</f>
        <v>0</v>
      </c>
      <c r="DY64" t="str">
        <f ca="1">tblBaseCF[[#This Row],[ContLog]]</f>
        <v>Insufficient PAV for deduction - Discontinue.</v>
      </c>
      <c r="DZ64">
        <f ca="1">tblBaseCF[[#This Row],[StartTAV]]</f>
        <v>0</v>
      </c>
      <c r="EA64">
        <f ca="1">tblBaseCF[[#This Row],[StartEAV]]</f>
        <v>0</v>
      </c>
      <c r="EB64">
        <f ca="1">tblBaseCF[[#This Row],[StartPAV]]</f>
        <v>0</v>
      </c>
      <c r="EC64">
        <f ca="1">tblBaseCF[[#This Row],[SVChrg]]</f>
        <v>0</v>
      </c>
      <c r="ED64">
        <f ca="1">tblBaseCF[[#This Row],[SV]]</f>
        <v>0</v>
      </c>
      <c r="EE64">
        <f ca="1">tblBaseCF[[#This Row],[Ben]]</f>
        <v>0</v>
      </c>
      <c r="EF64">
        <f ca="1">tblBaseCF[[#This Row],[AccBen]]</f>
        <v>0</v>
      </c>
      <c r="EG64">
        <f ca="1">tblBaseCF[[#This Row],[WithdrawalInput]]</f>
        <v>0</v>
      </c>
      <c r="EH64" t="str">
        <f ca="1">tblBaseCF[[#This Row],[WithdrawalLog]]</f>
        <v>No withdrawal.</v>
      </c>
      <c r="EI64">
        <f ca="1">tblBaseCF[[#This Row],[TAVWithdrawal]]</f>
        <v>0</v>
      </c>
      <c r="EJ64">
        <f ca="1">tblBaseCF[[#This Row],[EAVWithdrawal]]</f>
        <v>0</v>
      </c>
      <c r="EK64">
        <f ca="1">tblBaseCF[[#This Row],[Withdrawal]]</f>
        <v>0</v>
      </c>
      <c r="EL64">
        <f ca="1">tblBaseCF[[#This Row],[TP]]</f>
        <v>0</v>
      </c>
      <c r="EM64">
        <f ca="1">tblBaseCF[[#This Row],[TPAllocChrg]]</f>
        <v>0</v>
      </c>
      <c r="EN64">
        <f ca="1">tblBaseCF[[#This Row],[TPAlloc]]</f>
        <v>0</v>
      </c>
      <c r="EO64">
        <f ca="1">tblBaseCF[[#This Row],[EP]]</f>
        <v>0</v>
      </c>
      <c r="EP64">
        <f ca="1">tblBaseCF[[#This Row],[EPAllocChrg]]</f>
        <v>0</v>
      </c>
      <c r="EQ64">
        <f ca="1">tblBaseCF[[#This Row],[EPAlloc]]</f>
        <v>0</v>
      </c>
      <c r="ER64">
        <f ca="1">tblBaseCF[[#This Row],[EMLoad]]</f>
        <v>0</v>
      </c>
      <c r="ES64">
        <f ca="1">tblBaseCF[[#This Row],[PMLoad]]</f>
        <v>0</v>
      </c>
      <c r="ET64">
        <f ca="1">tblBaseCF[[#This Row],[Load]]</f>
        <v>0</v>
      </c>
      <c r="EU64">
        <f ca="1">tblBaseCF[[#This Row],[LoadAllocChrg]]</f>
        <v>0</v>
      </c>
      <c r="EV64">
        <f ca="1">tblBaseCF[[#This Row],[LoadAlloc]]</f>
        <v>0</v>
      </c>
      <c r="EW64">
        <f ca="1">tblBaseCF[[#This Row],[TotalPrem]]</f>
        <v>0</v>
      </c>
      <c r="EX64">
        <f ca="1">tblBaseCF[[#This Row],[AllocChrg]]</f>
        <v>0</v>
      </c>
      <c r="EY64">
        <f ca="1">tblBaseCF[[#This Row],[Alloc]]</f>
        <v>0</v>
      </c>
      <c r="EZ64">
        <f ca="1">tblBaseCF[[#This Row],[AccumTotalPrem]]</f>
        <v>0</v>
      </c>
      <c r="FA64">
        <f>tblBaseCF[[#This Row],[AnnualIntRate]]</f>
        <v>0</v>
      </c>
      <c r="FB64" s="50">
        <f>tblBaseCF[[#This Row],[Duean1m12]]</f>
        <v>1</v>
      </c>
      <c r="FC64">
        <f ca="1">tblBaseCF[[#This Row],[DeductFlag]]</f>
        <v>0</v>
      </c>
      <c r="FD64">
        <f ca="1">tblBaseCF[[#This Row],[AdminChrg]]</f>
        <v>0</v>
      </c>
      <c r="FE64">
        <f ca="1">tblBaseCF[[#This Row],[StandardCOI]]</f>
        <v>0</v>
      </c>
      <c r="FF64">
        <f ca="1">tblBaseCF[[#This Row],[EMLoadCOI]]</f>
        <v>0</v>
      </c>
      <c r="FG64">
        <f ca="1">tblBaseCF[[#This Row],[PMLoadCOI]]</f>
        <v>0</v>
      </c>
      <c r="FH64">
        <f ca="1">tblBaseCF[[#This Row],[COI]]</f>
        <v>0</v>
      </c>
      <c r="FI64" s="47">
        <f ca="1">tblBaseCF[[#This Row],[NomDeduct]]</f>
        <v>0</v>
      </c>
      <c r="FJ64">
        <f ca="1">tblBaseCF[[#This Row],[Deduct]]</f>
        <v>0</v>
      </c>
      <c r="FK64">
        <f ca="1">tblBaseCF[[#This Row],[TAVDeduct]]</f>
        <v>0</v>
      </c>
      <c r="FL64">
        <f ca="1">tblBaseCF[[#This Row],[EAVDeduct]]</f>
        <v>0</v>
      </c>
      <c r="FM64" s="24">
        <f ca="1">tblBaseCF[[#This Row],[TAVInt]]</f>
        <v>0</v>
      </c>
      <c r="FN64">
        <f ca="1">tblBaseCF[[#This Row],[EAVInt]]</f>
        <v>0</v>
      </c>
      <c r="FO64" s="47">
        <f ca="1">tblBaseCF[[#This Row],[LB]]</f>
        <v>0</v>
      </c>
      <c r="FP64">
        <f ca="1">tblBaseCF[[#This Row],[SB]]</f>
        <v>0</v>
      </c>
      <c r="FQ64">
        <f ca="1">tblBaseCF[[#This Row],[Bonus]]</f>
        <v>0</v>
      </c>
      <c r="FR64">
        <f ca="1">tblBaseCF[[#This Row],[EndTAV]]</f>
        <v>0</v>
      </c>
      <c r="FS64">
        <f ca="1">tblBaseCF[[#This Row],[EndEAV]]</f>
        <v>0</v>
      </c>
      <c r="FT64">
        <f ca="1">tblBaseCF[[#This Row],[EndPAV]]</f>
        <v>0</v>
      </c>
      <c r="FU64">
        <f ca="1">tblBaseCF[[#This Row],[SemiAnnualTP]]</f>
        <v>0</v>
      </c>
      <c r="FV64">
        <f ca="1">tblBaseCF[[#This Row],[SemiAnnualEP]]</f>
        <v>0</v>
      </c>
      <c r="FW64">
        <f ca="1">tblBaseCF[[#This Row],[SemiAnnualEMLoad]]</f>
        <v>0</v>
      </c>
      <c r="FX64">
        <f ca="1">tblBaseCF[[#This Row],[SemiAnnualPMLoad]]</f>
        <v>0</v>
      </c>
      <c r="FY64">
        <f ca="1">tblBaseCF[[#This Row],[SemiAnnualLoad]]</f>
        <v>0</v>
      </c>
      <c r="FZ64">
        <f ca="1">tblBaseCF[[#This Row],[SemiAnnualTotalPrem]]</f>
        <v>0</v>
      </c>
      <c r="GA64">
        <f ca="1">tblBaseCF[[#This Row],[QuarterlyTP]]</f>
        <v>0</v>
      </c>
      <c r="GB64">
        <f ca="1">tblBaseCF[[#This Row],[QuarterlyEP]]</f>
        <v>0</v>
      </c>
      <c r="GC64">
        <f ca="1">tblBaseCF[[#This Row],[QuarterlyEMLoad]]</f>
        <v>0</v>
      </c>
      <c r="GD64">
        <f ca="1">tblBaseCF[[#This Row],[QuarterlyPMLoad]]</f>
        <v>0</v>
      </c>
      <c r="GE64">
        <f ca="1">tblBaseCF[[#This Row],[QuarterlyLoad]]</f>
        <v>0</v>
      </c>
      <c r="GF64">
        <f ca="1">tblBaseCF[[#This Row],[QuarterlyTotalPrem]]</f>
        <v>0</v>
      </c>
      <c r="GG64">
        <f ca="1">tblBaseCF[[#This Row],[MonthlyTP]]</f>
        <v>0</v>
      </c>
      <c r="GH64">
        <f ca="1">tblBaseCF[[#This Row],[MonthlyEP]]</f>
        <v>0</v>
      </c>
      <c r="GI64">
        <f ca="1">tblBaseCF[[#This Row],[MonthlyEMLoad]]</f>
        <v>0</v>
      </c>
      <c r="GJ64">
        <f ca="1">tblBaseCF[[#This Row],[MonthlyPMLoad]]</f>
        <v>0</v>
      </c>
      <c r="GK64">
        <f ca="1">tblBaseCF[[#This Row],[MonthlyLoad]]</f>
        <v>0</v>
      </c>
      <c r="GL64">
        <f ca="1">tblBaseCF[[#This Row],[MonthlyTotalPrem]]</f>
        <v>0</v>
      </c>
      <c r="GO64" t="s">
        <v>134</v>
      </c>
      <c r="GP64" t="s">
        <v>135</v>
      </c>
      <c r="GQ64" t="s">
        <v>502</v>
      </c>
      <c r="GR64">
        <v>44</v>
      </c>
      <c r="GS64">
        <v>43</v>
      </c>
      <c r="GT64">
        <v>1</v>
      </c>
      <c r="GU64" t="s">
        <v>457</v>
      </c>
      <c r="GV64">
        <v>94052940.798923701</v>
      </c>
      <c r="GW64">
        <v>761452886.52434397</v>
      </c>
      <c r="GX64">
        <v>855505827.32326806</v>
      </c>
      <c r="GY64">
        <v>0</v>
      </c>
      <c r="GZ64">
        <v>855505827.32326806</v>
      </c>
      <c r="HA64">
        <v>855505827.32326806</v>
      </c>
      <c r="HB64">
        <v>303000000</v>
      </c>
      <c r="HC64">
        <v>0</v>
      </c>
      <c r="HD64" t="s">
        <v>137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7.0000000000000007E-2</v>
      </c>
      <c r="HX64">
        <v>0.96964931039809399</v>
      </c>
      <c r="HY64">
        <v>1</v>
      </c>
      <c r="HZ64">
        <v>300000</v>
      </c>
      <c r="IA64">
        <v>0</v>
      </c>
      <c r="IB64">
        <v>0</v>
      </c>
      <c r="IC64">
        <v>0</v>
      </c>
      <c r="ID64">
        <v>272700</v>
      </c>
      <c r="IE64">
        <v>572700</v>
      </c>
      <c r="IF64">
        <v>555318.16006498795</v>
      </c>
      <c r="IG64">
        <v>555318.16006498795</v>
      </c>
      <c r="IH64">
        <v>0</v>
      </c>
      <c r="II64">
        <v>6544833.5847201096</v>
      </c>
      <c r="IJ64">
        <v>53301702.056704096</v>
      </c>
      <c r="IK64">
        <v>0</v>
      </c>
      <c r="IL64">
        <v>0</v>
      </c>
      <c r="IM64">
        <v>0</v>
      </c>
      <c r="IN64">
        <v>100042456.223579</v>
      </c>
      <c r="IO64">
        <v>814754588.58104801</v>
      </c>
      <c r="IP64">
        <v>914797044.80462694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</row>
    <row r="65" spans="2:268" customFormat="1" x14ac:dyDescent="0.25">
      <c r="B65" s="2">
        <f ca="1">OFFSET(tblBaseCF[[#This Row],[Year]],-1,0)+1</f>
        <v>45</v>
      </c>
      <c r="C65" s="2">
        <f ca="1">(tblBaseCF[[#This Row],[Year]]&lt;=term)*1</f>
        <v>1</v>
      </c>
      <c r="D65" s="57">
        <f ca="1">(YEAR(rcd)+tblBaseCF[[#This Row],[Year]]-1)
*tblBaseCF[[#This Row],[PolTermFlag]]</f>
        <v>2069</v>
      </c>
      <c r="E65" s="57">
        <f ca="1">(mainLI_entry_age+tblBaseCF[[#This Row],[Year]]-1)
*tblBaseCF[[#This Row],[PolTermFlag]]</f>
        <v>44</v>
      </c>
      <c r="F65" s="57">
        <f ca="1">IF(tblBaseCF[[#This Row],[Year]]=1,1,OFFSET(tblBaseCF[[#This Row],[DeductFlag]],-1,0))
*tblBaseCF[[#This Row],[PolTermFlag]]</f>
        <v>0</v>
      </c>
      <c r="G6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5" s="57">
        <f ca="1">(tblBaseCF[[#This Row],[Year]]&lt;=acc_ben_term)
*tblBaseCF[[#This Row],[ContFlag]]</f>
        <v>0</v>
      </c>
      <c r="I65" s="57">
        <f ca="1">(tblBaseCF[[#This Row],[Year]]&lt;=tp_term)
*tblBaseCF[[#This Row],[ContFlag]]</f>
        <v>0</v>
      </c>
      <c r="J65" s="57">
        <f ca="1">(tblBaseCF[[#This Row],[Year]]&lt;=ep_term)
*tblBaseCF[[#This Row],[ContFlag]]</f>
        <v>0</v>
      </c>
      <c r="K65" s="57">
        <f ca="1">(tblBaseCF[[#This Row],[Year]]&lt;=em_load_term)*1</f>
        <v>0</v>
      </c>
      <c r="L65" s="57">
        <f ca="1">(tblBaseCF[[#This Row],[Year]]&lt;=pm_load_term)*1</f>
        <v>0</v>
      </c>
      <c r="M65" s="59">
        <f ca="1">IF(tblBaseCF[[#This Row],[Year]]=1,si,OFFSET(tblBaseCF[[#This Row],[EndSI]],-1,0))
*tblBaseCF[[#This Row],[ContFlag]]</f>
        <v>0</v>
      </c>
      <c r="N65" s="59">
        <f ca="1">OFFSET(tblBaseCF[[#This Row],[EndTAV]],-1,0)
*tblBaseCF[[#This Row],[ContFlag]]</f>
        <v>0</v>
      </c>
      <c r="O65" s="59">
        <f ca="1">OFFSET(tblBaseCF[[#This Row],[EndEAV]],-1,0)
*tblBaseCF[[#This Row],[ContFlag]]</f>
        <v>0</v>
      </c>
      <c r="P65" s="60">
        <f ca="1">tblBaseCF[[#This Row],[StartEAV]]+tblBaseCF[[#This Row],[StartTAV]]</f>
        <v>0</v>
      </c>
      <c r="Q65" s="61">
        <f ca="1">IFERROR(INDEX(tblJuvenileLienRate[Rate],MATCH(tblBaseCF[[#This Row],[Age]],tblJuvenileLienRate[Age],0)),1)
*tblBaseCF[[#This Row],[ContFlag]]</f>
        <v>0</v>
      </c>
      <c r="R6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5" s="62">
        <f ca="1">tblBaseCF[[#This Row],[StartSI]]*acc_ben_coeff*tblBaseCF[[#This Row],[JuvenileLienRate]]
*tblBaseCF[[#This Row],[AccBenTermFlag]]</f>
        <v>0</v>
      </c>
      <c r="T65" s="61">
        <f ca="1">(IFERROR(INDEX(tblSurrChrgRate[Rate],MATCH(tblBaseCF[[#This Row],[Year]],tblSurrChrgRate[Year],0)),0)
*tblBaseCF[[#This Row],[ContFlag]])</f>
        <v>0</v>
      </c>
      <c r="U65" s="60">
        <f ca="1">tp*tblBaseCF[[#This Row],[SrrChrgRate]]</f>
        <v>0</v>
      </c>
      <c r="V65" s="63">
        <f ca="1">MAX(tblBaseCF[[#This Row],[StartTAV]]-tblBaseCF[[#This Row],[SVChrg]],0)+tblBaseCF[[#This Row],[StartEAV]]</f>
        <v>0</v>
      </c>
      <c r="W65" s="59">
        <f ca="1">IFERROR(INDEX(tblWithdrawal_Output[Amount],MATCH(tblBaseCF[[#This Row],[Year]],tblWithdrawal_Output[Year],0)),0)
*tblBaseCF[[#This Row],[ContFlag]]</f>
        <v>0</v>
      </c>
      <c r="X65" s="59" t="b">
        <f ca="1">tblBaseCF[[#This Row],[WithdrawalInput]]&gt;0</f>
        <v>0</v>
      </c>
      <c r="Y65" s="59" t="b">
        <f ca="1">AND(tblBaseCF[[#This Row],[1stCheckProceed]],tblBaseCF[[#This Row],[WithdrawalInput]]&lt;=tblBaseCF[[#This Row],[StartPAV]])</f>
        <v>0</v>
      </c>
      <c r="Z65" s="59" t="b">
        <f ca="1">AND(tblBaseCF[[#This Row],[2ndCheckAmount]],(tblBaseCF[[#This Row],[StartPAV]]-tblBaseCF[[#This Row],[WithdrawalInput]])&gt;=min_pav_after_withdrawal)</f>
        <v>0</v>
      </c>
      <c r="AA6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5" s="59" t="b">
        <f ca="1">AND(tblBaseCF[[#This Row],[3rdCheckPAV]],tblBaseCF[[#This Row],[endSITest]]&gt;=min_base_si)</f>
        <v>0</v>
      </c>
      <c r="AC65" s="60">
        <f ca="1">tblBaseCF[[#This Row],[WithdrawalInput]]*tblBaseCF[[#This Row],[4thCheckSI]]</f>
        <v>0</v>
      </c>
      <c r="AD65" s="60">
        <f ca="1">MIN(tblBaseCF[[#This Row],[Withdrawal]],tblBaseCF[[#This Row],[StartEAV]])</f>
        <v>0</v>
      </c>
      <c r="AE65" s="60">
        <f ca="1">tblBaseCF[[#This Row],[Withdrawal]]-tblBaseCF[[#This Row],[EAVWithdrawal]]</f>
        <v>0</v>
      </c>
      <c r="AF65" s="60">
        <f ca="1">IF(tblBaseCF[[#This Row],[4thCheckSI]],tblBaseCF[[#This Row],[endSITest]],tblBaseCF[[#This Row],[StartSI]])</f>
        <v>0</v>
      </c>
      <c r="AG6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5" s="65">
        <f ca="1">IFERROR(INDEX(tblTPAllocChrgRate[Rate],MATCH(tblBaseCF[[#This Row],[Year]],tblTPAllocChrgRate[Year],0)),0)</f>
        <v>0.02</v>
      </c>
      <c r="AI65" s="62">
        <f ca="1">(tp+big_case_bonus_tp*(tblBaseCF[[#This Row],[Year]]=1))
*tblBaseCF[[#This Row],[TPTermFlag]]</f>
        <v>0</v>
      </c>
      <c r="AJ65" s="63">
        <f ca="1">tblBaseCF[[#This Row],[TP]]*tblBaseCF[[#This Row],[TPAllocChrgRate]]</f>
        <v>0</v>
      </c>
      <c r="AK65" s="60">
        <f ca="1">tblBaseCF[[#This Row],[TP]]-tblBaseCF[[#This Row],[TPAllocChrg]]</f>
        <v>0</v>
      </c>
      <c r="AL65" s="65">
        <f ca="1">IFERROR(INDEX(tblEPAllocChrgRate[Rate],MATCH(tblBaseCF[[#This Row],[Year]],tblEPAllocChrgRate[Year],0)),0)</f>
        <v>0.02</v>
      </c>
      <c r="AM65" s="60">
        <f ca="1">ep*tblBaseCF[[#This Row],[EPTermFlag]]</f>
        <v>0</v>
      </c>
      <c r="AN65" s="60">
        <f ca="1">tblBaseCF[[#This Row],[EP]]*tblBaseCF[[#This Row],[EPAllocChrgRate]]</f>
        <v>0</v>
      </c>
      <c r="AO65" s="63">
        <f ca="1">tblBaseCF[[#This Row],[EP]]-tblBaseCF[[#This Row],[EPAllocChrg]]</f>
        <v>0</v>
      </c>
      <c r="AP65" s="62">
        <f ca="1">tblBaseCF[[#This Row],[Ben]]*extra_prem_rate*em_load/1000/(1-tblBaseCF[[#This Row],[EPAllocChrgRate]])
*tblBaseCF[[#This Row],[EMLoadTermFlag]]</f>
        <v>0</v>
      </c>
      <c r="AQ65" s="62">
        <f ca="1">tblBaseCF[[#This Row],[Ben]]*pm_load/1000/(1-tblBaseCF[[#This Row],[EPAllocChrgRate]])
*tblBaseCF[[#This Row],[PMLoadTermFlag]]</f>
        <v>0</v>
      </c>
      <c r="AR65" s="60">
        <f ca="1">ROUNDUP(tblBaseCF[[#This Row],[UnroundedEMLoad]],-3)</f>
        <v>0</v>
      </c>
      <c r="AS65" s="62">
        <f ca="1">ROUNDUP(tblBaseCF[[#This Row],[Ben]]*pm_load/1000/(1-tblBaseCF[[#This Row],[EPAllocChrgRate]]),-3)
*tblBaseCF[[#This Row],[PMLoadTermFlag]]</f>
        <v>0</v>
      </c>
      <c r="AT65" s="60">
        <f ca="1">tblBaseCF[[#This Row],[EMLoad]]+tblBaseCF[[#This Row],[PMLoad]]</f>
        <v>0</v>
      </c>
      <c r="AU65" s="60">
        <f ca="1">tblBaseCF[[#This Row],[Load]]*tblBaseCF[[#This Row],[EPAllocChrgRate]]</f>
        <v>0</v>
      </c>
      <c r="AV65" s="60">
        <f ca="1">tblBaseCF[[#This Row],[Load]]-tblBaseCF[[#This Row],[LoadAllocChrg]]</f>
        <v>0</v>
      </c>
      <c r="AW65" s="60">
        <f ca="1">tblBaseCF[[#This Row],[TP]]+tblBaseCF[[#This Row],[EP]]+tblBaseCF[[#This Row],[Load]]</f>
        <v>0</v>
      </c>
      <c r="AX65" s="60">
        <f ca="1">tblBaseCF[[#This Row],[TPAllocChrg]]+tblBaseCF[[#This Row],[EPAllocChrg]]+tblBaseCF[[#This Row],[LoadAllocChrg]]</f>
        <v>0</v>
      </c>
      <c r="AY65" s="60">
        <f ca="1">tblBaseCF[[#This Row],[TPAlloc]]+tblBaseCF[[#This Row],[EPAlloc]]+tblBaseCF[[#This Row],[LoadAlloc]]</f>
        <v>0</v>
      </c>
      <c r="AZ65" s="60">
        <f ca="1">(OFFSET(tblBaseCF[[#This Row],[AccumTotalPrem]],-1,0)+tblBaseCF[[#This Row],[TotalPrem]])*tblBaseCF[[#This Row],[TPTermFlag]]</f>
        <v>0</v>
      </c>
      <c r="BA65" s="62">
        <f ca="1">(tblBaseCF[[#This Row],[StartTAV]]-tblBaseCF[[#This Row],[TAVWithdrawal]]+tblBaseCF[[#This Row],[TPAlloc]])
*tblBaseCF[[#This Row],[ContFlag]]</f>
        <v>0</v>
      </c>
      <c r="BB65" s="59">
        <f ca="1">(tblBaseCF[[#This Row],[StartEAV]]-tblBaseCF[[#This Row],[EAVWithdrawal]]+tblBaseCF[[#This Row],[EPAlloc]]+tblBaseCF[[#This Row],[LoadAlloc]])
*tblBaseCF[[#This Row],[ContFlag]]</f>
        <v>0</v>
      </c>
      <c r="BC65" s="59">
        <f ca="1">tblBaseCF[[#This Row],[TAVAfterWdrlAlloc]]+tblBaseCF[[#This Row],[EAVAfterWdrlAlloc]]</f>
        <v>0</v>
      </c>
      <c r="BD65" s="66">
        <f t="shared" si="6"/>
        <v>0</v>
      </c>
      <c r="BE65" s="67">
        <f>(1+tblBaseCF[[#This Row],[AnnualIntRate]])^(1/12)-1</f>
        <v>0</v>
      </c>
      <c r="BF65" s="68">
        <f>IFERROR(((1+tblBaseCF[[#This Row],[MonthlyIntRate]])^12-1)/12/(1-1/(1+tblBaseCF[[#This Row],[MonthlyIntRate]])),1)/(1+tblBaseCF[[#This Row],[AnnualIntRate]])</f>
        <v>1</v>
      </c>
      <c r="BG65" s="69">
        <f>PV(tblBaseCF[[#This Row],[MonthlyIntRate]],12,-1/12,,1)</f>
        <v>1</v>
      </c>
      <c r="BH65" s="60">
        <f ca="1">MAX(IF(death_tpd_option="A",tblBaseCF[[#This Row],[Ben]]-tblBaseCF[[#This Row],[StartPAV]],tblBaseCF[[#This Row],[Ben]]),0)</f>
        <v>0</v>
      </c>
      <c r="BI65" s="70">
        <f ca="1">IFERROR(INDEX(tblBaseCOIRate[Rate],MATCH(tblBaseCF[[#This Row],[Age]],tblBaseCOIRate[Age],0)),0)</f>
        <v>3.4400000000001101E-3</v>
      </c>
      <c r="BJ65" s="60">
        <f ca="1">tblBaseCF[[#This Row],[SAR]]*tblBaseCF[[#This Row],[COIRate]]</f>
        <v>0</v>
      </c>
      <c r="BK65" s="62">
        <f ca="1">em_load*tblBaseCF[[#This Row],[pStandardCOI]]
*tblBaseCF[[#This Row],[EMLoadTermFlag]]</f>
        <v>0</v>
      </c>
      <c r="BL65" s="62">
        <f ca="1">pm_load/1000*tblBaseCF[[#This Row],[SAR]]
*tblBaseCF[[#This Row],[PMLoadTermFlag]]</f>
        <v>0</v>
      </c>
      <c r="BM65" s="60">
        <f ca="1">tblBaseCF[[#This Row],[AccBen]]*monthly_acc_coi*12</f>
        <v>0</v>
      </c>
      <c r="BN65" s="60">
        <f ca="1">tblBaseCF[[#This Row],[pStandardCOI]]+tblBaseCF[[#This Row],[pEMLoadCOI]]+tblBaseCF[[#This Row],[pPMLoadCOI]]+tblBaseCF[[#This Row],[pAccCOI]]</f>
        <v>0</v>
      </c>
      <c r="BO65" s="62">
        <f ca="1">IFERROR(INDEX(tblAdminChrg[Amount],MATCH(tblBaseCF[[#This Row],[CalYear]],tblAdminChrg[Cal_Year],0)),0)
*tblBaseCF[[#This Row],[ContFlag]]</f>
        <v>0</v>
      </c>
      <c r="BP65" s="60">
        <f ca="1">tblBaseCF[[#This Row],[pMonthlyAdminChrg]]*12</f>
        <v>0</v>
      </c>
      <c r="BQ65" s="60">
        <f ca="1">tblBaseCF[[#This Row],[pCOI]]+tblBaseCF[[#This Row],[pAdminChrg]]</f>
        <v>0</v>
      </c>
      <c r="BR65" s="60">
        <f ca="1">tblBaseCF[[#This Row],[pNomDeduct]]*tblBaseCF[[#This Row],[Duean1m12]]</f>
        <v>0</v>
      </c>
      <c r="BS65" s="57">
        <f ca="1">(tblBaseCF[[#This Row],[PAVAfterWdrlAlloc]]&gt;=tblBaseCF[[#This Row],[pNomDeduct]])
*tblBaseCF[[#This Row],[ContFlag]]</f>
        <v>0</v>
      </c>
      <c r="BT65" s="60">
        <f ca="1">tblBaseCF[[#This Row],[pStandardCOI]]*tblBaseCF[[#This Row],[DeductFlag]]</f>
        <v>0</v>
      </c>
      <c r="BU65" s="60">
        <f ca="1">tblBaseCF[[#This Row],[pEMLoadCOI]]*tblBaseCF[[#This Row],[DeductFlag]]</f>
        <v>0</v>
      </c>
      <c r="BV65" s="60">
        <f ca="1">tblBaseCF[[#This Row],[pPMLoadCOI]]*tblBaseCF[[#This Row],[DeductFlag]]</f>
        <v>0</v>
      </c>
      <c r="BW65" s="60">
        <f ca="1">tblBaseCF[[#This Row],[pAccCOI]]*tblBaseCF[[#This Row],[DeductFlag]]</f>
        <v>0</v>
      </c>
      <c r="BX65" s="60">
        <f ca="1">tblBaseCF[[#This Row],[pCOI]]*tblBaseCF[[#This Row],[DeductFlag]]</f>
        <v>0</v>
      </c>
      <c r="BY65" s="60">
        <f ca="1">tblBaseCF[[#This Row],[pMonthlyAdminChrg]]*tblBaseCF[[#This Row],[DeductFlag]]</f>
        <v>0</v>
      </c>
      <c r="BZ65" s="60">
        <f ca="1">tblBaseCF[[#This Row],[pAdminChrg]]*tblBaseCF[[#This Row],[DeductFlag]]</f>
        <v>0</v>
      </c>
      <c r="CA65" s="60">
        <f ca="1">tblBaseCF[[#This Row],[pNomDeduct]]*tblBaseCF[[#This Row],[DeductFlag]]</f>
        <v>0</v>
      </c>
      <c r="CB65" s="60">
        <f ca="1">tblBaseCF[[#This Row],[pDeduct]]*tblBaseCF[[#This Row],[DeductFlag]]</f>
        <v>0</v>
      </c>
      <c r="CC65" s="60">
        <f ca="1">MIN(tblBaseCF[[#This Row],[TAVAfterWdrlAlloc]],tblBaseCF[[#This Row],[Deduct]])</f>
        <v>0</v>
      </c>
      <c r="CD65" s="60">
        <f ca="1">tblBaseCF[[#This Row],[Deduct]]-tblBaseCF[[#This Row],[TAVDeduct]]</f>
        <v>0</v>
      </c>
      <c r="CE65" s="69">
        <f ca="1">(tblBaseCF[[#This Row],[TAVAfterWdrlAlloc]]-tblBaseCF[[#This Row],[TAVDeduct]])*tblBaseCF[[#This Row],[AnnualIntRate]]
*tblBaseCF[[#This Row],[DeductFlag]]</f>
        <v>0</v>
      </c>
      <c r="CF65" s="69">
        <f ca="1">(tblBaseCF[[#This Row],[EAVAfterWdrlAlloc]]-tblBaseCF[[#This Row],[EAVDeduct]])*tblBaseCF[[#This Row],[AnnualIntRate]]
*tblBaseCF[[#This Row],[DeductFlag]]</f>
        <v>0</v>
      </c>
      <c r="CG65" s="69">
        <f ca="1">tblBaseCF[[#This Row],[TAVInt]]+tblBaseCF[[#This Row],[EAVInt]]</f>
        <v>0</v>
      </c>
      <c r="CH65" s="62">
        <f ca="1">IFERROR(INDEX(tblLBRate[Rate],MATCH(tblBaseCF[[#This Row],[Year]],tblLBRate[Year],0)),0)
*tblBaseCF[[#This Row],[DeductFlag]]</f>
        <v>0</v>
      </c>
      <c r="CI65" s="60">
        <f ca="1">IFERROR(SUM(OFFSET(tblBaseCF[[#This Row],[TAVWithdrawal]],0,0,-lb_review_period,1)),0)
*(tblBaseCF[[#This Row],[LBRate]]&gt;0)</f>
        <v>0</v>
      </c>
      <c r="CJ65" s="60">
        <f ca="1">(tblBaseCF[[#This Row],[LBRate]]&gt;0)*(tblBaseCF[[#This Row],[LBTAVWithdrawal]]=0)</f>
        <v>0</v>
      </c>
      <c r="CK65" s="62" cm="1">
        <f t="array" aca="1" ref="CK65" ca="1">IF(tblBaseCF[[#This Row],[LBFlag]],
_xlfn.SWITCH(base,
"ILP1",AVERAGE(OFFSET(tblBaseCF[TP],0,0,-lb_review_period,1)),tp),0)
*tblBaseCF[[#This Row],[LBFlag]]</f>
        <v>0</v>
      </c>
      <c r="CL65" s="62">
        <f ca="1">tblBaseCF[[#This Row],[LBBasis]]*tblBaseCF[[#This Row],[LBRate]]</f>
        <v>0</v>
      </c>
      <c r="CM65" s="57" cm="1">
        <f t="array" aca="1" ref="CM65" ca="1">_xlfn.SWITCH(base,
"ILP1",0,($AF165&lt;500000000)*1
+($AF165&gt;=500000000)*($AF165&lt;1000000000)*2
+($AF165&gt;=1000000000)*3)
*tblBaseCF[[#This Row],[DeductFlag]]</f>
        <v>0</v>
      </c>
      <c r="CN65" s="2" t="str">
        <f ca="1">IF(tblBaseCF[[#This Row],[DeductFlag]],base&amp;"_"&amp;tblBaseCF[[#This Row],[SBCode]]&amp;"_"&amp;tblBaseCF[[#This Row],[Year]],"")</f>
        <v/>
      </c>
      <c r="CO65" s="3">
        <f ca="1">IFERROR(INDEX(tblSBRate[Index],MATCH(tblBaseCF[[#This Row],[SBIndex]],tblSBRate[Rate],0)),0)</f>
        <v>0</v>
      </c>
      <c r="CP65" s="63">
        <f ca="1">IFERROR(SUM(OFFSET(tblBaseCF[[#This Row],[TAVWithdrawal]],0,0,-sb_review_period,1)),0)
*(tblBaseCF[[#This Row],[SBRate]]&gt;0)</f>
        <v>0</v>
      </c>
      <c r="CQ65" s="63">
        <f ca="1">(tblBaseCF[[#This Row],[SBRate]]&gt;0)*(tblBaseCF[[#This Row],[SBTAVWithdrawal]]=0)</f>
        <v>0</v>
      </c>
      <c r="CR65" s="59" cm="1">
        <f t="array" aca="1" ref="CR65" ca="1">IF(tblBaseCF[[#This Row],[LBFlag]],
_xlfn.SWITCH(base,
"ILP1",0,tp),0)*tblBaseCF[[#This Row],[SBFlag]]</f>
        <v>0</v>
      </c>
      <c r="CS65" s="63">
        <f ca="1">tblBaseCF[[#This Row],[SBBasis]]*tblBaseCF[[#This Row],[SBRate]]</f>
        <v>0</v>
      </c>
      <c r="CT65" s="63">
        <f ca="1">tblBaseCF[[#This Row],[LB]]+tblBaseCF[[#This Row],[SB]]</f>
        <v>0</v>
      </c>
      <c r="CU65" s="59">
        <f ca="1">tblBaseCF[[#This Row],[TAVAfterWdrlAlloc]]-tblBaseCF[[#This Row],[TAVDeduct]]+tblBaseCF[[#This Row],[TAVInt]]+tblBaseCF[[#This Row],[Bonus]]</f>
        <v>0</v>
      </c>
      <c r="CV65" s="59">
        <f ca="1">tblBaseCF[[#This Row],[EAVAfterWdrlAlloc]]-tblBaseCF[[#This Row],[EAVDeduct]]+tblBaseCF[[#This Row],[EAVInt]]</f>
        <v>0</v>
      </c>
      <c r="CW65" s="63">
        <f ca="1">tblBaseCF[[#This Row],[EndTAV]]+tblBaseCF[[#This Row],[EndEAV]]</f>
        <v>0</v>
      </c>
      <c r="CX65" s="59">
        <f ca="1">INDEX(tblPlanPrem[TP],2)
*tblBaseCF[[#This Row],[TPTermFlag]]</f>
        <v>0</v>
      </c>
      <c r="CY65" s="59">
        <f ca="1">INDEX(tblPlanPrem[EP],2)
*tblBaseCF[[#This Row],[TPTermFlag]]</f>
        <v>0</v>
      </c>
      <c r="CZ65" s="63">
        <f ca="1">ROUNDUP(tblBaseCF[[#This Row],[UnroundedEMLoad]]*INDEX(tblPlanPrem[Factor],2),-3)</f>
        <v>0</v>
      </c>
      <c r="DA65" s="63">
        <f ca="1">ROUNDUP(tblBaseCF[[#This Row],[UnroundedPMLoad]]*INDEX(tblPlanPrem[Factor],2),-3)</f>
        <v>0</v>
      </c>
      <c r="DB65" s="63">
        <f ca="1">tblBaseCF[[#This Row],[SemiAnnualEMLoad]]+tblBaseCF[[#This Row],[SemiAnnualPMLoad]]</f>
        <v>0</v>
      </c>
      <c r="DC65" s="63">
        <f ca="1">tblBaseCF[[#This Row],[SemiAnnualTP]]+tblBaseCF[[#This Row],[SemiAnnualEP]]+tblBaseCF[[#This Row],[SemiAnnualLoad]]</f>
        <v>0</v>
      </c>
      <c r="DD65" s="59">
        <f ca="1">INDEX(tblPlanPrem[TP],3)
*tblBaseCF[[#This Row],[TPTermFlag]]</f>
        <v>0</v>
      </c>
      <c r="DE65" s="59">
        <f ca="1">INDEX(tblPlanPrem[EP],3)
*tblBaseCF[[#This Row],[TPTermFlag]]</f>
        <v>0</v>
      </c>
      <c r="DF65" s="63">
        <f ca="1">ROUNDUP(tblBaseCF[[#This Row],[UnroundedEMLoad]]*INDEX(tblPlanPrem[Factor],3),-3)</f>
        <v>0</v>
      </c>
      <c r="DG65" s="63">
        <f ca="1">ROUNDUP(tblBaseCF[[#This Row],[UnroundedPMLoad]]*INDEX(tblPlanPrem[Factor],3),-3)</f>
        <v>0</v>
      </c>
      <c r="DH65" s="60">
        <f ca="1">tblBaseCF[[#This Row],[QuarterlyEMLoad]]+tblBaseCF[[#This Row],[QuarterlyPMLoad]]</f>
        <v>0</v>
      </c>
      <c r="DI65" s="60">
        <f ca="1">tblBaseCF[[#This Row],[QuarterlyTP]]+tblBaseCF[[#This Row],[QuarterlyEP]]+tblBaseCF[[#This Row],[QuarterlyLoad]]</f>
        <v>0</v>
      </c>
      <c r="DJ65" s="59">
        <f ca="1">INDEX(tblPlanPrem[TP],4)
*tblBaseCF[[#This Row],[TPTermFlag]]</f>
        <v>0</v>
      </c>
      <c r="DK65" s="59">
        <f ca="1">INDEX(tblPlanPrem[EP],4)
*tblBaseCF[[#This Row],[TPTermFlag]]</f>
        <v>0</v>
      </c>
      <c r="DL65" s="63">
        <f ca="1">ROUNDUP(tblBaseCF[[#This Row],[UnroundedEMLoad]]*INDEX(tblPlanPrem[Factor],4),-3)</f>
        <v>0</v>
      </c>
      <c r="DM65" s="63">
        <f ca="1">ROUNDUP(tblBaseCF[[#This Row],[UnroundedPMLoad]]*INDEX(tblPlanPrem[Factor],4),-3)</f>
        <v>0</v>
      </c>
      <c r="DN65" s="60">
        <f ca="1">tblBaseCF[[#This Row],[MonthlyEMLoad]]+tblBaseCF[[#This Row],[MonthlyPMLoad]]</f>
        <v>0</v>
      </c>
      <c r="DO65" s="63">
        <f ca="1">tblBaseCF[[#This Row],[MonthlyTP]]+tblBaseCF[[#This Row],[MonthlyEP]]+tblBaseCF[[#This Row],[MonthlyLoad]]</f>
        <v>0</v>
      </c>
      <c r="DP65" s="3"/>
      <c r="DS65">
        <f t="shared" si="7"/>
        <v>0</v>
      </c>
      <c r="DT65">
        <f t="shared" si="8"/>
        <v>0</v>
      </c>
      <c r="DU65">
        <f t="shared" si="9"/>
        <v>0</v>
      </c>
      <c r="DV65">
        <f ca="1">tblBaseCF[[#This Row],[Year]]</f>
        <v>45</v>
      </c>
      <c r="DW65">
        <f ca="1">tblBaseCF[[#This Row],[Age]]</f>
        <v>44</v>
      </c>
      <c r="DX65">
        <f ca="1">tblBaseCF[[#This Row],[ContFlag]]</f>
        <v>0</v>
      </c>
      <c r="DY65" t="str">
        <f ca="1">tblBaseCF[[#This Row],[ContLog]]</f>
        <v>Insufficient PAV for deduction - Discontinue.</v>
      </c>
      <c r="DZ65">
        <f ca="1">tblBaseCF[[#This Row],[StartTAV]]</f>
        <v>0</v>
      </c>
      <c r="EA65">
        <f ca="1">tblBaseCF[[#This Row],[StartEAV]]</f>
        <v>0</v>
      </c>
      <c r="EB65">
        <f ca="1">tblBaseCF[[#This Row],[StartPAV]]</f>
        <v>0</v>
      </c>
      <c r="EC65">
        <f ca="1">tblBaseCF[[#This Row],[SVChrg]]</f>
        <v>0</v>
      </c>
      <c r="ED65">
        <f ca="1">tblBaseCF[[#This Row],[SV]]</f>
        <v>0</v>
      </c>
      <c r="EE65">
        <f ca="1">tblBaseCF[[#This Row],[Ben]]</f>
        <v>0</v>
      </c>
      <c r="EF65">
        <f ca="1">tblBaseCF[[#This Row],[AccBen]]</f>
        <v>0</v>
      </c>
      <c r="EG65">
        <f ca="1">tblBaseCF[[#This Row],[WithdrawalInput]]</f>
        <v>0</v>
      </c>
      <c r="EH65" t="str">
        <f ca="1">tblBaseCF[[#This Row],[WithdrawalLog]]</f>
        <v>No withdrawal.</v>
      </c>
      <c r="EI65">
        <f ca="1">tblBaseCF[[#This Row],[TAVWithdrawal]]</f>
        <v>0</v>
      </c>
      <c r="EJ65">
        <f ca="1">tblBaseCF[[#This Row],[EAVWithdrawal]]</f>
        <v>0</v>
      </c>
      <c r="EK65">
        <f ca="1">tblBaseCF[[#This Row],[Withdrawal]]</f>
        <v>0</v>
      </c>
      <c r="EL65">
        <f ca="1">tblBaseCF[[#This Row],[TP]]</f>
        <v>0</v>
      </c>
      <c r="EM65">
        <f ca="1">tblBaseCF[[#This Row],[TPAllocChrg]]</f>
        <v>0</v>
      </c>
      <c r="EN65">
        <f ca="1">tblBaseCF[[#This Row],[TPAlloc]]</f>
        <v>0</v>
      </c>
      <c r="EO65">
        <f ca="1">tblBaseCF[[#This Row],[EP]]</f>
        <v>0</v>
      </c>
      <c r="EP65">
        <f ca="1">tblBaseCF[[#This Row],[EPAllocChrg]]</f>
        <v>0</v>
      </c>
      <c r="EQ65">
        <f ca="1">tblBaseCF[[#This Row],[EPAlloc]]</f>
        <v>0</v>
      </c>
      <c r="ER65">
        <f ca="1">tblBaseCF[[#This Row],[EMLoad]]</f>
        <v>0</v>
      </c>
      <c r="ES65">
        <f ca="1">tblBaseCF[[#This Row],[PMLoad]]</f>
        <v>0</v>
      </c>
      <c r="ET65">
        <f ca="1">tblBaseCF[[#This Row],[Load]]</f>
        <v>0</v>
      </c>
      <c r="EU65">
        <f ca="1">tblBaseCF[[#This Row],[LoadAllocChrg]]</f>
        <v>0</v>
      </c>
      <c r="EV65">
        <f ca="1">tblBaseCF[[#This Row],[LoadAlloc]]</f>
        <v>0</v>
      </c>
      <c r="EW65">
        <f ca="1">tblBaseCF[[#This Row],[TotalPrem]]</f>
        <v>0</v>
      </c>
      <c r="EX65">
        <f ca="1">tblBaseCF[[#This Row],[AllocChrg]]</f>
        <v>0</v>
      </c>
      <c r="EY65">
        <f ca="1">tblBaseCF[[#This Row],[Alloc]]</f>
        <v>0</v>
      </c>
      <c r="EZ65">
        <f ca="1">tblBaseCF[[#This Row],[AccumTotalPrem]]</f>
        <v>0</v>
      </c>
      <c r="FA65">
        <f>tblBaseCF[[#This Row],[AnnualIntRate]]</f>
        <v>0</v>
      </c>
      <c r="FB65" s="50">
        <f>tblBaseCF[[#This Row],[Duean1m12]]</f>
        <v>1</v>
      </c>
      <c r="FC65">
        <f ca="1">tblBaseCF[[#This Row],[DeductFlag]]</f>
        <v>0</v>
      </c>
      <c r="FD65">
        <f ca="1">tblBaseCF[[#This Row],[AdminChrg]]</f>
        <v>0</v>
      </c>
      <c r="FE65">
        <f ca="1">tblBaseCF[[#This Row],[StandardCOI]]</f>
        <v>0</v>
      </c>
      <c r="FF65">
        <f ca="1">tblBaseCF[[#This Row],[EMLoadCOI]]</f>
        <v>0</v>
      </c>
      <c r="FG65">
        <f ca="1">tblBaseCF[[#This Row],[PMLoadCOI]]</f>
        <v>0</v>
      </c>
      <c r="FH65">
        <f ca="1">tblBaseCF[[#This Row],[COI]]</f>
        <v>0</v>
      </c>
      <c r="FI65" s="47">
        <f ca="1">tblBaseCF[[#This Row],[NomDeduct]]</f>
        <v>0</v>
      </c>
      <c r="FJ65">
        <f ca="1">tblBaseCF[[#This Row],[Deduct]]</f>
        <v>0</v>
      </c>
      <c r="FK65">
        <f ca="1">tblBaseCF[[#This Row],[TAVDeduct]]</f>
        <v>0</v>
      </c>
      <c r="FL65">
        <f ca="1">tblBaseCF[[#This Row],[EAVDeduct]]</f>
        <v>0</v>
      </c>
      <c r="FM65" s="24">
        <f ca="1">tblBaseCF[[#This Row],[TAVInt]]</f>
        <v>0</v>
      </c>
      <c r="FN65">
        <f ca="1">tblBaseCF[[#This Row],[EAVInt]]</f>
        <v>0</v>
      </c>
      <c r="FO65" s="47">
        <f ca="1">tblBaseCF[[#This Row],[LB]]</f>
        <v>0</v>
      </c>
      <c r="FP65">
        <f ca="1">tblBaseCF[[#This Row],[SB]]</f>
        <v>0</v>
      </c>
      <c r="FQ65">
        <f ca="1">tblBaseCF[[#This Row],[Bonus]]</f>
        <v>0</v>
      </c>
      <c r="FR65">
        <f ca="1">tblBaseCF[[#This Row],[EndTAV]]</f>
        <v>0</v>
      </c>
      <c r="FS65">
        <f ca="1">tblBaseCF[[#This Row],[EndEAV]]</f>
        <v>0</v>
      </c>
      <c r="FT65">
        <f ca="1">tblBaseCF[[#This Row],[EndPAV]]</f>
        <v>0</v>
      </c>
      <c r="FU65">
        <f ca="1">tblBaseCF[[#This Row],[SemiAnnualTP]]</f>
        <v>0</v>
      </c>
      <c r="FV65">
        <f ca="1">tblBaseCF[[#This Row],[SemiAnnualEP]]</f>
        <v>0</v>
      </c>
      <c r="FW65">
        <f ca="1">tblBaseCF[[#This Row],[SemiAnnualEMLoad]]</f>
        <v>0</v>
      </c>
      <c r="FX65">
        <f ca="1">tblBaseCF[[#This Row],[SemiAnnualPMLoad]]</f>
        <v>0</v>
      </c>
      <c r="FY65">
        <f ca="1">tblBaseCF[[#This Row],[SemiAnnualLoad]]</f>
        <v>0</v>
      </c>
      <c r="FZ65">
        <f ca="1">tblBaseCF[[#This Row],[SemiAnnualTotalPrem]]</f>
        <v>0</v>
      </c>
      <c r="GA65">
        <f ca="1">tblBaseCF[[#This Row],[QuarterlyTP]]</f>
        <v>0</v>
      </c>
      <c r="GB65">
        <f ca="1">tblBaseCF[[#This Row],[QuarterlyEP]]</f>
        <v>0</v>
      </c>
      <c r="GC65">
        <f ca="1">tblBaseCF[[#This Row],[QuarterlyEMLoad]]</f>
        <v>0</v>
      </c>
      <c r="GD65">
        <f ca="1">tblBaseCF[[#This Row],[QuarterlyPMLoad]]</f>
        <v>0</v>
      </c>
      <c r="GE65">
        <f ca="1">tblBaseCF[[#This Row],[QuarterlyLoad]]</f>
        <v>0</v>
      </c>
      <c r="GF65">
        <f ca="1">tblBaseCF[[#This Row],[QuarterlyTotalPrem]]</f>
        <v>0</v>
      </c>
      <c r="GG65">
        <f ca="1">tblBaseCF[[#This Row],[MonthlyTP]]</f>
        <v>0</v>
      </c>
      <c r="GH65">
        <f ca="1">tblBaseCF[[#This Row],[MonthlyEP]]</f>
        <v>0</v>
      </c>
      <c r="GI65">
        <f ca="1">tblBaseCF[[#This Row],[MonthlyEMLoad]]</f>
        <v>0</v>
      </c>
      <c r="GJ65">
        <f ca="1">tblBaseCF[[#This Row],[MonthlyPMLoad]]</f>
        <v>0</v>
      </c>
      <c r="GK65">
        <f ca="1">tblBaseCF[[#This Row],[MonthlyLoad]]</f>
        <v>0</v>
      </c>
      <c r="GL65">
        <f ca="1">tblBaseCF[[#This Row],[MonthlyTotalPrem]]</f>
        <v>0</v>
      </c>
      <c r="GO65" t="s">
        <v>134</v>
      </c>
      <c r="GP65" t="s">
        <v>135</v>
      </c>
      <c r="GQ65" t="s">
        <v>502</v>
      </c>
      <c r="GR65">
        <v>45</v>
      </c>
      <c r="GS65">
        <v>44</v>
      </c>
      <c r="GT65">
        <v>1</v>
      </c>
      <c r="GU65" t="s">
        <v>457</v>
      </c>
      <c r="GV65">
        <v>100042456.223579</v>
      </c>
      <c r="GW65">
        <v>814754588.58104801</v>
      </c>
      <c r="GX65">
        <v>914797044.80462694</v>
      </c>
      <c r="GY65">
        <v>0</v>
      </c>
      <c r="GZ65">
        <v>914797044.80462694</v>
      </c>
      <c r="HA65">
        <v>914797044.80462694</v>
      </c>
      <c r="HB65">
        <v>303000000</v>
      </c>
      <c r="HC65">
        <v>0</v>
      </c>
      <c r="HD65" t="s">
        <v>137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7.0000000000000007E-2</v>
      </c>
      <c r="HX65">
        <v>0.96964931039809399</v>
      </c>
      <c r="HY65">
        <v>1</v>
      </c>
      <c r="HZ65">
        <v>300000</v>
      </c>
      <c r="IA65">
        <v>0</v>
      </c>
      <c r="IB65">
        <v>0</v>
      </c>
      <c r="IC65">
        <v>0</v>
      </c>
      <c r="ID65">
        <v>272700</v>
      </c>
      <c r="IE65">
        <v>572700</v>
      </c>
      <c r="IF65">
        <v>555318.16006498795</v>
      </c>
      <c r="IG65">
        <v>555318.16006498795</v>
      </c>
      <c r="IH65">
        <v>0</v>
      </c>
      <c r="II65">
        <v>6964099.6644459702</v>
      </c>
      <c r="IJ65">
        <v>57032821.200673401</v>
      </c>
      <c r="IK65">
        <v>0</v>
      </c>
      <c r="IL65">
        <v>0</v>
      </c>
      <c r="IM65">
        <v>0</v>
      </c>
      <c r="IN65">
        <v>106451237.72796001</v>
      </c>
      <c r="IO65">
        <v>871787409.781721</v>
      </c>
      <c r="IP65">
        <v>978238647.50968099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</row>
    <row r="66" spans="2:268" customFormat="1" x14ac:dyDescent="0.25">
      <c r="B66" s="2">
        <f ca="1">OFFSET(tblBaseCF[[#This Row],[Year]],-1,0)+1</f>
        <v>46</v>
      </c>
      <c r="C66" s="2">
        <f ca="1">(tblBaseCF[[#This Row],[Year]]&lt;=term)*1</f>
        <v>1</v>
      </c>
      <c r="D66" s="57">
        <f ca="1">(YEAR(rcd)+tblBaseCF[[#This Row],[Year]]-1)
*tblBaseCF[[#This Row],[PolTermFlag]]</f>
        <v>2070</v>
      </c>
      <c r="E66" s="57">
        <f ca="1">(mainLI_entry_age+tblBaseCF[[#This Row],[Year]]-1)
*tblBaseCF[[#This Row],[PolTermFlag]]</f>
        <v>45</v>
      </c>
      <c r="F66" s="57">
        <f ca="1">IF(tblBaseCF[[#This Row],[Year]]=1,1,OFFSET(tblBaseCF[[#This Row],[DeductFlag]],-1,0))
*tblBaseCF[[#This Row],[PolTermFlag]]</f>
        <v>0</v>
      </c>
      <c r="G6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6" s="57">
        <f ca="1">(tblBaseCF[[#This Row],[Year]]&lt;=acc_ben_term)
*tblBaseCF[[#This Row],[ContFlag]]</f>
        <v>0</v>
      </c>
      <c r="I66" s="57">
        <f ca="1">(tblBaseCF[[#This Row],[Year]]&lt;=tp_term)
*tblBaseCF[[#This Row],[ContFlag]]</f>
        <v>0</v>
      </c>
      <c r="J66" s="57">
        <f ca="1">(tblBaseCF[[#This Row],[Year]]&lt;=ep_term)
*tblBaseCF[[#This Row],[ContFlag]]</f>
        <v>0</v>
      </c>
      <c r="K66" s="57">
        <f ca="1">(tblBaseCF[[#This Row],[Year]]&lt;=em_load_term)*1</f>
        <v>0</v>
      </c>
      <c r="L66" s="57">
        <f ca="1">(tblBaseCF[[#This Row],[Year]]&lt;=pm_load_term)*1</f>
        <v>0</v>
      </c>
      <c r="M66" s="59">
        <f ca="1">IF(tblBaseCF[[#This Row],[Year]]=1,si,OFFSET(tblBaseCF[[#This Row],[EndSI]],-1,0))
*tblBaseCF[[#This Row],[ContFlag]]</f>
        <v>0</v>
      </c>
      <c r="N66" s="59">
        <f ca="1">OFFSET(tblBaseCF[[#This Row],[EndTAV]],-1,0)
*tblBaseCF[[#This Row],[ContFlag]]</f>
        <v>0</v>
      </c>
      <c r="O66" s="59">
        <f ca="1">OFFSET(tblBaseCF[[#This Row],[EndEAV]],-1,0)
*tblBaseCF[[#This Row],[ContFlag]]</f>
        <v>0</v>
      </c>
      <c r="P66" s="60">
        <f ca="1">tblBaseCF[[#This Row],[StartEAV]]+tblBaseCF[[#This Row],[StartTAV]]</f>
        <v>0</v>
      </c>
      <c r="Q66" s="61">
        <f ca="1">IFERROR(INDEX(tblJuvenileLienRate[Rate],MATCH(tblBaseCF[[#This Row],[Age]],tblJuvenileLienRate[Age],0)),1)
*tblBaseCF[[#This Row],[ContFlag]]</f>
        <v>0</v>
      </c>
      <c r="R6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6" s="62">
        <f ca="1">tblBaseCF[[#This Row],[StartSI]]*acc_ben_coeff*tblBaseCF[[#This Row],[JuvenileLienRate]]
*tblBaseCF[[#This Row],[AccBenTermFlag]]</f>
        <v>0</v>
      </c>
      <c r="T66" s="61">
        <f ca="1">(IFERROR(INDEX(tblSurrChrgRate[Rate],MATCH(tblBaseCF[[#This Row],[Year]],tblSurrChrgRate[Year],0)),0)
*tblBaseCF[[#This Row],[ContFlag]])</f>
        <v>0</v>
      </c>
      <c r="U66" s="60">
        <f ca="1">tp*tblBaseCF[[#This Row],[SrrChrgRate]]</f>
        <v>0</v>
      </c>
      <c r="V66" s="63">
        <f ca="1">MAX(tblBaseCF[[#This Row],[StartTAV]]-tblBaseCF[[#This Row],[SVChrg]],0)+tblBaseCF[[#This Row],[StartEAV]]</f>
        <v>0</v>
      </c>
      <c r="W66" s="59">
        <f ca="1">IFERROR(INDEX(tblWithdrawal_Output[Amount],MATCH(tblBaseCF[[#This Row],[Year]],tblWithdrawal_Output[Year],0)),0)
*tblBaseCF[[#This Row],[ContFlag]]</f>
        <v>0</v>
      </c>
      <c r="X66" s="59" t="b">
        <f ca="1">tblBaseCF[[#This Row],[WithdrawalInput]]&gt;0</f>
        <v>0</v>
      </c>
      <c r="Y66" s="59" t="b">
        <f ca="1">AND(tblBaseCF[[#This Row],[1stCheckProceed]],tblBaseCF[[#This Row],[WithdrawalInput]]&lt;=tblBaseCF[[#This Row],[StartPAV]])</f>
        <v>0</v>
      </c>
      <c r="Z66" s="59" t="b">
        <f ca="1">AND(tblBaseCF[[#This Row],[2ndCheckAmount]],(tblBaseCF[[#This Row],[StartPAV]]-tblBaseCF[[#This Row],[WithdrawalInput]])&gt;=min_pav_after_withdrawal)</f>
        <v>0</v>
      </c>
      <c r="AA6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6" s="59" t="b">
        <f ca="1">AND(tblBaseCF[[#This Row],[3rdCheckPAV]],tblBaseCF[[#This Row],[endSITest]]&gt;=min_base_si)</f>
        <v>0</v>
      </c>
      <c r="AC66" s="60">
        <f ca="1">tblBaseCF[[#This Row],[WithdrawalInput]]*tblBaseCF[[#This Row],[4thCheckSI]]</f>
        <v>0</v>
      </c>
      <c r="AD66" s="60">
        <f ca="1">MIN(tblBaseCF[[#This Row],[Withdrawal]],tblBaseCF[[#This Row],[StartEAV]])</f>
        <v>0</v>
      </c>
      <c r="AE66" s="60">
        <f ca="1">tblBaseCF[[#This Row],[Withdrawal]]-tblBaseCF[[#This Row],[EAVWithdrawal]]</f>
        <v>0</v>
      </c>
      <c r="AF66" s="60">
        <f ca="1">IF(tblBaseCF[[#This Row],[4thCheckSI]],tblBaseCF[[#This Row],[endSITest]],tblBaseCF[[#This Row],[StartSI]])</f>
        <v>0</v>
      </c>
      <c r="AG6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6" s="65">
        <f ca="1">IFERROR(INDEX(tblTPAllocChrgRate[Rate],MATCH(tblBaseCF[[#This Row],[Year]],tblTPAllocChrgRate[Year],0)),0)</f>
        <v>0.02</v>
      </c>
      <c r="AI66" s="62">
        <f ca="1">(tp+big_case_bonus_tp*(tblBaseCF[[#This Row],[Year]]=1))
*tblBaseCF[[#This Row],[TPTermFlag]]</f>
        <v>0</v>
      </c>
      <c r="AJ66" s="63">
        <f ca="1">tblBaseCF[[#This Row],[TP]]*tblBaseCF[[#This Row],[TPAllocChrgRate]]</f>
        <v>0</v>
      </c>
      <c r="AK66" s="60">
        <f ca="1">tblBaseCF[[#This Row],[TP]]-tblBaseCF[[#This Row],[TPAllocChrg]]</f>
        <v>0</v>
      </c>
      <c r="AL66" s="65">
        <f ca="1">IFERROR(INDEX(tblEPAllocChrgRate[Rate],MATCH(tblBaseCF[[#This Row],[Year]],tblEPAllocChrgRate[Year],0)),0)</f>
        <v>0.02</v>
      </c>
      <c r="AM66" s="60">
        <f ca="1">ep*tblBaseCF[[#This Row],[EPTermFlag]]</f>
        <v>0</v>
      </c>
      <c r="AN66" s="60">
        <f ca="1">tblBaseCF[[#This Row],[EP]]*tblBaseCF[[#This Row],[EPAllocChrgRate]]</f>
        <v>0</v>
      </c>
      <c r="AO66" s="63">
        <f ca="1">tblBaseCF[[#This Row],[EP]]-tblBaseCF[[#This Row],[EPAllocChrg]]</f>
        <v>0</v>
      </c>
      <c r="AP66" s="62">
        <f ca="1">tblBaseCF[[#This Row],[Ben]]*extra_prem_rate*em_load/1000/(1-tblBaseCF[[#This Row],[EPAllocChrgRate]])
*tblBaseCF[[#This Row],[EMLoadTermFlag]]</f>
        <v>0</v>
      </c>
      <c r="AQ66" s="62">
        <f ca="1">tblBaseCF[[#This Row],[Ben]]*pm_load/1000/(1-tblBaseCF[[#This Row],[EPAllocChrgRate]])
*tblBaseCF[[#This Row],[PMLoadTermFlag]]</f>
        <v>0</v>
      </c>
      <c r="AR66" s="60">
        <f ca="1">ROUNDUP(tblBaseCF[[#This Row],[UnroundedEMLoad]],-3)</f>
        <v>0</v>
      </c>
      <c r="AS66" s="62">
        <f ca="1">ROUNDUP(tblBaseCF[[#This Row],[Ben]]*pm_load/1000/(1-tblBaseCF[[#This Row],[EPAllocChrgRate]]),-3)
*tblBaseCF[[#This Row],[PMLoadTermFlag]]</f>
        <v>0</v>
      </c>
      <c r="AT66" s="60">
        <f ca="1">tblBaseCF[[#This Row],[EMLoad]]+tblBaseCF[[#This Row],[PMLoad]]</f>
        <v>0</v>
      </c>
      <c r="AU66" s="60">
        <f ca="1">tblBaseCF[[#This Row],[Load]]*tblBaseCF[[#This Row],[EPAllocChrgRate]]</f>
        <v>0</v>
      </c>
      <c r="AV66" s="60">
        <f ca="1">tblBaseCF[[#This Row],[Load]]-tblBaseCF[[#This Row],[LoadAllocChrg]]</f>
        <v>0</v>
      </c>
      <c r="AW66" s="60">
        <f ca="1">tblBaseCF[[#This Row],[TP]]+tblBaseCF[[#This Row],[EP]]+tblBaseCF[[#This Row],[Load]]</f>
        <v>0</v>
      </c>
      <c r="AX66" s="60">
        <f ca="1">tblBaseCF[[#This Row],[TPAllocChrg]]+tblBaseCF[[#This Row],[EPAllocChrg]]+tblBaseCF[[#This Row],[LoadAllocChrg]]</f>
        <v>0</v>
      </c>
      <c r="AY66" s="60">
        <f ca="1">tblBaseCF[[#This Row],[TPAlloc]]+tblBaseCF[[#This Row],[EPAlloc]]+tblBaseCF[[#This Row],[LoadAlloc]]</f>
        <v>0</v>
      </c>
      <c r="AZ66" s="60">
        <f ca="1">(OFFSET(tblBaseCF[[#This Row],[AccumTotalPrem]],-1,0)+tblBaseCF[[#This Row],[TotalPrem]])*tblBaseCF[[#This Row],[TPTermFlag]]</f>
        <v>0</v>
      </c>
      <c r="BA66" s="62">
        <f ca="1">(tblBaseCF[[#This Row],[StartTAV]]-tblBaseCF[[#This Row],[TAVWithdrawal]]+tblBaseCF[[#This Row],[TPAlloc]])
*tblBaseCF[[#This Row],[ContFlag]]</f>
        <v>0</v>
      </c>
      <c r="BB66" s="59">
        <f ca="1">(tblBaseCF[[#This Row],[StartEAV]]-tblBaseCF[[#This Row],[EAVWithdrawal]]+tblBaseCF[[#This Row],[EPAlloc]]+tblBaseCF[[#This Row],[LoadAlloc]])
*tblBaseCF[[#This Row],[ContFlag]]</f>
        <v>0</v>
      </c>
      <c r="BC66" s="59">
        <f ca="1">tblBaseCF[[#This Row],[TAVAfterWdrlAlloc]]+tblBaseCF[[#This Row],[EAVAfterWdrlAlloc]]</f>
        <v>0</v>
      </c>
      <c r="BD66" s="66">
        <f t="shared" si="6"/>
        <v>0</v>
      </c>
      <c r="BE66" s="67">
        <f>(1+tblBaseCF[[#This Row],[AnnualIntRate]])^(1/12)-1</f>
        <v>0</v>
      </c>
      <c r="BF66" s="68">
        <f>IFERROR(((1+tblBaseCF[[#This Row],[MonthlyIntRate]])^12-1)/12/(1-1/(1+tblBaseCF[[#This Row],[MonthlyIntRate]])),1)/(1+tblBaseCF[[#This Row],[AnnualIntRate]])</f>
        <v>1</v>
      </c>
      <c r="BG66" s="69">
        <f>PV(tblBaseCF[[#This Row],[MonthlyIntRate]],12,-1/12,,1)</f>
        <v>1</v>
      </c>
      <c r="BH66" s="60">
        <f ca="1">MAX(IF(death_tpd_option="A",tblBaseCF[[#This Row],[Ben]]-tblBaseCF[[#This Row],[StartPAV]],tblBaseCF[[#This Row],[Ben]]),0)</f>
        <v>0</v>
      </c>
      <c r="BI66" s="70">
        <f ca="1">IFERROR(INDEX(tblBaseCOIRate[Rate],MATCH(tblBaseCF[[#This Row],[Age]],tblBaseCOIRate[Age],0)),0)</f>
        <v>3.6800000000000201E-3</v>
      </c>
      <c r="BJ66" s="60">
        <f ca="1">tblBaseCF[[#This Row],[SAR]]*tblBaseCF[[#This Row],[COIRate]]</f>
        <v>0</v>
      </c>
      <c r="BK66" s="62">
        <f ca="1">em_load*tblBaseCF[[#This Row],[pStandardCOI]]
*tblBaseCF[[#This Row],[EMLoadTermFlag]]</f>
        <v>0</v>
      </c>
      <c r="BL66" s="62">
        <f ca="1">pm_load/1000*tblBaseCF[[#This Row],[SAR]]
*tblBaseCF[[#This Row],[PMLoadTermFlag]]</f>
        <v>0</v>
      </c>
      <c r="BM66" s="60">
        <f ca="1">tblBaseCF[[#This Row],[AccBen]]*monthly_acc_coi*12</f>
        <v>0</v>
      </c>
      <c r="BN66" s="60">
        <f ca="1">tblBaseCF[[#This Row],[pStandardCOI]]+tblBaseCF[[#This Row],[pEMLoadCOI]]+tblBaseCF[[#This Row],[pPMLoadCOI]]+tblBaseCF[[#This Row],[pAccCOI]]</f>
        <v>0</v>
      </c>
      <c r="BO66" s="62">
        <f ca="1">IFERROR(INDEX(tblAdminChrg[Amount],MATCH(tblBaseCF[[#This Row],[CalYear]],tblAdminChrg[Cal_Year],0)),0)
*tblBaseCF[[#This Row],[ContFlag]]</f>
        <v>0</v>
      </c>
      <c r="BP66" s="60">
        <f ca="1">tblBaseCF[[#This Row],[pMonthlyAdminChrg]]*12</f>
        <v>0</v>
      </c>
      <c r="BQ66" s="60">
        <f ca="1">tblBaseCF[[#This Row],[pCOI]]+tblBaseCF[[#This Row],[pAdminChrg]]</f>
        <v>0</v>
      </c>
      <c r="BR66" s="60">
        <f ca="1">tblBaseCF[[#This Row],[pNomDeduct]]*tblBaseCF[[#This Row],[Duean1m12]]</f>
        <v>0</v>
      </c>
      <c r="BS66" s="57">
        <f ca="1">(tblBaseCF[[#This Row],[PAVAfterWdrlAlloc]]&gt;=tblBaseCF[[#This Row],[pNomDeduct]])
*tblBaseCF[[#This Row],[ContFlag]]</f>
        <v>0</v>
      </c>
      <c r="BT66" s="60">
        <f ca="1">tblBaseCF[[#This Row],[pStandardCOI]]*tblBaseCF[[#This Row],[DeductFlag]]</f>
        <v>0</v>
      </c>
      <c r="BU66" s="60">
        <f ca="1">tblBaseCF[[#This Row],[pEMLoadCOI]]*tblBaseCF[[#This Row],[DeductFlag]]</f>
        <v>0</v>
      </c>
      <c r="BV66" s="60">
        <f ca="1">tblBaseCF[[#This Row],[pPMLoadCOI]]*tblBaseCF[[#This Row],[DeductFlag]]</f>
        <v>0</v>
      </c>
      <c r="BW66" s="60">
        <f ca="1">tblBaseCF[[#This Row],[pAccCOI]]*tblBaseCF[[#This Row],[DeductFlag]]</f>
        <v>0</v>
      </c>
      <c r="BX66" s="60">
        <f ca="1">tblBaseCF[[#This Row],[pCOI]]*tblBaseCF[[#This Row],[DeductFlag]]</f>
        <v>0</v>
      </c>
      <c r="BY66" s="60">
        <f ca="1">tblBaseCF[[#This Row],[pMonthlyAdminChrg]]*tblBaseCF[[#This Row],[DeductFlag]]</f>
        <v>0</v>
      </c>
      <c r="BZ66" s="60">
        <f ca="1">tblBaseCF[[#This Row],[pAdminChrg]]*tblBaseCF[[#This Row],[DeductFlag]]</f>
        <v>0</v>
      </c>
      <c r="CA66" s="60">
        <f ca="1">tblBaseCF[[#This Row],[pNomDeduct]]*tblBaseCF[[#This Row],[DeductFlag]]</f>
        <v>0</v>
      </c>
      <c r="CB66" s="60">
        <f ca="1">tblBaseCF[[#This Row],[pDeduct]]*tblBaseCF[[#This Row],[DeductFlag]]</f>
        <v>0</v>
      </c>
      <c r="CC66" s="60">
        <f ca="1">MIN(tblBaseCF[[#This Row],[TAVAfterWdrlAlloc]],tblBaseCF[[#This Row],[Deduct]])</f>
        <v>0</v>
      </c>
      <c r="CD66" s="60">
        <f ca="1">tblBaseCF[[#This Row],[Deduct]]-tblBaseCF[[#This Row],[TAVDeduct]]</f>
        <v>0</v>
      </c>
      <c r="CE66" s="69">
        <f ca="1">(tblBaseCF[[#This Row],[TAVAfterWdrlAlloc]]-tblBaseCF[[#This Row],[TAVDeduct]])*tblBaseCF[[#This Row],[AnnualIntRate]]
*tblBaseCF[[#This Row],[DeductFlag]]</f>
        <v>0</v>
      </c>
      <c r="CF66" s="69">
        <f ca="1">(tblBaseCF[[#This Row],[EAVAfterWdrlAlloc]]-tblBaseCF[[#This Row],[EAVDeduct]])*tblBaseCF[[#This Row],[AnnualIntRate]]
*tblBaseCF[[#This Row],[DeductFlag]]</f>
        <v>0</v>
      </c>
      <c r="CG66" s="69">
        <f ca="1">tblBaseCF[[#This Row],[TAVInt]]+tblBaseCF[[#This Row],[EAVInt]]</f>
        <v>0</v>
      </c>
      <c r="CH66" s="62">
        <f ca="1">IFERROR(INDEX(tblLBRate[Rate],MATCH(tblBaseCF[[#This Row],[Year]],tblLBRate[Year],0)),0)
*tblBaseCF[[#This Row],[DeductFlag]]</f>
        <v>0</v>
      </c>
      <c r="CI66" s="60">
        <f ca="1">IFERROR(SUM(OFFSET(tblBaseCF[[#This Row],[TAVWithdrawal]],0,0,-lb_review_period,1)),0)
*(tblBaseCF[[#This Row],[LBRate]]&gt;0)</f>
        <v>0</v>
      </c>
      <c r="CJ66" s="60">
        <f ca="1">(tblBaseCF[[#This Row],[LBRate]]&gt;0)*(tblBaseCF[[#This Row],[LBTAVWithdrawal]]=0)</f>
        <v>0</v>
      </c>
      <c r="CK66" s="62" cm="1">
        <f t="array" aca="1" ref="CK66" ca="1">IF(tblBaseCF[[#This Row],[LBFlag]],
_xlfn.SWITCH(base,
"ILP1",AVERAGE(OFFSET(tblBaseCF[TP],0,0,-lb_review_period,1)),tp),0)
*tblBaseCF[[#This Row],[LBFlag]]</f>
        <v>0</v>
      </c>
      <c r="CL66" s="62">
        <f ca="1">tblBaseCF[[#This Row],[LBBasis]]*tblBaseCF[[#This Row],[LBRate]]</f>
        <v>0</v>
      </c>
      <c r="CM66" s="57" cm="1">
        <f t="array" aca="1" ref="CM66" ca="1">_xlfn.SWITCH(base,
"ILP1",0,($AF166&lt;500000000)*1
+($AF166&gt;=500000000)*($AF166&lt;1000000000)*2
+($AF166&gt;=1000000000)*3)
*tblBaseCF[[#This Row],[DeductFlag]]</f>
        <v>0</v>
      </c>
      <c r="CN66" s="2" t="str">
        <f ca="1">IF(tblBaseCF[[#This Row],[DeductFlag]],base&amp;"_"&amp;tblBaseCF[[#This Row],[SBCode]]&amp;"_"&amp;tblBaseCF[[#This Row],[Year]],"")</f>
        <v/>
      </c>
      <c r="CO66" s="3">
        <f ca="1">IFERROR(INDEX(tblSBRate[Index],MATCH(tblBaseCF[[#This Row],[SBIndex]],tblSBRate[Rate],0)),0)</f>
        <v>0</v>
      </c>
      <c r="CP66" s="63">
        <f ca="1">IFERROR(SUM(OFFSET(tblBaseCF[[#This Row],[TAVWithdrawal]],0,0,-sb_review_period,1)),0)
*(tblBaseCF[[#This Row],[SBRate]]&gt;0)</f>
        <v>0</v>
      </c>
      <c r="CQ66" s="63">
        <f ca="1">(tblBaseCF[[#This Row],[SBRate]]&gt;0)*(tblBaseCF[[#This Row],[SBTAVWithdrawal]]=0)</f>
        <v>0</v>
      </c>
      <c r="CR66" s="59" cm="1">
        <f t="array" aca="1" ref="CR66" ca="1">IF(tblBaseCF[[#This Row],[LBFlag]],
_xlfn.SWITCH(base,
"ILP1",0,tp),0)*tblBaseCF[[#This Row],[SBFlag]]</f>
        <v>0</v>
      </c>
      <c r="CS66" s="63">
        <f ca="1">tblBaseCF[[#This Row],[SBBasis]]*tblBaseCF[[#This Row],[SBRate]]</f>
        <v>0</v>
      </c>
      <c r="CT66" s="63">
        <f ca="1">tblBaseCF[[#This Row],[LB]]+tblBaseCF[[#This Row],[SB]]</f>
        <v>0</v>
      </c>
      <c r="CU66" s="59">
        <f ca="1">tblBaseCF[[#This Row],[TAVAfterWdrlAlloc]]-tblBaseCF[[#This Row],[TAVDeduct]]+tblBaseCF[[#This Row],[TAVInt]]+tblBaseCF[[#This Row],[Bonus]]</f>
        <v>0</v>
      </c>
      <c r="CV66" s="59">
        <f ca="1">tblBaseCF[[#This Row],[EAVAfterWdrlAlloc]]-tblBaseCF[[#This Row],[EAVDeduct]]+tblBaseCF[[#This Row],[EAVInt]]</f>
        <v>0</v>
      </c>
      <c r="CW66" s="63">
        <f ca="1">tblBaseCF[[#This Row],[EndTAV]]+tblBaseCF[[#This Row],[EndEAV]]</f>
        <v>0</v>
      </c>
      <c r="CX66" s="59">
        <f ca="1">INDEX(tblPlanPrem[TP],2)
*tblBaseCF[[#This Row],[TPTermFlag]]</f>
        <v>0</v>
      </c>
      <c r="CY66" s="59">
        <f ca="1">INDEX(tblPlanPrem[EP],2)
*tblBaseCF[[#This Row],[TPTermFlag]]</f>
        <v>0</v>
      </c>
      <c r="CZ66" s="63">
        <f ca="1">ROUNDUP(tblBaseCF[[#This Row],[UnroundedEMLoad]]*INDEX(tblPlanPrem[Factor],2),-3)</f>
        <v>0</v>
      </c>
      <c r="DA66" s="63">
        <f ca="1">ROUNDUP(tblBaseCF[[#This Row],[UnroundedPMLoad]]*INDEX(tblPlanPrem[Factor],2),-3)</f>
        <v>0</v>
      </c>
      <c r="DB66" s="63">
        <f ca="1">tblBaseCF[[#This Row],[SemiAnnualEMLoad]]+tblBaseCF[[#This Row],[SemiAnnualPMLoad]]</f>
        <v>0</v>
      </c>
      <c r="DC66" s="63">
        <f ca="1">tblBaseCF[[#This Row],[SemiAnnualTP]]+tblBaseCF[[#This Row],[SemiAnnualEP]]+tblBaseCF[[#This Row],[SemiAnnualLoad]]</f>
        <v>0</v>
      </c>
      <c r="DD66" s="59">
        <f ca="1">INDEX(tblPlanPrem[TP],3)
*tblBaseCF[[#This Row],[TPTermFlag]]</f>
        <v>0</v>
      </c>
      <c r="DE66" s="59">
        <f ca="1">INDEX(tblPlanPrem[EP],3)
*tblBaseCF[[#This Row],[TPTermFlag]]</f>
        <v>0</v>
      </c>
      <c r="DF66" s="63">
        <f ca="1">ROUNDUP(tblBaseCF[[#This Row],[UnroundedEMLoad]]*INDEX(tblPlanPrem[Factor],3),-3)</f>
        <v>0</v>
      </c>
      <c r="DG66" s="63">
        <f ca="1">ROUNDUP(tblBaseCF[[#This Row],[UnroundedPMLoad]]*INDEX(tblPlanPrem[Factor],3),-3)</f>
        <v>0</v>
      </c>
      <c r="DH66" s="60">
        <f ca="1">tblBaseCF[[#This Row],[QuarterlyEMLoad]]+tblBaseCF[[#This Row],[QuarterlyPMLoad]]</f>
        <v>0</v>
      </c>
      <c r="DI66" s="60">
        <f ca="1">tblBaseCF[[#This Row],[QuarterlyTP]]+tblBaseCF[[#This Row],[QuarterlyEP]]+tblBaseCF[[#This Row],[QuarterlyLoad]]</f>
        <v>0</v>
      </c>
      <c r="DJ66" s="59">
        <f ca="1">INDEX(tblPlanPrem[TP],4)
*tblBaseCF[[#This Row],[TPTermFlag]]</f>
        <v>0</v>
      </c>
      <c r="DK66" s="59">
        <f ca="1">INDEX(tblPlanPrem[EP],4)
*tblBaseCF[[#This Row],[TPTermFlag]]</f>
        <v>0</v>
      </c>
      <c r="DL66" s="63">
        <f ca="1">ROUNDUP(tblBaseCF[[#This Row],[UnroundedEMLoad]]*INDEX(tblPlanPrem[Factor],4),-3)</f>
        <v>0</v>
      </c>
      <c r="DM66" s="63">
        <f ca="1">ROUNDUP(tblBaseCF[[#This Row],[UnroundedPMLoad]]*INDEX(tblPlanPrem[Factor],4),-3)</f>
        <v>0</v>
      </c>
      <c r="DN66" s="60">
        <f ca="1">tblBaseCF[[#This Row],[MonthlyEMLoad]]+tblBaseCF[[#This Row],[MonthlyPMLoad]]</f>
        <v>0</v>
      </c>
      <c r="DO66" s="63">
        <f ca="1">tblBaseCF[[#This Row],[MonthlyTP]]+tblBaseCF[[#This Row],[MonthlyEP]]+tblBaseCF[[#This Row],[MonthlyLoad]]</f>
        <v>0</v>
      </c>
      <c r="DP66" s="3"/>
      <c r="DS66">
        <f t="shared" si="7"/>
        <v>0</v>
      </c>
      <c r="DT66">
        <f t="shared" si="8"/>
        <v>0</v>
      </c>
      <c r="DU66">
        <f t="shared" si="9"/>
        <v>0</v>
      </c>
      <c r="DV66">
        <f ca="1">tblBaseCF[[#This Row],[Year]]</f>
        <v>46</v>
      </c>
      <c r="DW66">
        <f ca="1">tblBaseCF[[#This Row],[Age]]</f>
        <v>45</v>
      </c>
      <c r="DX66">
        <f ca="1">tblBaseCF[[#This Row],[ContFlag]]</f>
        <v>0</v>
      </c>
      <c r="DY66" t="str">
        <f ca="1">tblBaseCF[[#This Row],[ContLog]]</f>
        <v>Insufficient PAV for deduction - Discontinue.</v>
      </c>
      <c r="DZ66">
        <f ca="1">tblBaseCF[[#This Row],[StartTAV]]</f>
        <v>0</v>
      </c>
      <c r="EA66">
        <f ca="1">tblBaseCF[[#This Row],[StartEAV]]</f>
        <v>0</v>
      </c>
      <c r="EB66">
        <f ca="1">tblBaseCF[[#This Row],[StartPAV]]</f>
        <v>0</v>
      </c>
      <c r="EC66">
        <f ca="1">tblBaseCF[[#This Row],[SVChrg]]</f>
        <v>0</v>
      </c>
      <c r="ED66">
        <f ca="1">tblBaseCF[[#This Row],[SV]]</f>
        <v>0</v>
      </c>
      <c r="EE66">
        <f ca="1">tblBaseCF[[#This Row],[Ben]]</f>
        <v>0</v>
      </c>
      <c r="EF66">
        <f ca="1">tblBaseCF[[#This Row],[AccBen]]</f>
        <v>0</v>
      </c>
      <c r="EG66">
        <f ca="1">tblBaseCF[[#This Row],[WithdrawalInput]]</f>
        <v>0</v>
      </c>
      <c r="EH66" t="str">
        <f ca="1">tblBaseCF[[#This Row],[WithdrawalLog]]</f>
        <v>No withdrawal.</v>
      </c>
      <c r="EI66">
        <f ca="1">tblBaseCF[[#This Row],[TAVWithdrawal]]</f>
        <v>0</v>
      </c>
      <c r="EJ66">
        <f ca="1">tblBaseCF[[#This Row],[EAVWithdrawal]]</f>
        <v>0</v>
      </c>
      <c r="EK66">
        <f ca="1">tblBaseCF[[#This Row],[Withdrawal]]</f>
        <v>0</v>
      </c>
      <c r="EL66">
        <f ca="1">tblBaseCF[[#This Row],[TP]]</f>
        <v>0</v>
      </c>
      <c r="EM66">
        <f ca="1">tblBaseCF[[#This Row],[TPAllocChrg]]</f>
        <v>0</v>
      </c>
      <c r="EN66">
        <f ca="1">tblBaseCF[[#This Row],[TPAlloc]]</f>
        <v>0</v>
      </c>
      <c r="EO66">
        <f ca="1">tblBaseCF[[#This Row],[EP]]</f>
        <v>0</v>
      </c>
      <c r="EP66">
        <f ca="1">tblBaseCF[[#This Row],[EPAllocChrg]]</f>
        <v>0</v>
      </c>
      <c r="EQ66">
        <f ca="1">tblBaseCF[[#This Row],[EPAlloc]]</f>
        <v>0</v>
      </c>
      <c r="ER66">
        <f ca="1">tblBaseCF[[#This Row],[EMLoad]]</f>
        <v>0</v>
      </c>
      <c r="ES66">
        <f ca="1">tblBaseCF[[#This Row],[PMLoad]]</f>
        <v>0</v>
      </c>
      <c r="ET66">
        <f ca="1">tblBaseCF[[#This Row],[Load]]</f>
        <v>0</v>
      </c>
      <c r="EU66">
        <f ca="1">tblBaseCF[[#This Row],[LoadAllocChrg]]</f>
        <v>0</v>
      </c>
      <c r="EV66">
        <f ca="1">tblBaseCF[[#This Row],[LoadAlloc]]</f>
        <v>0</v>
      </c>
      <c r="EW66">
        <f ca="1">tblBaseCF[[#This Row],[TotalPrem]]</f>
        <v>0</v>
      </c>
      <c r="EX66">
        <f ca="1">tblBaseCF[[#This Row],[AllocChrg]]</f>
        <v>0</v>
      </c>
      <c r="EY66">
        <f ca="1">tblBaseCF[[#This Row],[Alloc]]</f>
        <v>0</v>
      </c>
      <c r="EZ66">
        <f ca="1">tblBaseCF[[#This Row],[AccumTotalPrem]]</f>
        <v>0</v>
      </c>
      <c r="FA66">
        <f>tblBaseCF[[#This Row],[AnnualIntRate]]</f>
        <v>0</v>
      </c>
      <c r="FB66" s="50">
        <f>tblBaseCF[[#This Row],[Duean1m12]]</f>
        <v>1</v>
      </c>
      <c r="FC66">
        <f ca="1">tblBaseCF[[#This Row],[DeductFlag]]</f>
        <v>0</v>
      </c>
      <c r="FD66">
        <f ca="1">tblBaseCF[[#This Row],[AdminChrg]]</f>
        <v>0</v>
      </c>
      <c r="FE66">
        <f ca="1">tblBaseCF[[#This Row],[StandardCOI]]</f>
        <v>0</v>
      </c>
      <c r="FF66">
        <f ca="1">tblBaseCF[[#This Row],[EMLoadCOI]]</f>
        <v>0</v>
      </c>
      <c r="FG66">
        <f ca="1">tblBaseCF[[#This Row],[PMLoadCOI]]</f>
        <v>0</v>
      </c>
      <c r="FH66">
        <f ca="1">tblBaseCF[[#This Row],[COI]]</f>
        <v>0</v>
      </c>
      <c r="FI66" s="47">
        <f ca="1">tblBaseCF[[#This Row],[NomDeduct]]</f>
        <v>0</v>
      </c>
      <c r="FJ66">
        <f ca="1">tblBaseCF[[#This Row],[Deduct]]</f>
        <v>0</v>
      </c>
      <c r="FK66">
        <f ca="1">tblBaseCF[[#This Row],[TAVDeduct]]</f>
        <v>0</v>
      </c>
      <c r="FL66">
        <f ca="1">tblBaseCF[[#This Row],[EAVDeduct]]</f>
        <v>0</v>
      </c>
      <c r="FM66" s="24">
        <f ca="1">tblBaseCF[[#This Row],[TAVInt]]</f>
        <v>0</v>
      </c>
      <c r="FN66">
        <f ca="1">tblBaseCF[[#This Row],[EAVInt]]</f>
        <v>0</v>
      </c>
      <c r="FO66" s="47">
        <f ca="1">tblBaseCF[[#This Row],[LB]]</f>
        <v>0</v>
      </c>
      <c r="FP66">
        <f ca="1">tblBaseCF[[#This Row],[SB]]</f>
        <v>0</v>
      </c>
      <c r="FQ66">
        <f ca="1">tblBaseCF[[#This Row],[Bonus]]</f>
        <v>0</v>
      </c>
      <c r="FR66">
        <f ca="1">tblBaseCF[[#This Row],[EndTAV]]</f>
        <v>0</v>
      </c>
      <c r="FS66">
        <f ca="1">tblBaseCF[[#This Row],[EndEAV]]</f>
        <v>0</v>
      </c>
      <c r="FT66">
        <f ca="1">tblBaseCF[[#This Row],[EndPAV]]</f>
        <v>0</v>
      </c>
      <c r="FU66">
        <f ca="1">tblBaseCF[[#This Row],[SemiAnnualTP]]</f>
        <v>0</v>
      </c>
      <c r="FV66">
        <f ca="1">tblBaseCF[[#This Row],[SemiAnnualEP]]</f>
        <v>0</v>
      </c>
      <c r="FW66">
        <f ca="1">tblBaseCF[[#This Row],[SemiAnnualEMLoad]]</f>
        <v>0</v>
      </c>
      <c r="FX66">
        <f ca="1">tblBaseCF[[#This Row],[SemiAnnualPMLoad]]</f>
        <v>0</v>
      </c>
      <c r="FY66">
        <f ca="1">tblBaseCF[[#This Row],[SemiAnnualLoad]]</f>
        <v>0</v>
      </c>
      <c r="FZ66">
        <f ca="1">tblBaseCF[[#This Row],[SemiAnnualTotalPrem]]</f>
        <v>0</v>
      </c>
      <c r="GA66">
        <f ca="1">tblBaseCF[[#This Row],[QuarterlyTP]]</f>
        <v>0</v>
      </c>
      <c r="GB66">
        <f ca="1">tblBaseCF[[#This Row],[QuarterlyEP]]</f>
        <v>0</v>
      </c>
      <c r="GC66">
        <f ca="1">tblBaseCF[[#This Row],[QuarterlyEMLoad]]</f>
        <v>0</v>
      </c>
      <c r="GD66">
        <f ca="1">tblBaseCF[[#This Row],[QuarterlyPMLoad]]</f>
        <v>0</v>
      </c>
      <c r="GE66">
        <f ca="1">tblBaseCF[[#This Row],[QuarterlyLoad]]</f>
        <v>0</v>
      </c>
      <c r="GF66">
        <f ca="1">tblBaseCF[[#This Row],[QuarterlyTotalPrem]]</f>
        <v>0</v>
      </c>
      <c r="GG66">
        <f ca="1">tblBaseCF[[#This Row],[MonthlyTP]]</f>
        <v>0</v>
      </c>
      <c r="GH66">
        <f ca="1">tblBaseCF[[#This Row],[MonthlyEP]]</f>
        <v>0</v>
      </c>
      <c r="GI66">
        <f ca="1">tblBaseCF[[#This Row],[MonthlyEMLoad]]</f>
        <v>0</v>
      </c>
      <c r="GJ66">
        <f ca="1">tblBaseCF[[#This Row],[MonthlyPMLoad]]</f>
        <v>0</v>
      </c>
      <c r="GK66">
        <f ca="1">tblBaseCF[[#This Row],[MonthlyLoad]]</f>
        <v>0</v>
      </c>
      <c r="GL66">
        <f ca="1">tblBaseCF[[#This Row],[MonthlyTotalPrem]]</f>
        <v>0</v>
      </c>
      <c r="GO66" t="s">
        <v>134</v>
      </c>
      <c r="GP66" t="s">
        <v>135</v>
      </c>
      <c r="GQ66" t="s">
        <v>502</v>
      </c>
      <c r="GR66">
        <v>46</v>
      </c>
      <c r="GS66">
        <v>45</v>
      </c>
      <c r="GT66">
        <v>1</v>
      </c>
      <c r="GU66" t="s">
        <v>457</v>
      </c>
      <c r="GV66">
        <v>106451237.72796001</v>
      </c>
      <c r="GW66">
        <v>871787409.781721</v>
      </c>
      <c r="GX66">
        <v>978238647.50968099</v>
      </c>
      <c r="GY66">
        <v>0</v>
      </c>
      <c r="GZ66">
        <v>978238647.50968099</v>
      </c>
      <c r="HA66">
        <v>978238647.50968099</v>
      </c>
      <c r="HB66">
        <v>303000000</v>
      </c>
      <c r="HC66">
        <v>0</v>
      </c>
      <c r="HD66" t="s">
        <v>137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7.0000000000000007E-2</v>
      </c>
      <c r="HX66">
        <v>0.96964931039809399</v>
      </c>
      <c r="HY66">
        <v>1</v>
      </c>
      <c r="HZ66">
        <v>300000</v>
      </c>
      <c r="IA66">
        <v>0</v>
      </c>
      <c r="IB66">
        <v>0</v>
      </c>
      <c r="IC66">
        <v>0</v>
      </c>
      <c r="ID66">
        <v>272700</v>
      </c>
      <c r="IE66">
        <v>572700</v>
      </c>
      <c r="IF66">
        <v>555318.16006498795</v>
      </c>
      <c r="IG66">
        <v>555318.16006498795</v>
      </c>
      <c r="IH66">
        <v>0</v>
      </c>
      <c r="II66">
        <v>7412714.3697526399</v>
      </c>
      <c r="IJ66">
        <v>61025118.684720501</v>
      </c>
      <c r="IK66">
        <v>0</v>
      </c>
      <c r="IL66">
        <v>0</v>
      </c>
      <c r="IM66">
        <v>0</v>
      </c>
      <c r="IN66">
        <v>113308633.937647</v>
      </c>
      <c r="IO66">
        <v>932812528.46644199</v>
      </c>
      <c r="IP66">
        <v>1046121162.40409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</row>
    <row r="67" spans="2:268" customFormat="1" x14ac:dyDescent="0.25">
      <c r="B67" s="2">
        <f ca="1">OFFSET(tblBaseCF[[#This Row],[Year]],-1,0)+1</f>
        <v>47</v>
      </c>
      <c r="C67" s="2">
        <f ca="1">(tblBaseCF[[#This Row],[Year]]&lt;=term)*1</f>
        <v>1</v>
      </c>
      <c r="D67" s="57">
        <f ca="1">(YEAR(rcd)+tblBaseCF[[#This Row],[Year]]-1)
*tblBaseCF[[#This Row],[PolTermFlag]]</f>
        <v>2071</v>
      </c>
      <c r="E67" s="57">
        <f ca="1">(mainLI_entry_age+tblBaseCF[[#This Row],[Year]]-1)
*tblBaseCF[[#This Row],[PolTermFlag]]</f>
        <v>46</v>
      </c>
      <c r="F67" s="57">
        <f ca="1">IF(tblBaseCF[[#This Row],[Year]]=1,1,OFFSET(tblBaseCF[[#This Row],[DeductFlag]],-1,0))
*tblBaseCF[[#This Row],[PolTermFlag]]</f>
        <v>0</v>
      </c>
      <c r="G6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7" s="57">
        <f ca="1">(tblBaseCF[[#This Row],[Year]]&lt;=acc_ben_term)
*tblBaseCF[[#This Row],[ContFlag]]</f>
        <v>0</v>
      </c>
      <c r="I67" s="57">
        <f ca="1">(tblBaseCF[[#This Row],[Year]]&lt;=tp_term)
*tblBaseCF[[#This Row],[ContFlag]]</f>
        <v>0</v>
      </c>
      <c r="J67" s="57">
        <f ca="1">(tblBaseCF[[#This Row],[Year]]&lt;=ep_term)
*tblBaseCF[[#This Row],[ContFlag]]</f>
        <v>0</v>
      </c>
      <c r="K67" s="57">
        <f ca="1">(tblBaseCF[[#This Row],[Year]]&lt;=em_load_term)*1</f>
        <v>0</v>
      </c>
      <c r="L67" s="57">
        <f ca="1">(tblBaseCF[[#This Row],[Year]]&lt;=pm_load_term)*1</f>
        <v>0</v>
      </c>
      <c r="M67" s="59">
        <f ca="1">IF(tblBaseCF[[#This Row],[Year]]=1,si,OFFSET(tblBaseCF[[#This Row],[EndSI]],-1,0))
*tblBaseCF[[#This Row],[ContFlag]]</f>
        <v>0</v>
      </c>
      <c r="N67" s="59">
        <f ca="1">OFFSET(tblBaseCF[[#This Row],[EndTAV]],-1,0)
*tblBaseCF[[#This Row],[ContFlag]]</f>
        <v>0</v>
      </c>
      <c r="O67" s="59">
        <f ca="1">OFFSET(tblBaseCF[[#This Row],[EndEAV]],-1,0)
*tblBaseCF[[#This Row],[ContFlag]]</f>
        <v>0</v>
      </c>
      <c r="P67" s="60">
        <f ca="1">tblBaseCF[[#This Row],[StartEAV]]+tblBaseCF[[#This Row],[StartTAV]]</f>
        <v>0</v>
      </c>
      <c r="Q67" s="61">
        <f ca="1">IFERROR(INDEX(tblJuvenileLienRate[Rate],MATCH(tblBaseCF[[#This Row],[Age]],tblJuvenileLienRate[Age],0)),1)
*tblBaseCF[[#This Row],[ContFlag]]</f>
        <v>0</v>
      </c>
      <c r="R6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7" s="62">
        <f ca="1">tblBaseCF[[#This Row],[StartSI]]*acc_ben_coeff*tblBaseCF[[#This Row],[JuvenileLienRate]]
*tblBaseCF[[#This Row],[AccBenTermFlag]]</f>
        <v>0</v>
      </c>
      <c r="T67" s="61">
        <f ca="1">(IFERROR(INDEX(tblSurrChrgRate[Rate],MATCH(tblBaseCF[[#This Row],[Year]],tblSurrChrgRate[Year],0)),0)
*tblBaseCF[[#This Row],[ContFlag]])</f>
        <v>0</v>
      </c>
      <c r="U67" s="60">
        <f ca="1">tp*tblBaseCF[[#This Row],[SrrChrgRate]]</f>
        <v>0</v>
      </c>
      <c r="V67" s="63">
        <f ca="1">MAX(tblBaseCF[[#This Row],[StartTAV]]-tblBaseCF[[#This Row],[SVChrg]],0)+tblBaseCF[[#This Row],[StartEAV]]</f>
        <v>0</v>
      </c>
      <c r="W67" s="59">
        <f ca="1">IFERROR(INDEX(tblWithdrawal_Output[Amount],MATCH(tblBaseCF[[#This Row],[Year]],tblWithdrawal_Output[Year],0)),0)
*tblBaseCF[[#This Row],[ContFlag]]</f>
        <v>0</v>
      </c>
      <c r="X67" s="59" t="b">
        <f ca="1">tblBaseCF[[#This Row],[WithdrawalInput]]&gt;0</f>
        <v>0</v>
      </c>
      <c r="Y67" s="59" t="b">
        <f ca="1">AND(tblBaseCF[[#This Row],[1stCheckProceed]],tblBaseCF[[#This Row],[WithdrawalInput]]&lt;=tblBaseCF[[#This Row],[StartPAV]])</f>
        <v>0</v>
      </c>
      <c r="Z67" s="59" t="b">
        <f ca="1">AND(tblBaseCF[[#This Row],[2ndCheckAmount]],(tblBaseCF[[#This Row],[StartPAV]]-tblBaseCF[[#This Row],[WithdrawalInput]])&gt;=min_pav_after_withdrawal)</f>
        <v>0</v>
      </c>
      <c r="AA6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7" s="59" t="b">
        <f ca="1">AND(tblBaseCF[[#This Row],[3rdCheckPAV]],tblBaseCF[[#This Row],[endSITest]]&gt;=min_base_si)</f>
        <v>0</v>
      </c>
      <c r="AC67" s="60">
        <f ca="1">tblBaseCF[[#This Row],[WithdrawalInput]]*tblBaseCF[[#This Row],[4thCheckSI]]</f>
        <v>0</v>
      </c>
      <c r="AD67" s="60">
        <f ca="1">MIN(tblBaseCF[[#This Row],[Withdrawal]],tblBaseCF[[#This Row],[StartEAV]])</f>
        <v>0</v>
      </c>
      <c r="AE67" s="60">
        <f ca="1">tblBaseCF[[#This Row],[Withdrawal]]-tblBaseCF[[#This Row],[EAVWithdrawal]]</f>
        <v>0</v>
      </c>
      <c r="AF67" s="60">
        <f ca="1">IF(tblBaseCF[[#This Row],[4thCheckSI]],tblBaseCF[[#This Row],[endSITest]],tblBaseCF[[#This Row],[StartSI]])</f>
        <v>0</v>
      </c>
      <c r="AG6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7" s="65">
        <f ca="1">IFERROR(INDEX(tblTPAllocChrgRate[Rate],MATCH(tblBaseCF[[#This Row],[Year]],tblTPAllocChrgRate[Year],0)),0)</f>
        <v>0.02</v>
      </c>
      <c r="AI67" s="62">
        <f ca="1">(tp+big_case_bonus_tp*(tblBaseCF[[#This Row],[Year]]=1))
*tblBaseCF[[#This Row],[TPTermFlag]]</f>
        <v>0</v>
      </c>
      <c r="AJ67" s="63">
        <f ca="1">tblBaseCF[[#This Row],[TP]]*tblBaseCF[[#This Row],[TPAllocChrgRate]]</f>
        <v>0</v>
      </c>
      <c r="AK67" s="60">
        <f ca="1">tblBaseCF[[#This Row],[TP]]-tblBaseCF[[#This Row],[TPAllocChrg]]</f>
        <v>0</v>
      </c>
      <c r="AL67" s="65">
        <f ca="1">IFERROR(INDEX(tblEPAllocChrgRate[Rate],MATCH(tblBaseCF[[#This Row],[Year]],tblEPAllocChrgRate[Year],0)),0)</f>
        <v>0.02</v>
      </c>
      <c r="AM67" s="60">
        <f ca="1">ep*tblBaseCF[[#This Row],[EPTermFlag]]</f>
        <v>0</v>
      </c>
      <c r="AN67" s="60">
        <f ca="1">tblBaseCF[[#This Row],[EP]]*tblBaseCF[[#This Row],[EPAllocChrgRate]]</f>
        <v>0</v>
      </c>
      <c r="AO67" s="63">
        <f ca="1">tblBaseCF[[#This Row],[EP]]-tblBaseCF[[#This Row],[EPAllocChrg]]</f>
        <v>0</v>
      </c>
      <c r="AP67" s="62">
        <f ca="1">tblBaseCF[[#This Row],[Ben]]*extra_prem_rate*em_load/1000/(1-tblBaseCF[[#This Row],[EPAllocChrgRate]])
*tblBaseCF[[#This Row],[EMLoadTermFlag]]</f>
        <v>0</v>
      </c>
      <c r="AQ67" s="62">
        <f ca="1">tblBaseCF[[#This Row],[Ben]]*pm_load/1000/(1-tblBaseCF[[#This Row],[EPAllocChrgRate]])
*tblBaseCF[[#This Row],[PMLoadTermFlag]]</f>
        <v>0</v>
      </c>
      <c r="AR67" s="60">
        <f ca="1">ROUNDUP(tblBaseCF[[#This Row],[UnroundedEMLoad]],-3)</f>
        <v>0</v>
      </c>
      <c r="AS67" s="62">
        <f ca="1">ROUNDUP(tblBaseCF[[#This Row],[Ben]]*pm_load/1000/(1-tblBaseCF[[#This Row],[EPAllocChrgRate]]),-3)
*tblBaseCF[[#This Row],[PMLoadTermFlag]]</f>
        <v>0</v>
      </c>
      <c r="AT67" s="60">
        <f ca="1">tblBaseCF[[#This Row],[EMLoad]]+tblBaseCF[[#This Row],[PMLoad]]</f>
        <v>0</v>
      </c>
      <c r="AU67" s="60">
        <f ca="1">tblBaseCF[[#This Row],[Load]]*tblBaseCF[[#This Row],[EPAllocChrgRate]]</f>
        <v>0</v>
      </c>
      <c r="AV67" s="60">
        <f ca="1">tblBaseCF[[#This Row],[Load]]-tblBaseCF[[#This Row],[LoadAllocChrg]]</f>
        <v>0</v>
      </c>
      <c r="AW67" s="60">
        <f ca="1">tblBaseCF[[#This Row],[TP]]+tblBaseCF[[#This Row],[EP]]+tblBaseCF[[#This Row],[Load]]</f>
        <v>0</v>
      </c>
      <c r="AX67" s="60">
        <f ca="1">tblBaseCF[[#This Row],[TPAllocChrg]]+tblBaseCF[[#This Row],[EPAllocChrg]]+tblBaseCF[[#This Row],[LoadAllocChrg]]</f>
        <v>0</v>
      </c>
      <c r="AY67" s="60">
        <f ca="1">tblBaseCF[[#This Row],[TPAlloc]]+tblBaseCF[[#This Row],[EPAlloc]]+tblBaseCF[[#This Row],[LoadAlloc]]</f>
        <v>0</v>
      </c>
      <c r="AZ67" s="60">
        <f ca="1">(OFFSET(tblBaseCF[[#This Row],[AccumTotalPrem]],-1,0)+tblBaseCF[[#This Row],[TotalPrem]])*tblBaseCF[[#This Row],[TPTermFlag]]</f>
        <v>0</v>
      </c>
      <c r="BA67" s="62">
        <f ca="1">(tblBaseCF[[#This Row],[StartTAV]]-tblBaseCF[[#This Row],[TAVWithdrawal]]+tblBaseCF[[#This Row],[TPAlloc]])
*tblBaseCF[[#This Row],[ContFlag]]</f>
        <v>0</v>
      </c>
      <c r="BB67" s="59">
        <f ca="1">(tblBaseCF[[#This Row],[StartEAV]]-tblBaseCF[[#This Row],[EAVWithdrawal]]+tblBaseCF[[#This Row],[EPAlloc]]+tblBaseCF[[#This Row],[LoadAlloc]])
*tblBaseCF[[#This Row],[ContFlag]]</f>
        <v>0</v>
      </c>
      <c r="BC67" s="59">
        <f ca="1">tblBaseCF[[#This Row],[TAVAfterWdrlAlloc]]+tblBaseCF[[#This Row],[EAVAfterWdrlAlloc]]</f>
        <v>0</v>
      </c>
      <c r="BD67" s="66">
        <f t="shared" si="6"/>
        <v>0</v>
      </c>
      <c r="BE67" s="67">
        <f>(1+tblBaseCF[[#This Row],[AnnualIntRate]])^(1/12)-1</f>
        <v>0</v>
      </c>
      <c r="BF67" s="68">
        <f>IFERROR(((1+tblBaseCF[[#This Row],[MonthlyIntRate]])^12-1)/12/(1-1/(1+tblBaseCF[[#This Row],[MonthlyIntRate]])),1)/(1+tblBaseCF[[#This Row],[AnnualIntRate]])</f>
        <v>1</v>
      </c>
      <c r="BG67" s="69">
        <f>PV(tblBaseCF[[#This Row],[MonthlyIntRate]],12,-1/12,,1)</f>
        <v>1</v>
      </c>
      <c r="BH67" s="60">
        <f ca="1">MAX(IF(death_tpd_option="A",tblBaseCF[[#This Row],[Ben]]-tblBaseCF[[#This Row],[StartPAV]],tblBaseCF[[#This Row],[Ben]]),0)</f>
        <v>0</v>
      </c>
      <c r="BI67" s="70">
        <f ca="1">IFERROR(INDEX(tblBaseCOIRate[Rate],MATCH(tblBaseCF[[#This Row],[Age]],tblBaseCOIRate[Age],0)),0)</f>
        <v>3.9200000000000398E-3</v>
      </c>
      <c r="BJ67" s="60">
        <f ca="1">tblBaseCF[[#This Row],[SAR]]*tblBaseCF[[#This Row],[COIRate]]</f>
        <v>0</v>
      </c>
      <c r="BK67" s="62">
        <f ca="1">em_load*tblBaseCF[[#This Row],[pStandardCOI]]
*tblBaseCF[[#This Row],[EMLoadTermFlag]]</f>
        <v>0</v>
      </c>
      <c r="BL67" s="62">
        <f ca="1">pm_load/1000*tblBaseCF[[#This Row],[SAR]]
*tblBaseCF[[#This Row],[PMLoadTermFlag]]</f>
        <v>0</v>
      </c>
      <c r="BM67" s="60">
        <f ca="1">tblBaseCF[[#This Row],[AccBen]]*monthly_acc_coi*12</f>
        <v>0</v>
      </c>
      <c r="BN67" s="60">
        <f ca="1">tblBaseCF[[#This Row],[pStandardCOI]]+tblBaseCF[[#This Row],[pEMLoadCOI]]+tblBaseCF[[#This Row],[pPMLoadCOI]]+tblBaseCF[[#This Row],[pAccCOI]]</f>
        <v>0</v>
      </c>
      <c r="BO67" s="62">
        <f ca="1">IFERROR(INDEX(tblAdminChrg[Amount],MATCH(tblBaseCF[[#This Row],[CalYear]],tblAdminChrg[Cal_Year],0)),0)
*tblBaseCF[[#This Row],[ContFlag]]</f>
        <v>0</v>
      </c>
      <c r="BP67" s="60">
        <f ca="1">tblBaseCF[[#This Row],[pMonthlyAdminChrg]]*12</f>
        <v>0</v>
      </c>
      <c r="BQ67" s="60">
        <f ca="1">tblBaseCF[[#This Row],[pCOI]]+tblBaseCF[[#This Row],[pAdminChrg]]</f>
        <v>0</v>
      </c>
      <c r="BR67" s="60">
        <f ca="1">tblBaseCF[[#This Row],[pNomDeduct]]*tblBaseCF[[#This Row],[Duean1m12]]</f>
        <v>0</v>
      </c>
      <c r="BS67" s="57">
        <f ca="1">(tblBaseCF[[#This Row],[PAVAfterWdrlAlloc]]&gt;=tblBaseCF[[#This Row],[pNomDeduct]])
*tblBaseCF[[#This Row],[ContFlag]]</f>
        <v>0</v>
      </c>
      <c r="BT67" s="60">
        <f ca="1">tblBaseCF[[#This Row],[pStandardCOI]]*tblBaseCF[[#This Row],[DeductFlag]]</f>
        <v>0</v>
      </c>
      <c r="BU67" s="60">
        <f ca="1">tblBaseCF[[#This Row],[pEMLoadCOI]]*tblBaseCF[[#This Row],[DeductFlag]]</f>
        <v>0</v>
      </c>
      <c r="BV67" s="60">
        <f ca="1">tblBaseCF[[#This Row],[pPMLoadCOI]]*tblBaseCF[[#This Row],[DeductFlag]]</f>
        <v>0</v>
      </c>
      <c r="BW67" s="60">
        <f ca="1">tblBaseCF[[#This Row],[pAccCOI]]*tblBaseCF[[#This Row],[DeductFlag]]</f>
        <v>0</v>
      </c>
      <c r="BX67" s="60">
        <f ca="1">tblBaseCF[[#This Row],[pCOI]]*tblBaseCF[[#This Row],[DeductFlag]]</f>
        <v>0</v>
      </c>
      <c r="BY67" s="60">
        <f ca="1">tblBaseCF[[#This Row],[pMonthlyAdminChrg]]*tblBaseCF[[#This Row],[DeductFlag]]</f>
        <v>0</v>
      </c>
      <c r="BZ67" s="60">
        <f ca="1">tblBaseCF[[#This Row],[pAdminChrg]]*tblBaseCF[[#This Row],[DeductFlag]]</f>
        <v>0</v>
      </c>
      <c r="CA67" s="60">
        <f ca="1">tblBaseCF[[#This Row],[pNomDeduct]]*tblBaseCF[[#This Row],[DeductFlag]]</f>
        <v>0</v>
      </c>
      <c r="CB67" s="60">
        <f ca="1">tblBaseCF[[#This Row],[pDeduct]]*tblBaseCF[[#This Row],[DeductFlag]]</f>
        <v>0</v>
      </c>
      <c r="CC67" s="60">
        <f ca="1">MIN(tblBaseCF[[#This Row],[TAVAfterWdrlAlloc]],tblBaseCF[[#This Row],[Deduct]])</f>
        <v>0</v>
      </c>
      <c r="CD67" s="60">
        <f ca="1">tblBaseCF[[#This Row],[Deduct]]-tblBaseCF[[#This Row],[TAVDeduct]]</f>
        <v>0</v>
      </c>
      <c r="CE67" s="69">
        <f ca="1">(tblBaseCF[[#This Row],[TAVAfterWdrlAlloc]]-tblBaseCF[[#This Row],[TAVDeduct]])*tblBaseCF[[#This Row],[AnnualIntRate]]
*tblBaseCF[[#This Row],[DeductFlag]]</f>
        <v>0</v>
      </c>
      <c r="CF67" s="69">
        <f ca="1">(tblBaseCF[[#This Row],[EAVAfterWdrlAlloc]]-tblBaseCF[[#This Row],[EAVDeduct]])*tblBaseCF[[#This Row],[AnnualIntRate]]
*tblBaseCF[[#This Row],[DeductFlag]]</f>
        <v>0</v>
      </c>
      <c r="CG67" s="69">
        <f ca="1">tblBaseCF[[#This Row],[TAVInt]]+tblBaseCF[[#This Row],[EAVInt]]</f>
        <v>0</v>
      </c>
      <c r="CH67" s="62">
        <f ca="1">IFERROR(INDEX(tblLBRate[Rate],MATCH(tblBaseCF[[#This Row],[Year]],tblLBRate[Year],0)),0)
*tblBaseCF[[#This Row],[DeductFlag]]</f>
        <v>0</v>
      </c>
      <c r="CI67" s="60">
        <f ca="1">IFERROR(SUM(OFFSET(tblBaseCF[[#This Row],[TAVWithdrawal]],0,0,-lb_review_period,1)),0)
*(tblBaseCF[[#This Row],[LBRate]]&gt;0)</f>
        <v>0</v>
      </c>
      <c r="CJ67" s="60">
        <f ca="1">(tblBaseCF[[#This Row],[LBRate]]&gt;0)*(tblBaseCF[[#This Row],[LBTAVWithdrawal]]=0)</f>
        <v>0</v>
      </c>
      <c r="CK67" s="62" cm="1">
        <f t="array" aca="1" ref="CK67" ca="1">IF(tblBaseCF[[#This Row],[LBFlag]],
_xlfn.SWITCH(base,
"ILP1",AVERAGE(OFFSET(tblBaseCF[TP],0,0,-lb_review_period,1)),tp),0)
*tblBaseCF[[#This Row],[LBFlag]]</f>
        <v>0</v>
      </c>
      <c r="CL67" s="62">
        <f ca="1">tblBaseCF[[#This Row],[LBBasis]]*tblBaseCF[[#This Row],[LBRate]]</f>
        <v>0</v>
      </c>
      <c r="CM67" s="57" cm="1">
        <f t="array" aca="1" ref="CM67" ca="1">_xlfn.SWITCH(base,
"ILP1",0,($AF167&lt;500000000)*1
+($AF167&gt;=500000000)*($AF167&lt;1000000000)*2
+($AF167&gt;=1000000000)*3)
*tblBaseCF[[#This Row],[DeductFlag]]</f>
        <v>0</v>
      </c>
      <c r="CN67" s="2" t="str">
        <f ca="1">IF(tblBaseCF[[#This Row],[DeductFlag]],base&amp;"_"&amp;tblBaseCF[[#This Row],[SBCode]]&amp;"_"&amp;tblBaseCF[[#This Row],[Year]],"")</f>
        <v/>
      </c>
      <c r="CO67" s="3">
        <f ca="1">IFERROR(INDEX(tblSBRate[Index],MATCH(tblBaseCF[[#This Row],[SBIndex]],tblSBRate[Rate],0)),0)</f>
        <v>0</v>
      </c>
      <c r="CP67" s="63">
        <f ca="1">IFERROR(SUM(OFFSET(tblBaseCF[[#This Row],[TAVWithdrawal]],0,0,-sb_review_period,1)),0)
*(tblBaseCF[[#This Row],[SBRate]]&gt;0)</f>
        <v>0</v>
      </c>
      <c r="CQ67" s="63">
        <f ca="1">(tblBaseCF[[#This Row],[SBRate]]&gt;0)*(tblBaseCF[[#This Row],[SBTAVWithdrawal]]=0)</f>
        <v>0</v>
      </c>
      <c r="CR67" s="59" cm="1">
        <f t="array" aca="1" ref="CR67" ca="1">IF(tblBaseCF[[#This Row],[LBFlag]],
_xlfn.SWITCH(base,
"ILP1",0,tp),0)*tblBaseCF[[#This Row],[SBFlag]]</f>
        <v>0</v>
      </c>
      <c r="CS67" s="63">
        <f ca="1">tblBaseCF[[#This Row],[SBBasis]]*tblBaseCF[[#This Row],[SBRate]]</f>
        <v>0</v>
      </c>
      <c r="CT67" s="63">
        <f ca="1">tblBaseCF[[#This Row],[LB]]+tblBaseCF[[#This Row],[SB]]</f>
        <v>0</v>
      </c>
      <c r="CU67" s="59">
        <f ca="1">tblBaseCF[[#This Row],[TAVAfterWdrlAlloc]]-tblBaseCF[[#This Row],[TAVDeduct]]+tblBaseCF[[#This Row],[TAVInt]]+tblBaseCF[[#This Row],[Bonus]]</f>
        <v>0</v>
      </c>
      <c r="CV67" s="59">
        <f ca="1">tblBaseCF[[#This Row],[EAVAfterWdrlAlloc]]-tblBaseCF[[#This Row],[EAVDeduct]]+tblBaseCF[[#This Row],[EAVInt]]</f>
        <v>0</v>
      </c>
      <c r="CW67" s="63">
        <f ca="1">tblBaseCF[[#This Row],[EndTAV]]+tblBaseCF[[#This Row],[EndEAV]]</f>
        <v>0</v>
      </c>
      <c r="CX67" s="59">
        <f ca="1">INDEX(tblPlanPrem[TP],2)
*tblBaseCF[[#This Row],[TPTermFlag]]</f>
        <v>0</v>
      </c>
      <c r="CY67" s="59">
        <f ca="1">INDEX(tblPlanPrem[EP],2)
*tblBaseCF[[#This Row],[TPTermFlag]]</f>
        <v>0</v>
      </c>
      <c r="CZ67" s="63">
        <f ca="1">ROUNDUP(tblBaseCF[[#This Row],[UnroundedEMLoad]]*INDEX(tblPlanPrem[Factor],2),-3)</f>
        <v>0</v>
      </c>
      <c r="DA67" s="63">
        <f ca="1">ROUNDUP(tblBaseCF[[#This Row],[UnroundedPMLoad]]*INDEX(tblPlanPrem[Factor],2),-3)</f>
        <v>0</v>
      </c>
      <c r="DB67" s="63">
        <f ca="1">tblBaseCF[[#This Row],[SemiAnnualEMLoad]]+tblBaseCF[[#This Row],[SemiAnnualPMLoad]]</f>
        <v>0</v>
      </c>
      <c r="DC67" s="63">
        <f ca="1">tblBaseCF[[#This Row],[SemiAnnualTP]]+tblBaseCF[[#This Row],[SemiAnnualEP]]+tblBaseCF[[#This Row],[SemiAnnualLoad]]</f>
        <v>0</v>
      </c>
      <c r="DD67" s="59">
        <f ca="1">INDEX(tblPlanPrem[TP],3)
*tblBaseCF[[#This Row],[TPTermFlag]]</f>
        <v>0</v>
      </c>
      <c r="DE67" s="59">
        <f ca="1">INDEX(tblPlanPrem[EP],3)
*tblBaseCF[[#This Row],[TPTermFlag]]</f>
        <v>0</v>
      </c>
      <c r="DF67" s="63">
        <f ca="1">ROUNDUP(tblBaseCF[[#This Row],[UnroundedEMLoad]]*INDEX(tblPlanPrem[Factor],3),-3)</f>
        <v>0</v>
      </c>
      <c r="DG67" s="63">
        <f ca="1">ROUNDUP(tblBaseCF[[#This Row],[UnroundedPMLoad]]*INDEX(tblPlanPrem[Factor],3),-3)</f>
        <v>0</v>
      </c>
      <c r="DH67" s="60">
        <f ca="1">tblBaseCF[[#This Row],[QuarterlyEMLoad]]+tblBaseCF[[#This Row],[QuarterlyPMLoad]]</f>
        <v>0</v>
      </c>
      <c r="DI67" s="60">
        <f ca="1">tblBaseCF[[#This Row],[QuarterlyTP]]+tblBaseCF[[#This Row],[QuarterlyEP]]+tblBaseCF[[#This Row],[QuarterlyLoad]]</f>
        <v>0</v>
      </c>
      <c r="DJ67" s="59">
        <f ca="1">INDEX(tblPlanPrem[TP],4)
*tblBaseCF[[#This Row],[TPTermFlag]]</f>
        <v>0</v>
      </c>
      <c r="DK67" s="59">
        <f ca="1">INDEX(tblPlanPrem[EP],4)
*tblBaseCF[[#This Row],[TPTermFlag]]</f>
        <v>0</v>
      </c>
      <c r="DL67" s="63">
        <f ca="1">ROUNDUP(tblBaseCF[[#This Row],[UnroundedEMLoad]]*INDEX(tblPlanPrem[Factor],4),-3)</f>
        <v>0</v>
      </c>
      <c r="DM67" s="63">
        <f ca="1">ROUNDUP(tblBaseCF[[#This Row],[UnroundedPMLoad]]*INDEX(tblPlanPrem[Factor],4),-3)</f>
        <v>0</v>
      </c>
      <c r="DN67" s="60">
        <f ca="1">tblBaseCF[[#This Row],[MonthlyEMLoad]]+tblBaseCF[[#This Row],[MonthlyPMLoad]]</f>
        <v>0</v>
      </c>
      <c r="DO67" s="63">
        <f ca="1">tblBaseCF[[#This Row],[MonthlyTP]]+tblBaseCF[[#This Row],[MonthlyEP]]+tblBaseCF[[#This Row],[MonthlyLoad]]</f>
        <v>0</v>
      </c>
      <c r="DP67" s="3"/>
      <c r="DS67">
        <f t="shared" si="7"/>
        <v>0</v>
      </c>
      <c r="DT67">
        <f t="shared" si="8"/>
        <v>0</v>
      </c>
      <c r="DU67">
        <f t="shared" si="9"/>
        <v>0</v>
      </c>
      <c r="DV67">
        <f ca="1">tblBaseCF[[#This Row],[Year]]</f>
        <v>47</v>
      </c>
      <c r="DW67">
        <f ca="1">tblBaseCF[[#This Row],[Age]]</f>
        <v>46</v>
      </c>
      <c r="DX67">
        <f ca="1">tblBaseCF[[#This Row],[ContFlag]]</f>
        <v>0</v>
      </c>
      <c r="DY67" t="str">
        <f ca="1">tblBaseCF[[#This Row],[ContLog]]</f>
        <v>Insufficient PAV for deduction - Discontinue.</v>
      </c>
      <c r="DZ67">
        <f ca="1">tblBaseCF[[#This Row],[StartTAV]]</f>
        <v>0</v>
      </c>
      <c r="EA67">
        <f ca="1">tblBaseCF[[#This Row],[StartEAV]]</f>
        <v>0</v>
      </c>
      <c r="EB67">
        <f ca="1">tblBaseCF[[#This Row],[StartPAV]]</f>
        <v>0</v>
      </c>
      <c r="EC67">
        <f ca="1">tblBaseCF[[#This Row],[SVChrg]]</f>
        <v>0</v>
      </c>
      <c r="ED67">
        <f ca="1">tblBaseCF[[#This Row],[SV]]</f>
        <v>0</v>
      </c>
      <c r="EE67">
        <f ca="1">tblBaseCF[[#This Row],[Ben]]</f>
        <v>0</v>
      </c>
      <c r="EF67">
        <f ca="1">tblBaseCF[[#This Row],[AccBen]]</f>
        <v>0</v>
      </c>
      <c r="EG67">
        <f ca="1">tblBaseCF[[#This Row],[WithdrawalInput]]</f>
        <v>0</v>
      </c>
      <c r="EH67" t="str">
        <f ca="1">tblBaseCF[[#This Row],[WithdrawalLog]]</f>
        <v>No withdrawal.</v>
      </c>
      <c r="EI67">
        <f ca="1">tblBaseCF[[#This Row],[TAVWithdrawal]]</f>
        <v>0</v>
      </c>
      <c r="EJ67">
        <f ca="1">tblBaseCF[[#This Row],[EAVWithdrawal]]</f>
        <v>0</v>
      </c>
      <c r="EK67">
        <f ca="1">tblBaseCF[[#This Row],[Withdrawal]]</f>
        <v>0</v>
      </c>
      <c r="EL67">
        <f ca="1">tblBaseCF[[#This Row],[TP]]</f>
        <v>0</v>
      </c>
      <c r="EM67">
        <f ca="1">tblBaseCF[[#This Row],[TPAllocChrg]]</f>
        <v>0</v>
      </c>
      <c r="EN67">
        <f ca="1">tblBaseCF[[#This Row],[TPAlloc]]</f>
        <v>0</v>
      </c>
      <c r="EO67">
        <f ca="1">tblBaseCF[[#This Row],[EP]]</f>
        <v>0</v>
      </c>
      <c r="EP67">
        <f ca="1">tblBaseCF[[#This Row],[EPAllocChrg]]</f>
        <v>0</v>
      </c>
      <c r="EQ67">
        <f ca="1">tblBaseCF[[#This Row],[EPAlloc]]</f>
        <v>0</v>
      </c>
      <c r="ER67">
        <f ca="1">tblBaseCF[[#This Row],[EMLoad]]</f>
        <v>0</v>
      </c>
      <c r="ES67">
        <f ca="1">tblBaseCF[[#This Row],[PMLoad]]</f>
        <v>0</v>
      </c>
      <c r="ET67">
        <f ca="1">tblBaseCF[[#This Row],[Load]]</f>
        <v>0</v>
      </c>
      <c r="EU67">
        <f ca="1">tblBaseCF[[#This Row],[LoadAllocChrg]]</f>
        <v>0</v>
      </c>
      <c r="EV67">
        <f ca="1">tblBaseCF[[#This Row],[LoadAlloc]]</f>
        <v>0</v>
      </c>
      <c r="EW67">
        <f ca="1">tblBaseCF[[#This Row],[TotalPrem]]</f>
        <v>0</v>
      </c>
      <c r="EX67">
        <f ca="1">tblBaseCF[[#This Row],[AllocChrg]]</f>
        <v>0</v>
      </c>
      <c r="EY67">
        <f ca="1">tblBaseCF[[#This Row],[Alloc]]</f>
        <v>0</v>
      </c>
      <c r="EZ67">
        <f ca="1">tblBaseCF[[#This Row],[AccumTotalPrem]]</f>
        <v>0</v>
      </c>
      <c r="FA67">
        <f>tblBaseCF[[#This Row],[AnnualIntRate]]</f>
        <v>0</v>
      </c>
      <c r="FB67" s="50">
        <f>tblBaseCF[[#This Row],[Duean1m12]]</f>
        <v>1</v>
      </c>
      <c r="FC67">
        <f ca="1">tblBaseCF[[#This Row],[DeductFlag]]</f>
        <v>0</v>
      </c>
      <c r="FD67">
        <f ca="1">tblBaseCF[[#This Row],[AdminChrg]]</f>
        <v>0</v>
      </c>
      <c r="FE67">
        <f ca="1">tblBaseCF[[#This Row],[StandardCOI]]</f>
        <v>0</v>
      </c>
      <c r="FF67">
        <f ca="1">tblBaseCF[[#This Row],[EMLoadCOI]]</f>
        <v>0</v>
      </c>
      <c r="FG67">
        <f ca="1">tblBaseCF[[#This Row],[PMLoadCOI]]</f>
        <v>0</v>
      </c>
      <c r="FH67">
        <f ca="1">tblBaseCF[[#This Row],[COI]]</f>
        <v>0</v>
      </c>
      <c r="FI67" s="47">
        <f ca="1">tblBaseCF[[#This Row],[NomDeduct]]</f>
        <v>0</v>
      </c>
      <c r="FJ67">
        <f ca="1">tblBaseCF[[#This Row],[Deduct]]</f>
        <v>0</v>
      </c>
      <c r="FK67">
        <f ca="1">tblBaseCF[[#This Row],[TAVDeduct]]</f>
        <v>0</v>
      </c>
      <c r="FL67">
        <f ca="1">tblBaseCF[[#This Row],[EAVDeduct]]</f>
        <v>0</v>
      </c>
      <c r="FM67" s="24">
        <f ca="1">tblBaseCF[[#This Row],[TAVInt]]</f>
        <v>0</v>
      </c>
      <c r="FN67">
        <f ca="1">tblBaseCF[[#This Row],[EAVInt]]</f>
        <v>0</v>
      </c>
      <c r="FO67" s="47">
        <f ca="1">tblBaseCF[[#This Row],[LB]]</f>
        <v>0</v>
      </c>
      <c r="FP67">
        <f ca="1">tblBaseCF[[#This Row],[SB]]</f>
        <v>0</v>
      </c>
      <c r="FQ67">
        <f ca="1">tblBaseCF[[#This Row],[Bonus]]</f>
        <v>0</v>
      </c>
      <c r="FR67">
        <f ca="1">tblBaseCF[[#This Row],[EndTAV]]</f>
        <v>0</v>
      </c>
      <c r="FS67">
        <f ca="1">tblBaseCF[[#This Row],[EndEAV]]</f>
        <v>0</v>
      </c>
      <c r="FT67">
        <f ca="1">tblBaseCF[[#This Row],[EndPAV]]</f>
        <v>0</v>
      </c>
      <c r="FU67">
        <f ca="1">tblBaseCF[[#This Row],[SemiAnnualTP]]</f>
        <v>0</v>
      </c>
      <c r="FV67">
        <f ca="1">tblBaseCF[[#This Row],[SemiAnnualEP]]</f>
        <v>0</v>
      </c>
      <c r="FW67">
        <f ca="1">tblBaseCF[[#This Row],[SemiAnnualEMLoad]]</f>
        <v>0</v>
      </c>
      <c r="FX67">
        <f ca="1">tblBaseCF[[#This Row],[SemiAnnualPMLoad]]</f>
        <v>0</v>
      </c>
      <c r="FY67">
        <f ca="1">tblBaseCF[[#This Row],[SemiAnnualLoad]]</f>
        <v>0</v>
      </c>
      <c r="FZ67">
        <f ca="1">tblBaseCF[[#This Row],[SemiAnnualTotalPrem]]</f>
        <v>0</v>
      </c>
      <c r="GA67">
        <f ca="1">tblBaseCF[[#This Row],[QuarterlyTP]]</f>
        <v>0</v>
      </c>
      <c r="GB67">
        <f ca="1">tblBaseCF[[#This Row],[QuarterlyEP]]</f>
        <v>0</v>
      </c>
      <c r="GC67">
        <f ca="1">tblBaseCF[[#This Row],[QuarterlyEMLoad]]</f>
        <v>0</v>
      </c>
      <c r="GD67">
        <f ca="1">tblBaseCF[[#This Row],[QuarterlyPMLoad]]</f>
        <v>0</v>
      </c>
      <c r="GE67">
        <f ca="1">tblBaseCF[[#This Row],[QuarterlyLoad]]</f>
        <v>0</v>
      </c>
      <c r="GF67">
        <f ca="1">tblBaseCF[[#This Row],[QuarterlyTotalPrem]]</f>
        <v>0</v>
      </c>
      <c r="GG67">
        <f ca="1">tblBaseCF[[#This Row],[MonthlyTP]]</f>
        <v>0</v>
      </c>
      <c r="GH67">
        <f ca="1">tblBaseCF[[#This Row],[MonthlyEP]]</f>
        <v>0</v>
      </c>
      <c r="GI67">
        <f ca="1">tblBaseCF[[#This Row],[MonthlyEMLoad]]</f>
        <v>0</v>
      </c>
      <c r="GJ67">
        <f ca="1">tblBaseCF[[#This Row],[MonthlyPMLoad]]</f>
        <v>0</v>
      </c>
      <c r="GK67">
        <f ca="1">tblBaseCF[[#This Row],[MonthlyLoad]]</f>
        <v>0</v>
      </c>
      <c r="GL67">
        <f ca="1">tblBaseCF[[#This Row],[MonthlyTotalPrem]]</f>
        <v>0</v>
      </c>
      <c r="GO67" t="s">
        <v>134</v>
      </c>
      <c r="GP67" t="s">
        <v>135</v>
      </c>
      <c r="GQ67" t="s">
        <v>502</v>
      </c>
      <c r="GR67">
        <v>47</v>
      </c>
      <c r="GS67">
        <v>46</v>
      </c>
      <c r="GT67">
        <v>1</v>
      </c>
      <c r="GU67" t="s">
        <v>457</v>
      </c>
      <c r="GV67">
        <v>113308633.937647</v>
      </c>
      <c r="GW67">
        <v>932812528.46644199</v>
      </c>
      <c r="GX67">
        <v>1046121162.40409</v>
      </c>
      <c r="GY67">
        <v>0</v>
      </c>
      <c r="GZ67">
        <v>1046121162.40409</v>
      </c>
      <c r="HA67">
        <v>1046121162.40409</v>
      </c>
      <c r="HB67">
        <v>303000000</v>
      </c>
      <c r="HC67">
        <v>0</v>
      </c>
      <c r="HD67" t="s">
        <v>137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7.0000000000000007E-2</v>
      </c>
      <c r="HX67">
        <v>0.96964931039809399</v>
      </c>
      <c r="HY67">
        <v>1</v>
      </c>
      <c r="HZ67">
        <v>300000</v>
      </c>
      <c r="IA67">
        <v>0</v>
      </c>
      <c r="IB67">
        <v>0</v>
      </c>
      <c r="IC67">
        <v>0</v>
      </c>
      <c r="ID67">
        <v>272700</v>
      </c>
      <c r="IE67">
        <v>572700</v>
      </c>
      <c r="IF67">
        <v>555318.16006498795</v>
      </c>
      <c r="IG67">
        <v>555318.16006498795</v>
      </c>
      <c r="IH67">
        <v>0</v>
      </c>
      <c r="II67">
        <v>7892732.1044307798</v>
      </c>
      <c r="IJ67">
        <v>65296876.992650896</v>
      </c>
      <c r="IK67">
        <v>0</v>
      </c>
      <c r="IL67">
        <v>0</v>
      </c>
      <c r="IM67">
        <v>0</v>
      </c>
      <c r="IN67">
        <v>120646047.88201299</v>
      </c>
      <c r="IO67">
        <v>998109405.45909297</v>
      </c>
      <c r="IP67">
        <v>1118755453.34111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</row>
    <row r="68" spans="2:268" customFormat="1" x14ac:dyDescent="0.25">
      <c r="B68" s="2">
        <f ca="1">OFFSET(tblBaseCF[[#This Row],[Year]],-1,0)+1</f>
        <v>48</v>
      </c>
      <c r="C68" s="2">
        <f ca="1">(tblBaseCF[[#This Row],[Year]]&lt;=term)*1</f>
        <v>1</v>
      </c>
      <c r="D68" s="57">
        <f ca="1">(YEAR(rcd)+tblBaseCF[[#This Row],[Year]]-1)
*tblBaseCF[[#This Row],[PolTermFlag]]</f>
        <v>2072</v>
      </c>
      <c r="E68" s="57">
        <f ca="1">(mainLI_entry_age+tblBaseCF[[#This Row],[Year]]-1)
*tblBaseCF[[#This Row],[PolTermFlag]]</f>
        <v>47</v>
      </c>
      <c r="F68" s="57">
        <f ca="1">IF(tblBaseCF[[#This Row],[Year]]=1,1,OFFSET(tblBaseCF[[#This Row],[DeductFlag]],-1,0))
*tblBaseCF[[#This Row],[PolTermFlag]]</f>
        <v>0</v>
      </c>
      <c r="G6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8" s="57">
        <f ca="1">(tblBaseCF[[#This Row],[Year]]&lt;=acc_ben_term)
*tblBaseCF[[#This Row],[ContFlag]]</f>
        <v>0</v>
      </c>
      <c r="I68" s="57">
        <f ca="1">(tblBaseCF[[#This Row],[Year]]&lt;=tp_term)
*tblBaseCF[[#This Row],[ContFlag]]</f>
        <v>0</v>
      </c>
      <c r="J68" s="57">
        <f ca="1">(tblBaseCF[[#This Row],[Year]]&lt;=ep_term)
*tblBaseCF[[#This Row],[ContFlag]]</f>
        <v>0</v>
      </c>
      <c r="K68" s="57">
        <f ca="1">(tblBaseCF[[#This Row],[Year]]&lt;=em_load_term)*1</f>
        <v>0</v>
      </c>
      <c r="L68" s="57">
        <f ca="1">(tblBaseCF[[#This Row],[Year]]&lt;=pm_load_term)*1</f>
        <v>0</v>
      </c>
      <c r="M68" s="59">
        <f ca="1">IF(tblBaseCF[[#This Row],[Year]]=1,si,OFFSET(tblBaseCF[[#This Row],[EndSI]],-1,0))
*tblBaseCF[[#This Row],[ContFlag]]</f>
        <v>0</v>
      </c>
      <c r="N68" s="59">
        <f ca="1">OFFSET(tblBaseCF[[#This Row],[EndTAV]],-1,0)
*tblBaseCF[[#This Row],[ContFlag]]</f>
        <v>0</v>
      </c>
      <c r="O68" s="59">
        <f ca="1">OFFSET(tblBaseCF[[#This Row],[EndEAV]],-1,0)
*tblBaseCF[[#This Row],[ContFlag]]</f>
        <v>0</v>
      </c>
      <c r="P68" s="60">
        <f ca="1">tblBaseCF[[#This Row],[StartEAV]]+tblBaseCF[[#This Row],[StartTAV]]</f>
        <v>0</v>
      </c>
      <c r="Q68" s="61">
        <f ca="1">IFERROR(INDEX(tblJuvenileLienRate[Rate],MATCH(tblBaseCF[[#This Row],[Age]],tblJuvenileLienRate[Age],0)),1)
*tblBaseCF[[#This Row],[ContFlag]]</f>
        <v>0</v>
      </c>
      <c r="R6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8" s="62">
        <f ca="1">tblBaseCF[[#This Row],[StartSI]]*acc_ben_coeff*tblBaseCF[[#This Row],[JuvenileLienRate]]
*tblBaseCF[[#This Row],[AccBenTermFlag]]</f>
        <v>0</v>
      </c>
      <c r="T68" s="61">
        <f ca="1">(IFERROR(INDEX(tblSurrChrgRate[Rate],MATCH(tblBaseCF[[#This Row],[Year]],tblSurrChrgRate[Year],0)),0)
*tblBaseCF[[#This Row],[ContFlag]])</f>
        <v>0</v>
      </c>
      <c r="U68" s="60">
        <f ca="1">tp*tblBaseCF[[#This Row],[SrrChrgRate]]</f>
        <v>0</v>
      </c>
      <c r="V68" s="63">
        <f ca="1">MAX(tblBaseCF[[#This Row],[StartTAV]]-tblBaseCF[[#This Row],[SVChrg]],0)+tblBaseCF[[#This Row],[StartEAV]]</f>
        <v>0</v>
      </c>
      <c r="W68" s="59">
        <f ca="1">IFERROR(INDEX(tblWithdrawal_Output[Amount],MATCH(tblBaseCF[[#This Row],[Year]],tblWithdrawal_Output[Year],0)),0)
*tblBaseCF[[#This Row],[ContFlag]]</f>
        <v>0</v>
      </c>
      <c r="X68" s="59" t="b">
        <f ca="1">tblBaseCF[[#This Row],[WithdrawalInput]]&gt;0</f>
        <v>0</v>
      </c>
      <c r="Y68" s="59" t="b">
        <f ca="1">AND(tblBaseCF[[#This Row],[1stCheckProceed]],tblBaseCF[[#This Row],[WithdrawalInput]]&lt;=tblBaseCF[[#This Row],[StartPAV]])</f>
        <v>0</v>
      </c>
      <c r="Z68" s="59" t="b">
        <f ca="1">AND(tblBaseCF[[#This Row],[2ndCheckAmount]],(tblBaseCF[[#This Row],[StartPAV]]-tblBaseCF[[#This Row],[WithdrawalInput]])&gt;=min_pav_after_withdrawal)</f>
        <v>0</v>
      </c>
      <c r="AA6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8" s="59" t="b">
        <f ca="1">AND(tblBaseCF[[#This Row],[3rdCheckPAV]],tblBaseCF[[#This Row],[endSITest]]&gt;=min_base_si)</f>
        <v>0</v>
      </c>
      <c r="AC68" s="60">
        <f ca="1">tblBaseCF[[#This Row],[WithdrawalInput]]*tblBaseCF[[#This Row],[4thCheckSI]]</f>
        <v>0</v>
      </c>
      <c r="AD68" s="60">
        <f ca="1">MIN(tblBaseCF[[#This Row],[Withdrawal]],tblBaseCF[[#This Row],[StartEAV]])</f>
        <v>0</v>
      </c>
      <c r="AE68" s="60">
        <f ca="1">tblBaseCF[[#This Row],[Withdrawal]]-tblBaseCF[[#This Row],[EAVWithdrawal]]</f>
        <v>0</v>
      </c>
      <c r="AF68" s="60">
        <f ca="1">IF(tblBaseCF[[#This Row],[4thCheckSI]],tblBaseCF[[#This Row],[endSITest]],tblBaseCF[[#This Row],[StartSI]])</f>
        <v>0</v>
      </c>
      <c r="AG6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8" s="65">
        <f ca="1">IFERROR(INDEX(tblTPAllocChrgRate[Rate],MATCH(tblBaseCF[[#This Row],[Year]],tblTPAllocChrgRate[Year],0)),0)</f>
        <v>0.02</v>
      </c>
      <c r="AI68" s="62">
        <f ca="1">(tp+big_case_bonus_tp*(tblBaseCF[[#This Row],[Year]]=1))
*tblBaseCF[[#This Row],[TPTermFlag]]</f>
        <v>0</v>
      </c>
      <c r="AJ68" s="63">
        <f ca="1">tblBaseCF[[#This Row],[TP]]*tblBaseCF[[#This Row],[TPAllocChrgRate]]</f>
        <v>0</v>
      </c>
      <c r="AK68" s="60">
        <f ca="1">tblBaseCF[[#This Row],[TP]]-tblBaseCF[[#This Row],[TPAllocChrg]]</f>
        <v>0</v>
      </c>
      <c r="AL68" s="65">
        <f ca="1">IFERROR(INDEX(tblEPAllocChrgRate[Rate],MATCH(tblBaseCF[[#This Row],[Year]],tblEPAllocChrgRate[Year],0)),0)</f>
        <v>0.02</v>
      </c>
      <c r="AM68" s="60">
        <f ca="1">ep*tblBaseCF[[#This Row],[EPTermFlag]]</f>
        <v>0</v>
      </c>
      <c r="AN68" s="60">
        <f ca="1">tblBaseCF[[#This Row],[EP]]*tblBaseCF[[#This Row],[EPAllocChrgRate]]</f>
        <v>0</v>
      </c>
      <c r="AO68" s="63">
        <f ca="1">tblBaseCF[[#This Row],[EP]]-tblBaseCF[[#This Row],[EPAllocChrg]]</f>
        <v>0</v>
      </c>
      <c r="AP68" s="62">
        <f ca="1">tblBaseCF[[#This Row],[Ben]]*extra_prem_rate*em_load/1000/(1-tblBaseCF[[#This Row],[EPAllocChrgRate]])
*tblBaseCF[[#This Row],[EMLoadTermFlag]]</f>
        <v>0</v>
      </c>
      <c r="AQ68" s="62">
        <f ca="1">tblBaseCF[[#This Row],[Ben]]*pm_load/1000/(1-tblBaseCF[[#This Row],[EPAllocChrgRate]])
*tblBaseCF[[#This Row],[PMLoadTermFlag]]</f>
        <v>0</v>
      </c>
      <c r="AR68" s="60">
        <f ca="1">ROUNDUP(tblBaseCF[[#This Row],[UnroundedEMLoad]],-3)</f>
        <v>0</v>
      </c>
      <c r="AS68" s="62">
        <f ca="1">ROUNDUP(tblBaseCF[[#This Row],[Ben]]*pm_load/1000/(1-tblBaseCF[[#This Row],[EPAllocChrgRate]]),-3)
*tblBaseCF[[#This Row],[PMLoadTermFlag]]</f>
        <v>0</v>
      </c>
      <c r="AT68" s="60">
        <f ca="1">tblBaseCF[[#This Row],[EMLoad]]+tblBaseCF[[#This Row],[PMLoad]]</f>
        <v>0</v>
      </c>
      <c r="AU68" s="60">
        <f ca="1">tblBaseCF[[#This Row],[Load]]*tblBaseCF[[#This Row],[EPAllocChrgRate]]</f>
        <v>0</v>
      </c>
      <c r="AV68" s="60">
        <f ca="1">tblBaseCF[[#This Row],[Load]]-tblBaseCF[[#This Row],[LoadAllocChrg]]</f>
        <v>0</v>
      </c>
      <c r="AW68" s="60">
        <f ca="1">tblBaseCF[[#This Row],[TP]]+tblBaseCF[[#This Row],[EP]]+tblBaseCF[[#This Row],[Load]]</f>
        <v>0</v>
      </c>
      <c r="AX68" s="60">
        <f ca="1">tblBaseCF[[#This Row],[TPAllocChrg]]+tblBaseCF[[#This Row],[EPAllocChrg]]+tblBaseCF[[#This Row],[LoadAllocChrg]]</f>
        <v>0</v>
      </c>
      <c r="AY68" s="60">
        <f ca="1">tblBaseCF[[#This Row],[TPAlloc]]+tblBaseCF[[#This Row],[EPAlloc]]+tblBaseCF[[#This Row],[LoadAlloc]]</f>
        <v>0</v>
      </c>
      <c r="AZ68" s="60">
        <f ca="1">(OFFSET(tblBaseCF[[#This Row],[AccumTotalPrem]],-1,0)+tblBaseCF[[#This Row],[TotalPrem]])*tblBaseCF[[#This Row],[TPTermFlag]]</f>
        <v>0</v>
      </c>
      <c r="BA68" s="62">
        <f ca="1">(tblBaseCF[[#This Row],[StartTAV]]-tblBaseCF[[#This Row],[TAVWithdrawal]]+tblBaseCF[[#This Row],[TPAlloc]])
*tblBaseCF[[#This Row],[ContFlag]]</f>
        <v>0</v>
      </c>
      <c r="BB68" s="59">
        <f ca="1">(tblBaseCF[[#This Row],[StartEAV]]-tblBaseCF[[#This Row],[EAVWithdrawal]]+tblBaseCF[[#This Row],[EPAlloc]]+tblBaseCF[[#This Row],[LoadAlloc]])
*tblBaseCF[[#This Row],[ContFlag]]</f>
        <v>0</v>
      </c>
      <c r="BC68" s="59">
        <f ca="1">tblBaseCF[[#This Row],[TAVAfterWdrlAlloc]]+tblBaseCF[[#This Row],[EAVAfterWdrlAlloc]]</f>
        <v>0</v>
      </c>
      <c r="BD68" s="66">
        <f t="shared" si="6"/>
        <v>0</v>
      </c>
      <c r="BE68" s="67">
        <f>(1+tblBaseCF[[#This Row],[AnnualIntRate]])^(1/12)-1</f>
        <v>0</v>
      </c>
      <c r="BF68" s="68">
        <f>IFERROR(((1+tblBaseCF[[#This Row],[MonthlyIntRate]])^12-1)/12/(1-1/(1+tblBaseCF[[#This Row],[MonthlyIntRate]])),1)/(1+tblBaseCF[[#This Row],[AnnualIntRate]])</f>
        <v>1</v>
      </c>
      <c r="BG68" s="69">
        <f>PV(tblBaseCF[[#This Row],[MonthlyIntRate]],12,-1/12,,1)</f>
        <v>1</v>
      </c>
      <c r="BH68" s="60">
        <f ca="1">MAX(IF(death_tpd_option="A",tblBaseCF[[#This Row],[Ben]]-tblBaseCF[[#This Row],[StartPAV]],tblBaseCF[[#This Row],[Ben]]),0)</f>
        <v>0</v>
      </c>
      <c r="BI68" s="70">
        <f ca="1">IFERROR(INDEX(tblBaseCOIRate[Rate],MATCH(tblBaseCF[[#This Row],[Age]],tblBaseCOIRate[Age],0)),0)</f>
        <v>4.1900000000000296E-3</v>
      </c>
      <c r="BJ68" s="60">
        <f ca="1">tblBaseCF[[#This Row],[SAR]]*tblBaseCF[[#This Row],[COIRate]]</f>
        <v>0</v>
      </c>
      <c r="BK68" s="62">
        <f ca="1">em_load*tblBaseCF[[#This Row],[pStandardCOI]]
*tblBaseCF[[#This Row],[EMLoadTermFlag]]</f>
        <v>0</v>
      </c>
      <c r="BL68" s="62">
        <f ca="1">pm_load/1000*tblBaseCF[[#This Row],[SAR]]
*tblBaseCF[[#This Row],[PMLoadTermFlag]]</f>
        <v>0</v>
      </c>
      <c r="BM68" s="60">
        <f ca="1">tblBaseCF[[#This Row],[AccBen]]*monthly_acc_coi*12</f>
        <v>0</v>
      </c>
      <c r="BN68" s="60">
        <f ca="1">tblBaseCF[[#This Row],[pStandardCOI]]+tblBaseCF[[#This Row],[pEMLoadCOI]]+tblBaseCF[[#This Row],[pPMLoadCOI]]+tblBaseCF[[#This Row],[pAccCOI]]</f>
        <v>0</v>
      </c>
      <c r="BO68" s="62">
        <f ca="1">IFERROR(INDEX(tblAdminChrg[Amount],MATCH(tblBaseCF[[#This Row],[CalYear]],tblAdminChrg[Cal_Year],0)),0)
*tblBaseCF[[#This Row],[ContFlag]]</f>
        <v>0</v>
      </c>
      <c r="BP68" s="60">
        <f ca="1">tblBaseCF[[#This Row],[pMonthlyAdminChrg]]*12</f>
        <v>0</v>
      </c>
      <c r="BQ68" s="60">
        <f ca="1">tblBaseCF[[#This Row],[pCOI]]+tblBaseCF[[#This Row],[pAdminChrg]]</f>
        <v>0</v>
      </c>
      <c r="BR68" s="60">
        <f ca="1">tblBaseCF[[#This Row],[pNomDeduct]]*tblBaseCF[[#This Row],[Duean1m12]]</f>
        <v>0</v>
      </c>
      <c r="BS68" s="57">
        <f ca="1">(tblBaseCF[[#This Row],[PAVAfterWdrlAlloc]]&gt;=tblBaseCF[[#This Row],[pNomDeduct]])
*tblBaseCF[[#This Row],[ContFlag]]</f>
        <v>0</v>
      </c>
      <c r="BT68" s="60">
        <f ca="1">tblBaseCF[[#This Row],[pStandardCOI]]*tblBaseCF[[#This Row],[DeductFlag]]</f>
        <v>0</v>
      </c>
      <c r="BU68" s="60">
        <f ca="1">tblBaseCF[[#This Row],[pEMLoadCOI]]*tblBaseCF[[#This Row],[DeductFlag]]</f>
        <v>0</v>
      </c>
      <c r="BV68" s="60">
        <f ca="1">tblBaseCF[[#This Row],[pPMLoadCOI]]*tblBaseCF[[#This Row],[DeductFlag]]</f>
        <v>0</v>
      </c>
      <c r="BW68" s="60">
        <f ca="1">tblBaseCF[[#This Row],[pAccCOI]]*tblBaseCF[[#This Row],[DeductFlag]]</f>
        <v>0</v>
      </c>
      <c r="BX68" s="60">
        <f ca="1">tblBaseCF[[#This Row],[pCOI]]*tblBaseCF[[#This Row],[DeductFlag]]</f>
        <v>0</v>
      </c>
      <c r="BY68" s="60">
        <f ca="1">tblBaseCF[[#This Row],[pMonthlyAdminChrg]]*tblBaseCF[[#This Row],[DeductFlag]]</f>
        <v>0</v>
      </c>
      <c r="BZ68" s="60">
        <f ca="1">tblBaseCF[[#This Row],[pAdminChrg]]*tblBaseCF[[#This Row],[DeductFlag]]</f>
        <v>0</v>
      </c>
      <c r="CA68" s="60">
        <f ca="1">tblBaseCF[[#This Row],[pNomDeduct]]*tblBaseCF[[#This Row],[DeductFlag]]</f>
        <v>0</v>
      </c>
      <c r="CB68" s="60">
        <f ca="1">tblBaseCF[[#This Row],[pDeduct]]*tblBaseCF[[#This Row],[DeductFlag]]</f>
        <v>0</v>
      </c>
      <c r="CC68" s="60">
        <f ca="1">MIN(tblBaseCF[[#This Row],[TAVAfterWdrlAlloc]],tblBaseCF[[#This Row],[Deduct]])</f>
        <v>0</v>
      </c>
      <c r="CD68" s="60">
        <f ca="1">tblBaseCF[[#This Row],[Deduct]]-tblBaseCF[[#This Row],[TAVDeduct]]</f>
        <v>0</v>
      </c>
      <c r="CE68" s="69">
        <f ca="1">(tblBaseCF[[#This Row],[TAVAfterWdrlAlloc]]-tblBaseCF[[#This Row],[TAVDeduct]])*tblBaseCF[[#This Row],[AnnualIntRate]]
*tblBaseCF[[#This Row],[DeductFlag]]</f>
        <v>0</v>
      </c>
      <c r="CF68" s="69">
        <f ca="1">(tblBaseCF[[#This Row],[EAVAfterWdrlAlloc]]-tblBaseCF[[#This Row],[EAVDeduct]])*tblBaseCF[[#This Row],[AnnualIntRate]]
*tblBaseCF[[#This Row],[DeductFlag]]</f>
        <v>0</v>
      </c>
      <c r="CG68" s="69">
        <f ca="1">tblBaseCF[[#This Row],[TAVInt]]+tblBaseCF[[#This Row],[EAVInt]]</f>
        <v>0</v>
      </c>
      <c r="CH68" s="62">
        <f ca="1">IFERROR(INDEX(tblLBRate[Rate],MATCH(tblBaseCF[[#This Row],[Year]],tblLBRate[Year],0)),0)
*tblBaseCF[[#This Row],[DeductFlag]]</f>
        <v>0</v>
      </c>
      <c r="CI68" s="60">
        <f ca="1">IFERROR(SUM(OFFSET(tblBaseCF[[#This Row],[TAVWithdrawal]],0,0,-lb_review_period,1)),0)
*(tblBaseCF[[#This Row],[LBRate]]&gt;0)</f>
        <v>0</v>
      </c>
      <c r="CJ68" s="60">
        <f ca="1">(tblBaseCF[[#This Row],[LBRate]]&gt;0)*(tblBaseCF[[#This Row],[LBTAVWithdrawal]]=0)</f>
        <v>0</v>
      </c>
      <c r="CK68" s="62" cm="1">
        <f t="array" aca="1" ref="CK68" ca="1">IF(tblBaseCF[[#This Row],[LBFlag]],
_xlfn.SWITCH(base,
"ILP1",AVERAGE(OFFSET(tblBaseCF[TP],0,0,-lb_review_period,1)),tp),0)
*tblBaseCF[[#This Row],[LBFlag]]</f>
        <v>0</v>
      </c>
      <c r="CL68" s="62">
        <f ca="1">tblBaseCF[[#This Row],[LBBasis]]*tblBaseCF[[#This Row],[LBRate]]</f>
        <v>0</v>
      </c>
      <c r="CM68" s="57" cm="1">
        <f t="array" aca="1" ref="CM68" ca="1">_xlfn.SWITCH(base,
"ILP1",0,($AF168&lt;500000000)*1
+($AF168&gt;=500000000)*($AF168&lt;1000000000)*2
+($AF168&gt;=1000000000)*3)
*tblBaseCF[[#This Row],[DeductFlag]]</f>
        <v>0</v>
      </c>
      <c r="CN68" s="2" t="str">
        <f ca="1">IF(tblBaseCF[[#This Row],[DeductFlag]],base&amp;"_"&amp;tblBaseCF[[#This Row],[SBCode]]&amp;"_"&amp;tblBaseCF[[#This Row],[Year]],"")</f>
        <v/>
      </c>
      <c r="CO68" s="3">
        <f ca="1">IFERROR(INDEX(tblSBRate[Index],MATCH(tblBaseCF[[#This Row],[SBIndex]],tblSBRate[Rate],0)),0)</f>
        <v>0</v>
      </c>
      <c r="CP68" s="63">
        <f ca="1">IFERROR(SUM(OFFSET(tblBaseCF[[#This Row],[TAVWithdrawal]],0,0,-sb_review_period,1)),0)
*(tblBaseCF[[#This Row],[SBRate]]&gt;0)</f>
        <v>0</v>
      </c>
      <c r="CQ68" s="63">
        <f ca="1">(tblBaseCF[[#This Row],[SBRate]]&gt;0)*(tblBaseCF[[#This Row],[SBTAVWithdrawal]]=0)</f>
        <v>0</v>
      </c>
      <c r="CR68" s="59" cm="1">
        <f t="array" aca="1" ref="CR68" ca="1">IF(tblBaseCF[[#This Row],[LBFlag]],
_xlfn.SWITCH(base,
"ILP1",0,tp),0)*tblBaseCF[[#This Row],[SBFlag]]</f>
        <v>0</v>
      </c>
      <c r="CS68" s="63">
        <f ca="1">tblBaseCF[[#This Row],[SBBasis]]*tblBaseCF[[#This Row],[SBRate]]</f>
        <v>0</v>
      </c>
      <c r="CT68" s="63">
        <f ca="1">tblBaseCF[[#This Row],[LB]]+tblBaseCF[[#This Row],[SB]]</f>
        <v>0</v>
      </c>
      <c r="CU68" s="59">
        <f ca="1">tblBaseCF[[#This Row],[TAVAfterWdrlAlloc]]-tblBaseCF[[#This Row],[TAVDeduct]]+tblBaseCF[[#This Row],[TAVInt]]+tblBaseCF[[#This Row],[Bonus]]</f>
        <v>0</v>
      </c>
      <c r="CV68" s="59">
        <f ca="1">tblBaseCF[[#This Row],[EAVAfterWdrlAlloc]]-tblBaseCF[[#This Row],[EAVDeduct]]+tblBaseCF[[#This Row],[EAVInt]]</f>
        <v>0</v>
      </c>
      <c r="CW68" s="63">
        <f ca="1">tblBaseCF[[#This Row],[EndTAV]]+tblBaseCF[[#This Row],[EndEAV]]</f>
        <v>0</v>
      </c>
      <c r="CX68" s="59">
        <f ca="1">INDEX(tblPlanPrem[TP],2)
*tblBaseCF[[#This Row],[TPTermFlag]]</f>
        <v>0</v>
      </c>
      <c r="CY68" s="59">
        <f ca="1">INDEX(tblPlanPrem[EP],2)
*tblBaseCF[[#This Row],[TPTermFlag]]</f>
        <v>0</v>
      </c>
      <c r="CZ68" s="63">
        <f ca="1">ROUNDUP(tblBaseCF[[#This Row],[UnroundedEMLoad]]*INDEX(tblPlanPrem[Factor],2),-3)</f>
        <v>0</v>
      </c>
      <c r="DA68" s="63">
        <f ca="1">ROUNDUP(tblBaseCF[[#This Row],[UnroundedPMLoad]]*INDEX(tblPlanPrem[Factor],2),-3)</f>
        <v>0</v>
      </c>
      <c r="DB68" s="63">
        <f ca="1">tblBaseCF[[#This Row],[SemiAnnualEMLoad]]+tblBaseCF[[#This Row],[SemiAnnualPMLoad]]</f>
        <v>0</v>
      </c>
      <c r="DC68" s="63">
        <f ca="1">tblBaseCF[[#This Row],[SemiAnnualTP]]+tblBaseCF[[#This Row],[SemiAnnualEP]]+tblBaseCF[[#This Row],[SemiAnnualLoad]]</f>
        <v>0</v>
      </c>
      <c r="DD68" s="59">
        <f ca="1">INDEX(tblPlanPrem[TP],3)
*tblBaseCF[[#This Row],[TPTermFlag]]</f>
        <v>0</v>
      </c>
      <c r="DE68" s="59">
        <f ca="1">INDEX(tblPlanPrem[EP],3)
*tblBaseCF[[#This Row],[TPTermFlag]]</f>
        <v>0</v>
      </c>
      <c r="DF68" s="63">
        <f ca="1">ROUNDUP(tblBaseCF[[#This Row],[UnroundedEMLoad]]*INDEX(tblPlanPrem[Factor],3),-3)</f>
        <v>0</v>
      </c>
      <c r="DG68" s="63">
        <f ca="1">ROUNDUP(tblBaseCF[[#This Row],[UnroundedPMLoad]]*INDEX(tblPlanPrem[Factor],3),-3)</f>
        <v>0</v>
      </c>
      <c r="DH68" s="60">
        <f ca="1">tblBaseCF[[#This Row],[QuarterlyEMLoad]]+tblBaseCF[[#This Row],[QuarterlyPMLoad]]</f>
        <v>0</v>
      </c>
      <c r="DI68" s="60">
        <f ca="1">tblBaseCF[[#This Row],[QuarterlyTP]]+tblBaseCF[[#This Row],[QuarterlyEP]]+tblBaseCF[[#This Row],[QuarterlyLoad]]</f>
        <v>0</v>
      </c>
      <c r="DJ68" s="59">
        <f ca="1">INDEX(tblPlanPrem[TP],4)
*tblBaseCF[[#This Row],[TPTermFlag]]</f>
        <v>0</v>
      </c>
      <c r="DK68" s="59">
        <f ca="1">INDEX(tblPlanPrem[EP],4)
*tblBaseCF[[#This Row],[TPTermFlag]]</f>
        <v>0</v>
      </c>
      <c r="DL68" s="63">
        <f ca="1">ROUNDUP(tblBaseCF[[#This Row],[UnroundedEMLoad]]*INDEX(tblPlanPrem[Factor],4),-3)</f>
        <v>0</v>
      </c>
      <c r="DM68" s="63">
        <f ca="1">ROUNDUP(tblBaseCF[[#This Row],[UnroundedPMLoad]]*INDEX(tblPlanPrem[Factor],4),-3)</f>
        <v>0</v>
      </c>
      <c r="DN68" s="60">
        <f ca="1">tblBaseCF[[#This Row],[MonthlyEMLoad]]+tblBaseCF[[#This Row],[MonthlyPMLoad]]</f>
        <v>0</v>
      </c>
      <c r="DO68" s="63">
        <f ca="1">tblBaseCF[[#This Row],[MonthlyTP]]+tblBaseCF[[#This Row],[MonthlyEP]]+tblBaseCF[[#This Row],[MonthlyLoad]]</f>
        <v>0</v>
      </c>
      <c r="DP68" s="3"/>
      <c r="DS68">
        <f t="shared" si="7"/>
        <v>0</v>
      </c>
      <c r="DT68">
        <f t="shared" si="8"/>
        <v>0</v>
      </c>
      <c r="DU68">
        <f t="shared" si="9"/>
        <v>0</v>
      </c>
      <c r="DV68">
        <f ca="1">tblBaseCF[[#This Row],[Year]]</f>
        <v>48</v>
      </c>
      <c r="DW68">
        <f ca="1">tblBaseCF[[#This Row],[Age]]</f>
        <v>47</v>
      </c>
      <c r="DX68">
        <f ca="1">tblBaseCF[[#This Row],[ContFlag]]</f>
        <v>0</v>
      </c>
      <c r="DY68" t="str">
        <f ca="1">tblBaseCF[[#This Row],[ContLog]]</f>
        <v>Insufficient PAV for deduction - Discontinue.</v>
      </c>
      <c r="DZ68">
        <f ca="1">tblBaseCF[[#This Row],[StartTAV]]</f>
        <v>0</v>
      </c>
      <c r="EA68">
        <f ca="1">tblBaseCF[[#This Row],[StartEAV]]</f>
        <v>0</v>
      </c>
      <c r="EB68">
        <f ca="1">tblBaseCF[[#This Row],[StartPAV]]</f>
        <v>0</v>
      </c>
      <c r="EC68">
        <f ca="1">tblBaseCF[[#This Row],[SVChrg]]</f>
        <v>0</v>
      </c>
      <c r="ED68">
        <f ca="1">tblBaseCF[[#This Row],[SV]]</f>
        <v>0</v>
      </c>
      <c r="EE68">
        <f ca="1">tblBaseCF[[#This Row],[Ben]]</f>
        <v>0</v>
      </c>
      <c r="EF68">
        <f ca="1">tblBaseCF[[#This Row],[AccBen]]</f>
        <v>0</v>
      </c>
      <c r="EG68">
        <f ca="1">tblBaseCF[[#This Row],[WithdrawalInput]]</f>
        <v>0</v>
      </c>
      <c r="EH68" t="str">
        <f ca="1">tblBaseCF[[#This Row],[WithdrawalLog]]</f>
        <v>No withdrawal.</v>
      </c>
      <c r="EI68">
        <f ca="1">tblBaseCF[[#This Row],[TAVWithdrawal]]</f>
        <v>0</v>
      </c>
      <c r="EJ68">
        <f ca="1">tblBaseCF[[#This Row],[EAVWithdrawal]]</f>
        <v>0</v>
      </c>
      <c r="EK68">
        <f ca="1">tblBaseCF[[#This Row],[Withdrawal]]</f>
        <v>0</v>
      </c>
      <c r="EL68">
        <f ca="1">tblBaseCF[[#This Row],[TP]]</f>
        <v>0</v>
      </c>
      <c r="EM68">
        <f ca="1">tblBaseCF[[#This Row],[TPAllocChrg]]</f>
        <v>0</v>
      </c>
      <c r="EN68">
        <f ca="1">tblBaseCF[[#This Row],[TPAlloc]]</f>
        <v>0</v>
      </c>
      <c r="EO68">
        <f ca="1">tblBaseCF[[#This Row],[EP]]</f>
        <v>0</v>
      </c>
      <c r="EP68">
        <f ca="1">tblBaseCF[[#This Row],[EPAllocChrg]]</f>
        <v>0</v>
      </c>
      <c r="EQ68">
        <f ca="1">tblBaseCF[[#This Row],[EPAlloc]]</f>
        <v>0</v>
      </c>
      <c r="ER68">
        <f ca="1">tblBaseCF[[#This Row],[EMLoad]]</f>
        <v>0</v>
      </c>
      <c r="ES68">
        <f ca="1">tblBaseCF[[#This Row],[PMLoad]]</f>
        <v>0</v>
      </c>
      <c r="ET68">
        <f ca="1">tblBaseCF[[#This Row],[Load]]</f>
        <v>0</v>
      </c>
      <c r="EU68">
        <f ca="1">tblBaseCF[[#This Row],[LoadAllocChrg]]</f>
        <v>0</v>
      </c>
      <c r="EV68">
        <f ca="1">tblBaseCF[[#This Row],[LoadAlloc]]</f>
        <v>0</v>
      </c>
      <c r="EW68">
        <f ca="1">tblBaseCF[[#This Row],[TotalPrem]]</f>
        <v>0</v>
      </c>
      <c r="EX68">
        <f ca="1">tblBaseCF[[#This Row],[AllocChrg]]</f>
        <v>0</v>
      </c>
      <c r="EY68">
        <f ca="1">tblBaseCF[[#This Row],[Alloc]]</f>
        <v>0</v>
      </c>
      <c r="EZ68">
        <f ca="1">tblBaseCF[[#This Row],[AccumTotalPrem]]</f>
        <v>0</v>
      </c>
      <c r="FA68">
        <f>tblBaseCF[[#This Row],[AnnualIntRate]]</f>
        <v>0</v>
      </c>
      <c r="FB68" s="50">
        <f>tblBaseCF[[#This Row],[Duean1m12]]</f>
        <v>1</v>
      </c>
      <c r="FC68">
        <f ca="1">tblBaseCF[[#This Row],[DeductFlag]]</f>
        <v>0</v>
      </c>
      <c r="FD68">
        <f ca="1">tblBaseCF[[#This Row],[AdminChrg]]</f>
        <v>0</v>
      </c>
      <c r="FE68">
        <f ca="1">tblBaseCF[[#This Row],[StandardCOI]]</f>
        <v>0</v>
      </c>
      <c r="FF68">
        <f ca="1">tblBaseCF[[#This Row],[EMLoadCOI]]</f>
        <v>0</v>
      </c>
      <c r="FG68">
        <f ca="1">tblBaseCF[[#This Row],[PMLoadCOI]]</f>
        <v>0</v>
      </c>
      <c r="FH68">
        <f ca="1">tblBaseCF[[#This Row],[COI]]</f>
        <v>0</v>
      </c>
      <c r="FI68" s="47">
        <f ca="1">tblBaseCF[[#This Row],[NomDeduct]]</f>
        <v>0</v>
      </c>
      <c r="FJ68">
        <f ca="1">tblBaseCF[[#This Row],[Deduct]]</f>
        <v>0</v>
      </c>
      <c r="FK68">
        <f ca="1">tblBaseCF[[#This Row],[TAVDeduct]]</f>
        <v>0</v>
      </c>
      <c r="FL68">
        <f ca="1">tblBaseCF[[#This Row],[EAVDeduct]]</f>
        <v>0</v>
      </c>
      <c r="FM68" s="24">
        <f ca="1">tblBaseCF[[#This Row],[TAVInt]]</f>
        <v>0</v>
      </c>
      <c r="FN68">
        <f ca="1">tblBaseCF[[#This Row],[EAVInt]]</f>
        <v>0</v>
      </c>
      <c r="FO68" s="47">
        <f ca="1">tblBaseCF[[#This Row],[LB]]</f>
        <v>0</v>
      </c>
      <c r="FP68">
        <f ca="1">tblBaseCF[[#This Row],[SB]]</f>
        <v>0</v>
      </c>
      <c r="FQ68">
        <f ca="1">tblBaseCF[[#This Row],[Bonus]]</f>
        <v>0</v>
      </c>
      <c r="FR68">
        <f ca="1">tblBaseCF[[#This Row],[EndTAV]]</f>
        <v>0</v>
      </c>
      <c r="FS68">
        <f ca="1">tblBaseCF[[#This Row],[EndEAV]]</f>
        <v>0</v>
      </c>
      <c r="FT68">
        <f ca="1">tblBaseCF[[#This Row],[EndPAV]]</f>
        <v>0</v>
      </c>
      <c r="FU68">
        <f ca="1">tblBaseCF[[#This Row],[SemiAnnualTP]]</f>
        <v>0</v>
      </c>
      <c r="FV68">
        <f ca="1">tblBaseCF[[#This Row],[SemiAnnualEP]]</f>
        <v>0</v>
      </c>
      <c r="FW68">
        <f ca="1">tblBaseCF[[#This Row],[SemiAnnualEMLoad]]</f>
        <v>0</v>
      </c>
      <c r="FX68">
        <f ca="1">tblBaseCF[[#This Row],[SemiAnnualPMLoad]]</f>
        <v>0</v>
      </c>
      <c r="FY68">
        <f ca="1">tblBaseCF[[#This Row],[SemiAnnualLoad]]</f>
        <v>0</v>
      </c>
      <c r="FZ68">
        <f ca="1">tblBaseCF[[#This Row],[SemiAnnualTotalPrem]]</f>
        <v>0</v>
      </c>
      <c r="GA68">
        <f ca="1">tblBaseCF[[#This Row],[QuarterlyTP]]</f>
        <v>0</v>
      </c>
      <c r="GB68">
        <f ca="1">tblBaseCF[[#This Row],[QuarterlyEP]]</f>
        <v>0</v>
      </c>
      <c r="GC68">
        <f ca="1">tblBaseCF[[#This Row],[QuarterlyEMLoad]]</f>
        <v>0</v>
      </c>
      <c r="GD68">
        <f ca="1">tblBaseCF[[#This Row],[QuarterlyPMLoad]]</f>
        <v>0</v>
      </c>
      <c r="GE68">
        <f ca="1">tblBaseCF[[#This Row],[QuarterlyLoad]]</f>
        <v>0</v>
      </c>
      <c r="GF68">
        <f ca="1">tblBaseCF[[#This Row],[QuarterlyTotalPrem]]</f>
        <v>0</v>
      </c>
      <c r="GG68">
        <f ca="1">tblBaseCF[[#This Row],[MonthlyTP]]</f>
        <v>0</v>
      </c>
      <c r="GH68">
        <f ca="1">tblBaseCF[[#This Row],[MonthlyEP]]</f>
        <v>0</v>
      </c>
      <c r="GI68">
        <f ca="1">tblBaseCF[[#This Row],[MonthlyEMLoad]]</f>
        <v>0</v>
      </c>
      <c r="GJ68">
        <f ca="1">tblBaseCF[[#This Row],[MonthlyPMLoad]]</f>
        <v>0</v>
      </c>
      <c r="GK68">
        <f ca="1">tblBaseCF[[#This Row],[MonthlyLoad]]</f>
        <v>0</v>
      </c>
      <c r="GL68">
        <f ca="1">tblBaseCF[[#This Row],[MonthlyTotalPrem]]</f>
        <v>0</v>
      </c>
      <c r="GO68" t="s">
        <v>134</v>
      </c>
      <c r="GP68" t="s">
        <v>135</v>
      </c>
      <c r="GQ68" t="s">
        <v>502</v>
      </c>
      <c r="GR68">
        <v>48</v>
      </c>
      <c r="GS68">
        <v>47</v>
      </c>
      <c r="GT68">
        <v>1</v>
      </c>
      <c r="GU68" t="s">
        <v>457</v>
      </c>
      <c r="GV68">
        <v>120646047.88201299</v>
      </c>
      <c r="GW68">
        <v>998109405.45909297</v>
      </c>
      <c r="GX68">
        <v>1118755453.34111</v>
      </c>
      <c r="GY68">
        <v>0</v>
      </c>
      <c r="GZ68">
        <v>1118755453.34111</v>
      </c>
      <c r="HA68">
        <v>1118755453.34111</v>
      </c>
      <c r="HB68">
        <v>303000000</v>
      </c>
      <c r="HC68">
        <v>0</v>
      </c>
      <c r="HD68" t="s">
        <v>137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7.0000000000000007E-2</v>
      </c>
      <c r="HX68">
        <v>0.96964931039809399</v>
      </c>
      <c r="HY68">
        <v>1</v>
      </c>
      <c r="HZ68">
        <v>300000</v>
      </c>
      <c r="IA68">
        <v>0</v>
      </c>
      <c r="IB68">
        <v>0</v>
      </c>
      <c r="IC68">
        <v>0</v>
      </c>
      <c r="ID68">
        <v>272700</v>
      </c>
      <c r="IE68">
        <v>572700</v>
      </c>
      <c r="IF68">
        <v>555318.16006498795</v>
      </c>
      <c r="IG68">
        <v>555318.16006498795</v>
      </c>
      <c r="IH68">
        <v>0</v>
      </c>
      <c r="II68">
        <v>8406351.0805363804</v>
      </c>
      <c r="IJ68">
        <v>69867658.382136494</v>
      </c>
      <c r="IK68">
        <v>0</v>
      </c>
      <c r="IL68">
        <v>0</v>
      </c>
      <c r="IM68">
        <v>0</v>
      </c>
      <c r="IN68">
        <v>128497080.802485</v>
      </c>
      <c r="IO68">
        <v>1067977063.84123</v>
      </c>
      <c r="IP68">
        <v>1196474144.6437099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</row>
    <row r="69" spans="2:268" customFormat="1" x14ac:dyDescent="0.25">
      <c r="B69" s="2">
        <f ca="1">OFFSET(tblBaseCF[[#This Row],[Year]],-1,0)+1</f>
        <v>49</v>
      </c>
      <c r="C69" s="2">
        <f ca="1">(tblBaseCF[[#This Row],[Year]]&lt;=term)*1</f>
        <v>1</v>
      </c>
      <c r="D69" s="57">
        <f ca="1">(YEAR(rcd)+tblBaseCF[[#This Row],[Year]]-1)
*tblBaseCF[[#This Row],[PolTermFlag]]</f>
        <v>2073</v>
      </c>
      <c r="E69" s="57">
        <f ca="1">(mainLI_entry_age+tblBaseCF[[#This Row],[Year]]-1)
*tblBaseCF[[#This Row],[PolTermFlag]]</f>
        <v>48</v>
      </c>
      <c r="F69" s="57">
        <f ca="1">IF(tblBaseCF[[#This Row],[Year]]=1,1,OFFSET(tblBaseCF[[#This Row],[DeductFlag]],-1,0))
*tblBaseCF[[#This Row],[PolTermFlag]]</f>
        <v>0</v>
      </c>
      <c r="G6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69" s="57">
        <f ca="1">(tblBaseCF[[#This Row],[Year]]&lt;=acc_ben_term)
*tblBaseCF[[#This Row],[ContFlag]]</f>
        <v>0</v>
      </c>
      <c r="I69" s="57">
        <f ca="1">(tblBaseCF[[#This Row],[Year]]&lt;=tp_term)
*tblBaseCF[[#This Row],[ContFlag]]</f>
        <v>0</v>
      </c>
      <c r="J69" s="57">
        <f ca="1">(tblBaseCF[[#This Row],[Year]]&lt;=ep_term)
*tblBaseCF[[#This Row],[ContFlag]]</f>
        <v>0</v>
      </c>
      <c r="K69" s="57">
        <f ca="1">(tblBaseCF[[#This Row],[Year]]&lt;=em_load_term)*1</f>
        <v>0</v>
      </c>
      <c r="L69" s="57">
        <f ca="1">(tblBaseCF[[#This Row],[Year]]&lt;=pm_load_term)*1</f>
        <v>0</v>
      </c>
      <c r="M69" s="59">
        <f ca="1">IF(tblBaseCF[[#This Row],[Year]]=1,si,OFFSET(tblBaseCF[[#This Row],[EndSI]],-1,0))
*tblBaseCF[[#This Row],[ContFlag]]</f>
        <v>0</v>
      </c>
      <c r="N69" s="59">
        <f ca="1">OFFSET(tblBaseCF[[#This Row],[EndTAV]],-1,0)
*tblBaseCF[[#This Row],[ContFlag]]</f>
        <v>0</v>
      </c>
      <c r="O69" s="59">
        <f ca="1">OFFSET(tblBaseCF[[#This Row],[EndEAV]],-1,0)
*tblBaseCF[[#This Row],[ContFlag]]</f>
        <v>0</v>
      </c>
      <c r="P69" s="60">
        <f ca="1">tblBaseCF[[#This Row],[StartEAV]]+tblBaseCF[[#This Row],[StartTAV]]</f>
        <v>0</v>
      </c>
      <c r="Q69" s="61">
        <f ca="1">IFERROR(INDEX(tblJuvenileLienRate[Rate],MATCH(tblBaseCF[[#This Row],[Age]],tblJuvenileLienRate[Age],0)),1)
*tblBaseCF[[#This Row],[ContFlag]]</f>
        <v>0</v>
      </c>
      <c r="R6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69" s="62">
        <f ca="1">tblBaseCF[[#This Row],[StartSI]]*acc_ben_coeff*tblBaseCF[[#This Row],[JuvenileLienRate]]
*tblBaseCF[[#This Row],[AccBenTermFlag]]</f>
        <v>0</v>
      </c>
      <c r="T69" s="61">
        <f ca="1">(IFERROR(INDEX(tblSurrChrgRate[Rate],MATCH(tblBaseCF[[#This Row],[Year]],tblSurrChrgRate[Year],0)),0)
*tblBaseCF[[#This Row],[ContFlag]])</f>
        <v>0</v>
      </c>
      <c r="U69" s="60">
        <f ca="1">tp*tblBaseCF[[#This Row],[SrrChrgRate]]</f>
        <v>0</v>
      </c>
      <c r="V69" s="63">
        <f ca="1">MAX(tblBaseCF[[#This Row],[StartTAV]]-tblBaseCF[[#This Row],[SVChrg]],0)+tblBaseCF[[#This Row],[StartEAV]]</f>
        <v>0</v>
      </c>
      <c r="W69" s="59">
        <f ca="1">IFERROR(INDEX(tblWithdrawal_Output[Amount],MATCH(tblBaseCF[[#This Row],[Year]],tblWithdrawal_Output[Year],0)),0)
*tblBaseCF[[#This Row],[ContFlag]]</f>
        <v>0</v>
      </c>
      <c r="X69" s="59" t="b">
        <f ca="1">tblBaseCF[[#This Row],[WithdrawalInput]]&gt;0</f>
        <v>0</v>
      </c>
      <c r="Y69" s="59" t="b">
        <f ca="1">AND(tblBaseCF[[#This Row],[1stCheckProceed]],tblBaseCF[[#This Row],[WithdrawalInput]]&lt;=tblBaseCF[[#This Row],[StartPAV]])</f>
        <v>0</v>
      </c>
      <c r="Z69" s="59" t="b">
        <f ca="1">AND(tblBaseCF[[#This Row],[2ndCheckAmount]],(tblBaseCF[[#This Row],[StartPAV]]-tblBaseCF[[#This Row],[WithdrawalInput]])&gt;=min_pav_after_withdrawal)</f>
        <v>0</v>
      </c>
      <c r="AA6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69" s="59" t="b">
        <f ca="1">AND(tblBaseCF[[#This Row],[3rdCheckPAV]],tblBaseCF[[#This Row],[endSITest]]&gt;=min_base_si)</f>
        <v>0</v>
      </c>
      <c r="AC69" s="60">
        <f ca="1">tblBaseCF[[#This Row],[WithdrawalInput]]*tblBaseCF[[#This Row],[4thCheckSI]]</f>
        <v>0</v>
      </c>
      <c r="AD69" s="60">
        <f ca="1">MIN(tblBaseCF[[#This Row],[Withdrawal]],tblBaseCF[[#This Row],[StartEAV]])</f>
        <v>0</v>
      </c>
      <c r="AE69" s="60">
        <f ca="1">tblBaseCF[[#This Row],[Withdrawal]]-tblBaseCF[[#This Row],[EAVWithdrawal]]</f>
        <v>0</v>
      </c>
      <c r="AF69" s="60">
        <f ca="1">IF(tblBaseCF[[#This Row],[4thCheckSI]],tblBaseCF[[#This Row],[endSITest]],tblBaseCF[[#This Row],[StartSI]])</f>
        <v>0</v>
      </c>
      <c r="AG6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69" s="65">
        <f ca="1">IFERROR(INDEX(tblTPAllocChrgRate[Rate],MATCH(tblBaseCF[[#This Row],[Year]],tblTPAllocChrgRate[Year],0)),0)</f>
        <v>0.02</v>
      </c>
      <c r="AI69" s="62">
        <f ca="1">(tp+big_case_bonus_tp*(tblBaseCF[[#This Row],[Year]]=1))
*tblBaseCF[[#This Row],[TPTermFlag]]</f>
        <v>0</v>
      </c>
      <c r="AJ69" s="63">
        <f ca="1">tblBaseCF[[#This Row],[TP]]*tblBaseCF[[#This Row],[TPAllocChrgRate]]</f>
        <v>0</v>
      </c>
      <c r="AK69" s="60">
        <f ca="1">tblBaseCF[[#This Row],[TP]]-tblBaseCF[[#This Row],[TPAllocChrg]]</f>
        <v>0</v>
      </c>
      <c r="AL69" s="65">
        <f ca="1">IFERROR(INDEX(tblEPAllocChrgRate[Rate],MATCH(tblBaseCF[[#This Row],[Year]],tblEPAllocChrgRate[Year],0)),0)</f>
        <v>0.02</v>
      </c>
      <c r="AM69" s="60">
        <f ca="1">ep*tblBaseCF[[#This Row],[EPTermFlag]]</f>
        <v>0</v>
      </c>
      <c r="AN69" s="60">
        <f ca="1">tblBaseCF[[#This Row],[EP]]*tblBaseCF[[#This Row],[EPAllocChrgRate]]</f>
        <v>0</v>
      </c>
      <c r="AO69" s="63">
        <f ca="1">tblBaseCF[[#This Row],[EP]]-tblBaseCF[[#This Row],[EPAllocChrg]]</f>
        <v>0</v>
      </c>
      <c r="AP69" s="62">
        <f ca="1">tblBaseCF[[#This Row],[Ben]]*extra_prem_rate*em_load/1000/(1-tblBaseCF[[#This Row],[EPAllocChrgRate]])
*tblBaseCF[[#This Row],[EMLoadTermFlag]]</f>
        <v>0</v>
      </c>
      <c r="AQ69" s="62">
        <f ca="1">tblBaseCF[[#This Row],[Ben]]*pm_load/1000/(1-tblBaseCF[[#This Row],[EPAllocChrgRate]])
*tblBaseCF[[#This Row],[PMLoadTermFlag]]</f>
        <v>0</v>
      </c>
      <c r="AR69" s="60">
        <f ca="1">ROUNDUP(tblBaseCF[[#This Row],[UnroundedEMLoad]],-3)</f>
        <v>0</v>
      </c>
      <c r="AS69" s="62">
        <f ca="1">ROUNDUP(tblBaseCF[[#This Row],[Ben]]*pm_load/1000/(1-tblBaseCF[[#This Row],[EPAllocChrgRate]]),-3)
*tblBaseCF[[#This Row],[PMLoadTermFlag]]</f>
        <v>0</v>
      </c>
      <c r="AT69" s="60">
        <f ca="1">tblBaseCF[[#This Row],[EMLoad]]+tblBaseCF[[#This Row],[PMLoad]]</f>
        <v>0</v>
      </c>
      <c r="AU69" s="60">
        <f ca="1">tblBaseCF[[#This Row],[Load]]*tblBaseCF[[#This Row],[EPAllocChrgRate]]</f>
        <v>0</v>
      </c>
      <c r="AV69" s="60">
        <f ca="1">tblBaseCF[[#This Row],[Load]]-tblBaseCF[[#This Row],[LoadAllocChrg]]</f>
        <v>0</v>
      </c>
      <c r="AW69" s="60">
        <f ca="1">tblBaseCF[[#This Row],[TP]]+tblBaseCF[[#This Row],[EP]]+tblBaseCF[[#This Row],[Load]]</f>
        <v>0</v>
      </c>
      <c r="AX69" s="60">
        <f ca="1">tblBaseCF[[#This Row],[TPAllocChrg]]+tblBaseCF[[#This Row],[EPAllocChrg]]+tblBaseCF[[#This Row],[LoadAllocChrg]]</f>
        <v>0</v>
      </c>
      <c r="AY69" s="60">
        <f ca="1">tblBaseCF[[#This Row],[TPAlloc]]+tblBaseCF[[#This Row],[EPAlloc]]+tblBaseCF[[#This Row],[LoadAlloc]]</f>
        <v>0</v>
      </c>
      <c r="AZ69" s="60">
        <f ca="1">(OFFSET(tblBaseCF[[#This Row],[AccumTotalPrem]],-1,0)+tblBaseCF[[#This Row],[TotalPrem]])*tblBaseCF[[#This Row],[TPTermFlag]]</f>
        <v>0</v>
      </c>
      <c r="BA69" s="62">
        <f ca="1">(tblBaseCF[[#This Row],[StartTAV]]-tblBaseCF[[#This Row],[TAVWithdrawal]]+tblBaseCF[[#This Row],[TPAlloc]])
*tblBaseCF[[#This Row],[ContFlag]]</f>
        <v>0</v>
      </c>
      <c r="BB69" s="59">
        <f ca="1">(tblBaseCF[[#This Row],[StartEAV]]-tblBaseCF[[#This Row],[EAVWithdrawal]]+tblBaseCF[[#This Row],[EPAlloc]]+tblBaseCF[[#This Row],[LoadAlloc]])
*tblBaseCF[[#This Row],[ContFlag]]</f>
        <v>0</v>
      </c>
      <c r="BC69" s="59">
        <f ca="1">tblBaseCF[[#This Row],[TAVAfterWdrlAlloc]]+tblBaseCF[[#This Row],[EAVAfterWdrlAlloc]]</f>
        <v>0</v>
      </c>
      <c r="BD69" s="66">
        <f t="shared" si="6"/>
        <v>0</v>
      </c>
      <c r="BE69" s="67">
        <f>(1+tblBaseCF[[#This Row],[AnnualIntRate]])^(1/12)-1</f>
        <v>0</v>
      </c>
      <c r="BF69" s="68">
        <f>IFERROR(((1+tblBaseCF[[#This Row],[MonthlyIntRate]])^12-1)/12/(1-1/(1+tblBaseCF[[#This Row],[MonthlyIntRate]])),1)/(1+tblBaseCF[[#This Row],[AnnualIntRate]])</f>
        <v>1</v>
      </c>
      <c r="BG69" s="69">
        <f>PV(tblBaseCF[[#This Row],[MonthlyIntRate]],12,-1/12,,1)</f>
        <v>1</v>
      </c>
      <c r="BH69" s="60">
        <f ca="1">MAX(IF(death_tpd_option="A",tblBaseCF[[#This Row],[Ben]]-tblBaseCF[[#This Row],[StartPAV]],tblBaseCF[[#This Row],[Ben]]),0)</f>
        <v>0</v>
      </c>
      <c r="BI69" s="70">
        <f ca="1">IFERROR(INDEX(tblBaseCOIRate[Rate],MATCH(tblBaseCF[[#This Row],[Age]],tblBaseCOIRate[Age],0)),0)</f>
        <v>4.4800000000000404E-3</v>
      </c>
      <c r="BJ69" s="60">
        <f ca="1">tblBaseCF[[#This Row],[SAR]]*tblBaseCF[[#This Row],[COIRate]]</f>
        <v>0</v>
      </c>
      <c r="BK69" s="62">
        <f ca="1">em_load*tblBaseCF[[#This Row],[pStandardCOI]]
*tblBaseCF[[#This Row],[EMLoadTermFlag]]</f>
        <v>0</v>
      </c>
      <c r="BL69" s="62">
        <f ca="1">pm_load/1000*tblBaseCF[[#This Row],[SAR]]
*tblBaseCF[[#This Row],[PMLoadTermFlag]]</f>
        <v>0</v>
      </c>
      <c r="BM69" s="60">
        <f ca="1">tblBaseCF[[#This Row],[AccBen]]*monthly_acc_coi*12</f>
        <v>0</v>
      </c>
      <c r="BN69" s="60">
        <f ca="1">tblBaseCF[[#This Row],[pStandardCOI]]+tblBaseCF[[#This Row],[pEMLoadCOI]]+tblBaseCF[[#This Row],[pPMLoadCOI]]+tblBaseCF[[#This Row],[pAccCOI]]</f>
        <v>0</v>
      </c>
      <c r="BO69" s="62">
        <f ca="1">IFERROR(INDEX(tblAdminChrg[Amount],MATCH(tblBaseCF[[#This Row],[CalYear]],tblAdminChrg[Cal_Year],0)),0)
*tblBaseCF[[#This Row],[ContFlag]]</f>
        <v>0</v>
      </c>
      <c r="BP69" s="60">
        <f ca="1">tblBaseCF[[#This Row],[pMonthlyAdminChrg]]*12</f>
        <v>0</v>
      </c>
      <c r="BQ69" s="60">
        <f ca="1">tblBaseCF[[#This Row],[pCOI]]+tblBaseCF[[#This Row],[pAdminChrg]]</f>
        <v>0</v>
      </c>
      <c r="BR69" s="60">
        <f ca="1">tblBaseCF[[#This Row],[pNomDeduct]]*tblBaseCF[[#This Row],[Duean1m12]]</f>
        <v>0</v>
      </c>
      <c r="BS69" s="57">
        <f ca="1">(tblBaseCF[[#This Row],[PAVAfterWdrlAlloc]]&gt;=tblBaseCF[[#This Row],[pNomDeduct]])
*tblBaseCF[[#This Row],[ContFlag]]</f>
        <v>0</v>
      </c>
      <c r="BT69" s="60">
        <f ca="1">tblBaseCF[[#This Row],[pStandardCOI]]*tblBaseCF[[#This Row],[DeductFlag]]</f>
        <v>0</v>
      </c>
      <c r="BU69" s="60">
        <f ca="1">tblBaseCF[[#This Row],[pEMLoadCOI]]*tblBaseCF[[#This Row],[DeductFlag]]</f>
        <v>0</v>
      </c>
      <c r="BV69" s="60">
        <f ca="1">tblBaseCF[[#This Row],[pPMLoadCOI]]*tblBaseCF[[#This Row],[DeductFlag]]</f>
        <v>0</v>
      </c>
      <c r="BW69" s="60">
        <f ca="1">tblBaseCF[[#This Row],[pAccCOI]]*tblBaseCF[[#This Row],[DeductFlag]]</f>
        <v>0</v>
      </c>
      <c r="BX69" s="60">
        <f ca="1">tblBaseCF[[#This Row],[pCOI]]*tblBaseCF[[#This Row],[DeductFlag]]</f>
        <v>0</v>
      </c>
      <c r="BY69" s="60">
        <f ca="1">tblBaseCF[[#This Row],[pMonthlyAdminChrg]]*tblBaseCF[[#This Row],[DeductFlag]]</f>
        <v>0</v>
      </c>
      <c r="BZ69" s="60">
        <f ca="1">tblBaseCF[[#This Row],[pAdminChrg]]*tblBaseCF[[#This Row],[DeductFlag]]</f>
        <v>0</v>
      </c>
      <c r="CA69" s="60">
        <f ca="1">tblBaseCF[[#This Row],[pNomDeduct]]*tblBaseCF[[#This Row],[DeductFlag]]</f>
        <v>0</v>
      </c>
      <c r="CB69" s="60">
        <f ca="1">tblBaseCF[[#This Row],[pDeduct]]*tblBaseCF[[#This Row],[DeductFlag]]</f>
        <v>0</v>
      </c>
      <c r="CC69" s="60">
        <f ca="1">MIN(tblBaseCF[[#This Row],[TAVAfterWdrlAlloc]],tblBaseCF[[#This Row],[Deduct]])</f>
        <v>0</v>
      </c>
      <c r="CD69" s="60">
        <f ca="1">tblBaseCF[[#This Row],[Deduct]]-tblBaseCF[[#This Row],[TAVDeduct]]</f>
        <v>0</v>
      </c>
      <c r="CE69" s="69">
        <f ca="1">(tblBaseCF[[#This Row],[TAVAfterWdrlAlloc]]-tblBaseCF[[#This Row],[TAVDeduct]])*tblBaseCF[[#This Row],[AnnualIntRate]]
*tblBaseCF[[#This Row],[DeductFlag]]</f>
        <v>0</v>
      </c>
      <c r="CF69" s="69">
        <f ca="1">(tblBaseCF[[#This Row],[EAVAfterWdrlAlloc]]-tblBaseCF[[#This Row],[EAVDeduct]])*tblBaseCF[[#This Row],[AnnualIntRate]]
*tblBaseCF[[#This Row],[DeductFlag]]</f>
        <v>0</v>
      </c>
      <c r="CG69" s="69">
        <f ca="1">tblBaseCF[[#This Row],[TAVInt]]+tblBaseCF[[#This Row],[EAVInt]]</f>
        <v>0</v>
      </c>
      <c r="CH69" s="62">
        <f ca="1">IFERROR(INDEX(tblLBRate[Rate],MATCH(tblBaseCF[[#This Row],[Year]],tblLBRate[Year],0)),0)
*tblBaseCF[[#This Row],[DeductFlag]]</f>
        <v>0</v>
      </c>
      <c r="CI69" s="60">
        <f ca="1">IFERROR(SUM(OFFSET(tblBaseCF[[#This Row],[TAVWithdrawal]],0,0,-lb_review_period,1)),0)
*(tblBaseCF[[#This Row],[LBRate]]&gt;0)</f>
        <v>0</v>
      </c>
      <c r="CJ69" s="60">
        <f ca="1">(tblBaseCF[[#This Row],[LBRate]]&gt;0)*(tblBaseCF[[#This Row],[LBTAVWithdrawal]]=0)</f>
        <v>0</v>
      </c>
      <c r="CK69" s="62" cm="1">
        <f t="array" aca="1" ref="CK69" ca="1">IF(tblBaseCF[[#This Row],[LBFlag]],
_xlfn.SWITCH(base,
"ILP1",AVERAGE(OFFSET(tblBaseCF[TP],0,0,-lb_review_period,1)),tp),0)
*tblBaseCF[[#This Row],[LBFlag]]</f>
        <v>0</v>
      </c>
      <c r="CL69" s="62">
        <f ca="1">tblBaseCF[[#This Row],[LBBasis]]*tblBaseCF[[#This Row],[LBRate]]</f>
        <v>0</v>
      </c>
      <c r="CM69" s="57" cm="1">
        <f t="array" aca="1" ref="CM69" ca="1">_xlfn.SWITCH(base,
"ILP1",0,($AF169&lt;500000000)*1
+($AF169&gt;=500000000)*($AF169&lt;1000000000)*2
+($AF169&gt;=1000000000)*3)
*tblBaseCF[[#This Row],[DeductFlag]]</f>
        <v>0</v>
      </c>
      <c r="CN69" s="2" t="str">
        <f ca="1">IF(tblBaseCF[[#This Row],[DeductFlag]],base&amp;"_"&amp;tblBaseCF[[#This Row],[SBCode]]&amp;"_"&amp;tblBaseCF[[#This Row],[Year]],"")</f>
        <v/>
      </c>
      <c r="CO69" s="3">
        <f ca="1">IFERROR(INDEX(tblSBRate[Index],MATCH(tblBaseCF[[#This Row],[SBIndex]],tblSBRate[Rate],0)),0)</f>
        <v>0</v>
      </c>
      <c r="CP69" s="63">
        <f ca="1">IFERROR(SUM(OFFSET(tblBaseCF[[#This Row],[TAVWithdrawal]],0,0,-sb_review_period,1)),0)
*(tblBaseCF[[#This Row],[SBRate]]&gt;0)</f>
        <v>0</v>
      </c>
      <c r="CQ69" s="63">
        <f ca="1">(tblBaseCF[[#This Row],[SBRate]]&gt;0)*(tblBaseCF[[#This Row],[SBTAVWithdrawal]]=0)</f>
        <v>0</v>
      </c>
      <c r="CR69" s="59" cm="1">
        <f t="array" aca="1" ref="CR69" ca="1">IF(tblBaseCF[[#This Row],[LBFlag]],
_xlfn.SWITCH(base,
"ILP1",0,tp),0)*tblBaseCF[[#This Row],[SBFlag]]</f>
        <v>0</v>
      </c>
      <c r="CS69" s="63">
        <f ca="1">tblBaseCF[[#This Row],[SBBasis]]*tblBaseCF[[#This Row],[SBRate]]</f>
        <v>0</v>
      </c>
      <c r="CT69" s="63">
        <f ca="1">tblBaseCF[[#This Row],[LB]]+tblBaseCF[[#This Row],[SB]]</f>
        <v>0</v>
      </c>
      <c r="CU69" s="59">
        <f ca="1">tblBaseCF[[#This Row],[TAVAfterWdrlAlloc]]-tblBaseCF[[#This Row],[TAVDeduct]]+tblBaseCF[[#This Row],[TAVInt]]+tblBaseCF[[#This Row],[Bonus]]</f>
        <v>0</v>
      </c>
      <c r="CV69" s="59">
        <f ca="1">tblBaseCF[[#This Row],[EAVAfterWdrlAlloc]]-tblBaseCF[[#This Row],[EAVDeduct]]+tblBaseCF[[#This Row],[EAVInt]]</f>
        <v>0</v>
      </c>
      <c r="CW69" s="63">
        <f ca="1">tblBaseCF[[#This Row],[EndTAV]]+tblBaseCF[[#This Row],[EndEAV]]</f>
        <v>0</v>
      </c>
      <c r="CX69" s="59">
        <f ca="1">INDEX(tblPlanPrem[TP],2)
*tblBaseCF[[#This Row],[TPTermFlag]]</f>
        <v>0</v>
      </c>
      <c r="CY69" s="59">
        <f ca="1">INDEX(tblPlanPrem[EP],2)
*tblBaseCF[[#This Row],[TPTermFlag]]</f>
        <v>0</v>
      </c>
      <c r="CZ69" s="63">
        <f ca="1">ROUNDUP(tblBaseCF[[#This Row],[UnroundedEMLoad]]*INDEX(tblPlanPrem[Factor],2),-3)</f>
        <v>0</v>
      </c>
      <c r="DA69" s="63">
        <f ca="1">ROUNDUP(tblBaseCF[[#This Row],[UnroundedPMLoad]]*INDEX(tblPlanPrem[Factor],2),-3)</f>
        <v>0</v>
      </c>
      <c r="DB69" s="63">
        <f ca="1">tblBaseCF[[#This Row],[SemiAnnualEMLoad]]+tblBaseCF[[#This Row],[SemiAnnualPMLoad]]</f>
        <v>0</v>
      </c>
      <c r="DC69" s="63">
        <f ca="1">tblBaseCF[[#This Row],[SemiAnnualTP]]+tblBaseCF[[#This Row],[SemiAnnualEP]]+tblBaseCF[[#This Row],[SemiAnnualLoad]]</f>
        <v>0</v>
      </c>
      <c r="DD69" s="59">
        <f ca="1">INDEX(tblPlanPrem[TP],3)
*tblBaseCF[[#This Row],[TPTermFlag]]</f>
        <v>0</v>
      </c>
      <c r="DE69" s="59">
        <f ca="1">INDEX(tblPlanPrem[EP],3)
*tblBaseCF[[#This Row],[TPTermFlag]]</f>
        <v>0</v>
      </c>
      <c r="DF69" s="63">
        <f ca="1">ROUNDUP(tblBaseCF[[#This Row],[UnroundedEMLoad]]*INDEX(tblPlanPrem[Factor],3),-3)</f>
        <v>0</v>
      </c>
      <c r="DG69" s="63">
        <f ca="1">ROUNDUP(tblBaseCF[[#This Row],[UnroundedPMLoad]]*INDEX(tblPlanPrem[Factor],3),-3)</f>
        <v>0</v>
      </c>
      <c r="DH69" s="60">
        <f ca="1">tblBaseCF[[#This Row],[QuarterlyEMLoad]]+tblBaseCF[[#This Row],[QuarterlyPMLoad]]</f>
        <v>0</v>
      </c>
      <c r="DI69" s="60">
        <f ca="1">tblBaseCF[[#This Row],[QuarterlyTP]]+tblBaseCF[[#This Row],[QuarterlyEP]]+tblBaseCF[[#This Row],[QuarterlyLoad]]</f>
        <v>0</v>
      </c>
      <c r="DJ69" s="59">
        <f ca="1">INDEX(tblPlanPrem[TP],4)
*tblBaseCF[[#This Row],[TPTermFlag]]</f>
        <v>0</v>
      </c>
      <c r="DK69" s="59">
        <f ca="1">INDEX(tblPlanPrem[EP],4)
*tblBaseCF[[#This Row],[TPTermFlag]]</f>
        <v>0</v>
      </c>
      <c r="DL69" s="63">
        <f ca="1">ROUNDUP(tblBaseCF[[#This Row],[UnroundedEMLoad]]*INDEX(tblPlanPrem[Factor],4),-3)</f>
        <v>0</v>
      </c>
      <c r="DM69" s="63">
        <f ca="1">ROUNDUP(tblBaseCF[[#This Row],[UnroundedPMLoad]]*INDEX(tblPlanPrem[Factor],4),-3)</f>
        <v>0</v>
      </c>
      <c r="DN69" s="60">
        <f ca="1">tblBaseCF[[#This Row],[MonthlyEMLoad]]+tblBaseCF[[#This Row],[MonthlyPMLoad]]</f>
        <v>0</v>
      </c>
      <c r="DO69" s="63">
        <f ca="1">tblBaseCF[[#This Row],[MonthlyTP]]+tblBaseCF[[#This Row],[MonthlyEP]]+tblBaseCF[[#This Row],[MonthlyLoad]]</f>
        <v>0</v>
      </c>
      <c r="DP69" s="3"/>
      <c r="DS69">
        <f t="shared" si="7"/>
        <v>0</v>
      </c>
      <c r="DT69">
        <f t="shared" si="8"/>
        <v>0</v>
      </c>
      <c r="DU69">
        <f t="shared" si="9"/>
        <v>0</v>
      </c>
      <c r="DV69">
        <f ca="1">tblBaseCF[[#This Row],[Year]]</f>
        <v>49</v>
      </c>
      <c r="DW69">
        <f ca="1">tblBaseCF[[#This Row],[Age]]</f>
        <v>48</v>
      </c>
      <c r="DX69">
        <f ca="1">tblBaseCF[[#This Row],[ContFlag]]</f>
        <v>0</v>
      </c>
      <c r="DY69" t="str">
        <f ca="1">tblBaseCF[[#This Row],[ContLog]]</f>
        <v>Insufficient PAV for deduction - Discontinue.</v>
      </c>
      <c r="DZ69">
        <f ca="1">tblBaseCF[[#This Row],[StartTAV]]</f>
        <v>0</v>
      </c>
      <c r="EA69">
        <f ca="1">tblBaseCF[[#This Row],[StartEAV]]</f>
        <v>0</v>
      </c>
      <c r="EB69">
        <f ca="1">tblBaseCF[[#This Row],[StartPAV]]</f>
        <v>0</v>
      </c>
      <c r="EC69">
        <f ca="1">tblBaseCF[[#This Row],[SVChrg]]</f>
        <v>0</v>
      </c>
      <c r="ED69">
        <f ca="1">tblBaseCF[[#This Row],[SV]]</f>
        <v>0</v>
      </c>
      <c r="EE69">
        <f ca="1">tblBaseCF[[#This Row],[Ben]]</f>
        <v>0</v>
      </c>
      <c r="EF69">
        <f ca="1">tblBaseCF[[#This Row],[AccBen]]</f>
        <v>0</v>
      </c>
      <c r="EG69">
        <f ca="1">tblBaseCF[[#This Row],[WithdrawalInput]]</f>
        <v>0</v>
      </c>
      <c r="EH69" t="str">
        <f ca="1">tblBaseCF[[#This Row],[WithdrawalLog]]</f>
        <v>No withdrawal.</v>
      </c>
      <c r="EI69">
        <f ca="1">tblBaseCF[[#This Row],[TAVWithdrawal]]</f>
        <v>0</v>
      </c>
      <c r="EJ69">
        <f ca="1">tblBaseCF[[#This Row],[EAVWithdrawal]]</f>
        <v>0</v>
      </c>
      <c r="EK69">
        <f ca="1">tblBaseCF[[#This Row],[Withdrawal]]</f>
        <v>0</v>
      </c>
      <c r="EL69">
        <f ca="1">tblBaseCF[[#This Row],[TP]]</f>
        <v>0</v>
      </c>
      <c r="EM69">
        <f ca="1">tblBaseCF[[#This Row],[TPAllocChrg]]</f>
        <v>0</v>
      </c>
      <c r="EN69">
        <f ca="1">tblBaseCF[[#This Row],[TPAlloc]]</f>
        <v>0</v>
      </c>
      <c r="EO69">
        <f ca="1">tblBaseCF[[#This Row],[EP]]</f>
        <v>0</v>
      </c>
      <c r="EP69">
        <f ca="1">tblBaseCF[[#This Row],[EPAllocChrg]]</f>
        <v>0</v>
      </c>
      <c r="EQ69">
        <f ca="1">tblBaseCF[[#This Row],[EPAlloc]]</f>
        <v>0</v>
      </c>
      <c r="ER69">
        <f ca="1">tblBaseCF[[#This Row],[EMLoad]]</f>
        <v>0</v>
      </c>
      <c r="ES69">
        <f ca="1">tblBaseCF[[#This Row],[PMLoad]]</f>
        <v>0</v>
      </c>
      <c r="ET69">
        <f ca="1">tblBaseCF[[#This Row],[Load]]</f>
        <v>0</v>
      </c>
      <c r="EU69">
        <f ca="1">tblBaseCF[[#This Row],[LoadAllocChrg]]</f>
        <v>0</v>
      </c>
      <c r="EV69">
        <f ca="1">tblBaseCF[[#This Row],[LoadAlloc]]</f>
        <v>0</v>
      </c>
      <c r="EW69">
        <f ca="1">tblBaseCF[[#This Row],[TotalPrem]]</f>
        <v>0</v>
      </c>
      <c r="EX69">
        <f ca="1">tblBaseCF[[#This Row],[AllocChrg]]</f>
        <v>0</v>
      </c>
      <c r="EY69">
        <f ca="1">tblBaseCF[[#This Row],[Alloc]]</f>
        <v>0</v>
      </c>
      <c r="EZ69">
        <f ca="1">tblBaseCF[[#This Row],[AccumTotalPrem]]</f>
        <v>0</v>
      </c>
      <c r="FA69">
        <f>tblBaseCF[[#This Row],[AnnualIntRate]]</f>
        <v>0</v>
      </c>
      <c r="FB69" s="50">
        <f>tblBaseCF[[#This Row],[Duean1m12]]</f>
        <v>1</v>
      </c>
      <c r="FC69">
        <f ca="1">tblBaseCF[[#This Row],[DeductFlag]]</f>
        <v>0</v>
      </c>
      <c r="FD69">
        <f ca="1">tblBaseCF[[#This Row],[AdminChrg]]</f>
        <v>0</v>
      </c>
      <c r="FE69">
        <f ca="1">tblBaseCF[[#This Row],[StandardCOI]]</f>
        <v>0</v>
      </c>
      <c r="FF69">
        <f ca="1">tblBaseCF[[#This Row],[EMLoadCOI]]</f>
        <v>0</v>
      </c>
      <c r="FG69">
        <f ca="1">tblBaseCF[[#This Row],[PMLoadCOI]]</f>
        <v>0</v>
      </c>
      <c r="FH69">
        <f ca="1">tblBaseCF[[#This Row],[COI]]</f>
        <v>0</v>
      </c>
      <c r="FI69" s="47">
        <f ca="1">tblBaseCF[[#This Row],[NomDeduct]]</f>
        <v>0</v>
      </c>
      <c r="FJ69">
        <f ca="1">tblBaseCF[[#This Row],[Deduct]]</f>
        <v>0</v>
      </c>
      <c r="FK69">
        <f ca="1">tblBaseCF[[#This Row],[TAVDeduct]]</f>
        <v>0</v>
      </c>
      <c r="FL69">
        <f ca="1">tblBaseCF[[#This Row],[EAVDeduct]]</f>
        <v>0</v>
      </c>
      <c r="FM69" s="24">
        <f ca="1">tblBaseCF[[#This Row],[TAVInt]]</f>
        <v>0</v>
      </c>
      <c r="FN69">
        <f ca="1">tblBaseCF[[#This Row],[EAVInt]]</f>
        <v>0</v>
      </c>
      <c r="FO69" s="47">
        <f ca="1">tblBaseCF[[#This Row],[LB]]</f>
        <v>0</v>
      </c>
      <c r="FP69">
        <f ca="1">tblBaseCF[[#This Row],[SB]]</f>
        <v>0</v>
      </c>
      <c r="FQ69">
        <f ca="1">tblBaseCF[[#This Row],[Bonus]]</f>
        <v>0</v>
      </c>
      <c r="FR69">
        <f ca="1">tblBaseCF[[#This Row],[EndTAV]]</f>
        <v>0</v>
      </c>
      <c r="FS69">
        <f ca="1">tblBaseCF[[#This Row],[EndEAV]]</f>
        <v>0</v>
      </c>
      <c r="FT69">
        <f ca="1">tblBaseCF[[#This Row],[EndPAV]]</f>
        <v>0</v>
      </c>
      <c r="FU69">
        <f ca="1">tblBaseCF[[#This Row],[SemiAnnualTP]]</f>
        <v>0</v>
      </c>
      <c r="FV69">
        <f ca="1">tblBaseCF[[#This Row],[SemiAnnualEP]]</f>
        <v>0</v>
      </c>
      <c r="FW69">
        <f ca="1">tblBaseCF[[#This Row],[SemiAnnualEMLoad]]</f>
        <v>0</v>
      </c>
      <c r="FX69">
        <f ca="1">tblBaseCF[[#This Row],[SemiAnnualPMLoad]]</f>
        <v>0</v>
      </c>
      <c r="FY69">
        <f ca="1">tblBaseCF[[#This Row],[SemiAnnualLoad]]</f>
        <v>0</v>
      </c>
      <c r="FZ69">
        <f ca="1">tblBaseCF[[#This Row],[SemiAnnualTotalPrem]]</f>
        <v>0</v>
      </c>
      <c r="GA69">
        <f ca="1">tblBaseCF[[#This Row],[QuarterlyTP]]</f>
        <v>0</v>
      </c>
      <c r="GB69">
        <f ca="1">tblBaseCF[[#This Row],[QuarterlyEP]]</f>
        <v>0</v>
      </c>
      <c r="GC69">
        <f ca="1">tblBaseCF[[#This Row],[QuarterlyEMLoad]]</f>
        <v>0</v>
      </c>
      <c r="GD69">
        <f ca="1">tblBaseCF[[#This Row],[QuarterlyPMLoad]]</f>
        <v>0</v>
      </c>
      <c r="GE69">
        <f ca="1">tblBaseCF[[#This Row],[QuarterlyLoad]]</f>
        <v>0</v>
      </c>
      <c r="GF69">
        <f ca="1">tblBaseCF[[#This Row],[QuarterlyTotalPrem]]</f>
        <v>0</v>
      </c>
      <c r="GG69">
        <f ca="1">tblBaseCF[[#This Row],[MonthlyTP]]</f>
        <v>0</v>
      </c>
      <c r="GH69">
        <f ca="1">tblBaseCF[[#This Row],[MonthlyEP]]</f>
        <v>0</v>
      </c>
      <c r="GI69">
        <f ca="1">tblBaseCF[[#This Row],[MonthlyEMLoad]]</f>
        <v>0</v>
      </c>
      <c r="GJ69">
        <f ca="1">tblBaseCF[[#This Row],[MonthlyPMLoad]]</f>
        <v>0</v>
      </c>
      <c r="GK69">
        <f ca="1">tblBaseCF[[#This Row],[MonthlyLoad]]</f>
        <v>0</v>
      </c>
      <c r="GL69">
        <f ca="1">tblBaseCF[[#This Row],[MonthlyTotalPrem]]</f>
        <v>0</v>
      </c>
      <c r="GO69" t="s">
        <v>134</v>
      </c>
      <c r="GP69" t="s">
        <v>135</v>
      </c>
      <c r="GQ69" t="s">
        <v>502</v>
      </c>
      <c r="GR69">
        <v>49</v>
      </c>
      <c r="GS69">
        <v>48</v>
      </c>
      <c r="GT69">
        <v>1</v>
      </c>
      <c r="GU69" t="s">
        <v>457</v>
      </c>
      <c r="GV69">
        <v>128497080.802485</v>
      </c>
      <c r="GW69">
        <v>1067977063.84123</v>
      </c>
      <c r="GX69">
        <v>1196474144.6437099</v>
      </c>
      <c r="GY69">
        <v>0</v>
      </c>
      <c r="GZ69">
        <v>1196474144.6437099</v>
      </c>
      <c r="HA69">
        <v>1196474144.6437099</v>
      </c>
      <c r="HB69">
        <v>303000000</v>
      </c>
      <c r="HC69">
        <v>0</v>
      </c>
      <c r="HD69" t="s">
        <v>137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7.0000000000000007E-2</v>
      </c>
      <c r="HX69">
        <v>0.96964931039809399</v>
      </c>
      <c r="HY69">
        <v>1</v>
      </c>
      <c r="HZ69">
        <v>300000</v>
      </c>
      <c r="IA69">
        <v>0</v>
      </c>
      <c r="IB69">
        <v>0</v>
      </c>
      <c r="IC69">
        <v>0</v>
      </c>
      <c r="ID69">
        <v>272700</v>
      </c>
      <c r="IE69">
        <v>572700</v>
      </c>
      <c r="IF69">
        <v>555318.16006498795</v>
      </c>
      <c r="IG69">
        <v>555318.16006498795</v>
      </c>
      <c r="IH69">
        <v>0</v>
      </c>
      <c r="II69">
        <v>8955923.3849693798</v>
      </c>
      <c r="IJ69">
        <v>74758394.468886107</v>
      </c>
      <c r="IK69">
        <v>0</v>
      </c>
      <c r="IL69">
        <v>0</v>
      </c>
      <c r="IM69">
        <v>0</v>
      </c>
      <c r="IN69">
        <v>136897686.02738899</v>
      </c>
      <c r="IO69">
        <v>1142735458.3101201</v>
      </c>
      <c r="IP69">
        <v>1279633144.3375001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</row>
    <row r="70" spans="2:268" customFormat="1" x14ac:dyDescent="0.25">
      <c r="B70" s="2">
        <f ca="1">OFFSET(tblBaseCF[[#This Row],[Year]],-1,0)+1</f>
        <v>50</v>
      </c>
      <c r="C70" s="2">
        <f ca="1">(tblBaseCF[[#This Row],[Year]]&lt;=term)*1</f>
        <v>1</v>
      </c>
      <c r="D70" s="57">
        <f ca="1">(YEAR(rcd)+tblBaseCF[[#This Row],[Year]]-1)
*tblBaseCF[[#This Row],[PolTermFlag]]</f>
        <v>2074</v>
      </c>
      <c r="E70" s="57">
        <f ca="1">(mainLI_entry_age+tblBaseCF[[#This Row],[Year]]-1)
*tblBaseCF[[#This Row],[PolTermFlag]]</f>
        <v>49</v>
      </c>
      <c r="F70" s="57">
        <f ca="1">IF(tblBaseCF[[#This Row],[Year]]=1,1,OFFSET(tblBaseCF[[#This Row],[DeductFlag]],-1,0))
*tblBaseCF[[#This Row],[PolTermFlag]]</f>
        <v>0</v>
      </c>
      <c r="G7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0" s="57">
        <f ca="1">(tblBaseCF[[#This Row],[Year]]&lt;=acc_ben_term)
*tblBaseCF[[#This Row],[ContFlag]]</f>
        <v>0</v>
      </c>
      <c r="I70" s="57">
        <f ca="1">(tblBaseCF[[#This Row],[Year]]&lt;=tp_term)
*tblBaseCF[[#This Row],[ContFlag]]</f>
        <v>0</v>
      </c>
      <c r="J70" s="57">
        <f ca="1">(tblBaseCF[[#This Row],[Year]]&lt;=ep_term)
*tblBaseCF[[#This Row],[ContFlag]]</f>
        <v>0</v>
      </c>
      <c r="K70" s="57">
        <f ca="1">(tblBaseCF[[#This Row],[Year]]&lt;=em_load_term)*1</f>
        <v>0</v>
      </c>
      <c r="L70" s="57">
        <f ca="1">(tblBaseCF[[#This Row],[Year]]&lt;=pm_load_term)*1</f>
        <v>0</v>
      </c>
      <c r="M70" s="59">
        <f ca="1">IF(tblBaseCF[[#This Row],[Year]]=1,si,OFFSET(tblBaseCF[[#This Row],[EndSI]],-1,0))
*tblBaseCF[[#This Row],[ContFlag]]</f>
        <v>0</v>
      </c>
      <c r="N70" s="59">
        <f ca="1">OFFSET(tblBaseCF[[#This Row],[EndTAV]],-1,0)
*tblBaseCF[[#This Row],[ContFlag]]</f>
        <v>0</v>
      </c>
      <c r="O70" s="59">
        <f ca="1">OFFSET(tblBaseCF[[#This Row],[EndEAV]],-1,0)
*tblBaseCF[[#This Row],[ContFlag]]</f>
        <v>0</v>
      </c>
      <c r="P70" s="60">
        <f ca="1">tblBaseCF[[#This Row],[StartEAV]]+tblBaseCF[[#This Row],[StartTAV]]</f>
        <v>0</v>
      </c>
      <c r="Q70" s="61">
        <f ca="1">IFERROR(INDEX(tblJuvenileLienRate[Rate],MATCH(tblBaseCF[[#This Row],[Age]],tblJuvenileLienRate[Age],0)),1)
*tblBaseCF[[#This Row],[ContFlag]]</f>
        <v>0</v>
      </c>
      <c r="R7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0" s="62">
        <f ca="1">tblBaseCF[[#This Row],[StartSI]]*acc_ben_coeff*tblBaseCF[[#This Row],[JuvenileLienRate]]
*tblBaseCF[[#This Row],[AccBenTermFlag]]</f>
        <v>0</v>
      </c>
      <c r="T70" s="61">
        <f ca="1">(IFERROR(INDEX(tblSurrChrgRate[Rate],MATCH(tblBaseCF[[#This Row],[Year]],tblSurrChrgRate[Year],0)),0)
*tblBaseCF[[#This Row],[ContFlag]])</f>
        <v>0</v>
      </c>
      <c r="U70" s="60">
        <f ca="1">tp*tblBaseCF[[#This Row],[SrrChrgRate]]</f>
        <v>0</v>
      </c>
      <c r="V70" s="63">
        <f ca="1">MAX(tblBaseCF[[#This Row],[StartTAV]]-tblBaseCF[[#This Row],[SVChrg]],0)+tblBaseCF[[#This Row],[StartEAV]]</f>
        <v>0</v>
      </c>
      <c r="W70" s="59">
        <f ca="1">IFERROR(INDEX(tblWithdrawal_Output[Amount],MATCH(tblBaseCF[[#This Row],[Year]],tblWithdrawal_Output[Year],0)),0)
*tblBaseCF[[#This Row],[ContFlag]]</f>
        <v>0</v>
      </c>
      <c r="X70" s="59" t="b">
        <f ca="1">tblBaseCF[[#This Row],[WithdrawalInput]]&gt;0</f>
        <v>0</v>
      </c>
      <c r="Y70" s="59" t="b">
        <f ca="1">AND(tblBaseCF[[#This Row],[1stCheckProceed]],tblBaseCF[[#This Row],[WithdrawalInput]]&lt;=tblBaseCF[[#This Row],[StartPAV]])</f>
        <v>0</v>
      </c>
      <c r="Z70" s="59" t="b">
        <f ca="1">AND(tblBaseCF[[#This Row],[2ndCheckAmount]],(tblBaseCF[[#This Row],[StartPAV]]-tblBaseCF[[#This Row],[WithdrawalInput]])&gt;=min_pav_after_withdrawal)</f>
        <v>0</v>
      </c>
      <c r="AA7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0" s="59" t="b">
        <f ca="1">AND(tblBaseCF[[#This Row],[3rdCheckPAV]],tblBaseCF[[#This Row],[endSITest]]&gt;=min_base_si)</f>
        <v>0</v>
      </c>
      <c r="AC70" s="60">
        <f ca="1">tblBaseCF[[#This Row],[WithdrawalInput]]*tblBaseCF[[#This Row],[4thCheckSI]]</f>
        <v>0</v>
      </c>
      <c r="AD70" s="60">
        <f ca="1">MIN(tblBaseCF[[#This Row],[Withdrawal]],tblBaseCF[[#This Row],[StartEAV]])</f>
        <v>0</v>
      </c>
      <c r="AE70" s="60">
        <f ca="1">tblBaseCF[[#This Row],[Withdrawal]]-tblBaseCF[[#This Row],[EAVWithdrawal]]</f>
        <v>0</v>
      </c>
      <c r="AF70" s="60">
        <f ca="1">IF(tblBaseCF[[#This Row],[4thCheckSI]],tblBaseCF[[#This Row],[endSITest]],tblBaseCF[[#This Row],[StartSI]])</f>
        <v>0</v>
      </c>
      <c r="AG7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0" s="65">
        <f ca="1">IFERROR(INDEX(tblTPAllocChrgRate[Rate],MATCH(tblBaseCF[[#This Row],[Year]],tblTPAllocChrgRate[Year],0)),0)</f>
        <v>0.02</v>
      </c>
      <c r="AI70" s="62">
        <f ca="1">(tp+big_case_bonus_tp*(tblBaseCF[[#This Row],[Year]]=1))
*tblBaseCF[[#This Row],[TPTermFlag]]</f>
        <v>0</v>
      </c>
      <c r="AJ70" s="63">
        <f ca="1">tblBaseCF[[#This Row],[TP]]*tblBaseCF[[#This Row],[TPAllocChrgRate]]</f>
        <v>0</v>
      </c>
      <c r="AK70" s="60">
        <f ca="1">tblBaseCF[[#This Row],[TP]]-tblBaseCF[[#This Row],[TPAllocChrg]]</f>
        <v>0</v>
      </c>
      <c r="AL70" s="65">
        <f ca="1">IFERROR(INDEX(tblEPAllocChrgRate[Rate],MATCH(tblBaseCF[[#This Row],[Year]],tblEPAllocChrgRate[Year],0)),0)</f>
        <v>0.02</v>
      </c>
      <c r="AM70" s="60">
        <f ca="1">ep*tblBaseCF[[#This Row],[EPTermFlag]]</f>
        <v>0</v>
      </c>
      <c r="AN70" s="60">
        <f ca="1">tblBaseCF[[#This Row],[EP]]*tblBaseCF[[#This Row],[EPAllocChrgRate]]</f>
        <v>0</v>
      </c>
      <c r="AO70" s="63">
        <f ca="1">tblBaseCF[[#This Row],[EP]]-tblBaseCF[[#This Row],[EPAllocChrg]]</f>
        <v>0</v>
      </c>
      <c r="AP70" s="62">
        <f ca="1">tblBaseCF[[#This Row],[Ben]]*extra_prem_rate*em_load/1000/(1-tblBaseCF[[#This Row],[EPAllocChrgRate]])
*tblBaseCF[[#This Row],[EMLoadTermFlag]]</f>
        <v>0</v>
      </c>
      <c r="AQ70" s="62">
        <f ca="1">tblBaseCF[[#This Row],[Ben]]*pm_load/1000/(1-tblBaseCF[[#This Row],[EPAllocChrgRate]])
*tblBaseCF[[#This Row],[PMLoadTermFlag]]</f>
        <v>0</v>
      </c>
      <c r="AR70" s="60">
        <f ca="1">ROUNDUP(tblBaseCF[[#This Row],[UnroundedEMLoad]],-3)</f>
        <v>0</v>
      </c>
      <c r="AS70" s="62">
        <f ca="1">ROUNDUP(tblBaseCF[[#This Row],[Ben]]*pm_load/1000/(1-tblBaseCF[[#This Row],[EPAllocChrgRate]]),-3)
*tblBaseCF[[#This Row],[PMLoadTermFlag]]</f>
        <v>0</v>
      </c>
      <c r="AT70" s="60">
        <f ca="1">tblBaseCF[[#This Row],[EMLoad]]+tblBaseCF[[#This Row],[PMLoad]]</f>
        <v>0</v>
      </c>
      <c r="AU70" s="60">
        <f ca="1">tblBaseCF[[#This Row],[Load]]*tblBaseCF[[#This Row],[EPAllocChrgRate]]</f>
        <v>0</v>
      </c>
      <c r="AV70" s="60">
        <f ca="1">tblBaseCF[[#This Row],[Load]]-tblBaseCF[[#This Row],[LoadAllocChrg]]</f>
        <v>0</v>
      </c>
      <c r="AW70" s="60">
        <f ca="1">tblBaseCF[[#This Row],[TP]]+tblBaseCF[[#This Row],[EP]]+tblBaseCF[[#This Row],[Load]]</f>
        <v>0</v>
      </c>
      <c r="AX70" s="60">
        <f ca="1">tblBaseCF[[#This Row],[TPAllocChrg]]+tblBaseCF[[#This Row],[EPAllocChrg]]+tblBaseCF[[#This Row],[LoadAllocChrg]]</f>
        <v>0</v>
      </c>
      <c r="AY70" s="60">
        <f ca="1">tblBaseCF[[#This Row],[TPAlloc]]+tblBaseCF[[#This Row],[EPAlloc]]+tblBaseCF[[#This Row],[LoadAlloc]]</f>
        <v>0</v>
      </c>
      <c r="AZ70" s="60">
        <f ca="1">(OFFSET(tblBaseCF[[#This Row],[AccumTotalPrem]],-1,0)+tblBaseCF[[#This Row],[TotalPrem]])*tblBaseCF[[#This Row],[TPTermFlag]]</f>
        <v>0</v>
      </c>
      <c r="BA70" s="62">
        <f ca="1">(tblBaseCF[[#This Row],[StartTAV]]-tblBaseCF[[#This Row],[TAVWithdrawal]]+tblBaseCF[[#This Row],[TPAlloc]])
*tblBaseCF[[#This Row],[ContFlag]]</f>
        <v>0</v>
      </c>
      <c r="BB70" s="59">
        <f ca="1">(tblBaseCF[[#This Row],[StartEAV]]-tblBaseCF[[#This Row],[EAVWithdrawal]]+tblBaseCF[[#This Row],[EPAlloc]]+tblBaseCF[[#This Row],[LoadAlloc]])
*tblBaseCF[[#This Row],[ContFlag]]</f>
        <v>0</v>
      </c>
      <c r="BC70" s="59">
        <f ca="1">tblBaseCF[[#This Row],[TAVAfterWdrlAlloc]]+tblBaseCF[[#This Row],[EAVAfterWdrlAlloc]]</f>
        <v>0</v>
      </c>
      <c r="BD70" s="66">
        <f t="shared" si="6"/>
        <v>0</v>
      </c>
      <c r="BE70" s="67">
        <f>(1+tblBaseCF[[#This Row],[AnnualIntRate]])^(1/12)-1</f>
        <v>0</v>
      </c>
      <c r="BF70" s="68">
        <f>IFERROR(((1+tblBaseCF[[#This Row],[MonthlyIntRate]])^12-1)/12/(1-1/(1+tblBaseCF[[#This Row],[MonthlyIntRate]])),1)/(1+tblBaseCF[[#This Row],[AnnualIntRate]])</f>
        <v>1</v>
      </c>
      <c r="BG70" s="69">
        <f>PV(tblBaseCF[[#This Row],[MonthlyIntRate]],12,-1/12,,1)</f>
        <v>1</v>
      </c>
      <c r="BH70" s="60">
        <f ca="1">MAX(IF(death_tpd_option="A",tblBaseCF[[#This Row],[Ben]]-tblBaseCF[[#This Row],[StartPAV]],tblBaseCF[[#This Row],[Ben]]),0)</f>
        <v>0</v>
      </c>
      <c r="BI70" s="70">
        <f ca="1">IFERROR(INDEX(tblBaseCOIRate[Rate],MATCH(tblBaseCF[[#This Row],[Age]],tblBaseCOIRate[Age],0)),0)</f>
        <v>4.7900000000000702E-3</v>
      </c>
      <c r="BJ70" s="60">
        <f ca="1">tblBaseCF[[#This Row],[SAR]]*tblBaseCF[[#This Row],[COIRate]]</f>
        <v>0</v>
      </c>
      <c r="BK70" s="62">
        <f ca="1">em_load*tblBaseCF[[#This Row],[pStandardCOI]]
*tblBaseCF[[#This Row],[EMLoadTermFlag]]</f>
        <v>0</v>
      </c>
      <c r="BL70" s="62">
        <f ca="1">pm_load/1000*tblBaseCF[[#This Row],[SAR]]
*tblBaseCF[[#This Row],[PMLoadTermFlag]]</f>
        <v>0</v>
      </c>
      <c r="BM70" s="60">
        <f ca="1">tblBaseCF[[#This Row],[AccBen]]*monthly_acc_coi*12</f>
        <v>0</v>
      </c>
      <c r="BN70" s="60">
        <f ca="1">tblBaseCF[[#This Row],[pStandardCOI]]+tblBaseCF[[#This Row],[pEMLoadCOI]]+tblBaseCF[[#This Row],[pPMLoadCOI]]+tblBaseCF[[#This Row],[pAccCOI]]</f>
        <v>0</v>
      </c>
      <c r="BO70" s="62">
        <f ca="1">IFERROR(INDEX(tblAdminChrg[Amount],MATCH(tblBaseCF[[#This Row],[CalYear]],tblAdminChrg[Cal_Year],0)),0)
*tblBaseCF[[#This Row],[ContFlag]]</f>
        <v>0</v>
      </c>
      <c r="BP70" s="60">
        <f ca="1">tblBaseCF[[#This Row],[pMonthlyAdminChrg]]*12</f>
        <v>0</v>
      </c>
      <c r="BQ70" s="60">
        <f ca="1">tblBaseCF[[#This Row],[pCOI]]+tblBaseCF[[#This Row],[pAdminChrg]]</f>
        <v>0</v>
      </c>
      <c r="BR70" s="60">
        <f ca="1">tblBaseCF[[#This Row],[pNomDeduct]]*tblBaseCF[[#This Row],[Duean1m12]]</f>
        <v>0</v>
      </c>
      <c r="BS70" s="57">
        <f ca="1">(tblBaseCF[[#This Row],[PAVAfterWdrlAlloc]]&gt;=tblBaseCF[[#This Row],[pNomDeduct]])
*tblBaseCF[[#This Row],[ContFlag]]</f>
        <v>0</v>
      </c>
      <c r="BT70" s="60">
        <f ca="1">tblBaseCF[[#This Row],[pStandardCOI]]*tblBaseCF[[#This Row],[DeductFlag]]</f>
        <v>0</v>
      </c>
      <c r="BU70" s="60">
        <f ca="1">tblBaseCF[[#This Row],[pEMLoadCOI]]*tblBaseCF[[#This Row],[DeductFlag]]</f>
        <v>0</v>
      </c>
      <c r="BV70" s="60">
        <f ca="1">tblBaseCF[[#This Row],[pPMLoadCOI]]*tblBaseCF[[#This Row],[DeductFlag]]</f>
        <v>0</v>
      </c>
      <c r="BW70" s="60">
        <f ca="1">tblBaseCF[[#This Row],[pAccCOI]]*tblBaseCF[[#This Row],[DeductFlag]]</f>
        <v>0</v>
      </c>
      <c r="BX70" s="60">
        <f ca="1">tblBaseCF[[#This Row],[pCOI]]*tblBaseCF[[#This Row],[DeductFlag]]</f>
        <v>0</v>
      </c>
      <c r="BY70" s="60">
        <f ca="1">tblBaseCF[[#This Row],[pMonthlyAdminChrg]]*tblBaseCF[[#This Row],[DeductFlag]]</f>
        <v>0</v>
      </c>
      <c r="BZ70" s="60">
        <f ca="1">tblBaseCF[[#This Row],[pAdminChrg]]*tblBaseCF[[#This Row],[DeductFlag]]</f>
        <v>0</v>
      </c>
      <c r="CA70" s="60">
        <f ca="1">tblBaseCF[[#This Row],[pNomDeduct]]*tblBaseCF[[#This Row],[DeductFlag]]</f>
        <v>0</v>
      </c>
      <c r="CB70" s="60">
        <f ca="1">tblBaseCF[[#This Row],[pDeduct]]*tblBaseCF[[#This Row],[DeductFlag]]</f>
        <v>0</v>
      </c>
      <c r="CC70" s="60">
        <f ca="1">MIN(tblBaseCF[[#This Row],[TAVAfterWdrlAlloc]],tblBaseCF[[#This Row],[Deduct]])</f>
        <v>0</v>
      </c>
      <c r="CD70" s="60">
        <f ca="1">tblBaseCF[[#This Row],[Deduct]]-tblBaseCF[[#This Row],[TAVDeduct]]</f>
        <v>0</v>
      </c>
      <c r="CE70" s="69">
        <f ca="1">(tblBaseCF[[#This Row],[TAVAfterWdrlAlloc]]-tblBaseCF[[#This Row],[TAVDeduct]])*tblBaseCF[[#This Row],[AnnualIntRate]]
*tblBaseCF[[#This Row],[DeductFlag]]</f>
        <v>0</v>
      </c>
      <c r="CF70" s="69">
        <f ca="1">(tblBaseCF[[#This Row],[EAVAfterWdrlAlloc]]-tblBaseCF[[#This Row],[EAVDeduct]])*tblBaseCF[[#This Row],[AnnualIntRate]]
*tblBaseCF[[#This Row],[DeductFlag]]</f>
        <v>0</v>
      </c>
      <c r="CG70" s="69">
        <f ca="1">tblBaseCF[[#This Row],[TAVInt]]+tblBaseCF[[#This Row],[EAVInt]]</f>
        <v>0</v>
      </c>
      <c r="CH70" s="62">
        <f ca="1">IFERROR(INDEX(tblLBRate[Rate],MATCH(tblBaseCF[[#This Row],[Year]],tblLBRate[Year],0)),0)
*tblBaseCF[[#This Row],[DeductFlag]]</f>
        <v>0</v>
      </c>
      <c r="CI70" s="60">
        <f ca="1">IFERROR(SUM(OFFSET(tblBaseCF[[#This Row],[TAVWithdrawal]],0,0,-lb_review_period,1)),0)
*(tblBaseCF[[#This Row],[LBRate]]&gt;0)</f>
        <v>0</v>
      </c>
      <c r="CJ70" s="60">
        <f ca="1">(tblBaseCF[[#This Row],[LBRate]]&gt;0)*(tblBaseCF[[#This Row],[LBTAVWithdrawal]]=0)</f>
        <v>0</v>
      </c>
      <c r="CK70" s="62" cm="1">
        <f t="array" aca="1" ref="CK70" ca="1">IF(tblBaseCF[[#This Row],[LBFlag]],
_xlfn.SWITCH(base,
"ILP1",AVERAGE(OFFSET(tblBaseCF[TP],0,0,-lb_review_period,1)),tp),0)
*tblBaseCF[[#This Row],[LBFlag]]</f>
        <v>0</v>
      </c>
      <c r="CL70" s="62">
        <f ca="1">tblBaseCF[[#This Row],[LBBasis]]*tblBaseCF[[#This Row],[LBRate]]</f>
        <v>0</v>
      </c>
      <c r="CM70" s="57" cm="1">
        <f t="array" aca="1" ref="CM70" ca="1">_xlfn.SWITCH(base,
"ILP1",0,($AF170&lt;500000000)*1
+($AF170&gt;=500000000)*($AF170&lt;1000000000)*2
+($AF170&gt;=1000000000)*3)
*tblBaseCF[[#This Row],[DeductFlag]]</f>
        <v>0</v>
      </c>
      <c r="CN70" s="2" t="str">
        <f ca="1">IF(tblBaseCF[[#This Row],[DeductFlag]],base&amp;"_"&amp;tblBaseCF[[#This Row],[SBCode]]&amp;"_"&amp;tblBaseCF[[#This Row],[Year]],"")</f>
        <v/>
      </c>
      <c r="CO70" s="3">
        <f ca="1">IFERROR(INDEX(tblSBRate[Index],MATCH(tblBaseCF[[#This Row],[SBIndex]],tblSBRate[Rate],0)),0)</f>
        <v>0</v>
      </c>
      <c r="CP70" s="63">
        <f ca="1">IFERROR(SUM(OFFSET(tblBaseCF[[#This Row],[TAVWithdrawal]],0,0,-sb_review_period,1)),0)
*(tblBaseCF[[#This Row],[SBRate]]&gt;0)</f>
        <v>0</v>
      </c>
      <c r="CQ70" s="63">
        <f ca="1">(tblBaseCF[[#This Row],[SBRate]]&gt;0)*(tblBaseCF[[#This Row],[SBTAVWithdrawal]]=0)</f>
        <v>0</v>
      </c>
      <c r="CR70" s="59" cm="1">
        <f t="array" aca="1" ref="CR70" ca="1">IF(tblBaseCF[[#This Row],[LBFlag]],
_xlfn.SWITCH(base,
"ILP1",0,tp),0)*tblBaseCF[[#This Row],[SBFlag]]</f>
        <v>0</v>
      </c>
      <c r="CS70" s="63">
        <f ca="1">tblBaseCF[[#This Row],[SBBasis]]*tblBaseCF[[#This Row],[SBRate]]</f>
        <v>0</v>
      </c>
      <c r="CT70" s="63">
        <f ca="1">tblBaseCF[[#This Row],[LB]]+tblBaseCF[[#This Row],[SB]]</f>
        <v>0</v>
      </c>
      <c r="CU70" s="59">
        <f ca="1">tblBaseCF[[#This Row],[TAVAfterWdrlAlloc]]-tblBaseCF[[#This Row],[TAVDeduct]]+tblBaseCF[[#This Row],[TAVInt]]+tblBaseCF[[#This Row],[Bonus]]</f>
        <v>0</v>
      </c>
      <c r="CV70" s="59">
        <f ca="1">tblBaseCF[[#This Row],[EAVAfterWdrlAlloc]]-tblBaseCF[[#This Row],[EAVDeduct]]+tblBaseCF[[#This Row],[EAVInt]]</f>
        <v>0</v>
      </c>
      <c r="CW70" s="63">
        <f ca="1">tblBaseCF[[#This Row],[EndTAV]]+tblBaseCF[[#This Row],[EndEAV]]</f>
        <v>0</v>
      </c>
      <c r="CX70" s="59">
        <f ca="1">INDEX(tblPlanPrem[TP],2)
*tblBaseCF[[#This Row],[TPTermFlag]]</f>
        <v>0</v>
      </c>
      <c r="CY70" s="59">
        <f ca="1">INDEX(tblPlanPrem[EP],2)
*tblBaseCF[[#This Row],[TPTermFlag]]</f>
        <v>0</v>
      </c>
      <c r="CZ70" s="63">
        <f ca="1">ROUNDUP(tblBaseCF[[#This Row],[UnroundedEMLoad]]*INDEX(tblPlanPrem[Factor],2),-3)</f>
        <v>0</v>
      </c>
      <c r="DA70" s="63">
        <f ca="1">ROUNDUP(tblBaseCF[[#This Row],[UnroundedPMLoad]]*INDEX(tblPlanPrem[Factor],2),-3)</f>
        <v>0</v>
      </c>
      <c r="DB70" s="63">
        <f ca="1">tblBaseCF[[#This Row],[SemiAnnualEMLoad]]+tblBaseCF[[#This Row],[SemiAnnualPMLoad]]</f>
        <v>0</v>
      </c>
      <c r="DC70" s="63">
        <f ca="1">tblBaseCF[[#This Row],[SemiAnnualTP]]+tblBaseCF[[#This Row],[SemiAnnualEP]]+tblBaseCF[[#This Row],[SemiAnnualLoad]]</f>
        <v>0</v>
      </c>
      <c r="DD70" s="59">
        <f ca="1">INDEX(tblPlanPrem[TP],3)
*tblBaseCF[[#This Row],[TPTermFlag]]</f>
        <v>0</v>
      </c>
      <c r="DE70" s="59">
        <f ca="1">INDEX(tblPlanPrem[EP],3)
*tblBaseCF[[#This Row],[TPTermFlag]]</f>
        <v>0</v>
      </c>
      <c r="DF70" s="63">
        <f ca="1">ROUNDUP(tblBaseCF[[#This Row],[UnroundedEMLoad]]*INDEX(tblPlanPrem[Factor],3),-3)</f>
        <v>0</v>
      </c>
      <c r="DG70" s="63">
        <f ca="1">ROUNDUP(tblBaseCF[[#This Row],[UnroundedPMLoad]]*INDEX(tblPlanPrem[Factor],3),-3)</f>
        <v>0</v>
      </c>
      <c r="DH70" s="60">
        <f ca="1">tblBaseCF[[#This Row],[QuarterlyEMLoad]]+tblBaseCF[[#This Row],[QuarterlyPMLoad]]</f>
        <v>0</v>
      </c>
      <c r="DI70" s="60">
        <f ca="1">tblBaseCF[[#This Row],[QuarterlyTP]]+tblBaseCF[[#This Row],[QuarterlyEP]]+tblBaseCF[[#This Row],[QuarterlyLoad]]</f>
        <v>0</v>
      </c>
      <c r="DJ70" s="59">
        <f ca="1">INDEX(tblPlanPrem[TP],4)
*tblBaseCF[[#This Row],[TPTermFlag]]</f>
        <v>0</v>
      </c>
      <c r="DK70" s="59">
        <f ca="1">INDEX(tblPlanPrem[EP],4)
*tblBaseCF[[#This Row],[TPTermFlag]]</f>
        <v>0</v>
      </c>
      <c r="DL70" s="63">
        <f ca="1">ROUNDUP(tblBaseCF[[#This Row],[UnroundedEMLoad]]*INDEX(tblPlanPrem[Factor],4),-3)</f>
        <v>0</v>
      </c>
      <c r="DM70" s="63">
        <f ca="1">ROUNDUP(tblBaseCF[[#This Row],[UnroundedPMLoad]]*INDEX(tblPlanPrem[Factor],4),-3)</f>
        <v>0</v>
      </c>
      <c r="DN70" s="60">
        <f ca="1">tblBaseCF[[#This Row],[MonthlyEMLoad]]+tblBaseCF[[#This Row],[MonthlyPMLoad]]</f>
        <v>0</v>
      </c>
      <c r="DO70" s="63">
        <f ca="1">tblBaseCF[[#This Row],[MonthlyTP]]+tblBaseCF[[#This Row],[MonthlyEP]]+tblBaseCF[[#This Row],[MonthlyLoad]]</f>
        <v>0</v>
      </c>
      <c r="DP70" s="3"/>
      <c r="DS70">
        <f t="shared" si="7"/>
        <v>0</v>
      </c>
      <c r="DT70">
        <f t="shared" si="8"/>
        <v>0</v>
      </c>
      <c r="DU70">
        <f t="shared" si="9"/>
        <v>0</v>
      </c>
      <c r="DV70">
        <f ca="1">tblBaseCF[[#This Row],[Year]]</f>
        <v>50</v>
      </c>
      <c r="DW70">
        <f ca="1">tblBaseCF[[#This Row],[Age]]</f>
        <v>49</v>
      </c>
      <c r="DX70">
        <f ca="1">tblBaseCF[[#This Row],[ContFlag]]</f>
        <v>0</v>
      </c>
      <c r="DY70" t="str">
        <f ca="1">tblBaseCF[[#This Row],[ContLog]]</f>
        <v>Insufficient PAV for deduction - Discontinue.</v>
      </c>
      <c r="DZ70">
        <f ca="1">tblBaseCF[[#This Row],[StartTAV]]</f>
        <v>0</v>
      </c>
      <c r="EA70">
        <f ca="1">tblBaseCF[[#This Row],[StartEAV]]</f>
        <v>0</v>
      </c>
      <c r="EB70">
        <f ca="1">tblBaseCF[[#This Row],[StartPAV]]</f>
        <v>0</v>
      </c>
      <c r="EC70">
        <f ca="1">tblBaseCF[[#This Row],[SVChrg]]</f>
        <v>0</v>
      </c>
      <c r="ED70">
        <f ca="1">tblBaseCF[[#This Row],[SV]]</f>
        <v>0</v>
      </c>
      <c r="EE70">
        <f ca="1">tblBaseCF[[#This Row],[Ben]]</f>
        <v>0</v>
      </c>
      <c r="EF70">
        <f ca="1">tblBaseCF[[#This Row],[AccBen]]</f>
        <v>0</v>
      </c>
      <c r="EG70">
        <f ca="1">tblBaseCF[[#This Row],[WithdrawalInput]]</f>
        <v>0</v>
      </c>
      <c r="EH70" t="str">
        <f ca="1">tblBaseCF[[#This Row],[WithdrawalLog]]</f>
        <v>No withdrawal.</v>
      </c>
      <c r="EI70">
        <f ca="1">tblBaseCF[[#This Row],[TAVWithdrawal]]</f>
        <v>0</v>
      </c>
      <c r="EJ70">
        <f ca="1">tblBaseCF[[#This Row],[EAVWithdrawal]]</f>
        <v>0</v>
      </c>
      <c r="EK70">
        <f ca="1">tblBaseCF[[#This Row],[Withdrawal]]</f>
        <v>0</v>
      </c>
      <c r="EL70">
        <f ca="1">tblBaseCF[[#This Row],[TP]]</f>
        <v>0</v>
      </c>
      <c r="EM70">
        <f ca="1">tblBaseCF[[#This Row],[TPAllocChrg]]</f>
        <v>0</v>
      </c>
      <c r="EN70">
        <f ca="1">tblBaseCF[[#This Row],[TPAlloc]]</f>
        <v>0</v>
      </c>
      <c r="EO70">
        <f ca="1">tblBaseCF[[#This Row],[EP]]</f>
        <v>0</v>
      </c>
      <c r="EP70">
        <f ca="1">tblBaseCF[[#This Row],[EPAllocChrg]]</f>
        <v>0</v>
      </c>
      <c r="EQ70">
        <f ca="1">tblBaseCF[[#This Row],[EPAlloc]]</f>
        <v>0</v>
      </c>
      <c r="ER70">
        <f ca="1">tblBaseCF[[#This Row],[EMLoad]]</f>
        <v>0</v>
      </c>
      <c r="ES70">
        <f ca="1">tblBaseCF[[#This Row],[PMLoad]]</f>
        <v>0</v>
      </c>
      <c r="ET70">
        <f ca="1">tblBaseCF[[#This Row],[Load]]</f>
        <v>0</v>
      </c>
      <c r="EU70">
        <f ca="1">tblBaseCF[[#This Row],[LoadAllocChrg]]</f>
        <v>0</v>
      </c>
      <c r="EV70">
        <f ca="1">tblBaseCF[[#This Row],[LoadAlloc]]</f>
        <v>0</v>
      </c>
      <c r="EW70">
        <f ca="1">tblBaseCF[[#This Row],[TotalPrem]]</f>
        <v>0</v>
      </c>
      <c r="EX70">
        <f ca="1">tblBaseCF[[#This Row],[AllocChrg]]</f>
        <v>0</v>
      </c>
      <c r="EY70">
        <f ca="1">tblBaseCF[[#This Row],[Alloc]]</f>
        <v>0</v>
      </c>
      <c r="EZ70">
        <f ca="1">tblBaseCF[[#This Row],[AccumTotalPrem]]</f>
        <v>0</v>
      </c>
      <c r="FA70">
        <f>tblBaseCF[[#This Row],[AnnualIntRate]]</f>
        <v>0</v>
      </c>
      <c r="FB70" s="50">
        <f>tblBaseCF[[#This Row],[Duean1m12]]</f>
        <v>1</v>
      </c>
      <c r="FC70">
        <f ca="1">tblBaseCF[[#This Row],[DeductFlag]]</f>
        <v>0</v>
      </c>
      <c r="FD70">
        <f ca="1">tblBaseCF[[#This Row],[AdminChrg]]</f>
        <v>0</v>
      </c>
      <c r="FE70">
        <f ca="1">tblBaseCF[[#This Row],[StandardCOI]]</f>
        <v>0</v>
      </c>
      <c r="FF70">
        <f ca="1">tblBaseCF[[#This Row],[EMLoadCOI]]</f>
        <v>0</v>
      </c>
      <c r="FG70">
        <f ca="1">tblBaseCF[[#This Row],[PMLoadCOI]]</f>
        <v>0</v>
      </c>
      <c r="FH70">
        <f ca="1">tblBaseCF[[#This Row],[COI]]</f>
        <v>0</v>
      </c>
      <c r="FI70" s="47">
        <f ca="1">tblBaseCF[[#This Row],[NomDeduct]]</f>
        <v>0</v>
      </c>
      <c r="FJ70">
        <f ca="1">tblBaseCF[[#This Row],[Deduct]]</f>
        <v>0</v>
      </c>
      <c r="FK70">
        <f ca="1">tblBaseCF[[#This Row],[TAVDeduct]]</f>
        <v>0</v>
      </c>
      <c r="FL70">
        <f ca="1">tblBaseCF[[#This Row],[EAVDeduct]]</f>
        <v>0</v>
      </c>
      <c r="FM70" s="24">
        <f ca="1">tblBaseCF[[#This Row],[TAVInt]]</f>
        <v>0</v>
      </c>
      <c r="FN70">
        <f ca="1">tblBaseCF[[#This Row],[EAVInt]]</f>
        <v>0</v>
      </c>
      <c r="FO70" s="47">
        <f ca="1">tblBaseCF[[#This Row],[LB]]</f>
        <v>0</v>
      </c>
      <c r="FP70">
        <f ca="1">tblBaseCF[[#This Row],[SB]]</f>
        <v>0</v>
      </c>
      <c r="FQ70">
        <f ca="1">tblBaseCF[[#This Row],[Bonus]]</f>
        <v>0</v>
      </c>
      <c r="FR70">
        <f ca="1">tblBaseCF[[#This Row],[EndTAV]]</f>
        <v>0</v>
      </c>
      <c r="FS70">
        <f ca="1">tblBaseCF[[#This Row],[EndEAV]]</f>
        <v>0</v>
      </c>
      <c r="FT70">
        <f ca="1">tblBaseCF[[#This Row],[EndPAV]]</f>
        <v>0</v>
      </c>
      <c r="FU70">
        <f ca="1">tblBaseCF[[#This Row],[SemiAnnualTP]]</f>
        <v>0</v>
      </c>
      <c r="FV70">
        <f ca="1">tblBaseCF[[#This Row],[SemiAnnualEP]]</f>
        <v>0</v>
      </c>
      <c r="FW70">
        <f ca="1">tblBaseCF[[#This Row],[SemiAnnualEMLoad]]</f>
        <v>0</v>
      </c>
      <c r="FX70">
        <f ca="1">tblBaseCF[[#This Row],[SemiAnnualPMLoad]]</f>
        <v>0</v>
      </c>
      <c r="FY70">
        <f ca="1">tblBaseCF[[#This Row],[SemiAnnualLoad]]</f>
        <v>0</v>
      </c>
      <c r="FZ70">
        <f ca="1">tblBaseCF[[#This Row],[SemiAnnualTotalPrem]]</f>
        <v>0</v>
      </c>
      <c r="GA70">
        <f ca="1">tblBaseCF[[#This Row],[QuarterlyTP]]</f>
        <v>0</v>
      </c>
      <c r="GB70">
        <f ca="1">tblBaseCF[[#This Row],[QuarterlyEP]]</f>
        <v>0</v>
      </c>
      <c r="GC70">
        <f ca="1">tblBaseCF[[#This Row],[QuarterlyEMLoad]]</f>
        <v>0</v>
      </c>
      <c r="GD70">
        <f ca="1">tblBaseCF[[#This Row],[QuarterlyPMLoad]]</f>
        <v>0</v>
      </c>
      <c r="GE70">
        <f ca="1">tblBaseCF[[#This Row],[QuarterlyLoad]]</f>
        <v>0</v>
      </c>
      <c r="GF70">
        <f ca="1">tblBaseCF[[#This Row],[QuarterlyTotalPrem]]</f>
        <v>0</v>
      </c>
      <c r="GG70">
        <f ca="1">tblBaseCF[[#This Row],[MonthlyTP]]</f>
        <v>0</v>
      </c>
      <c r="GH70">
        <f ca="1">tblBaseCF[[#This Row],[MonthlyEP]]</f>
        <v>0</v>
      </c>
      <c r="GI70">
        <f ca="1">tblBaseCF[[#This Row],[MonthlyEMLoad]]</f>
        <v>0</v>
      </c>
      <c r="GJ70">
        <f ca="1">tblBaseCF[[#This Row],[MonthlyPMLoad]]</f>
        <v>0</v>
      </c>
      <c r="GK70">
        <f ca="1">tblBaseCF[[#This Row],[MonthlyLoad]]</f>
        <v>0</v>
      </c>
      <c r="GL70">
        <f ca="1">tblBaseCF[[#This Row],[MonthlyTotalPrem]]</f>
        <v>0</v>
      </c>
      <c r="GO70" t="s">
        <v>134</v>
      </c>
      <c r="GP70" t="s">
        <v>135</v>
      </c>
      <c r="GQ70" t="s">
        <v>502</v>
      </c>
      <c r="GR70">
        <v>50</v>
      </c>
      <c r="GS70">
        <v>49</v>
      </c>
      <c r="GT70">
        <v>1</v>
      </c>
      <c r="GU70" t="s">
        <v>457</v>
      </c>
      <c r="GV70">
        <v>136897686.02738899</v>
      </c>
      <c r="GW70">
        <v>1142735458.3101201</v>
      </c>
      <c r="GX70">
        <v>1279633144.3375001</v>
      </c>
      <c r="GY70">
        <v>0</v>
      </c>
      <c r="GZ70">
        <v>1279633144.3375001</v>
      </c>
      <c r="HA70">
        <v>1279633144.3375001</v>
      </c>
      <c r="HB70">
        <v>303000000</v>
      </c>
      <c r="HC70">
        <v>0</v>
      </c>
      <c r="HD70" t="s">
        <v>137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7.0000000000000007E-2</v>
      </c>
      <c r="HX70">
        <v>0.96964931039809399</v>
      </c>
      <c r="HY70">
        <v>1</v>
      </c>
      <c r="HZ70">
        <v>300000</v>
      </c>
      <c r="IA70">
        <v>0</v>
      </c>
      <c r="IB70">
        <v>0</v>
      </c>
      <c r="IC70">
        <v>0</v>
      </c>
      <c r="ID70">
        <v>272700</v>
      </c>
      <c r="IE70">
        <v>572700</v>
      </c>
      <c r="IF70">
        <v>555318.16006498795</v>
      </c>
      <c r="IG70">
        <v>555318.16006498795</v>
      </c>
      <c r="IH70">
        <v>0</v>
      </c>
      <c r="II70">
        <v>9543965.7507126909</v>
      </c>
      <c r="IJ70">
        <v>79991482.081708103</v>
      </c>
      <c r="IK70">
        <v>0</v>
      </c>
      <c r="IL70">
        <v>0</v>
      </c>
      <c r="IM70">
        <v>0</v>
      </c>
      <c r="IN70">
        <v>145886333.61803699</v>
      </c>
      <c r="IO70">
        <v>1222726940.39182</v>
      </c>
      <c r="IP70">
        <v>1368613274.00986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</row>
    <row r="71" spans="2:268" customFormat="1" x14ac:dyDescent="0.25">
      <c r="B71" s="2">
        <f ca="1">OFFSET(tblBaseCF[[#This Row],[Year]],-1,0)+1</f>
        <v>51</v>
      </c>
      <c r="C71" s="2">
        <f ca="1">(tblBaseCF[[#This Row],[Year]]&lt;=term)*1</f>
        <v>1</v>
      </c>
      <c r="D71" s="57">
        <f ca="1">(YEAR(rcd)+tblBaseCF[[#This Row],[Year]]-1)
*tblBaseCF[[#This Row],[PolTermFlag]]</f>
        <v>2075</v>
      </c>
      <c r="E71" s="57">
        <f ca="1">(mainLI_entry_age+tblBaseCF[[#This Row],[Year]]-1)
*tblBaseCF[[#This Row],[PolTermFlag]]</f>
        <v>50</v>
      </c>
      <c r="F71" s="57">
        <f ca="1">IF(tblBaseCF[[#This Row],[Year]]=1,1,OFFSET(tblBaseCF[[#This Row],[DeductFlag]],-1,0))
*tblBaseCF[[#This Row],[PolTermFlag]]</f>
        <v>0</v>
      </c>
      <c r="G7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1" s="57">
        <f ca="1">(tblBaseCF[[#This Row],[Year]]&lt;=acc_ben_term)
*tblBaseCF[[#This Row],[ContFlag]]</f>
        <v>0</v>
      </c>
      <c r="I71" s="57">
        <f ca="1">(tblBaseCF[[#This Row],[Year]]&lt;=tp_term)
*tblBaseCF[[#This Row],[ContFlag]]</f>
        <v>0</v>
      </c>
      <c r="J71" s="57">
        <f ca="1">(tblBaseCF[[#This Row],[Year]]&lt;=ep_term)
*tblBaseCF[[#This Row],[ContFlag]]</f>
        <v>0</v>
      </c>
      <c r="K71" s="57">
        <f ca="1">(tblBaseCF[[#This Row],[Year]]&lt;=em_load_term)*1</f>
        <v>0</v>
      </c>
      <c r="L71" s="57">
        <f ca="1">(tblBaseCF[[#This Row],[Year]]&lt;=pm_load_term)*1</f>
        <v>0</v>
      </c>
      <c r="M71" s="59">
        <f ca="1">IF(tblBaseCF[[#This Row],[Year]]=1,si,OFFSET(tblBaseCF[[#This Row],[EndSI]],-1,0))
*tblBaseCF[[#This Row],[ContFlag]]</f>
        <v>0</v>
      </c>
      <c r="N71" s="59">
        <f ca="1">OFFSET(tblBaseCF[[#This Row],[EndTAV]],-1,0)
*tblBaseCF[[#This Row],[ContFlag]]</f>
        <v>0</v>
      </c>
      <c r="O71" s="59">
        <f ca="1">OFFSET(tblBaseCF[[#This Row],[EndEAV]],-1,0)
*tblBaseCF[[#This Row],[ContFlag]]</f>
        <v>0</v>
      </c>
      <c r="P71" s="60">
        <f ca="1">tblBaseCF[[#This Row],[StartEAV]]+tblBaseCF[[#This Row],[StartTAV]]</f>
        <v>0</v>
      </c>
      <c r="Q71" s="61">
        <f ca="1">IFERROR(INDEX(tblJuvenileLienRate[Rate],MATCH(tblBaseCF[[#This Row],[Age]],tblJuvenileLienRate[Age],0)),1)
*tblBaseCF[[#This Row],[ContFlag]]</f>
        <v>0</v>
      </c>
      <c r="R7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1" s="62">
        <f ca="1">tblBaseCF[[#This Row],[StartSI]]*acc_ben_coeff*tblBaseCF[[#This Row],[JuvenileLienRate]]
*tblBaseCF[[#This Row],[AccBenTermFlag]]</f>
        <v>0</v>
      </c>
      <c r="T71" s="61">
        <f ca="1">(IFERROR(INDEX(tblSurrChrgRate[Rate],MATCH(tblBaseCF[[#This Row],[Year]],tblSurrChrgRate[Year],0)),0)
*tblBaseCF[[#This Row],[ContFlag]])</f>
        <v>0</v>
      </c>
      <c r="U71" s="60">
        <f ca="1">tp*tblBaseCF[[#This Row],[SrrChrgRate]]</f>
        <v>0</v>
      </c>
      <c r="V71" s="63">
        <f ca="1">MAX(tblBaseCF[[#This Row],[StartTAV]]-tblBaseCF[[#This Row],[SVChrg]],0)+tblBaseCF[[#This Row],[StartEAV]]</f>
        <v>0</v>
      </c>
      <c r="W71" s="59">
        <f ca="1">IFERROR(INDEX(tblWithdrawal_Output[Amount],MATCH(tblBaseCF[[#This Row],[Year]],tblWithdrawal_Output[Year],0)),0)
*tblBaseCF[[#This Row],[ContFlag]]</f>
        <v>0</v>
      </c>
      <c r="X71" s="59" t="b">
        <f ca="1">tblBaseCF[[#This Row],[WithdrawalInput]]&gt;0</f>
        <v>0</v>
      </c>
      <c r="Y71" s="59" t="b">
        <f ca="1">AND(tblBaseCF[[#This Row],[1stCheckProceed]],tblBaseCF[[#This Row],[WithdrawalInput]]&lt;=tblBaseCF[[#This Row],[StartPAV]])</f>
        <v>0</v>
      </c>
      <c r="Z71" s="59" t="b">
        <f ca="1">AND(tblBaseCF[[#This Row],[2ndCheckAmount]],(tblBaseCF[[#This Row],[StartPAV]]-tblBaseCF[[#This Row],[WithdrawalInput]])&gt;=min_pav_after_withdrawal)</f>
        <v>0</v>
      </c>
      <c r="AA7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1" s="59" t="b">
        <f ca="1">AND(tblBaseCF[[#This Row],[3rdCheckPAV]],tblBaseCF[[#This Row],[endSITest]]&gt;=min_base_si)</f>
        <v>0</v>
      </c>
      <c r="AC71" s="60">
        <f ca="1">tblBaseCF[[#This Row],[WithdrawalInput]]*tblBaseCF[[#This Row],[4thCheckSI]]</f>
        <v>0</v>
      </c>
      <c r="AD71" s="60">
        <f ca="1">MIN(tblBaseCF[[#This Row],[Withdrawal]],tblBaseCF[[#This Row],[StartEAV]])</f>
        <v>0</v>
      </c>
      <c r="AE71" s="60">
        <f ca="1">tblBaseCF[[#This Row],[Withdrawal]]-tblBaseCF[[#This Row],[EAVWithdrawal]]</f>
        <v>0</v>
      </c>
      <c r="AF71" s="60">
        <f ca="1">IF(tblBaseCF[[#This Row],[4thCheckSI]],tblBaseCF[[#This Row],[endSITest]],tblBaseCF[[#This Row],[StartSI]])</f>
        <v>0</v>
      </c>
      <c r="AG7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1" s="65">
        <f ca="1">IFERROR(INDEX(tblTPAllocChrgRate[Rate],MATCH(tblBaseCF[[#This Row],[Year]],tblTPAllocChrgRate[Year],0)),0)</f>
        <v>0.02</v>
      </c>
      <c r="AI71" s="62">
        <f ca="1">(tp+big_case_bonus_tp*(tblBaseCF[[#This Row],[Year]]=1))
*tblBaseCF[[#This Row],[TPTermFlag]]</f>
        <v>0</v>
      </c>
      <c r="AJ71" s="63">
        <f ca="1">tblBaseCF[[#This Row],[TP]]*tblBaseCF[[#This Row],[TPAllocChrgRate]]</f>
        <v>0</v>
      </c>
      <c r="AK71" s="60">
        <f ca="1">tblBaseCF[[#This Row],[TP]]-tblBaseCF[[#This Row],[TPAllocChrg]]</f>
        <v>0</v>
      </c>
      <c r="AL71" s="65">
        <f ca="1">IFERROR(INDEX(tblEPAllocChrgRate[Rate],MATCH(tblBaseCF[[#This Row],[Year]],tblEPAllocChrgRate[Year],0)),0)</f>
        <v>0.02</v>
      </c>
      <c r="AM71" s="60">
        <f ca="1">ep*tblBaseCF[[#This Row],[EPTermFlag]]</f>
        <v>0</v>
      </c>
      <c r="AN71" s="60">
        <f ca="1">tblBaseCF[[#This Row],[EP]]*tblBaseCF[[#This Row],[EPAllocChrgRate]]</f>
        <v>0</v>
      </c>
      <c r="AO71" s="63">
        <f ca="1">tblBaseCF[[#This Row],[EP]]-tblBaseCF[[#This Row],[EPAllocChrg]]</f>
        <v>0</v>
      </c>
      <c r="AP71" s="62">
        <f ca="1">tblBaseCF[[#This Row],[Ben]]*extra_prem_rate*em_load/1000/(1-tblBaseCF[[#This Row],[EPAllocChrgRate]])
*tblBaseCF[[#This Row],[EMLoadTermFlag]]</f>
        <v>0</v>
      </c>
      <c r="AQ71" s="62">
        <f ca="1">tblBaseCF[[#This Row],[Ben]]*pm_load/1000/(1-tblBaseCF[[#This Row],[EPAllocChrgRate]])
*tblBaseCF[[#This Row],[PMLoadTermFlag]]</f>
        <v>0</v>
      </c>
      <c r="AR71" s="60">
        <f ca="1">ROUNDUP(tblBaseCF[[#This Row],[UnroundedEMLoad]],-3)</f>
        <v>0</v>
      </c>
      <c r="AS71" s="62">
        <f ca="1">ROUNDUP(tblBaseCF[[#This Row],[Ben]]*pm_load/1000/(1-tblBaseCF[[#This Row],[EPAllocChrgRate]]),-3)
*tblBaseCF[[#This Row],[PMLoadTermFlag]]</f>
        <v>0</v>
      </c>
      <c r="AT71" s="60">
        <f ca="1">tblBaseCF[[#This Row],[EMLoad]]+tblBaseCF[[#This Row],[PMLoad]]</f>
        <v>0</v>
      </c>
      <c r="AU71" s="60">
        <f ca="1">tblBaseCF[[#This Row],[Load]]*tblBaseCF[[#This Row],[EPAllocChrgRate]]</f>
        <v>0</v>
      </c>
      <c r="AV71" s="60">
        <f ca="1">tblBaseCF[[#This Row],[Load]]-tblBaseCF[[#This Row],[LoadAllocChrg]]</f>
        <v>0</v>
      </c>
      <c r="AW71" s="60">
        <f ca="1">tblBaseCF[[#This Row],[TP]]+tblBaseCF[[#This Row],[EP]]+tblBaseCF[[#This Row],[Load]]</f>
        <v>0</v>
      </c>
      <c r="AX71" s="60">
        <f ca="1">tblBaseCF[[#This Row],[TPAllocChrg]]+tblBaseCF[[#This Row],[EPAllocChrg]]+tblBaseCF[[#This Row],[LoadAllocChrg]]</f>
        <v>0</v>
      </c>
      <c r="AY71" s="60">
        <f ca="1">tblBaseCF[[#This Row],[TPAlloc]]+tblBaseCF[[#This Row],[EPAlloc]]+tblBaseCF[[#This Row],[LoadAlloc]]</f>
        <v>0</v>
      </c>
      <c r="AZ71" s="60">
        <f ca="1">(OFFSET(tblBaseCF[[#This Row],[AccumTotalPrem]],-1,0)+tblBaseCF[[#This Row],[TotalPrem]])*tblBaseCF[[#This Row],[TPTermFlag]]</f>
        <v>0</v>
      </c>
      <c r="BA71" s="62">
        <f ca="1">(tblBaseCF[[#This Row],[StartTAV]]-tblBaseCF[[#This Row],[TAVWithdrawal]]+tblBaseCF[[#This Row],[TPAlloc]])
*tblBaseCF[[#This Row],[ContFlag]]</f>
        <v>0</v>
      </c>
      <c r="BB71" s="59">
        <f ca="1">(tblBaseCF[[#This Row],[StartEAV]]-tblBaseCF[[#This Row],[EAVWithdrawal]]+tblBaseCF[[#This Row],[EPAlloc]]+tblBaseCF[[#This Row],[LoadAlloc]])
*tblBaseCF[[#This Row],[ContFlag]]</f>
        <v>0</v>
      </c>
      <c r="BC71" s="59">
        <f ca="1">tblBaseCF[[#This Row],[TAVAfterWdrlAlloc]]+tblBaseCF[[#This Row],[EAVAfterWdrlAlloc]]</f>
        <v>0</v>
      </c>
      <c r="BD71" s="66">
        <f t="shared" si="6"/>
        <v>0</v>
      </c>
      <c r="BE71" s="67">
        <f>(1+tblBaseCF[[#This Row],[AnnualIntRate]])^(1/12)-1</f>
        <v>0</v>
      </c>
      <c r="BF71" s="68">
        <f>IFERROR(((1+tblBaseCF[[#This Row],[MonthlyIntRate]])^12-1)/12/(1-1/(1+tblBaseCF[[#This Row],[MonthlyIntRate]])),1)/(1+tblBaseCF[[#This Row],[AnnualIntRate]])</f>
        <v>1</v>
      </c>
      <c r="BG71" s="69">
        <f>PV(tblBaseCF[[#This Row],[MonthlyIntRate]],12,-1/12,,1)</f>
        <v>1</v>
      </c>
      <c r="BH71" s="60">
        <f ca="1">MAX(IF(death_tpd_option="A",tblBaseCF[[#This Row],[Ben]]-tblBaseCF[[#This Row],[StartPAV]],tblBaseCF[[#This Row],[Ben]]),0)</f>
        <v>0</v>
      </c>
      <c r="BI71" s="70">
        <f ca="1">IFERROR(INDEX(tblBaseCOIRate[Rate],MATCH(tblBaseCF[[#This Row],[Age]],tblBaseCOIRate[Age],0)),0)</f>
        <v>5.1299999999999697E-3</v>
      </c>
      <c r="BJ71" s="60">
        <f ca="1">tblBaseCF[[#This Row],[SAR]]*tblBaseCF[[#This Row],[COIRate]]</f>
        <v>0</v>
      </c>
      <c r="BK71" s="62">
        <f ca="1">em_load*tblBaseCF[[#This Row],[pStandardCOI]]
*tblBaseCF[[#This Row],[EMLoadTermFlag]]</f>
        <v>0</v>
      </c>
      <c r="BL71" s="62">
        <f ca="1">pm_load/1000*tblBaseCF[[#This Row],[SAR]]
*tblBaseCF[[#This Row],[PMLoadTermFlag]]</f>
        <v>0</v>
      </c>
      <c r="BM71" s="60">
        <f ca="1">tblBaseCF[[#This Row],[AccBen]]*monthly_acc_coi*12</f>
        <v>0</v>
      </c>
      <c r="BN71" s="60">
        <f ca="1">tblBaseCF[[#This Row],[pStandardCOI]]+tblBaseCF[[#This Row],[pEMLoadCOI]]+tblBaseCF[[#This Row],[pPMLoadCOI]]+tblBaseCF[[#This Row],[pAccCOI]]</f>
        <v>0</v>
      </c>
      <c r="BO71" s="62">
        <f ca="1">IFERROR(INDEX(tblAdminChrg[Amount],MATCH(tblBaseCF[[#This Row],[CalYear]],tblAdminChrg[Cal_Year],0)),0)
*tblBaseCF[[#This Row],[ContFlag]]</f>
        <v>0</v>
      </c>
      <c r="BP71" s="60">
        <f ca="1">tblBaseCF[[#This Row],[pMonthlyAdminChrg]]*12</f>
        <v>0</v>
      </c>
      <c r="BQ71" s="60">
        <f ca="1">tblBaseCF[[#This Row],[pCOI]]+tblBaseCF[[#This Row],[pAdminChrg]]</f>
        <v>0</v>
      </c>
      <c r="BR71" s="60">
        <f ca="1">tblBaseCF[[#This Row],[pNomDeduct]]*tblBaseCF[[#This Row],[Duean1m12]]</f>
        <v>0</v>
      </c>
      <c r="BS71" s="57">
        <f ca="1">(tblBaseCF[[#This Row],[PAVAfterWdrlAlloc]]&gt;=tblBaseCF[[#This Row],[pNomDeduct]])
*tblBaseCF[[#This Row],[ContFlag]]</f>
        <v>0</v>
      </c>
      <c r="BT71" s="60">
        <f ca="1">tblBaseCF[[#This Row],[pStandardCOI]]*tblBaseCF[[#This Row],[DeductFlag]]</f>
        <v>0</v>
      </c>
      <c r="BU71" s="60">
        <f ca="1">tblBaseCF[[#This Row],[pEMLoadCOI]]*tblBaseCF[[#This Row],[DeductFlag]]</f>
        <v>0</v>
      </c>
      <c r="BV71" s="60">
        <f ca="1">tblBaseCF[[#This Row],[pPMLoadCOI]]*tblBaseCF[[#This Row],[DeductFlag]]</f>
        <v>0</v>
      </c>
      <c r="BW71" s="60">
        <f ca="1">tblBaseCF[[#This Row],[pAccCOI]]*tblBaseCF[[#This Row],[DeductFlag]]</f>
        <v>0</v>
      </c>
      <c r="BX71" s="60">
        <f ca="1">tblBaseCF[[#This Row],[pCOI]]*tblBaseCF[[#This Row],[DeductFlag]]</f>
        <v>0</v>
      </c>
      <c r="BY71" s="60">
        <f ca="1">tblBaseCF[[#This Row],[pMonthlyAdminChrg]]*tblBaseCF[[#This Row],[DeductFlag]]</f>
        <v>0</v>
      </c>
      <c r="BZ71" s="60">
        <f ca="1">tblBaseCF[[#This Row],[pAdminChrg]]*tblBaseCF[[#This Row],[DeductFlag]]</f>
        <v>0</v>
      </c>
      <c r="CA71" s="60">
        <f ca="1">tblBaseCF[[#This Row],[pNomDeduct]]*tblBaseCF[[#This Row],[DeductFlag]]</f>
        <v>0</v>
      </c>
      <c r="CB71" s="60">
        <f ca="1">tblBaseCF[[#This Row],[pDeduct]]*tblBaseCF[[#This Row],[DeductFlag]]</f>
        <v>0</v>
      </c>
      <c r="CC71" s="60">
        <f ca="1">MIN(tblBaseCF[[#This Row],[TAVAfterWdrlAlloc]],tblBaseCF[[#This Row],[Deduct]])</f>
        <v>0</v>
      </c>
      <c r="CD71" s="60">
        <f ca="1">tblBaseCF[[#This Row],[Deduct]]-tblBaseCF[[#This Row],[TAVDeduct]]</f>
        <v>0</v>
      </c>
      <c r="CE71" s="69">
        <f ca="1">(tblBaseCF[[#This Row],[TAVAfterWdrlAlloc]]-tblBaseCF[[#This Row],[TAVDeduct]])*tblBaseCF[[#This Row],[AnnualIntRate]]
*tblBaseCF[[#This Row],[DeductFlag]]</f>
        <v>0</v>
      </c>
      <c r="CF71" s="69">
        <f ca="1">(tblBaseCF[[#This Row],[EAVAfterWdrlAlloc]]-tblBaseCF[[#This Row],[EAVDeduct]])*tblBaseCF[[#This Row],[AnnualIntRate]]
*tblBaseCF[[#This Row],[DeductFlag]]</f>
        <v>0</v>
      </c>
      <c r="CG71" s="69">
        <f ca="1">tblBaseCF[[#This Row],[TAVInt]]+tblBaseCF[[#This Row],[EAVInt]]</f>
        <v>0</v>
      </c>
      <c r="CH71" s="62">
        <f ca="1">IFERROR(INDEX(tblLBRate[Rate],MATCH(tblBaseCF[[#This Row],[Year]],tblLBRate[Year],0)),0)
*tblBaseCF[[#This Row],[DeductFlag]]</f>
        <v>0</v>
      </c>
      <c r="CI71" s="60">
        <f ca="1">IFERROR(SUM(OFFSET(tblBaseCF[[#This Row],[TAVWithdrawal]],0,0,-lb_review_period,1)),0)
*(tblBaseCF[[#This Row],[LBRate]]&gt;0)</f>
        <v>0</v>
      </c>
      <c r="CJ71" s="60">
        <f ca="1">(tblBaseCF[[#This Row],[LBRate]]&gt;0)*(tblBaseCF[[#This Row],[LBTAVWithdrawal]]=0)</f>
        <v>0</v>
      </c>
      <c r="CK71" s="62" cm="1">
        <f t="array" aca="1" ref="CK71" ca="1">IF(tblBaseCF[[#This Row],[LBFlag]],
_xlfn.SWITCH(base,
"ILP1",AVERAGE(OFFSET(tblBaseCF[TP],0,0,-lb_review_period,1)),tp),0)
*tblBaseCF[[#This Row],[LBFlag]]</f>
        <v>0</v>
      </c>
      <c r="CL71" s="62">
        <f ca="1">tblBaseCF[[#This Row],[LBBasis]]*tblBaseCF[[#This Row],[LBRate]]</f>
        <v>0</v>
      </c>
      <c r="CM71" s="57" cm="1">
        <f t="array" aca="1" ref="CM71" ca="1">_xlfn.SWITCH(base,
"ILP1",0,($AF171&lt;500000000)*1
+($AF171&gt;=500000000)*($AF171&lt;1000000000)*2
+($AF171&gt;=1000000000)*3)
*tblBaseCF[[#This Row],[DeductFlag]]</f>
        <v>0</v>
      </c>
      <c r="CN71" s="2" t="str">
        <f ca="1">IF(tblBaseCF[[#This Row],[DeductFlag]],base&amp;"_"&amp;tblBaseCF[[#This Row],[SBCode]]&amp;"_"&amp;tblBaseCF[[#This Row],[Year]],"")</f>
        <v/>
      </c>
      <c r="CO71" s="3">
        <f ca="1">IFERROR(INDEX(tblSBRate[Index],MATCH(tblBaseCF[[#This Row],[SBIndex]],tblSBRate[Rate],0)),0)</f>
        <v>0</v>
      </c>
      <c r="CP71" s="63">
        <f ca="1">IFERROR(SUM(OFFSET(tblBaseCF[[#This Row],[TAVWithdrawal]],0,0,-sb_review_period,1)),0)
*(tblBaseCF[[#This Row],[SBRate]]&gt;0)</f>
        <v>0</v>
      </c>
      <c r="CQ71" s="63">
        <f ca="1">(tblBaseCF[[#This Row],[SBRate]]&gt;0)*(tblBaseCF[[#This Row],[SBTAVWithdrawal]]=0)</f>
        <v>0</v>
      </c>
      <c r="CR71" s="59" cm="1">
        <f t="array" aca="1" ref="CR71" ca="1">IF(tblBaseCF[[#This Row],[LBFlag]],
_xlfn.SWITCH(base,
"ILP1",0,tp),0)*tblBaseCF[[#This Row],[SBFlag]]</f>
        <v>0</v>
      </c>
      <c r="CS71" s="63">
        <f ca="1">tblBaseCF[[#This Row],[SBBasis]]*tblBaseCF[[#This Row],[SBRate]]</f>
        <v>0</v>
      </c>
      <c r="CT71" s="63">
        <f ca="1">tblBaseCF[[#This Row],[LB]]+tblBaseCF[[#This Row],[SB]]</f>
        <v>0</v>
      </c>
      <c r="CU71" s="59">
        <f ca="1">tblBaseCF[[#This Row],[TAVAfterWdrlAlloc]]-tblBaseCF[[#This Row],[TAVDeduct]]+tblBaseCF[[#This Row],[TAVInt]]+tblBaseCF[[#This Row],[Bonus]]</f>
        <v>0</v>
      </c>
      <c r="CV71" s="59">
        <f ca="1">tblBaseCF[[#This Row],[EAVAfterWdrlAlloc]]-tblBaseCF[[#This Row],[EAVDeduct]]+tblBaseCF[[#This Row],[EAVInt]]</f>
        <v>0</v>
      </c>
      <c r="CW71" s="63">
        <f ca="1">tblBaseCF[[#This Row],[EndTAV]]+tblBaseCF[[#This Row],[EndEAV]]</f>
        <v>0</v>
      </c>
      <c r="CX71" s="59">
        <f ca="1">INDEX(tblPlanPrem[TP],2)
*tblBaseCF[[#This Row],[TPTermFlag]]</f>
        <v>0</v>
      </c>
      <c r="CY71" s="59">
        <f ca="1">INDEX(tblPlanPrem[EP],2)
*tblBaseCF[[#This Row],[TPTermFlag]]</f>
        <v>0</v>
      </c>
      <c r="CZ71" s="63">
        <f ca="1">ROUNDUP(tblBaseCF[[#This Row],[UnroundedEMLoad]]*INDEX(tblPlanPrem[Factor],2),-3)</f>
        <v>0</v>
      </c>
      <c r="DA71" s="63">
        <f ca="1">ROUNDUP(tblBaseCF[[#This Row],[UnroundedPMLoad]]*INDEX(tblPlanPrem[Factor],2),-3)</f>
        <v>0</v>
      </c>
      <c r="DB71" s="63">
        <f ca="1">tblBaseCF[[#This Row],[SemiAnnualEMLoad]]+tblBaseCF[[#This Row],[SemiAnnualPMLoad]]</f>
        <v>0</v>
      </c>
      <c r="DC71" s="63">
        <f ca="1">tblBaseCF[[#This Row],[SemiAnnualTP]]+tblBaseCF[[#This Row],[SemiAnnualEP]]+tblBaseCF[[#This Row],[SemiAnnualLoad]]</f>
        <v>0</v>
      </c>
      <c r="DD71" s="59">
        <f ca="1">INDEX(tblPlanPrem[TP],3)
*tblBaseCF[[#This Row],[TPTermFlag]]</f>
        <v>0</v>
      </c>
      <c r="DE71" s="59">
        <f ca="1">INDEX(tblPlanPrem[EP],3)
*tblBaseCF[[#This Row],[TPTermFlag]]</f>
        <v>0</v>
      </c>
      <c r="DF71" s="63">
        <f ca="1">ROUNDUP(tblBaseCF[[#This Row],[UnroundedEMLoad]]*INDEX(tblPlanPrem[Factor],3),-3)</f>
        <v>0</v>
      </c>
      <c r="DG71" s="63">
        <f ca="1">ROUNDUP(tblBaseCF[[#This Row],[UnroundedPMLoad]]*INDEX(tblPlanPrem[Factor],3),-3)</f>
        <v>0</v>
      </c>
      <c r="DH71" s="60">
        <f ca="1">tblBaseCF[[#This Row],[QuarterlyEMLoad]]+tblBaseCF[[#This Row],[QuarterlyPMLoad]]</f>
        <v>0</v>
      </c>
      <c r="DI71" s="60">
        <f ca="1">tblBaseCF[[#This Row],[QuarterlyTP]]+tblBaseCF[[#This Row],[QuarterlyEP]]+tblBaseCF[[#This Row],[QuarterlyLoad]]</f>
        <v>0</v>
      </c>
      <c r="DJ71" s="59">
        <f ca="1">INDEX(tblPlanPrem[TP],4)
*tblBaseCF[[#This Row],[TPTermFlag]]</f>
        <v>0</v>
      </c>
      <c r="DK71" s="59">
        <f ca="1">INDEX(tblPlanPrem[EP],4)
*tblBaseCF[[#This Row],[TPTermFlag]]</f>
        <v>0</v>
      </c>
      <c r="DL71" s="63">
        <f ca="1">ROUNDUP(tblBaseCF[[#This Row],[UnroundedEMLoad]]*INDEX(tblPlanPrem[Factor],4),-3)</f>
        <v>0</v>
      </c>
      <c r="DM71" s="63">
        <f ca="1">ROUNDUP(tblBaseCF[[#This Row],[UnroundedPMLoad]]*INDEX(tblPlanPrem[Factor],4),-3)</f>
        <v>0</v>
      </c>
      <c r="DN71" s="60">
        <f ca="1">tblBaseCF[[#This Row],[MonthlyEMLoad]]+tblBaseCF[[#This Row],[MonthlyPMLoad]]</f>
        <v>0</v>
      </c>
      <c r="DO71" s="63">
        <f ca="1">tblBaseCF[[#This Row],[MonthlyTP]]+tblBaseCF[[#This Row],[MonthlyEP]]+tblBaseCF[[#This Row],[MonthlyLoad]]</f>
        <v>0</v>
      </c>
      <c r="DP71" s="3"/>
      <c r="DS71">
        <f t="shared" si="7"/>
        <v>0</v>
      </c>
      <c r="DT71">
        <f t="shared" si="8"/>
        <v>0</v>
      </c>
      <c r="DU71">
        <f t="shared" si="9"/>
        <v>0</v>
      </c>
      <c r="DV71">
        <f ca="1">tblBaseCF[[#This Row],[Year]]</f>
        <v>51</v>
      </c>
      <c r="DW71">
        <f ca="1">tblBaseCF[[#This Row],[Age]]</f>
        <v>50</v>
      </c>
      <c r="DX71">
        <f ca="1">tblBaseCF[[#This Row],[ContFlag]]</f>
        <v>0</v>
      </c>
      <c r="DY71" t="str">
        <f ca="1">tblBaseCF[[#This Row],[ContLog]]</f>
        <v>Insufficient PAV for deduction - Discontinue.</v>
      </c>
      <c r="DZ71">
        <f ca="1">tblBaseCF[[#This Row],[StartTAV]]</f>
        <v>0</v>
      </c>
      <c r="EA71">
        <f ca="1">tblBaseCF[[#This Row],[StartEAV]]</f>
        <v>0</v>
      </c>
      <c r="EB71">
        <f ca="1">tblBaseCF[[#This Row],[StartPAV]]</f>
        <v>0</v>
      </c>
      <c r="EC71">
        <f ca="1">tblBaseCF[[#This Row],[SVChrg]]</f>
        <v>0</v>
      </c>
      <c r="ED71">
        <f ca="1">tblBaseCF[[#This Row],[SV]]</f>
        <v>0</v>
      </c>
      <c r="EE71">
        <f ca="1">tblBaseCF[[#This Row],[Ben]]</f>
        <v>0</v>
      </c>
      <c r="EF71">
        <f ca="1">tblBaseCF[[#This Row],[AccBen]]</f>
        <v>0</v>
      </c>
      <c r="EG71">
        <f ca="1">tblBaseCF[[#This Row],[WithdrawalInput]]</f>
        <v>0</v>
      </c>
      <c r="EH71" t="str">
        <f ca="1">tblBaseCF[[#This Row],[WithdrawalLog]]</f>
        <v>No withdrawal.</v>
      </c>
      <c r="EI71">
        <f ca="1">tblBaseCF[[#This Row],[TAVWithdrawal]]</f>
        <v>0</v>
      </c>
      <c r="EJ71">
        <f ca="1">tblBaseCF[[#This Row],[EAVWithdrawal]]</f>
        <v>0</v>
      </c>
      <c r="EK71">
        <f ca="1">tblBaseCF[[#This Row],[Withdrawal]]</f>
        <v>0</v>
      </c>
      <c r="EL71">
        <f ca="1">tblBaseCF[[#This Row],[TP]]</f>
        <v>0</v>
      </c>
      <c r="EM71">
        <f ca="1">tblBaseCF[[#This Row],[TPAllocChrg]]</f>
        <v>0</v>
      </c>
      <c r="EN71">
        <f ca="1">tblBaseCF[[#This Row],[TPAlloc]]</f>
        <v>0</v>
      </c>
      <c r="EO71">
        <f ca="1">tblBaseCF[[#This Row],[EP]]</f>
        <v>0</v>
      </c>
      <c r="EP71">
        <f ca="1">tblBaseCF[[#This Row],[EPAllocChrg]]</f>
        <v>0</v>
      </c>
      <c r="EQ71">
        <f ca="1">tblBaseCF[[#This Row],[EPAlloc]]</f>
        <v>0</v>
      </c>
      <c r="ER71">
        <f ca="1">tblBaseCF[[#This Row],[EMLoad]]</f>
        <v>0</v>
      </c>
      <c r="ES71">
        <f ca="1">tblBaseCF[[#This Row],[PMLoad]]</f>
        <v>0</v>
      </c>
      <c r="ET71">
        <f ca="1">tblBaseCF[[#This Row],[Load]]</f>
        <v>0</v>
      </c>
      <c r="EU71">
        <f ca="1">tblBaseCF[[#This Row],[LoadAllocChrg]]</f>
        <v>0</v>
      </c>
      <c r="EV71">
        <f ca="1">tblBaseCF[[#This Row],[LoadAlloc]]</f>
        <v>0</v>
      </c>
      <c r="EW71">
        <f ca="1">tblBaseCF[[#This Row],[TotalPrem]]</f>
        <v>0</v>
      </c>
      <c r="EX71">
        <f ca="1">tblBaseCF[[#This Row],[AllocChrg]]</f>
        <v>0</v>
      </c>
      <c r="EY71">
        <f ca="1">tblBaseCF[[#This Row],[Alloc]]</f>
        <v>0</v>
      </c>
      <c r="EZ71">
        <f ca="1">tblBaseCF[[#This Row],[AccumTotalPrem]]</f>
        <v>0</v>
      </c>
      <c r="FA71">
        <f>tblBaseCF[[#This Row],[AnnualIntRate]]</f>
        <v>0</v>
      </c>
      <c r="FB71" s="50">
        <f>tblBaseCF[[#This Row],[Duean1m12]]</f>
        <v>1</v>
      </c>
      <c r="FC71">
        <f ca="1">tblBaseCF[[#This Row],[DeductFlag]]</f>
        <v>0</v>
      </c>
      <c r="FD71">
        <f ca="1">tblBaseCF[[#This Row],[AdminChrg]]</f>
        <v>0</v>
      </c>
      <c r="FE71">
        <f ca="1">tblBaseCF[[#This Row],[StandardCOI]]</f>
        <v>0</v>
      </c>
      <c r="FF71">
        <f ca="1">tblBaseCF[[#This Row],[EMLoadCOI]]</f>
        <v>0</v>
      </c>
      <c r="FG71">
        <f ca="1">tblBaseCF[[#This Row],[PMLoadCOI]]</f>
        <v>0</v>
      </c>
      <c r="FH71">
        <f ca="1">tblBaseCF[[#This Row],[COI]]</f>
        <v>0</v>
      </c>
      <c r="FI71" s="47">
        <f ca="1">tblBaseCF[[#This Row],[NomDeduct]]</f>
        <v>0</v>
      </c>
      <c r="FJ71">
        <f ca="1">tblBaseCF[[#This Row],[Deduct]]</f>
        <v>0</v>
      </c>
      <c r="FK71">
        <f ca="1">tblBaseCF[[#This Row],[TAVDeduct]]</f>
        <v>0</v>
      </c>
      <c r="FL71">
        <f ca="1">tblBaseCF[[#This Row],[EAVDeduct]]</f>
        <v>0</v>
      </c>
      <c r="FM71" s="24">
        <f ca="1">tblBaseCF[[#This Row],[TAVInt]]</f>
        <v>0</v>
      </c>
      <c r="FN71">
        <f ca="1">tblBaseCF[[#This Row],[EAVInt]]</f>
        <v>0</v>
      </c>
      <c r="FO71" s="47">
        <f ca="1">tblBaseCF[[#This Row],[LB]]</f>
        <v>0</v>
      </c>
      <c r="FP71">
        <f ca="1">tblBaseCF[[#This Row],[SB]]</f>
        <v>0</v>
      </c>
      <c r="FQ71">
        <f ca="1">tblBaseCF[[#This Row],[Bonus]]</f>
        <v>0</v>
      </c>
      <c r="FR71">
        <f ca="1">tblBaseCF[[#This Row],[EndTAV]]</f>
        <v>0</v>
      </c>
      <c r="FS71">
        <f ca="1">tblBaseCF[[#This Row],[EndEAV]]</f>
        <v>0</v>
      </c>
      <c r="FT71">
        <f ca="1">tblBaseCF[[#This Row],[EndPAV]]</f>
        <v>0</v>
      </c>
      <c r="FU71">
        <f ca="1">tblBaseCF[[#This Row],[SemiAnnualTP]]</f>
        <v>0</v>
      </c>
      <c r="FV71">
        <f ca="1">tblBaseCF[[#This Row],[SemiAnnualEP]]</f>
        <v>0</v>
      </c>
      <c r="FW71">
        <f ca="1">tblBaseCF[[#This Row],[SemiAnnualEMLoad]]</f>
        <v>0</v>
      </c>
      <c r="FX71">
        <f ca="1">tblBaseCF[[#This Row],[SemiAnnualPMLoad]]</f>
        <v>0</v>
      </c>
      <c r="FY71">
        <f ca="1">tblBaseCF[[#This Row],[SemiAnnualLoad]]</f>
        <v>0</v>
      </c>
      <c r="FZ71">
        <f ca="1">tblBaseCF[[#This Row],[SemiAnnualTotalPrem]]</f>
        <v>0</v>
      </c>
      <c r="GA71">
        <f ca="1">tblBaseCF[[#This Row],[QuarterlyTP]]</f>
        <v>0</v>
      </c>
      <c r="GB71">
        <f ca="1">tblBaseCF[[#This Row],[QuarterlyEP]]</f>
        <v>0</v>
      </c>
      <c r="GC71">
        <f ca="1">tblBaseCF[[#This Row],[QuarterlyEMLoad]]</f>
        <v>0</v>
      </c>
      <c r="GD71">
        <f ca="1">tblBaseCF[[#This Row],[QuarterlyPMLoad]]</f>
        <v>0</v>
      </c>
      <c r="GE71">
        <f ca="1">tblBaseCF[[#This Row],[QuarterlyLoad]]</f>
        <v>0</v>
      </c>
      <c r="GF71">
        <f ca="1">tblBaseCF[[#This Row],[QuarterlyTotalPrem]]</f>
        <v>0</v>
      </c>
      <c r="GG71">
        <f ca="1">tblBaseCF[[#This Row],[MonthlyTP]]</f>
        <v>0</v>
      </c>
      <c r="GH71">
        <f ca="1">tblBaseCF[[#This Row],[MonthlyEP]]</f>
        <v>0</v>
      </c>
      <c r="GI71">
        <f ca="1">tblBaseCF[[#This Row],[MonthlyEMLoad]]</f>
        <v>0</v>
      </c>
      <c r="GJ71">
        <f ca="1">tblBaseCF[[#This Row],[MonthlyPMLoad]]</f>
        <v>0</v>
      </c>
      <c r="GK71">
        <f ca="1">tblBaseCF[[#This Row],[MonthlyLoad]]</f>
        <v>0</v>
      </c>
      <c r="GL71">
        <f ca="1">tblBaseCF[[#This Row],[MonthlyTotalPrem]]</f>
        <v>0</v>
      </c>
      <c r="GO71" t="s">
        <v>134</v>
      </c>
      <c r="GP71" t="s">
        <v>135</v>
      </c>
      <c r="GQ71" t="s">
        <v>502</v>
      </c>
      <c r="GR71">
        <v>51</v>
      </c>
      <c r="GS71">
        <v>50</v>
      </c>
      <c r="GT71">
        <v>1</v>
      </c>
      <c r="GU71" t="s">
        <v>457</v>
      </c>
      <c r="GV71">
        <v>145886333.61803699</v>
      </c>
      <c r="GW71">
        <v>1222726940.39182</v>
      </c>
      <c r="GX71">
        <v>1368613274.00986</v>
      </c>
      <c r="GY71">
        <v>0</v>
      </c>
      <c r="GZ71">
        <v>1368613274.00986</v>
      </c>
      <c r="HA71">
        <v>1368613274.00986</v>
      </c>
      <c r="HB71">
        <v>303000000</v>
      </c>
      <c r="HC71">
        <v>0</v>
      </c>
      <c r="HD71" t="s">
        <v>137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7.0000000000000007E-2</v>
      </c>
      <c r="HX71">
        <v>0.96964931039809399</v>
      </c>
      <c r="HY71">
        <v>1</v>
      </c>
      <c r="HZ71">
        <v>300000</v>
      </c>
      <c r="IA71">
        <v>0</v>
      </c>
      <c r="IB71">
        <v>0</v>
      </c>
      <c r="IC71">
        <v>0</v>
      </c>
      <c r="ID71">
        <v>272700</v>
      </c>
      <c r="IE71">
        <v>572700</v>
      </c>
      <c r="IF71">
        <v>555318.16006498795</v>
      </c>
      <c r="IG71">
        <v>555318.16006498795</v>
      </c>
      <c r="IH71">
        <v>0</v>
      </c>
      <c r="II71">
        <v>10173171.082057999</v>
      </c>
      <c r="IJ71">
        <v>85590885.8274277</v>
      </c>
      <c r="IK71">
        <v>0</v>
      </c>
      <c r="IL71">
        <v>0</v>
      </c>
      <c r="IM71">
        <v>0</v>
      </c>
      <c r="IN71">
        <v>155504186.54003</v>
      </c>
      <c r="IO71">
        <v>1308317826.21925</v>
      </c>
      <c r="IP71">
        <v>1463822012.75928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</row>
    <row r="72" spans="2:268" customFormat="1" x14ac:dyDescent="0.25">
      <c r="B72" s="2">
        <f ca="1">OFFSET(tblBaseCF[[#This Row],[Year]],-1,0)+1</f>
        <v>52</v>
      </c>
      <c r="C72" s="2">
        <f ca="1">(tblBaseCF[[#This Row],[Year]]&lt;=term)*1</f>
        <v>1</v>
      </c>
      <c r="D72" s="57">
        <f ca="1">(YEAR(rcd)+tblBaseCF[[#This Row],[Year]]-1)
*tblBaseCF[[#This Row],[PolTermFlag]]</f>
        <v>2076</v>
      </c>
      <c r="E72" s="57">
        <f ca="1">(mainLI_entry_age+tblBaseCF[[#This Row],[Year]]-1)
*tblBaseCF[[#This Row],[PolTermFlag]]</f>
        <v>51</v>
      </c>
      <c r="F72" s="57">
        <f ca="1">IF(tblBaseCF[[#This Row],[Year]]=1,1,OFFSET(tblBaseCF[[#This Row],[DeductFlag]],-1,0))
*tblBaseCF[[#This Row],[PolTermFlag]]</f>
        <v>0</v>
      </c>
      <c r="G7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2" s="57">
        <f ca="1">(tblBaseCF[[#This Row],[Year]]&lt;=acc_ben_term)
*tblBaseCF[[#This Row],[ContFlag]]</f>
        <v>0</v>
      </c>
      <c r="I72" s="57">
        <f ca="1">(tblBaseCF[[#This Row],[Year]]&lt;=tp_term)
*tblBaseCF[[#This Row],[ContFlag]]</f>
        <v>0</v>
      </c>
      <c r="J72" s="57">
        <f ca="1">(tblBaseCF[[#This Row],[Year]]&lt;=ep_term)
*tblBaseCF[[#This Row],[ContFlag]]</f>
        <v>0</v>
      </c>
      <c r="K72" s="57">
        <f ca="1">(tblBaseCF[[#This Row],[Year]]&lt;=em_load_term)*1</f>
        <v>0</v>
      </c>
      <c r="L72" s="57">
        <f ca="1">(tblBaseCF[[#This Row],[Year]]&lt;=pm_load_term)*1</f>
        <v>0</v>
      </c>
      <c r="M72" s="59">
        <f ca="1">IF(tblBaseCF[[#This Row],[Year]]=1,si,OFFSET(tblBaseCF[[#This Row],[EndSI]],-1,0))
*tblBaseCF[[#This Row],[ContFlag]]</f>
        <v>0</v>
      </c>
      <c r="N72" s="59">
        <f ca="1">OFFSET(tblBaseCF[[#This Row],[EndTAV]],-1,0)
*tblBaseCF[[#This Row],[ContFlag]]</f>
        <v>0</v>
      </c>
      <c r="O72" s="59">
        <f ca="1">OFFSET(tblBaseCF[[#This Row],[EndEAV]],-1,0)
*tblBaseCF[[#This Row],[ContFlag]]</f>
        <v>0</v>
      </c>
      <c r="P72" s="60">
        <f ca="1">tblBaseCF[[#This Row],[StartEAV]]+tblBaseCF[[#This Row],[StartTAV]]</f>
        <v>0</v>
      </c>
      <c r="Q72" s="61">
        <f ca="1">IFERROR(INDEX(tblJuvenileLienRate[Rate],MATCH(tblBaseCF[[#This Row],[Age]],tblJuvenileLienRate[Age],0)),1)
*tblBaseCF[[#This Row],[ContFlag]]</f>
        <v>0</v>
      </c>
      <c r="R7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2" s="62">
        <f ca="1">tblBaseCF[[#This Row],[StartSI]]*acc_ben_coeff*tblBaseCF[[#This Row],[JuvenileLienRate]]
*tblBaseCF[[#This Row],[AccBenTermFlag]]</f>
        <v>0</v>
      </c>
      <c r="T72" s="61">
        <f ca="1">(IFERROR(INDEX(tblSurrChrgRate[Rate],MATCH(tblBaseCF[[#This Row],[Year]],tblSurrChrgRate[Year],0)),0)
*tblBaseCF[[#This Row],[ContFlag]])</f>
        <v>0</v>
      </c>
      <c r="U72" s="60">
        <f ca="1">tp*tblBaseCF[[#This Row],[SrrChrgRate]]</f>
        <v>0</v>
      </c>
      <c r="V72" s="63">
        <f ca="1">MAX(tblBaseCF[[#This Row],[StartTAV]]-tblBaseCF[[#This Row],[SVChrg]],0)+tblBaseCF[[#This Row],[StartEAV]]</f>
        <v>0</v>
      </c>
      <c r="W72" s="59">
        <f ca="1">IFERROR(INDEX(tblWithdrawal_Output[Amount],MATCH(tblBaseCF[[#This Row],[Year]],tblWithdrawal_Output[Year],0)),0)
*tblBaseCF[[#This Row],[ContFlag]]</f>
        <v>0</v>
      </c>
      <c r="X72" s="59" t="b">
        <f ca="1">tblBaseCF[[#This Row],[WithdrawalInput]]&gt;0</f>
        <v>0</v>
      </c>
      <c r="Y72" s="59" t="b">
        <f ca="1">AND(tblBaseCF[[#This Row],[1stCheckProceed]],tblBaseCF[[#This Row],[WithdrawalInput]]&lt;=tblBaseCF[[#This Row],[StartPAV]])</f>
        <v>0</v>
      </c>
      <c r="Z72" s="59" t="b">
        <f ca="1">AND(tblBaseCF[[#This Row],[2ndCheckAmount]],(tblBaseCF[[#This Row],[StartPAV]]-tblBaseCF[[#This Row],[WithdrawalInput]])&gt;=min_pav_after_withdrawal)</f>
        <v>0</v>
      </c>
      <c r="AA7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2" s="59" t="b">
        <f ca="1">AND(tblBaseCF[[#This Row],[3rdCheckPAV]],tblBaseCF[[#This Row],[endSITest]]&gt;=min_base_si)</f>
        <v>0</v>
      </c>
      <c r="AC72" s="60">
        <f ca="1">tblBaseCF[[#This Row],[WithdrawalInput]]*tblBaseCF[[#This Row],[4thCheckSI]]</f>
        <v>0</v>
      </c>
      <c r="AD72" s="60">
        <f ca="1">MIN(tblBaseCF[[#This Row],[Withdrawal]],tblBaseCF[[#This Row],[StartEAV]])</f>
        <v>0</v>
      </c>
      <c r="AE72" s="60">
        <f ca="1">tblBaseCF[[#This Row],[Withdrawal]]-tblBaseCF[[#This Row],[EAVWithdrawal]]</f>
        <v>0</v>
      </c>
      <c r="AF72" s="60">
        <f ca="1">IF(tblBaseCF[[#This Row],[4thCheckSI]],tblBaseCF[[#This Row],[endSITest]],tblBaseCF[[#This Row],[StartSI]])</f>
        <v>0</v>
      </c>
      <c r="AG7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2" s="65">
        <f ca="1">IFERROR(INDEX(tblTPAllocChrgRate[Rate],MATCH(tblBaseCF[[#This Row],[Year]],tblTPAllocChrgRate[Year],0)),0)</f>
        <v>0.02</v>
      </c>
      <c r="AI72" s="62">
        <f ca="1">(tp+big_case_bonus_tp*(tblBaseCF[[#This Row],[Year]]=1))
*tblBaseCF[[#This Row],[TPTermFlag]]</f>
        <v>0</v>
      </c>
      <c r="AJ72" s="63">
        <f ca="1">tblBaseCF[[#This Row],[TP]]*tblBaseCF[[#This Row],[TPAllocChrgRate]]</f>
        <v>0</v>
      </c>
      <c r="AK72" s="60">
        <f ca="1">tblBaseCF[[#This Row],[TP]]-tblBaseCF[[#This Row],[TPAllocChrg]]</f>
        <v>0</v>
      </c>
      <c r="AL72" s="65">
        <f ca="1">IFERROR(INDEX(tblEPAllocChrgRate[Rate],MATCH(tblBaseCF[[#This Row],[Year]],tblEPAllocChrgRate[Year],0)),0)</f>
        <v>0.02</v>
      </c>
      <c r="AM72" s="60">
        <f ca="1">ep*tblBaseCF[[#This Row],[EPTermFlag]]</f>
        <v>0</v>
      </c>
      <c r="AN72" s="60">
        <f ca="1">tblBaseCF[[#This Row],[EP]]*tblBaseCF[[#This Row],[EPAllocChrgRate]]</f>
        <v>0</v>
      </c>
      <c r="AO72" s="63">
        <f ca="1">tblBaseCF[[#This Row],[EP]]-tblBaseCF[[#This Row],[EPAllocChrg]]</f>
        <v>0</v>
      </c>
      <c r="AP72" s="62">
        <f ca="1">tblBaseCF[[#This Row],[Ben]]*extra_prem_rate*em_load/1000/(1-tblBaseCF[[#This Row],[EPAllocChrgRate]])
*tblBaseCF[[#This Row],[EMLoadTermFlag]]</f>
        <v>0</v>
      </c>
      <c r="AQ72" s="62">
        <f ca="1">tblBaseCF[[#This Row],[Ben]]*pm_load/1000/(1-tblBaseCF[[#This Row],[EPAllocChrgRate]])
*tblBaseCF[[#This Row],[PMLoadTermFlag]]</f>
        <v>0</v>
      </c>
      <c r="AR72" s="60">
        <f ca="1">ROUNDUP(tblBaseCF[[#This Row],[UnroundedEMLoad]],-3)</f>
        <v>0</v>
      </c>
      <c r="AS72" s="62">
        <f ca="1">ROUNDUP(tblBaseCF[[#This Row],[Ben]]*pm_load/1000/(1-tblBaseCF[[#This Row],[EPAllocChrgRate]]),-3)
*tblBaseCF[[#This Row],[PMLoadTermFlag]]</f>
        <v>0</v>
      </c>
      <c r="AT72" s="60">
        <f ca="1">tblBaseCF[[#This Row],[EMLoad]]+tblBaseCF[[#This Row],[PMLoad]]</f>
        <v>0</v>
      </c>
      <c r="AU72" s="60">
        <f ca="1">tblBaseCF[[#This Row],[Load]]*tblBaseCF[[#This Row],[EPAllocChrgRate]]</f>
        <v>0</v>
      </c>
      <c r="AV72" s="60">
        <f ca="1">tblBaseCF[[#This Row],[Load]]-tblBaseCF[[#This Row],[LoadAllocChrg]]</f>
        <v>0</v>
      </c>
      <c r="AW72" s="60">
        <f ca="1">tblBaseCF[[#This Row],[TP]]+tblBaseCF[[#This Row],[EP]]+tblBaseCF[[#This Row],[Load]]</f>
        <v>0</v>
      </c>
      <c r="AX72" s="60">
        <f ca="1">tblBaseCF[[#This Row],[TPAllocChrg]]+tblBaseCF[[#This Row],[EPAllocChrg]]+tblBaseCF[[#This Row],[LoadAllocChrg]]</f>
        <v>0</v>
      </c>
      <c r="AY72" s="60">
        <f ca="1">tblBaseCF[[#This Row],[TPAlloc]]+tblBaseCF[[#This Row],[EPAlloc]]+tblBaseCF[[#This Row],[LoadAlloc]]</f>
        <v>0</v>
      </c>
      <c r="AZ72" s="60">
        <f ca="1">(OFFSET(tblBaseCF[[#This Row],[AccumTotalPrem]],-1,0)+tblBaseCF[[#This Row],[TotalPrem]])*tblBaseCF[[#This Row],[TPTermFlag]]</f>
        <v>0</v>
      </c>
      <c r="BA72" s="62">
        <f ca="1">(tblBaseCF[[#This Row],[StartTAV]]-tblBaseCF[[#This Row],[TAVWithdrawal]]+tblBaseCF[[#This Row],[TPAlloc]])
*tblBaseCF[[#This Row],[ContFlag]]</f>
        <v>0</v>
      </c>
      <c r="BB72" s="59">
        <f ca="1">(tblBaseCF[[#This Row],[StartEAV]]-tblBaseCF[[#This Row],[EAVWithdrawal]]+tblBaseCF[[#This Row],[EPAlloc]]+tblBaseCF[[#This Row],[LoadAlloc]])
*tblBaseCF[[#This Row],[ContFlag]]</f>
        <v>0</v>
      </c>
      <c r="BC72" s="59">
        <f ca="1">tblBaseCF[[#This Row],[TAVAfterWdrlAlloc]]+tblBaseCF[[#This Row],[EAVAfterWdrlAlloc]]</f>
        <v>0</v>
      </c>
      <c r="BD72" s="66">
        <f t="shared" si="6"/>
        <v>0</v>
      </c>
      <c r="BE72" s="67">
        <f>(1+tblBaseCF[[#This Row],[AnnualIntRate]])^(1/12)-1</f>
        <v>0</v>
      </c>
      <c r="BF72" s="68">
        <f>IFERROR(((1+tblBaseCF[[#This Row],[MonthlyIntRate]])^12-1)/12/(1-1/(1+tblBaseCF[[#This Row],[MonthlyIntRate]])),1)/(1+tblBaseCF[[#This Row],[AnnualIntRate]])</f>
        <v>1</v>
      </c>
      <c r="BG72" s="69">
        <f>PV(tblBaseCF[[#This Row],[MonthlyIntRate]],12,-1/12,,1)</f>
        <v>1</v>
      </c>
      <c r="BH72" s="60">
        <f ca="1">MAX(IF(death_tpd_option="A",tblBaseCF[[#This Row],[Ben]]-tblBaseCF[[#This Row],[StartPAV]],tblBaseCF[[#This Row],[Ben]]),0)</f>
        <v>0</v>
      </c>
      <c r="BI72" s="70">
        <f ca="1">IFERROR(INDEX(tblBaseCOIRate[Rate],MATCH(tblBaseCF[[#This Row],[Age]],tblBaseCOIRate[Age],0)),0)</f>
        <v>5.4999999999999502E-3</v>
      </c>
      <c r="BJ72" s="60">
        <f ca="1">tblBaseCF[[#This Row],[SAR]]*tblBaseCF[[#This Row],[COIRate]]</f>
        <v>0</v>
      </c>
      <c r="BK72" s="62">
        <f ca="1">em_load*tblBaseCF[[#This Row],[pStandardCOI]]
*tblBaseCF[[#This Row],[EMLoadTermFlag]]</f>
        <v>0</v>
      </c>
      <c r="BL72" s="62">
        <f ca="1">pm_load/1000*tblBaseCF[[#This Row],[SAR]]
*tblBaseCF[[#This Row],[PMLoadTermFlag]]</f>
        <v>0</v>
      </c>
      <c r="BM72" s="60">
        <f ca="1">tblBaseCF[[#This Row],[AccBen]]*monthly_acc_coi*12</f>
        <v>0</v>
      </c>
      <c r="BN72" s="60">
        <f ca="1">tblBaseCF[[#This Row],[pStandardCOI]]+tblBaseCF[[#This Row],[pEMLoadCOI]]+tblBaseCF[[#This Row],[pPMLoadCOI]]+tblBaseCF[[#This Row],[pAccCOI]]</f>
        <v>0</v>
      </c>
      <c r="BO72" s="62">
        <f ca="1">IFERROR(INDEX(tblAdminChrg[Amount],MATCH(tblBaseCF[[#This Row],[CalYear]],tblAdminChrg[Cal_Year],0)),0)
*tblBaseCF[[#This Row],[ContFlag]]</f>
        <v>0</v>
      </c>
      <c r="BP72" s="60">
        <f ca="1">tblBaseCF[[#This Row],[pMonthlyAdminChrg]]*12</f>
        <v>0</v>
      </c>
      <c r="BQ72" s="60">
        <f ca="1">tblBaseCF[[#This Row],[pCOI]]+tblBaseCF[[#This Row],[pAdminChrg]]</f>
        <v>0</v>
      </c>
      <c r="BR72" s="60">
        <f ca="1">tblBaseCF[[#This Row],[pNomDeduct]]*tblBaseCF[[#This Row],[Duean1m12]]</f>
        <v>0</v>
      </c>
      <c r="BS72" s="57">
        <f ca="1">(tblBaseCF[[#This Row],[PAVAfterWdrlAlloc]]&gt;=tblBaseCF[[#This Row],[pNomDeduct]])
*tblBaseCF[[#This Row],[ContFlag]]</f>
        <v>0</v>
      </c>
      <c r="BT72" s="60">
        <f ca="1">tblBaseCF[[#This Row],[pStandardCOI]]*tblBaseCF[[#This Row],[DeductFlag]]</f>
        <v>0</v>
      </c>
      <c r="BU72" s="60">
        <f ca="1">tblBaseCF[[#This Row],[pEMLoadCOI]]*tblBaseCF[[#This Row],[DeductFlag]]</f>
        <v>0</v>
      </c>
      <c r="BV72" s="60">
        <f ca="1">tblBaseCF[[#This Row],[pPMLoadCOI]]*tblBaseCF[[#This Row],[DeductFlag]]</f>
        <v>0</v>
      </c>
      <c r="BW72" s="60">
        <f ca="1">tblBaseCF[[#This Row],[pAccCOI]]*tblBaseCF[[#This Row],[DeductFlag]]</f>
        <v>0</v>
      </c>
      <c r="BX72" s="60">
        <f ca="1">tblBaseCF[[#This Row],[pCOI]]*tblBaseCF[[#This Row],[DeductFlag]]</f>
        <v>0</v>
      </c>
      <c r="BY72" s="60">
        <f ca="1">tblBaseCF[[#This Row],[pMonthlyAdminChrg]]*tblBaseCF[[#This Row],[DeductFlag]]</f>
        <v>0</v>
      </c>
      <c r="BZ72" s="60">
        <f ca="1">tblBaseCF[[#This Row],[pAdminChrg]]*tblBaseCF[[#This Row],[DeductFlag]]</f>
        <v>0</v>
      </c>
      <c r="CA72" s="60">
        <f ca="1">tblBaseCF[[#This Row],[pNomDeduct]]*tblBaseCF[[#This Row],[DeductFlag]]</f>
        <v>0</v>
      </c>
      <c r="CB72" s="60">
        <f ca="1">tblBaseCF[[#This Row],[pDeduct]]*tblBaseCF[[#This Row],[DeductFlag]]</f>
        <v>0</v>
      </c>
      <c r="CC72" s="60">
        <f ca="1">MIN(tblBaseCF[[#This Row],[TAVAfterWdrlAlloc]],tblBaseCF[[#This Row],[Deduct]])</f>
        <v>0</v>
      </c>
      <c r="CD72" s="60">
        <f ca="1">tblBaseCF[[#This Row],[Deduct]]-tblBaseCF[[#This Row],[TAVDeduct]]</f>
        <v>0</v>
      </c>
      <c r="CE72" s="69">
        <f ca="1">(tblBaseCF[[#This Row],[TAVAfterWdrlAlloc]]-tblBaseCF[[#This Row],[TAVDeduct]])*tblBaseCF[[#This Row],[AnnualIntRate]]
*tblBaseCF[[#This Row],[DeductFlag]]</f>
        <v>0</v>
      </c>
      <c r="CF72" s="69">
        <f ca="1">(tblBaseCF[[#This Row],[EAVAfterWdrlAlloc]]-tblBaseCF[[#This Row],[EAVDeduct]])*tblBaseCF[[#This Row],[AnnualIntRate]]
*tblBaseCF[[#This Row],[DeductFlag]]</f>
        <v>0</v>
      </c>
      <c r="CG72" s="69">
        <f ca="1">tblBaseCF[[#This Row],[TAVInt]]+tblBaseCF[[#This Row],[EAVInt]]</f>
        <v>0</v>
      </c>
      <c r="CH72" s="62">
        <f ca="1">IFERROR(INDEX(tblLBRate[Rate],MATCH(tblBaseCF[[#This Row],[Year]],tblLBRate[Year],0)),0)
*tblBaseCF[[#This Row],[DeductFlag]]</f>
        <v>0</v>
      </c>
      <c r="CI72" s="60">
        <f ca="1">IFERROR(SUM(OFFSET(tblBaseCF[[#This Row],[TAVWithdrawal]],0,0,-lb_review_period,1)),0)
*(tblBaseCF[[#This Row],[LBRate]]&gt;0)</f>
        <v>0</v>
      </c>
      <c r="CJ72" s="60">
        <f ca="1">(tblBaseCF[[#This Row],[LBRate]]&gt;0)*(tblBaseCF[[#This Row],[LBTAVWithdrawal]]=0)</f>
        <v>0</v>
      </c>
      <c r="CK72" s="62" cm="1">
        <f t="array" aca="1" ref="CK72" ca="1">IF(tblBaseCF[[#This Row],[LBFlag]],
_xlfn.SWITCH(base,
"ILP1",AVERAGE(OFFSET(tblBaseCF[TP],0,0,-lb_review_period,1)),tp),0)
*tblBaseCF[[#This Row],[LBFlag]]</f>
        <v>0</v>
      </c>
      <c r="CL72" s="62">
        <f ca="1">tblBaseCF[[#This Row],[LBBasis]]*tblBaseCF[[#This Row],[LBRate]]</f>
        <v>0</v>
      </c>
      <c r="CM72" s="57" cm="1">
        <f t="array" aca="1" ref="CM72" ca="1">_xlfn.SWITCH(base,
"ILP1",0,($AF172&lt;500000000)*1
+($AF172&gt;=500000000)*($AF172&lt;1000000000)*2
+($AF172&gt;=1000000000)*3)
*tblBaseCF[[#This Row],[DeductFlag]]</f>
        <v>0</v>
      </c>
      <c r="CN72" s="2" t="str">
        <f ca="1">IF(tblBaseCF[[#This Row],[DeductFlag]],base&amp;"_"&amp;tblBaseCF[[#This Row],[SBCode]]&amp;"_"&amp;tblBaseCF[[#This Row],[Year]],"")</f>
        <v/>
      </c>
      <c r="CO72" s="3">
        <f ca="1">IFERROR(INDEX(tblSBRate[Index],MATCH(tblBaseCF[[#This Row],[SBIndex]],tblSBRate[Rate],0)),0)</f>
        <v>0</v>
      </c>
      <c r="CP72" s="63">
        <f ca="1">IFERROR(SUM(OFFSET(tblBaseCF[[#This Row],[TAVWithdrawal]],0,0,-sb_review_period,1)),0)
*(tblBaseCF[[#This Row],[SBRate]]&gt;0)</f>
        <v>0</v>
      </c>
      <c r="CQ72" s="63">
        <f ca="1">(tblBaseCF[[#This Row],[SBRate]]&gt;0)*(tblBaseCF[[#This Row],[SBTAVWithdrawal]]=0)</f>
        <v>0</v>
      </c>
      <c r="CR72" s="59" cm="1">
        <f t="array" aca="1" ref="CR72" ca="1">IF(tblBaseCF[[#This Row],[LBFlag]],
_xlfn.SWITCH(base,
"ILP1",0,tp),0)*tblBaseCF[[#This Row],[SBFlag]]</f>
        <v>0</v>
      </c>
      <c r="CS72" s="63">
        <f ca="1">tblBaseCF[[#This Row],[SBBasis]]*tblBaseCF[[#This Row],[SBRate]]</f>
        <v>0</v>
      </c>
      <c r="CT72" s="63">
        <f ca="1">tblBaseCF[[#This Row],[LB]]+tblBaseCF[[#This Row],[SB]]</f>
        <v>0</v>
      </c>
      <c r="CU72" s="59">
        <f ca="1">tblBaseCF[[#This Row],[TAVAfterWdrlAlloc]]-tblBaseCF[[#This Row],[TAVDeduct]]+tblBaseCF[[#This Row],[TAVInt]]+tblBaseCF[[#This Row],[Bonus]]</f>
        <v>0</v>
      </c>
      <c r="CV72" s="59">
        <f ca="1">tblBaseCF[[#This Row],[EAVAfterWdrlAlloc]]-tblBaseCF[[#This Row],[EAVDeduct]]+tblBaseCF[[#This Row],[EAVInt]]</f>
        <v>0</v>
      </c>
      <c r="CW72" s="63">
        <f ca="1">tblBaseCF[[#This Row],[EndTAV]]+tblBaseCF[[#This Row],[EndEAV]]</f>
        <v>0</v>
      </c>
      <c r="CX72" s="59">
        <f ca="1">INDEX(tblPlanPrem[TP],2)
*tblBaseCF[[#This Row],[TPTermFlag]]</f>
        <v>0</v>
      </c>
      <c r="CY72" s="59">
        <f ca="1">INDEX(tblPlanPrem[EP],2)
*tblBaseCF[[#This Row],[TPTermFlag]]</f>
        <v>0</v>
      </c>
      <c r="CZ72" s="63">
        <f ca="1">ROUNDUP(tblBaseCF[[#This Row],[UnroundedEMLoad]]*INDEX(tblPlanPrem[Factor],2),-3)</f>
        <v>0</v>
      </c>
      <c r="DA72" s="63">
        <f ca="1">ROUNDUP(tblBaseCF[[#This Row],[UnroundedPMLoad]]*INDEX(tblPlanPrem[Factor],2),-3)</f>
        <v>0</v>
      </c>
      <c r="DB72" s="63">
        <f ca="1">tblBaseCF[[#This Row],[SemiAnnualEMLoad]]+tblBaseCF[[#This Row],[SemiAnnualPMLoad]]</f>
        <v>0</v>
      </c>
      <c r="DC72" s="63">
        <f ca="1">tblBaseCF[[#This Row],[SemiAnnualTP]]+tblBaseCF[[#This Row],[SemiAnnualEP]]+tblBaseCF[[#This Row],[SemiAnnualLoad]]</f>
        <v>0</v>
      </c>
      <c r="DD72" s="59">
        <f ca="1">INDEX(tblPlanPrem[TP],3)
*tblBaseCF[[#This Row],[TPTermFlag]]</f>
        <v>0</v>
      </c>
      <c r="DE72" s="59">
        <f ca="1">INDEX(tblPlanPrem[EP],3)
*tblBaseCF[[#This Row],[TPTermFlag]]</f>
        <v>0</v>
      </c>
      <c r="DF72" s="63">
        <f ca="1">ROUNDUP(tblBaseCF[[#This Row],[UnroundedEMLoad]]*INDEX(tblPlanPrem[Factor],3),-3)</f>
        <v>0</v>
      </c>
      <c r="DG72" s="63">
        <f ca="1">ROUNDUP(tblBaseCF[[#This Row],[UnroundedPMLoad]]*INDEX(tblPlanPrem[Factor],3),-3)</f>
        <v>0</v>
      </c>
      <c r="DH72" s="60">
        <f ca="1">tblBaseCF[[#This Row],[QuarterlyEMLoad]]+tblBaseCF[[#This Row],[QuarterlyPMLoad]]</f>
        <v>0</v>
      </c>
      <c r="DI72" s="60">
        <f ca="1">tblBaseCF[[#This Row],[QuarterlyTP]]+tblBaseCF[[#This Row],[QuarterlyEP]]+tblBaseCF[[#This Row],[QuarterlyLoad]]</f>
        <v>0</v>
      </c>
      <c r="DJ72" s="59">
        <f ca="1">INDEX(tblPlanPrem[TP],4)
*tblBaseCF[[#This Row],[TPTermFlag]]</f>
        <v>0</v>
      </c>
      <c r="DK72" s="59">
        <f ca="1">INDEX(tblPlanPrem[EP],4)
*tblBaseCF[[#This Row],[TPTermFlag]]</f>
        <v>0</v>
      </c>
      <c r="DL72" s="63">
        <f ca="1">ROUNDUP(tblBaseCF[[#This Row],[UnroundedEMLoad]]*INDEX(tblPlanPrem[Factor],4),-3)</f>
        <v>0</v>
      </c>
      <c r="DM72" s="63">
        <f ca="1">ROUNDUP(tblBaseCF[[#This Row],[UnroundedPMLoad]]*INDEX(tblPlanPrem[Factor],4),-3)</f>
        <v>0</v>
      </c>
      <c r="DN72" s="60">
        <f ca="1">tblBaseCF[[#This Row],[MonthlyEMLoad]]+tblBaseCF[[#This Row],[MonthlyPMLoad]]</f>
        <v>0</v>
      </c>
      <c r="DO72" s="63">
        <f ca="1">tblBaseCF[[#This Row],[MonthlyTP]]+tblBaseCF[[#This Row],[MonthlyEP]]+tblBaseCF[[#This Row],[MonthlyLoad]]</f>
        <v>0</v>
      </c>
      <c r="DP72" s="3"/>
      <c r="DS72">
        <f t="shared" si="7"/>
        <v>0</v>
      </c>
      <c r="DT72">
        <f t="shared" si="8"/>
        <v>0</v>
      </c>
      <c r="DU72">
        <f t="shared" si="9"/>
        <v>0</v>
      </c>
      <c r="DV72">
        <f ca="1">tblBaseCF[[#This Row],[Year]]</f>
        <v>52</v>
      </c>
      <c r="DW72">
        <f ca="1">tblBaseCF[[#This Row],[Age]]</f>
        <v>51</v>
      </c>
      <c r="DX72">
        <f ca="1">tblBaseCF[[#This Row],[ContFlag]]</f>
        <v>0</v>
      </c>
      <c r="DY72" t="str">
        <f ca="1">tblBaseCF[[#This Row],[ContLog]]</f>
        <v>Insufficient PAV for deduction - Discontinue.</v>
      </c>
      <c r="DZ72">
        <f ca="1">tblBaseCF[[#This Row],[StartTAV]]</f>
        <v>0</v>
      </c>
      <c r="EA72">
        <f ca="1">tblBaseCF[[#This Row],[StartEAV]]</f>
        <v>0</v>
      </c>
      <c r="EB72">
        <f ca="1">tblBaseCF[[#This Row],[StartPAV]]</f>
        <v>0</v>
      </c>
      <c r="EC72">
        <f ca="1">tblBaseCF[[#This Row],[SVChrg]]</f>
        <v>0</v>
      </c>
      <c r="ED72">
        <f ca="1">tblBaseCF[[#This Row],[SV]]</f>
        <v>0</v>
      </c>
      <c r="EE72">
        <f ca="1">tblBaseCF[[#This Row],[Ben]]</f>
        <v>0</v>
      </c>
      <c r="EF72">
        <f ca="1">tblBaseCF[[#This Row],[AccBen]]</f>
        <v>0</v>
      </c>
      <c r="EG72">
        <f ca="1">tblBaseCF[[#This Row],[WithdrawalInput]]</f>
        <v>0</v>
      </c>
      <c r="EH72" t="str">
        <f ca="1">tblBaseCF[[#This Row],[WithdrawalLog]]</f>
        <v>No withdrawal.</v>
      </c>
      <c r="EI72">
        <f ca="1">tblBaseCF[[#This Row],[TAVWithdrawal]]</f>
        <v>0</v>
      </c>
      <c r="EJ72">
        <f ca="1">tblBaseCF[[#This Row],[EAVWithdrawal]]</f>
        <v>0</v>
      </c>
      <c r="EK72">
        <f ca="1">tblBaseCF[[#This Row],[Withdrawal]]</f>
        <v>0</v>
      </c>
      <c r="EL72">
        <f ca="1">tblBaseCF[[#This Row],[TP]]</f>
        <v>0</v>
      </c>
      <c r="EM72">
        <f ca="1">tblBaseCF[[#This Row],[TPAllocChrg]]</f>
        <v>0</v>
      </c>
      <c r="EN72">
        <f ca="1">tblBaseCF[[#This Row],[TPAlloc]]</f>
        <v>0</v>
      </c>
      <c r="EO72">
        <f ca="1">tblBaseCF[[#This Row],[EP]]</f>
        <v>0</v>
      </c>
      <c r="EP72">
        <f ca="1">tblBaseCF[[#This Row],[EPAllocChrg]]</f>
        <v>0</v>
      </c>
      <c r="EQ72">
        <f ca="1">tblBaseCF[[#This Row],[EPAlloc]]</f>
        <v>0</v>
      </c>
      <c r="ER72">
        <f ca="1">tblBaseCF[[#This Row],[EMLoad]]</f>
        <v>0</v>
      </c>
      <c r="ES72">
        <f ca="1">tblBaseCF[[#This Row],[PMLoad]]</f>
        <v>0</v>
      </c>
      <c r="ET72">
        <f ca="1">tblBaseCF[[#This Row],[Load]]</f>
        <v>0</v>
      </c>
      <c r="EU72">
        <f ca="1">tblBaseCF[[#This Row],[LoadAllocChrg]]</f>
        <v>0</v>
      </c>
      <c r="EV72">
        <f ca="1">tblBaseCF[[#This Row],[LoadAlloc]]</f>
        <v>0</v>
      </c>
      <c r="EW72">
        <f ca="1">tblBaseCF[[#This Row],[TotalPrem]]</f>
        <v>0</v>
      </c>
      <c r="EX72">
        <f ca="1">tblBaseCF[[#This Row],[AllocChrg]]</f>
        <v>0</v>
      </c>
      <c r="EY72">
        <f ca="1">tblBaseCF[[#This Row],[Alloc]]</f>
        <v>0</v>
      </c>
      <c r="EZ72">
        <f ca="1">tblBaseCF[[#This Row],[AccumTotalPrem]]</f>
        <v>0</v>
      </c>
      <c r="FA72">
        <f>tblBaseCF[[#This Row],[AnnualIntRate]]</f>
        <v>0</v>
      </c>
      <c r="FB72" s="50">
        <f>tblBaseCF[[#This Row],[Duean1m12]]</f>
        <v>1</v>
      </c>
      <c r="FC72">
        <f ca="1">tblBaseCF[[#This Row],[DeductFlag]]</f>
        <v>0</v>
      </c>
      <c r="FD72">
        <f ca="1">tblBaseCF[[#This Row],[AdminChrg]]</f>
        <v>0</v>
      </c>
      <c r="FE72">
        <f ca="1">tblBaseCF[[#This Row],[StandardCOI]]</f>
        <v>0</v>
      </c>
      <c r="FF72">
        <f ca="1">tblBaseCF[[#This Row],[EMLoadCOI]]</f>
        <v>0</v>
      </c>
      <c r="FG72">
        <f ca="1">tblBaseCF[[#This Row],[PMLoadCOI]]</f>
        <v>0</v>
      </c>
      <c r="FH72">
        <f ca="1">tblBaseCF[[#This Row],[COI]]</f>
        <v>0</v>
      </c>
      <c r="FI72" s="47">
        <f ca="1">tblBaseCF[[#This Row],[NomDeduct]]</f>
        <v>0</v>
      </c>
      <c r="FJ72">
        <f ca="1">tblBaseCF[[#This Row],[Deduct]]</f>
        <v>0</v>
      </c>
      <c r="FK72">
        <f ca="1">tblBaseCF[[#This Row],[TAVDeduct]]</f>
        <v>0</v>
      </c>
      <c r="FL72">
        <f ca="1">tblBaseCF[[#This Row],[EAVDeduct]]</f>
        <v>0</v>
      </c>
      <c r="FM72" s="24">
        <f ca="1">tblBaseCF[[#This Row],[TAVInt]]</f>
        <v>0</v>
      </c>
      <c r="FN72">
        <f ca="1">tblBaseCF[[#This Row],[EAVInt]]</f>
        <v>0</v>
      </c>
      <c r="FO72" s="47">
        <f ca="1">tblBaseCF[[#This Row],[LB]]</f>
        <v>0</v>
      </c>
      <c r="FP72">
        <f ca="1">tblBaseCF[[#This Row],[SB]]</f>
        <v>0</v>
      </c>
      <c r="FQ72">
        <f ca="1">tblBaseCF[[#This Row],[Bonus]]</f>
        <v>0</v>
      </c>
      <c r="FR72">
        <f ca="1">tblBaseCF[[#This Row],[EndTAV]]</f>
        <v>0</v>
      </c>
      <c r="FS72">
        <f ca="1">tblBaseCF[[#This Row],[EndEAV]]</f>
        <v>0</v>
      </c>
      <c r="FT72">
        <f ca="1">tblBaseCF[[#This Row],[EndPAV]]</f>
        <v>0</v>
      </c>
      <c r="FU72">
        <f ca="1">tblBaseCF[[#This Row],[SemiAnnualTP]]</f>
        <v>0</v>
      </c>
      <c r="FV72">
        <f ca="1">tblBaseCF[[#This Row],[SemiAnnualEP]]</f>
        <v>0</v>
      </c>
      <c r="FW72">
        <f ca="1">tblBaseCF[[#This Row],[SemiAnnualEMLoad]]</f>
        <v>0</v>
      </c>
      <c r="FX72">
        <f ca="1">tblBaseCF[[#This Row],[SemiAnnualPMLoad]]</f>
        <v>0</v>
      </c>
      <c r="FY72">
        <f ca="1">tblBaseCF[[#This Row],[SemiAnnualLoad]]</f>
        <v>0</v>
      </c>
      <c r="FZ72">
        <f ca="1">tblBaseCF[[#This Row],[SemiAnnualTotalPrem]]</f>
        <v>0</v>
      </c>
      <c r="GA72">
        <f ca="1">tblBaseCF[[#This Row],[QuarterlyTP]]</f>
        <v>0</v>
      </c>
      <c r="GB72">
        <f ca="1">tblBaseCF[[#This Row],[QuarterlyEP]]</f>
        <v>0</v>
      </c>
      <c r="GC72">
        <f ca="1">tblBaseCF[[#This Row],[QuarterlyEMLoad]]</f>
        <v>0</v>
      </c>
      <c r="GD72">
        <f ca="1">tblBaseCF[[#This Row],[QuarterlyPMLoad]]</f>
        <v>0</v>
      </c>
      <c r="GE72">
        <f ca="1">tblBaseCF[[#This Row],[QuarterlyLoad]]</f>
        <v>0</v>
      </c>
      <c r="GF72">
        <f ca="1">tblBaseCF[[#This Row],[QuarterlyTotalPrem]]</f>
        <v>0</v>
      </c>
      <c r="GG72">
        <f ca="1">tblBaseCF[[#This Row],[MonthlyTP]]</f>
        <v>0</v>
      </c>
      <c r="GH72">
        <f ca="1">tblBaseCF[[#This Row],[MonthlyEP]]</f>
        <v>0</v>
      </c>
      <c r="GI72">
        <f ca="1">tblBaseCF[[#This Row],[MonthlyEMLoad]]</f>
        <v>0</v>
      </c>
      <c r="GJ72">
        <f ca="1">tblBaseCF[[#This Row],[MonthlyPMLoad]]</f>
        <v>0</v>
      </c>
      <c r="GK72">
        <f ca="1">tblBaseCF[[#This Row],[MonthlyLoad]]</f>
        <v>0</v>
      </c>
      <c r="GL72">
        <f ca="1">tblBaseCF[[#This Row],[MonthlyTotalPrem]]</f>
        <v>0</v>
      </c>
      <c r="GO72" t="s">
        <v>134</v>
      </c>
      <c r="GP72" t="s">
        <v>135</v>
      </c>
      <c r="GQ72" t="s">
        <v>502</v>
      </c>
      <c r="GR72">
        <v>52</v>
      </c>
      <c r="GS72">
        <v>51</v>
      </c>
      <c r="GT72">
        <v>1</v>
      </c>
      <c r="GU72" t="s">
        <v>457</v>
      </c>
      <c r="GV72">
        <v>155504186.54003</v>
      </c>
      <c r="GW72">
        <v>1308317826.21925</v>
      </c>
      <c r="GX72">
        <v>1463822012.75928</v>
      </c>
      <c r="GY72">
        <v>0</v>
      </c>
      <c r="GZ72">
        <v>1463822012.75928</v>
      </c>
      <c r="HA72">
        <v>1463822012.75928</v>
      </c>
      <c r="HB72">
        <v>303000000</v>
      </c>
      <c r="HC72">
        <v>0</v>
      </c>
      <c r="HD72" t="s">
        <v>137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7.0000000000000007E-2</v>
      </c>
      <c r="HX72">
        <v>0.96964931039809399</v>
      </c>
      <c r="HY72">
        <v>1</v>
      </c>
      <c r="HZ72">
        <v>300000</v>
      </c>
      <c r="IA72">
        <v>0</v>
      </c>
      <c r="IB72">
        <v>0</v>
      </c>
      <c r="IC72">
        <v>0</v>
      </c>
      <c r="ID72">
        <v>272700</v>
      </c>
      <c r="IE72">
        <v>572700</v>
      </c>
      <c r="IF72">
        <v>555318.16006498795</v>
      </c>
      <c r="IG72">
        <v>555318.16006498795</v>
      </c>
      <c r="IH72">
        <v>0</v>
      </c>
      <c r="II72">
        <v>10846420.7865975</v>
      </c>
      <c r="IJ72">
        <v>91582247.835347593</v>
      </c>
      <c r="IK72">
        <v>0</v>
      </c>
      <c r="IL72">
        <v>0</v>
      </c>
      <c r="IM72">
        <v>0</v>
      </c>
      <c r="IN72">
        <v>165795289.16656199</v>
      </c>
      <c r="IO72">
        <v>1399900074.0546</v>
      </c>
      <c r="IP72">
        <v>1565695363.2211599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</row>
    <row r="73" spans="2:268" customFormat="1" x14ac:dyDescent="0.25">
      <c r="B73" s="2">
        <f ca="1">OFFSET(tblBaseCF[[#This Row],[Year]],-1,0)+1</f>
        <v>53</v>
      </c>
      <c r="C73" s="2">
        <f ca="1">(tblBaseCF[[#This Row],[Year]]&lt;=term)*1</f>
        <v>1</v>
      </c>
      <c r="D73" s="57">
        <f ca="1">(YEAR(rcd)+tblBaseCF[[#This Row],[Year]]-1)
*tblBaseCF[[#This Row],[PolTermFlag]]</f>
        <v>2077</v>
      </c>
      <c r="E73" s="57">
        <f ca="1">(mainLI_entry_age+tblBaseCF[[#This Row],[Year]]-1)
*tblBaseCF[[#This Row],[PolTermFlag]]</f>
        <v>52</v>
      </c>
      <c r="F73" s="57">
        <f ca="1">IF(tblBaseCF[[#This Row],[Year]]=1,1,OFFSET(tblBaseCF[[#This Row],[DeductFlag]],-1,0))
*tblBaseCF[[#This Row],[PolTermFlag]]</f>
        <v>0</v>
      </c>
      <c r="G7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3" s="57">
        <f ca="1">(tblBaseCF[[#This Row],[Year]]&lt;=acc_ben_term)
*tblBaseCF[[#This Row],[ContFlag]]</f>
        <v>0</v>
      </c>
      <c r="I73" s="57">
        <f ca="1">(tblBaseCF[[#This Row],[Year]]&lt;=tp_term)
*tblBaseCF[[#This Row],[ContFlag]]</f>
        <v>0</v>
      </c>
      <c r="J73" s="57">
        <f ca="1">(tblBaseCF[[#This Row],[Year]]&lt;=ep_term)
*tblBaseCF[[#This Row],[ContFlag]]</f>
        <v>0</v>
      </c>
      <c r="K73" s="57">
        <f ca="1">(tblBaseCF[[#This Row],[Year]]&lt;=em_load_term)*1</f>
        <v>0</v>
      </c>
      <c r="L73" s="57">
        <f ca="1">(tblBaseCF[[#This Row],[Year]]&lt;=pm_load_term)*1</f>
        <v>0</v>
      </c>
      <c r="M73" s="59">
        <f ca="1">IF(tblBaseCF[[#This Row],[Year]]=1,si,OFFSET(tblBaseCF[[#This Row],[EndSI]],-1,0))
*tblBaseCF[[#This Row],[ContFlag]]</f>
        <v>0</v>
      </c>
      <c r="N73" s="59">
        <f ca="1">OFFSET(tblBaseCF[[#This Row],[EndTAV]],-1,0)
*tblBaseCF[[#This Row],[ContFlag]]</f>
        <v>0</v>
      </c>
      <c r="O73" s="59">
        <f ca="1">OFFSET(tblBaseCF[[#This Row],[EndEAV]],-1,0)
*tblBaseCF[[#This Row],[ContFlag]]</f>
        <v>0</v>
      </c>
      <c r="P73" s="60">
        <f ca="1">tblBaseCF[[#This Row],[StartEAV]]+tblBaseCF[[#This Row],[StartTAV]]</f>
        <v>0</v>
      </c>
      <c r="Q73" s="61">
        <f ca="1">IFERROR(INDEX(tblJuvenileLienRate[Rate],MATCH(tblBaseCF[[#This Row],[Age]],tblJuvenileLienRate[Age],0)),1)
*tblBaseCF[[#This Row],[ContFlag]]</f>
        <v>0</v>
      </c>
      <c r="R7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3" s="62">
        <f ca="1">tblBaseCF[[#This Row],[StartSI]]*acc_ben_coeff*tblBaseCF[[#This Row],[JuvenileLienRate]]
*tblBaseCF[[#This Row],[AccBenTermFlag]]</f>
        <v>0</v>
      </c>
      <c r="T73" s="61">
        <f ca="1">(IFERROR(INDEX(tblSurrChrgRate[Rate],MATCH(tblBaseCF[[#This Row],[Year]],tblSurrChrgRate[Year],0)),0)
*tblBaseCF[[#This Row],[ContFlag]])</f>
        <v>0</v>
      </c>
      <c r="U73" s="60">
        <f ca="1">tp*tblBaseCF[[#This Row],[SrrChrgRate]]</f>
        <v>0</v>
      </c>
      <c r="V73" s="63">
        <f ca="1">MAX(tblBaseCF[[#This Row],[StartTAV]]-tblBaseCF[[#This Row],[SVChrg]],0)+tblBaseCF[[#This Row],[StartEAV]]</f>
        <v>0</v>
      </c>
      <c r="W73" s="59">
        <f ca="1">IFERROR(INDEX(tblWithdrawal_Output[Amount],MATCH(tblBaseCF[[#This Row],[Year]],tblWithdrawal_Output[Year],0)),0)
*tblBaseCF[[#This Row],[ContFlag]]</f>
        <v>0</v>
      </c>
      <c r="X73" s="59" t="b">
        <f ca="1">tblBaseCF[[#This Row],[WithdrawalInput]]&gt;0</f>
        <v>0</v>
      </c>
      <c r="Y73" s="59" t="b">
        <f ca="1">AND(tblBaseCF[[#This Row],[1stCheckProceed]],tblBaseCF[[#This Row],[WithdrawalInput]]&lt;=tblBaseCF[[#This Row],[StartPAV]])</f>
        <v>0</v>
      </c>
      <c r="Z73" s="59" t="b">
        <f ca="1">AND(tblBaseCF[[#This Row],[2ndCheckAmount]],(tblBaseCF[[#This Row],[StartPAV]]-tblBaseCF[[#This Row],[WithdrawalInput]])&gt;=min_pav_after_withdrawal)</f>
        <v>0</v>
      </c>
      <c r="AA7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3" s="59" t="b">
        <f ca="1">AND(tblBaseCF[[#This Row],[3rdCheckPAV]],tblBaseCF[[#This Row],[endSITest]]&gt;=min_base_si)</f>
        <v>0</v>
      </c>
      <c r="AC73" s="60">
        <f ca="1">tblBaseCF[[#This Row],[WithdrawalInput]]*tblBaseCF[[#This Row],[4thCheckSI]]</f>
        <v>0</v>
      </c>
      <c r="AD73" s="60">
        <f ca="1">MIN(tblBaseCF[[#This Row],[Withdrawal]],tblBaseCF[[#This Row],[StartEAV]])</f>
        <v>0</v>
      </c>
      <c r="AE73" s="60">
        <f ca="1">tblBaseCF[[#This Row],[Withdrawal]]-tblBaseCF[[#This Row],[EAVWithdrawal]]</f>
        <v>0</v>
      </c>
      <c r="AF73" s="60">
        <f ca="1">IF(tblBaseCF[[#This Row],[4thCheckSI]],tblBaseCF[[#This Row],[endSITest]],tblBaseCF[[#This Row],[StartSI]])</f>
        <v>0</v>
      </c>
      <c r="AG7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3" s="65">
        <f ca="1">IFERROR(INDEX(tblTPAllocChrgRate[Rate],MATCH(tblBaseCF[[#This Row],[Year]],tblTPAllocChrgRate[Year],0)),0)</f>
        <v>0.02</v>
      </c>
      <c r="AI73" s="62">
        <f ca="1">(tp+big_case_bonus_tp*(tblBaseCF[[#This Row],[Year]]=1))
*tblBaseCF[[#This Row],[TPTermFlag]]</f>
        <v>0</v>
      </c>
      <c r="AJ73" s="63">
        <f ca="1">tblBaseCF[[#This Row],[TP]]*tblBaseCF[[#This Row],[TPAllocChrgRate]]</f>
        <v>0</v>
      </c>
      <c r="AK73" s="60">
        <f ca="1">tblBaseCF[[#This Row],[TP]]-tblBaseCF[[#This Row],[TPAllocChrg]]</f>
        <v>0</v>
      </c>
      <c r="AL73" s="65">
        <f ca="1">IFERROR(INDEX(tblEPAllocChrgRate[Rate],MATCH(tblBaseCF[[#This Row],[Year]],tblEPAllocChrgRate[Year],0)),0)</f>
        <v>0.02</v>
      </c>
      <c r="AM73" s="60">
        <f ca="1">ep*tblBaseCF[[#This Row],[EPTermFlag]]</f>
        <v>0</v>
      </c>
      <c r="AN73" s="60">
        <f ca="1">tblBaseCF[[#This Row],[EP]]*tblBaseCF[[#This Row],[EPAllocChrgRate]]</f>
        <v>0</v>
      </c>
      <c r="AO73" s="63">
        <f ca="1">tblBaseCF[[#This Row],[EP]]-tblBaseCF[[#This Row],[EPAllocChrg]]</f>
        <v>0</v>
      </c>
      <c r="AP73" s="62">
        <f ca="1">tblBaseCF[[#This Row],[Ben]]*extra_prem_rate*em_load/1000/(1-tblBaseCF[[#This Row],[EPAllocChrgRate]])
*tblBaseCF[[#This Row],[EMLoadTermFlag]]</f>
        <v>0</v>
      </c>
      <c r="AQ73" s="62">
        <f ca="1">tblBaseCF[[#This Row],[Ben]]*pm_load/1000/(1-tblBaseCF[[#This Row],[EPAllocChrgRate]])
*tblBaseCF[[#This Row],[PMLoadTermFlag]]</f>
        <v>0</v>
      </c>
      <c r="AR73" s="60">
        <f ca="1">ROUNDUP(tblBaseCF[[#This Row],[UnroundedEMLoad]],-3)</f>
        <v>0</v>
      </c>
      <c r="AS73" s="62">
        <f ca="1">ROUNDUP(tblBaseCF[[#This Row],[Ben]]*pm_load/1000/(1-tblBaseCF[[#This Row],[EPAllocChrgRate]]),-3)
*tblBaseCF[[#This Row],[PMLoadTermFlag]]</f>
        <v>0</v>
      </c>
      <c r="AT73" s="60">
        <f ca="1">tblBaseCF[[#This Row],[EMLoad]]+tblBaseCF[[#This Row],[PMLoad]]</f>
        <v>0</v>
      </c>
      <c r="AU73" s="60">
        <f ca="1">tblBaseCF[[#This Row],[Load]]*tblBaseCF[[#This Row],[EPAllocChrgRate]]</f>
        <v>0</v>
      </c>
      <c r="AV73" s="60">
        <f ca="1">tblBaseCF[[#This Row],[Load]]-tblBaseCF[[#This Row],[LoadAllocChrg]]</f>
        <v>0</v>
      </c>
      <c r="AW73" s="60">
        <f ca="1">tblBaseCF[[#This Row],[TP]]+tblBaseCF[[#This Row],[EP]]+tblBaseCF[[#This Row],[Load]]</f>
        <v>0</v>
      </c>
      <c r="AX73" s="60">
        <f ca="1">tblBaseCF[[#This Row],[TPAllocChrg]]+tblBaseCF[[#This Row],[EPAllocChrg]]+tblBaseCF[[#This Row],[LoadAllocChrg]]</f>
        <v>0</v>
      </c>
      <c r="AY73" s="60">
        <f ca="1">tblBaseCF[[#This Row],[TPAlloc]]+tblBaseCF[[#This Row],[EPAlloc]]+tblBaseCF[[#This Row],[LoadAlloc]]</f>
        <v>0</v>
      </c>
      <c r="AZ73" s="60">
        <f ca="1">(OFFSET(tblBaseCF[[#This Row],[AccumTotalPrem]],-1,0)+tblBaseCF[[#This Row],[TotalPrem]])*tblBaseCF[[#This Row],[TPTermFlag]]</f>
        <v>0</v>
      </c>
      <c r="BA73" s="62">
        <f ca="1">(tblBaseCF[[#This Row],[StartTAV]]-tblBaseCF[[#This Row],[TAVWithdrawal]]+tblBaseCF[[#This Row],[TPAlloc]])
*tblBaseCF[[#This Row],[ContFlag]]</f>
        <v>0</v>
      </c>
      <c r="BB73" s="59">
        <f ca="1">(tblBaseCF[[#This Row],[StartEAV]]-tblBaseCF[[#This Row],[EAVWithdrawal]]+tblBaseCF[[#This Row],[EPAlloc]]+tblBaseCF[[#This Row],[LoadAlloc]])
*tblBaseCF[[#This Row],[ContFlag]]</f>
        <v>0</v>
      </c>
      <c r="BC73" s="59">
        <f ca="1">tblBaseCF[[#This Row],[TAVAfterWdrlAlloc]]+tblBaseCF[[#This Row],[EAVAfterWdrlAlloc]]</f>
        <v>0</v>
      </c>
      <c r="BD73" s="66">
        <f t="shared" si="6"/>
        <v>0</v>
      </c>
      <c r="BE73" s="67">
        <f>(1+tblBaseCF[[#This Row],[AnnualIntRate]])^(1/12)-1</f>
        <v>0</v>
      </c>
      <c r="BF73" s="68">
        <f>IFERROR(((1+tblBaseCF[[#This Row],[MonthlyIntRate]])^12-1)/12/(1-1/(1+tblBaseCF[[#This Row],[MonthlyIntRate]])),1)/(1+tblBaseCF[[#This Row],[AnnualIntRate]])</f>
        <v>1</v>
      </c>
      <c r="BG73" s="69">
        <f>PV(tblBaseCF[[#This Row],[MonthlyIntRate]],12,-1/12,,1)</f>
        <v>1</v>
      </c>
      <c r="BH73" s="60">
        <f ca="1">MAX(IF(death_tpd_option="A",tblBaseCF[[#This Row],[Ben]]-tblBaseCF[[#This Row],[StartPAV]],tblBaseCF[[#This Row],[Ben]]),0)</f>
        <v>0</v>
      </c>
      <c r="BI73" s="70">
        <f ca="1">IFERROR(INDEX(tblBaseCOIRate[Rate],MATCH(tblBaseCF[[#This Row],[Age]],tblBaseCOIRate[Age],0)),0)</f>
        <v>5.9200000000000398E-3</v>
      </c>
      <c r="BJ73" s="60">
        <f ca="1">tblBaseCF[[#This Row],[SAR]]*tblBaseCF[[#This Row],[COIRate]]</f>
        <v>0</v>
      </c>
      <c r="BK73" s="62">
        <f ca="1">em_load*tblBaseCF[[#This Row],[pStandardCOI]]
*tblBaseCF[[#This Row],[EMLoadTermFlag]]</f>
        <v>0</v>
      </c>
      <c r="BL73" s="62">
        <f ca="1">pm_load/1000*tblBaseCF[[#This Row],[SAR]]
*tblBaseCF[[#This Row],[PMLoadTermFlag]]</f>
        <v>0</v>
      </c>
      <c r="BM73" s="60">
        <f ca="1">tblBaseCF[[#This Row],[AccBen]]*monthly_acc_coi*12</f>
        <v>0</v>
      </c>
      <c r="BN73" s="60">
        <f ca="1">tblBaseCF[[#This Row],[pStandardCOI]]+tblBaseCF[[#This Row],[pEMLoadCOI]]+tblBaseCF[[#This Row],[pPMLoadCOI]]+tblBaseCF[[#This Row],[pAccCOI]]</f>
        <v>0</v>
      </c>
      <c r="BO73" s="62">
        <f ca="1">IFERROR(INDEX(tblAdminChrg[Amount],MATCH(tblBaseCF[[#This Row],[CalYear]],tblAdminChrg[Cal_Year],0)),0)
*tblBaseCF[[#This Row],[ContFlag]]</f>
        <v>0</v>
      </c>
      <c r="BP73" s="60">
        <f ca="1">tblBaseCF[[#This Row],[pMonthlyAdminChrg]]*12</f>
        <v>0</v>
      </c>
      <c r="BQ73" s="60">
        <f ca="1">tblBaseCF[[#This Row],[pCOI]]+tblBaseCF[[#This Row],[pAdminChrg]]</f>
        <v>0</v>
      </c>
      <c r="BR73" s="60">
        <f ca="1">tblBaseCF[[#This Row],[pNomDeduct]]*tblBaseCF[[#This Row],[Duean1m12]]</f>
        <v>0</v>
      </c>
      <c r="BS73" s="57">
        <f ca="1">(tblBaseCF[[#This Row],[PAVAfterWdrlAlloc]]&gt;=tblBaseCF[[#This Row],[pNomDeduct]])
*tblBaseCF[[#This Row],[ContFlag]]</f>
        <v>0</v>
      </c>
      <c r="BT73" s="60">
        <f ca="1">tblBaseCF[[#This Row],[pStandardCOI]]*tblBaseCF[[#This Row],[DeductFlag]]</f>
        <v>0</v>
      </c>
      <c r="BU73" s="60">
        <f ca="1">tblBaseCF[[#This Row],[pEMLoadCOI]]*tblBaseCF[[#This Row],[DeductFlag]]</f>
        <v>0</v>
      </c>
      <c r="BV73" s="60">
        <f ca="1">tblBaseCF[[#This Row],[pPMLoadCOI]]*tblBaseCF[[#This Row],[DeductFlag]]</f>
        <v>0</v>
      </c>
      <c r="BW73" s="60">
        <f ca="1">tblBaseCF[[#This Row],[pAccCOI]]*tblBaseCF[[#This Row],[DeductFlag]]</f>
        <v>0</v>
      </c>
      <c r="BX73" s="60">
        <f ca="1">tblBaseCF[[#This Row],[pCOI]]*tblBaseCF[[#This Row],[DeductFlag]]</f>
        <v>0</v>
      </c>
      <c r="BY73" s="60">
        <f ca="1">tblBaseCF[[#This Row],[pMonthlyAdminChrg]]*tblBaseCF[[#This Row],[DeductFlag]]</f>
        <v>0</v>
      </c>
      <c r="BZ73" s="60">
        <f ca="1">tblBaseCF[[#This Row],[pAdminChrg]]*tblBaseCF[[#This Row],[DeductFlag]]</f>
        <v>0</v>
      </c>
      <c r="CA73" s="60">
        <f ca="1">tblBaseCF[[#This Row],[pNomDeduct]]*tblBaseCF[[#This Row],[DeductFlag]]</f>
        <v>0</v>
      </c>
      <c r="CB73" s="60">
        <f ca="1">tblBaseCF[[#This Row],[pDeduct]]*tblBaseCF[[#This Row],[DeductFlag]]</f>
        <v>0</v>
      </c>
      <c r="CC73" s="60">
        <f ca="1">MIN(tblBaseCF[[#This Row],[TAVAfterWdrlAlloc]],tblBaseCF[[#This Row],[Deduct]])</f>
        <v>0</v>
      </c>
      <c r="CD73" s="60">
        <f ca="1">tblBaseCF[[#This Row],[Deduct]]-tblBaseCF[[#This Row],[TAVDeduct]]</f>
        <v>0</v>
      </c>
      <c r="CE73" s="69">
        <f ca="1">(tblBaseCF[[#This Row],[TAVAfterWdrlAlloc]]-tblBaseCF[[#This Row],[TAVDeduct]])*tblBaseCF[[#This Row],[AnnualIntRate]]
*tblBaseCF[[#This Row],[DeductFlag]]</f>
        <v>0</v>
      </c>
      <c r="CF73" s="69">
        <f ca="1">(tblBaseCF[[#This Row],[EAVAfterWdrlAlloc]]-tblBaseCF[[#This Row],[EAVDeduct]])*tblBaseCF[[#This Row],[AnnualIntRate]]
*tblBaseCF[[#This Row],[DeductFlag]]</f>
        <v>0</v>
      </c>
      <c r="CG73" s="69">
        <f ca="1">tblBaseCF[[#This Row],[TAVInt]]+tblBaseCF[[#This Row],[EAVInt]]</f>
        <v>0</v>
      </c>
      <c r="CH73" s="62">
        <f ca="1">IFERROR(INDEX(tblLBRate[Rate],MATCH(tblBaseCF[[#This Row],[Year]],tblLBRate[Year],0)),0)
*tblBaseCF[[#This Row],[DeductFlag]]</f>
        <v>0</v>
      </c>
      <c r="CI73" s="60">
        <f ca="1">IFERROR(SUM(OFFSET(tblBaseCF[[#This Row],[TAVWithdrawal]],0,0,-lb_review_period,1)),0)
*(tblBaseCF[[#This Row],[LBRate]]&gt;0)</f>
        <v>0</v>
      </c>
      <c r="CJ73" s="60">
        <f ca="1">(tblBaseCF[[#This Row],[LBRate]]&gt;0)*(tblBaseCF[[#This Row],[LBTAVWithdrawal]]=0)</f>
        <v>0</v>
      </c>
      <c r="CK73" s="62" cm="1">
        <f t="array" aca="1" ref="CK73" ca="1">IF(tblBaseCF[[#This Row],[LBFlag]],
_xlfn.SWITCH(base,
"ILP1",AVERAGE(OFFSET(tblBaseCF[TP],0,0,-lb_review_period,1)),tp),0)
*tblBaseCF[[#This Row],[LBFlag]]</f>
        <v>0</v>
      </c>
      <c r="CL73" s="62">
        <f ca="1">tblBaseCF[[#This Row],[LBBasis]]*tblBaseCF[[#This Row],[LBRate]]</f>
        <v>0</v>
      </c>
      <c r="CM73" s="57" cm="1">
        <f t="array" aca="1" ref="CM73" ca="1">_xlfn.SWITCH(base,
"ILP1",0,($AF173&lt;500000000)*1
+($AF173&gt;=500000000)*($AF173&lt;1000000000)*2
+($AF173&gt;=1000000000)*3)
*tblBaseCF[[#This Row],[DeductFlag]]</f>
        <v>0</v>
      </c>
      <c r="CN73" s="2" t="str">
        <f ca="1">IF(tblBaseCF[[#This Row],[DeductFlag]],base&amp;"_"&amp;tblBaseCF[[#This Row],[SBCode]]&amp;"_"&amp;tblBaseCF[[#This Row],[Year]],"")</f>
        <v/>
      </c>
      <c r="CO73" s="3">
        <f ca="1">IFERROR(INDEX(tblSBRate[Index],MATCH(tblBaseCF[[#This Row],[SBIndex]],tblSBRate[Rate],0)),0)</f>
        <v>0</v>
      </c>
      <c r="CP73" s="63">
        <f ca="1">IFERROR(SUM(OFFSET(tblBaseCF[[#This Row],[TAVWithdrawal]],0,0,-sb_review_period,1)),0)
*(tblBaseCF[[#This Row],[SBRate]]&gt;0)</f>
        <v>0</v>
      </c>
      <c r="CQ73" s="63">
        <f ca="1">(tblBaseCF[[#This Row],[SBRate]]&gt;0)*(tblBaseCF[[#This Row],[SBTAVWithdrawal]]=0)</f>
        <v>0</v>
      </c>
      <c r="CR73" s="59" cm="1">
        <f t="array" aca="1" ref="CR73" ca="1">IF(tblBaseCF[[#This Row],[LBFlag]],
_xlfn.SWITCH(base,
"ILP1",0,tp),0)*tblBaseCF[[#This Row],[SBFlag]]</f>
        <v>0</v>
      </c>
      <c r="CS73" s="63">
        <f ca="1">tblBaseCF[[#This Row],[SBBasis]]*tblBaseCF[[#This Row],[SBRate]]</f>
        <v>0</v>
      </c>
      <c r="CT73" s="63">
        <f ca="1">tblBaseCF[[#This Row],[LB]]+tblBaseCF[[#This Row],[SB]]</f>
        <v>0</v>
      </c>
      <c r="CU73" s="59">
        <f ca="1">tblBaseCF[[#This Row],[TAVAfterWdrlAlloc]]-tblBaseCF[[#This Row],[TAVDeduct]]+tblBaseCF[[#This Row],[TAVInt]]+tblBaseCF[[#This Row],[Bonus]]</f>
        <v>0</v>
      </c>
      <c r="CV73" s="59">
        <f ca="1">tblBaseCF[[#This Row],[EAVAfterWdrlAlloc]]-tblBaseCF[[#This Row],[EAVDeduct]]+tblBaseCF[[#This Row],[EAVInt]]</f>
        <v>0</v>
      </c>
      <c r="CW73" s="63">
        <f ca="1">tblBaseCF[[#This Row],[EndTAV]]+tblBaseCF[[#This Row],[EndEAV]]</f>
        <v>0</v>
      </c>
      <c r="CX73" s="59">
        <f ca="1">INDEX(tblPlanPrem[TP],2)
*tblBaseCF[[#This Row],[TPTermFlag]]</f>
        <v>0</v>
      </c>
      <c r="CY73" s="59">
        <f ca="1">INDEX(tblPlanPrem[EP],2)
*tblBaseCF[[#This Row],[TPTermFlag]]</f>
        <v>0</v>
      </c>
      <c r="CZ73" s="63">
        <f ca="1">ROUNDUP(tblBaseCF[[#This Row],[UnroundedEMLoad]]*INDEX(tblPlanPrem[Factor],2),-3)</f>
        <v>0</v>
      </c>
      <c r="DA73" s="63">
        <f ca="1">ROUNDUP(tblBaseCF[[#This Row],[UnroundedPMLoad]]*INDEX(tblPlanPrem[Factor],2),-3)</f>
        <v>0</v>
      </c>
      <c r="DB73" s="63">
        <f ca="1">tblBaseCF[[#This Row],[SemiAnnualEMLoad]]+tblBaseCF[[#This Row],[SemiAnnualPMLoad]]</f>
        <v>0</v>
      </c>
      <c r="DC73" s="63">
        <f ca="1">tblBaseCF[[#This Row],[SemiAnnualTP]]+tblBaseCF[[#This Row],[SemiAnnualEP]]+tblBaseCF[[#This Row],[SemiAnnualLoad]]</f>
        <v>0</v>
      </c>
      <c r="DD73" s="59">
        <f ca="1">INDEX(tblPlanPrem[TP],3)
*tblBaseCF[[#This Row],[TPTermFlag]]</f>
        <v>0</v>
      </c>
      <c r="DE73" s="59">
        <f ca="1">INDEX(tblPlanPrem[EP],3)
*tblBaseCF[[#This Row],[TPTermFlag]]</f>
        <v>0</v>
      </c>
      <c r="DF73" s="63">
        <f ca="1">ROUNDUP(tblBaseCF[[#This Row],[UnroundedEMLoad]]*INDEX(tblPlanPrem[Factor],3),-3)</f>
        <v>0</v>
      </c>
      <c r="DG73" s="63">
        <f ca="1">ROUNDUP(tblBaseCF[[#This Row],[UnroundedPMLoad]]*INDEX(tblPlanPrem[Factor],3),-3)</f>
        <v>0</v>
      </c>
      <c r="DH73" s="60">
        <f ca="1">tblBaseCF[[#This Row],[QuarterlyEMLoad]]+tblBaseCF[[#This Row],[QuarterlyPMLoad]]</f>
        <v>0</v>
      </c>
      <c r="DI73" s="60">
        <f ca="1">tblBaseCF[[#This Row],[QuarterlyTP]]+tblBaseCF[[#This Row],[QuarterlyEP]]+tblBaseCF[[#This Row],[QuarterlyLoad]]</f>
        <v>0</v>
      </c>
      <c r="DJ73" s="59">
        <f ca="1">INDEX(tblPlanPrem[TP],4)
*tblBaseCF[[#This Row],[TPTermFlag]]</f>
        <v>0</v>
      </c>
      <c r="DK73" s="59">
        <f ca="1">INDEX(tblPlanPrem[EP],4)
*tblBaseCF[[#This Row],[TPTermFlag]]</f>
        <v>0</v>
      </c>
      <c r="DL73" s="63">
        <f ca="1">ROUNDUP(tblBaseCF[[#This Row],[UnroundedEMLoad]]*INDEX(tblPlanPrem[Factor],4),-3)</f>
        <v>0</v>
      </c>
      <c r="DM73" s="63">
        <f ca="1">ROUNDUP(tblBaseCF[[#This Row],[UnroundedPMLoad]]*INDEX(tblPlanPrem[Factor],4),-3)</f>
        <v>0</v>
      </c>
      <c r="DN73" s="60">
        <f ca="1">tblBaseCF[[#This Row],[MonthlyEMLoad]]+tblBaseCF[[#This Row],[MonthlyPMLoad]]</f>
        <v>0</v>
      </c>
      <c r="DO73" s="63">
        <f ca="1">tblBaseCF[[#This Row],[MonthlyTP]]+tblBaseCF[[#This Row],[MonthlyEP]]+tblBaseCF[[#This Row],[MonthlyLoad]]</f>
        <v>0</v>
      </c>
      <c r="DP73" s="3"/>
      <c r="DS73">
        <f t="shared" si="7"/>
        <v>0</v>
      </c>
      <c r="DT73">
        <f t="shared" si="8"/>
        <v>0</v>
      </c>
      <c r="DU73">
        <f t="shared" si="9"/>
        <v>0</v>
      </c>
      <c r="DV73">
        <f ca="1">tblBaseCF[[#This Row],[Year]]</f>
        <v>53</v>
      </c>
      <c r="DW73">
        <f ca="1">tblBaseCF[[#This Row],[Age]]</f>
        <v>52</v>
      </c>
      <c r="DX73">
        <f ca="1">tblBaseCF[[#This Row],[ContFlag]]</f>
        <v>0</v>
      </c>
      <c r="DY73" t="str">
        <f ca="1">tblBaseCF[[#This Row],[ContLog]]</f>
        <v>Insufficient PAV for deduction - Discontinue.</v>
      </c>
      <c r="DZ73">
        <f ca="1">tblBaseCF[[#This Row],[StartTAV]]</f>
        <v>0</v>
      </c>
      <c r="EA73">
        <f ca="1">tblBaseCF[[#This Row],[StartEAV]]</f>
        <v>0</v>
      </c>
      <c r="EB73">
        <f ca="1">tblBaseCF[[#This Row],[StartPAV]]</f>
        <v>0</v>
      </c>
      <c r="EC73">
        <f ca="1">tblBaseCF[[#This Row],[SVChrg]]</f>
        <v>0</v>
      </c>
      <c r="ED73">
        <f ca="1">tblBaseCF[[#This Row],[SV]]</f>
        <v>0</v>
      </c>
      <c r="EE73">
        <f ca="1">tblBaseCF[[#This Row],[Ben]]</f>
        <v>0</v>
      </c>
      <c r="EF73">
        <f ca="1">tblBaseCF[[#This Row],[AccBen]]</f>
        <v>0</v>
      </c>
      <c r="EG73">
        <f ca="1">tblBaseCF[[#This Row],[WithdrawalInput]]</f>
        <v>0</v>
      </c>
      <c r="EH73" t="str">
        <f ca="1">tblBaseCF[[#This Row],[WithdrawalLog]]</f>
        <v>No withdrawal.</v>
      </c>
      <c r="EI73">
        <f ca="1">tblBaseCF[[#This Row],[TAVWithdrawal]]</f>
        <v>0</v>
      </c>
      <c r="EJ73">
        <f ca="1">tblBaseCF[[#This Row],[EAVWithdrawal]]</f>
        <v>0</v>
      </c>
      <c r="EK73">
        <f ca="1">tblBaseCF[[#This Row],[Withdrawal]]</f>
        <v>0</v>
      </c>
      <c r="EL73">
        <f ca="1">tblBaseCF[[#This Row],[TP]]</f>
        <v>0</v>
      </c>
      <c r="EM73">
        <f ca="1">tblBaseCF[[#This Row],[TPAllocChrg]]</f>
        <v>0</v>
      </c>
      <c r="EN73">
        <f ca="1">tblBaseCF[[#This Row],[TPAlloc]]</f>
        <v>0</v>
      </c>
      <c r="EO73">
        <f ca="1">tblBaseCF[[#This Row],[EP]]</f>
        <v>0</v>
      </c>
      <c r="EP73">
        <f ca="1">tblBaseCF[[#This Row],[EPAllocChrg]]</f>
        <v>0</v>
      </c>
      <c r="EQ73">
        <f ca="1">tblBaseCF[[#This Row],[EPAlloc]]</f>
        <v>0</v>
      </c>
      <c r="ER73">
        <f ca="1">tblBaseCF[[#This Row],[EMLoad]]</f>
        <v>0</v>
      </c>
      <c r="ES73">
        <f ca="1">tblBaseCF[[#This Row],[PMLoad]]</f>
        <v>0</v>
      </c>
      <c r="ET73">
        <f ca="1">tblBaseCF[[#This Row],[Load]]</f>
        <v>0</v>
      </c>
      <c r="EU73">
        <f ca="1">tblBaseCF[[#This Row],[LoadAllocChrg]]</f>
        <v>0</v>
      </c>
      <c r="EV73">
        <f ca="1">tblBaseCF[[#This Row],[LoadAlloc]]</f>
        <v>0</v>
      </c>
      <c r="EW73">
        <f ca="1">tblBaseCF[[#This Row],[TotalPrem]]</f>
        <v>0</v>
      </c>
      <c r="EX73">
        <f ca="1">tblBaseCF[[#This Row],[AllocChrg]]</f>
        <v>0</v>
      </c>
      <c r="EY73">
        <f ca="1">tblBaseCF[[#This Row],[Alloc]]</f>
        <v>0</v>
      </c>
      <c r="EZ73">
        <f ca="1">tblBaseCF[[#This Row],[AccumTotalPrem]]</f>
        <v>0</v>
      </c>
      <c r="FA73">
        <f>tblBaseCF[[#This Row],[AnnualIntRate]]</f>
        <v>0</v>
      </c>
      <c r="FB73" s="50">
        <f>tblBaseCF[[#This Row],[Duean1m12]]</f>
        <v>1</v>
      </c>
      <c r="FC73">
        <f ca="1">tblBaseCF[[#This Row],[DeductFlag]]</f>
        <v>0</v>
      </c>
      <c r="FD73">
        <f ca="1">tblBaseCF[[#This Row],[AdminChrg]]</f>
        <v>0</v>
      </c>
      <c r="FE73">
        <f ca="1">tblBaseCF[[#This Row],[StandardCOI]]</f>
        <v>0</v>
      </c>
      <c r="FF73">
        <f ca="1">tblBaseCF[[#This Row],[EMLoadCOI]]</f>
        <v>0</v>
      </c>
      <c r="FG73">
        <f ca="1">tblBaseCF[[#This Row],[PMLoadCOI]]</f>
        <v>0</v>
      </c>
      <c r="FH73">
        <f ca="1">tblBaseCF[[#This Row],[COI]]</f>
        <v>0</v>
      </c>
      <c r="FI73" s="47">
        <f ca="1">tblBaseCF[[#This Row],[NomDeduct]]</f>
        <v>0</v>
      </c>
      <c r="FJ73">
        <f ca="1">tblBaseCF[[#This Row],[Deduct]]</f>
        <v>0</v>
      </c>
      <c r="FK73">
        <f ca="1">tblBaseCF[[#This Row],[TAVDeduct]]</f>
        <v>0</v>
      </c>
      <c r="FL73">
        <f ca="1">tblBaseCF[[#This Row],[EAVDeduct]]</f>
        <v>0</v>
      </c>
      <c r="FM73" s="24">
        <f ca="1">tblBaseCF[[#This Row],[TAVInt]]</f>
        <v>0</v>
      </c>
      <c r="FN73">
        <f ca="1">tblBaseCF[[#This Row],[EAVInt]]</f>
        <v>0</v>
      </c>
      <c r="FO73" s="47">
        <f ca="1">tblBaseCF[[#This Row],[LB]]</f>
        <v>0</v>
      </c>
      <c r="FP73">
        <f ca="1">tblBaseCF[[#This Row],[SB]]</f>
        <v>0</v>
      </c>
      <c r="FQ73">
        <f ca="1">tblBaseCF[[#This Row],[Bonus]]</f>
        <v>0</v>
      </c>
      <c r="FR73">
        <f ca="1">tblBaseCF[[#This Row],[EndTAV]]</f>
        <v>0</v>
      </c>
      <c r="FS73">
        <f ca="1">tblBaseCF[[#This Row],[EndEAV]]</f>
        <v>0</v>
      </c>
      <c r="FT73">
        <f ca="1">tblBaseCF[[#This Row],[EndPAV]]</f>
        <v>0</v>
      </c>
      <c r="FU73">
        <f ca="1">tblBaseCF[[#This Row],[SemiAnnualTP]]</f>
        <v>0</v>
      </c>
      <c r="FV73">
        <f ca="1">tblBaseCF[[#This Row],[SemiAnnualEP]]</f>
        <v>0</v>
      </c>
      <c r="FW73">
        <f ca="1">tblBaseCF[[#This Row],[SemiAnnualEMLoad]]</f>
        <v>0</v>
      </c>
      <c r="FX73">
        <f ca="1">tblBaseCF[[#This Row],[SemiAnnualPMLoad]]</f>
        <v>0</v>
      </c>
      <c r="FY73">
        <f ca="1">tblBaseCF[[#This Row],[SemiAnnualLoad]]</f>
        <v>0</v>
      </c>
      <c r="FZ73">
        <f ca="1">tblBaseCF[[#This Row],[SemiAnnualTotalPrem]]</f>
        <v>0</v>
      </c>
      <c r="GA73">
        <f ca="1">tblBaseCF[[#This Row],[QuarterlyTP]]</f>
        <v>0</v>
      </c>
      <c r="GB73">
        <f ca="1">tblBaseCF[[#This Row],[QuarterlyEP]]</f>
        <v>0</v>
      </c>
      <c r="GC73">
        <f ca="1">tblBaseCF[[#This Row],[QuarterlyEMLoad]]</f>
        <v>0</v>
      </c>
      <c r="GD73">
        <f ca="1">tblBaseCF[[#This Row],[QuarterlyPMLoad]]</f>
        <v>0</v>
      </c>
      <c r="GE73">
        <f ca="1">tblBaseCF[[#This Row],[QuarterlyLoad]]</f>
        <v>0</v>
      </c>
      <c r="GF73">
        <f ca="1">tblBaseCF[[#This Row],[QuarterlyTotalPrem]]</f>
        <v>0</v>
      </c>
      <c r="GG73">
        <f ca="1">tblBaseCF[[#This Row],[MonthlyTP]]</f>
        <v>0</v>
      </c>
      <c r="GH73">
        <f ca="1">tblBaseCF[[#This Row],[MonthlyEP]]</f>
        <v>0</v>
      </c>
      <c r="GI73">
        <f ca="1">tblBaseCF[[#This Row],[MonthlyEMLoad]]</f>
        <v>0</v>
      </c>
      <c r="GJ73">
        <f ca="1">tblBaseCF[[#This Row],[MonthlyPMLoad]]</f>
        <v>0</v>
      </c>
      <c r="GK73">
        <f ca="1">tblBaseCF[[#This Row],[MonthlyLoad]]</f>
        <v>0</v>
      </c>
      <c r="GL73">
        <f ca="1">tblBaseCF[[#This Row],[MonthlyTotalPrem]]</f>
        <v>0</v>
      </c>
      <c r="GO73" t="s">
        <v>134</v>
      </c>
      <c r="GP73" t="s">
        <v>135</v>
      </c>
      <c r="GQ73" t="s">
        <v>502</v>
      </c>
      <c r="GR73">
        <v>53</v>
      </c>
      <c r="GS73">
        <v>52</v>
      </c>
      <c r="GT73">
        <v>1</v>
      </c>
      <c r="GU73" t="s">
        <v>457</v>
      </c>
      <c r="GV73">
        <v>165795289.16656199</v>
      </c>
      <c r="GW73">
        <v>1399900074.0546</v>
      </c>
      <c r="GX73">
        <v>1565695363.2211599</v>
      </c>
      <c r="GY73">
        <v>0</v>
      </c>
      <c r="GZ73">
        <v>1565695363.2211599</v>
      </c>
      <c r="HA73">
        <v>1565695363.2211599</v>
      </c>
      <c r="HB73">
        <v>303000000</v>
      </c>
      <c r="HC73">
        <v>0</v>
      </c>
      <c r="HD73" t="s">
        <v>137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7.0000000000000007E-2</v>
      </c>
      <c r="HX73">
        <v>0.96964931039809399</v>
      </c>
      <c r="HY73">
        <v>1</v>
      </c>
      <c r="HZ73">
        <v>300000</v>
      </c>
      <c r="IA73">
        <v>0</v>
      </c>
      <c r="IB73">
        <v>0</v>
      </c>
      <c r="IC73">
        <v>0</v>
      </c>
      <c r="ID73">
        <v>272700</v>
      </c>
      <c r="IE73">
        <v>572700</v>
      </c>
      <c r="IF73">
        <v>555318.16006498795</v>
      </c>
      <c r="IG73">
        <v>555318.16006498795</v>
      </c>
      <c r="IH73">
        <v>0</v>
      </c>
      <c r="II73">
        <v>11566797.970454801</v>
      </c>
      <c r="IJ73">
        <v>97993005.183821902</v>
      </c>
      <c r="IK73">
        <v>0</v>
      </c>
      <c r="IL73">
        <v>0</v>
      </c>
      <c r="IM73">
        <v>0</v>
      </c>
      <c r="IN73">
        <v>176806768.97695199</v>
      </c>
      <c r="IO73">
        <v>1497893079.23842</v>
      </c>
      <c r="IP73">
        <v>1674699848.2153699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</row>
    <row r="74" spans="2:268" customFormat="1" x14ac:dyDescent="0.25">
      <c r="B74" s="2">
        <f ca="1">OFFSET(tblBaseCF[[#This Row],[Year]],-1,0)+1</f>
        <v>54</v>
      </c>
      <c r="C74" s="2">
        <f ca="1">(tblBaseCF[[#This Row],[Year]]&lt;=term)*1</f>
        <v>1</v>
      </c>
      <c r="D74" s="57">
        <f ca="1">(YEAR(rcd)+tblBaseCF[[#This Row],[Year]]-1)
*tblBaseCF[[#This Row],[PolTermFlag]]</f>
        <v>2078</v>
      </c>
      <c r="E74" s="57">
        <f ca="1">(mainLI_entry_age+tblBaseCF[[#This Row],[Year]]-1)
*tblBaseCF[[#This Row],[PolTermFlag]]</f>
        <v>53</v>
      </c>
      <c r="F74" s="57">
        <f ca="1">IF(tblBaseCF[[#This Row],[Year]]=1,1,OFFSET(tblBaseCF[[#This Row],[DeductFlag]],-1,0))
*tblBaseCF[[#This Row],[PolTermFlag]]</f>
        <v>0</v>
      </c>
      <c r="G7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4" s="57">
        <f ca="1">(tblBaseCF[[#This Row],[Year]]&lt;=acc_ben_term)
*tblBaseCF[[#This Row],[ContFlag]]</f>
        <v>0</v>
      </c>
      <c r="I74" s="57">
        <f ca="1">(tblBaseCF[[#This Row],[Year]]&lt;=tp_term)
*tblBaseCF[[#This Row],[ContFlag]]</f>
        <v>0</v>
      </c>
      <c r="J74" s="57">
        <f ca="1">(tblBaseCF[[#This Row],[Year]]&lt;=ep_term)
*tblBaseCF[[#This Row],[ContFlag]]</f>
        <v>0</v>
      </c>
      <c r="K74" s="57">
        <f ca="1">(tblBaseCF[[#This Row],[Year]]&lt;=em_load_term)*1</f>
        <v>0</v>
      </c>
      <c r="L74" s="57">
        <f ca="1">(tblBaseCF[[#This Row],[Year]]&lt;=pm_load_term)*1</f>
        <v>0</v>
      </c>
      <c r="M74" s="59">
        <f ca="1">IF(tblBaseCF[[#This Row],[Year]]=1,si,OFFSET(tblBaseCF[[#This Row],[EndSI]],-1,0))
*tblBaseCF[[#This Row],[ContFlag]]</f>
        <v>0</v>
      </c>
      <c r="N74" s="59">
        <f ca="1">OFFSET(tblBaseCF[[#This Row],[EndTAV]],-1,0)
*tblBaseCF[[#This Row],[ContFlag]]</f>
        <v>0</v>
      </c>
      <c r="O74" s="59">
        <f ca="1">OFFSET(tblBaseCF[[#This Row],[EndEAV]],-1,0)
*tblBaseCF[[#This Row],[ContFlag]]</f>
        <v>0</v>
      </c>
      <c r="P74" s="60">
        <f ca="1">tblBaseCF[[#This Row],[StartEAV]]+tblBaseCF[[#This Row],[StartTAV]]</f>
        <v>0</v>
      </c>
      <c r="Q74" s="61">
        <f ca="1">IFERROR(INDEX(tblJuvenileLienRate[Rate],MATCH(tblBaseCF[[#This Row],[Age]],tblJuvenileLienRate[Age],0)),1)
*tblBaseCF[[#This Row],[ContFlag]]</f>
        <v>0</v>
      </c>
      <c r="R7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4" s="62">
        <f ca="1">tblBaseCF[[#This Row],[StartSI]]*acc_ben_coeff*tblBaseCF[[#This Row],[JuvenileLienRate]]
*tblBaseCF[[#This Row],[AccBenTermFlag]]</f>
        <v>0</v>
      </c>
      <c r="T74" s="61">
        <f ca="1">(IFERROR(INDEX(tblSurrChrgRate[Rate],MATCH(tblBaseCF[[#This Row],[Year]],tblSurrChrgRate[Year],0)),0)
*tblBaseCF[[#This Row],[ContFlag]])</f>
        <v>0</v>
      </c>
      <c r="U74" s="60">
        <f ca="1">tp*tblBaseCF[[#This Row],[SrrChrgRate]]</f>
        <v>0</v>
      </c>
      <c r="V74" s="63">
        <f ca="1">MAX(tblBaseCF[[#This Row],[StartTAV]]-tblBaseCF[[#This Row],[SVChrg]],0)+tblBaseCF[[#This Row],[StartEAV]]</f>
        <v>0</v>
      </c>
      <c r="W74" s="59">
        <f ca="1">IFERROR(INDEX(tblWithdrawal_Output[Amount],MATCH(tblBaseCF[[#This Row],[Year]],tblWithdrawal_Output[Year],0)),0)
*tblBaseCF[[#This Row],[ContFlag]]</f>
        <v>0</v>
      </c>
      <c r="X74" s="59" t="b">
        <f ca="1">tblBaseCF[[#This Row],[WithdrawalInput]]&gt;0</f>
        <v>0</v>
      </c>
      <c r="Y74" s="59" t="b">
        <f ca="1">AND(tblBaseCF[[#This Row],[1stCheckProceed]],tblBaseCF[[#This Row],[WithdrawalInput]]&lt;=tblBaseCF[[#This Row],[StartPAV]])</f>
        <v>0</v>
      </c>
      <c r="Z74" s="59" t="b">
        <f ca="1">AND(tblBaseCF[[#This Row],[2ndCheckAmount]],(tblBaseCF[[#This Row],[StartPAV]]-tblBaseCF[[#This Row],[WithdrawalInput]])&gt;=min_pav_after_withdrawal)</f>
        <v>0</v>
      </c>
      <c r="AA7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4" s="59" t="b">
        <f ca="1">AND(tblBaseCF[[#This Row],[3rdCheckPAV]],tblBaseCF[[#This Row],[endSITest]]&gt;=min_base_si)</f>
        <v>0</v>
      </c>
      <c r="AC74" s="60">
        <f ca="1">tblBaseCF[[#This Row],[WithdrawalInput]]*tblBaseCF[[#This Row],[4thCheckSI]]</f>
        <v>0</v>
      </c>
      <c r="AD74" s="60">
        <f ca="1">MIN(tblBaseCF[[#This Row],[Withdrawal]],tblBaseCF[[#This Row],[StartEAV]])</f>
        <v>0</v>
      </c>
      <c r="AE74" s="60">
        <f ca="1">tblBaseCF[[#This Row],[Withdrawal]]-tblBaseCF[[#This Row],[EAVWithdrawal]]</f>
        <v>0</v>
      </c>
      <c r="AF74" s="60">
        <f ca="1">IF(tblBaseCF[[#This Row],[4thCheckSI]],tblBaseCF[[#This Row],[endSITest]],tblBaseCF[[#This Row],[StartSI]])</f>
        <v>0</v>
      </c>
      <c r="AG7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4" s="65">
        <f ca="1">IFERROR(INDEX(tblTPAllocChrgRate[Rate],MATCH(tblBaseCF[[#This Row],[Year]],tblTPAllocChrgRate[Year],0)),0)</f>
        <v>0.02</v>
      </c>
      <c r="AI74" s="62">
        <f ca="1">(tp+big_case_bonus_tp*(tblBaseCF[[#This Row],[Year]]=1))
*tblBaseCF[[#This Row],[TPTermFlag]]</f>
        <v>0</v>
      </c>
      <c r="AJ74" s="63">
        <f ca="1">tblBaseCF[[#This Row],[TP]]*tblBaseCF[[#This Row],[TPAllocChrgRate]]</f>
        <v>0</v>
      </c>
      <c r="AK74" s="60">
        <f ca="1">tblBaseCF[[#This Row],[TP]]-tblBaseCF[[#This Row],[TPAllocChrg]]</f>
        <v>0</v>
      </c>
      <c r="AL74" s="65">
        <f ca="1">IFERROR(INDEX(tblEPAllocChrgRate[Rate],MATCH(tblBaseCF[[#This Row],[Year]],tblEPAllocChrgRate[Year],0)),0)</f>
        <v>0.02</v>
      </c>
      <c r="AM74" s="60">
        <f ca="1">ep*tblBaseCF[[#This Row],[EPTermFlag]]</f>
        <v>0</v>
      </c>
      <c r="AN74" s="60">
        <f ca="1">tblBaseCF[[#This Row],[EP]]*tblBaseCF[[#This Row],[EPAllocChrgRate]]</f>
        <v>0</v>
      </c>
      <c r="AO74" s="63">
        <f ca="1">tblBaseCF[[#This Row],[EP]]-tblBaseCF[[#This Row],[EPAllocChrg]]</f>
        <v>0</v>
      </c>
      <c r="AP74" s="62">
        <f ca="1">tblBaseCF[[#This Row],[Ben]]*extra_prem_rate*em_load/1000/(1-tblBaseCF[[#This Row],[EPAllocChrgRate]])
*tblBaseCF[[#This Row],[EMLoadTermFlag]]</f>
        <v>0</v>
      </c>
      <c r="AQ74" s="62">
        <f ca="1">tblBaseCF[[#This Row],[Ben]]*pm_load/1000/(1-tblBaseCF[[#This Row],[EPAllocChrgRate]])
*tblBaseCF[[#This Row],[PMLoadTermFlag]]</f>
        <v>0</v>
      </c>
      <c r="AR74" s="60">
        <f ca="1">ROUNDUP(tblBaseCF[[#This Row],[UnroundedEMLoad]],-3)</f>
        <v>0</v>
      </c>
      <c r="AS74" s="62">
        <f ca="1">ROUNDUP(tblBaseCF[[#This Row],[Ben]]*pm_load/1000/(1-tblBaseCF[[#This Row],[EPAllocChrgRate]]),-3)
*tblBaseCF[[#This Row],[PMLoadTermFlag]]</f>
        <v>0</v>
      </c>
      <c r="AT74" s="60">
        <f ca="1">tblBaseCF[[#This Row],[EMLoad]]+tblBaseCF[[#This Row],[PMLoad]]</f>
        <v>0</v>
      </c>
      <c r="AU74" s="60">
        <f ca="1">tblBaseCF[[#This Row],[Load]]*tblBaseCF[[#This Row],[EPAllocChrgRate]]</f>
        <v>0</v>
      </c>
      <c r="AV74" s="60">
        <f ca="1">tblBaseCF[[#This Row],[Load]]-tblBaseCF[[#This Row],[LoadAllocChrg]]</f>
        <v>0</v>
      </c>
      <c r="AW74" s="60">
        <f ca="1">tblBaseCF[[#This Row],[TP]]+tblBaseCF[[#This Row],[EP]]+tblBaseCF[[#This Row],[Load]]</f>
        <v>0</v>
      </c>
      <c r="AX74" s="60">
        <f ca="1">tblBaseCF[[#This Row],[TPAllocChrg]]+tblBaseCF[[#This Row],[EPAllocChrg]]+tblBaseCF[[#This Row],[LoadAllocChrg]]</f>
        <v>0</v>
      </c>
      <c r="AY74" s="60">
        <f ca="1">tblBaseCF[[#This Row],[TPAlloc]]+tblBaseCF[[#This Row],[EPAlloc]]+tblBaseCF[[#This Row],[LoadAlloc]]</f>
        <v>0</v>
      </c>
      <c r="AZ74" s="60">
        <f ca="1">(OFFSET(tblBaseCF[[#This Row],[AccumTotalPrem]],-1,0)+tblBaseCF[[#This Row],[TotalPrem]])*tblBaseCF[[#This Row],[TPTermFlag]]</f>
        <v>0</v>
      </c>
      <c r="BA74" s="62">
        <f ca="1">(tblBaseCF[[#This Row],[StartTAV]]-tblBaseCF[[#This Row],[TAVWithdrawal]]+tblBaseCF[[#This Row],[TPAlloc]])
*tblBaseCF[[#This Row],[ContFlag]]</f>
        <v>0</v>
      </c>
      <c r="BB74" s="59">
        <f ca="1">(tblBaseCF[[#This Row],[StartEAV]]-tblBaseCF[[#This Row],[EAVWithdrawal]]+tblBaseCF[[#This Row],[EPAlloc]]+tblBaseCF[[#This Row],[LoadAlloc]])
*tblBaseCF[[#This Row],[ContFlag]]</f>
        <v>0</v>
      </c>
      <c r="BC74" s="59">
        <f ca="1">tblBaseCF[[#This Row],[TAVAfterWdrlAlloc]]+tblBaseCF[[#This Row],[EAVAfterWdrlAlloc]]</f>
        <v>0</v>
      </c>
      <c r="BD74" s="66">
        <f t="shared" si="6"/>
        <v>0</v>
      </c>
      <c r="BE74" s="67">
        <f>(1+tblBaseCF[[#This Row],[AnnualIntRate]])^(1/12)-1</f>
        <v>0</v>
      </c>
      <c r="BF74" s="68">
        <f>IFERROR(((1+tblBaseCF[[#This Row],[MonthlyIntRate]])^12-1)/12/(1-1/(1+tblBaseCF[[#This Row],[MonthlyIntRate]])),1)/(1+tblBaseCF[[#This Row],[AnnualIntRate]])</f>
        <v>1</v>
      </c>
      <c r="BG74" s="69">
        <f>PV(tblBaseCF[[#This Row],[MonthlyIntRate]],12,-1/12,,1)</f>
        <v>1</v>
      </c>
      <c r="BH74" s="60">
        <f ca="1">MAX(IF(death_tpd_option="A",tblBaseCF[[#This Row],[Ben]]-tblBaseCF[[#This Row],[StartPAV]],tblBaseCF[[#This Row],[Ben]]),0)</f>
        <v>0</v>
      </c>
      <c r="BI74" s="70">
        <f ca="1">IFERROR(INDEX(tblBaseCOIRate[Rate],MATCH(tblBaseCF[[#This Row],[Age]],tblBaseCOIRate[Age],0)),0)</f>
        <v>6.3799999999999404E-3</v>
      </c>
      <c r="BJ74" s="60">
        <f ca="1">tblBaseCF[[#This Row],[SAR]]*tblBaseCF[[#This Row],[COIRate]]</f>
        <v>0</v>
      </c>
      <c r="BK74" s="62">
        <f ca="1">em_load*tblBaseCF[[#This Row],[pStandardCOI]]
*tblBaseCF[[#This Row],[EMLoadTermFlag]]</f>
        <v>0</v>
      </c>
      <c r="BL74" s="62">
        <f ca="1">pm_load/1000*tblBaseCF[[#This Row],[SAR]]
*tblBaseCF[[#This Row],[PMLoadTermFlag]]</f>
        <v>0</v>
      </c>
      <c r="BM74" s="60">
        <f ca="1">tblBaseCF[[#This Row],[AccBen]]*monthly_acc_coi*12</f>
        <v>0</v>
      </c>
      <c r="BN74" s="60">
        <f ca="1">tblBaseCF[[#This Row],[pStandardCOI]]+tblBaseCF[[#This Row],[pEMLoadCOI]]+tblBaseCF[[#This Row],[pPMLoadCOI]]+tblBaseCF[[#This Row],[pAccCOI]]</f>
        <v>0</v>
      </c>
      <c r="BO74" s="62">
        <f ca="1">IFERROR(INDEX(tblAdminChrg[Amount],MATCH(tblBaseCF[[#This Row],[CalYear]],tblAdminChrg[Cal_Year],0)),0)
*tblBaseCF[[#This Row],[ContFlag]]</f>
        <v>0</v>
      </c>
      <c r="BP74" s="60">
        <f ca="1">tblBaseCF[[#This Row],[pMonthlyAdminChrg]]*12</f>
        <v>0</v>
      </c>
      <c r="BQ74" s="60">
        <f ca="1">tblBaseCF[[#This Row],[pCOI]]+tblBaseCF[[#This Row],[pAdminChrg]]</f>
        <v>0</v>
      </c>
      <c r="BR74" s="60">
        <f ca="1">tblBaseCF[[#This Row],[pNomDeduct]]*tblBaseCF[[#This Row],[Duean1m12]]</f>
        <v>0</v>
      </c>
      <c r="BS74" s="57">
        <f ca="1">(tblBaseCF[[#This Row],[PAVAfterWdrlAlloc]]&gt;=tblBaseCF[[#This Row],[pNomDeduct]])
*tblBaseCF[[#This Row],[ContFlag]]</f>
        <v>0</v>
      </c>
      <c r="BT74" s="60">
        <f ca="1">tblBaseCF[[#This Row],[pStandardCOI]]*tblBaseCF[[#This Row],[DeductFlag]]</f>
        <v>0</v>
      </c>
      <c r="BU74" s="60">
        <f ca="1">tblBaseCF[[#This Row],[pEMLoadCOI]]*tblBaseCF[[#This Row],[DeductFlag]]</f>
        <v>0</v>
      </c>
      <c r="BV74" s="60">
        <f ca="1">tblBaseCF[[#This Row],[pPMLoadCOI]]*tblBaseCF[[#This Row],[DeductFlag]]</f>
        <v>0</v>
      </c>
      <c r="BW74" s="60">
        <f ca="1">tblBaseCF[[#This Row],[pAccCOI]]*tblBaseCF[[#This Row],[DeductFlag]]</f>
        <v>0</v>
      </c>
      <c r="BX74" s="60">
        <f ca="1">tblBaseCF[[#This Row],[pCOI]]*tblBaseCF[[#This Row],[DeductFlag]]</f>
        <v>0</v>
      </c>
      <c r="BY74" s="60">
        <f ca="1">tblBaseCF[[#This Row],[pMonthlyAdminChrg]]*tblBaseCF[[#This Row],[DeductFlag]]</f>
        <v>0</v>
      </c>
      <c r="BZ74" s="60">
        <f ca="1">tblBaseCF[[#This Row],[pAdminChrg]]*tblBaseCF[[#This Row],[DeductFlag]]</f>
        <v>0</v>
      </c>
      <c r="CA74" s="60">
        <f ca="1">tblBaseCF[[#This Row],[pNomDeduct]]*tblBaseCF[[#This Row],[DeductFlag]]</f>
        <v>0</v>
      </c>
      <c r="CB74" s="60">
        <f ca="1">tblBaseCF[[#This Row],[pDeduct]]*tblBaseCF[[#This Row],[DeductFlag]]</f>
        <v>0</v>
      </c>
      <c r="CC74" s="60">
        <f ca="1">MIN(tblBaseCF[[#This Row],[TAVAfterWdrlAlloc]],tblBaseCF[[#This Row],[Deduct]])</f>
        <v>0</v>
      </c>
      <c r="CD74" s="60">
        <f ca="1">tblBaseCF[[#This Row],[Deduct]]-tblBaseCF[[#This Row],[TAVDeduct]]</f>
        <v>0</v>
      </c>
      <c r="CE74" s="69">
        <f ca="1">(tblBaseCF[[#This Row],[TAVAfterWdrlAlloc]]-tblBaseCF[[#This Row],[TAVDeduct]])*tblBaseCF[[#This Row],[AnnualIntRate]]
*tblBaseCF[[#This Row],[DeductFlag]]</f>
        <v>0</v>
      </c>
      <c r="CF74" s="69">
        <f ca="1">(tblBaseCF[[#This Row],[EAVAfterWdrlAlloc]]-tblBaseCF[[#This Row],[EAVDeduct]])*tblBaseCF[[#This Row],[AnnualIntRate]]
*tblBaseCF[[#This Row],[DeductFlag]]</f>
        <v>0</v>
      </c>
      <c r="CG74" s="69">
        <f ca="1">tblBaseCF[[#This Row],[TAVInt]]+tblBaseCF[[#This Row],[EAVInt]]</f>
        <v>0</v>
      </c>
      <c r="CH74" s="62">
        <f ca="1">IFERROR(INDEX(tblLBRate[Rate],MATCH(tblBaseCF[[#This Row],[Year]],tblLBRate[Year],0)),0)
*tblBaseCF[[#This Row],[DeductFlag]]</f>
        <v>0</v>
      </c>
      <c r="CI74" s="60">
        <f ca="1">IFERROR(SUM(OFFSET(tblBaseCF[[#This Row],[TAVWithdrawal]],0,0,-lb_review_period,1)),0)
*(tblBaseCF[[#This Row],[LBRate]]&gt;0)</f>
        <v>0</v>
      </c>
      <c r="CJ74" s="60">
        <f ca="1">(tblBaseCF[[#This Row],[LBRate]]&gt;0)*(tblBaseCF[[#This Row],[LBTAVWithdrawal]]=0)</f>
        <v>0</v>
      </c>
      <c r="CK74" s="62" cm="1">
        <f t="array" aca="1" ref="CK74" ca="1">IF(tblBaseCF[[#This Row],[LBFlag]],
_xlfn.SWITCH(base,
"ILP1",AVERAGE(OFFSET(tblBaseCF[TP],0,0,-lb_review_period,1)),tp),0)
*tblBaseCF[[#This Row],[LBFlag]]</f>
        <v>0</v>
      </c>
      <c r="CL74" s="62">
        <f ca="1">tblBaseCF[[#This Row],[LBBasis]]*tblBaseCF[[#This Row],[LBRate]]</f>
        <v>0</v>
      </c>
      <c r="CM74" s="57" cm="1">
        <f t="array" aca="1" ref="CM74" ca="1">_xlfn.SWITCH(base,
"ILP1",0,($AF174&lt;500000000)*1
+($AF174&gt;=500000000)*($AF174&lt;1000000000)*2
+($AF174&gt;=1000000000)*3)
*tblBaseCF[[#This Row],[DeductFlag]]</f>
        <v>0</v>
      </c>
      <c r="CN74" s="2" t="str">
        <f ca="1">IF(tblBaseCF[[#This Row],[DeductFlag]],base&amp;"_"&amp;tblBaseCF[[#This Row],[SBCode]]&amp;"_"&amp;tblBaseCF[[#This Row],[Year]],"")</f>
        <v/>
      </c>
      <c r="CO74" s="3">
        <f ca="1">IFERROR(INDEX(tblSBRate[Index],MATCH(tblBaseCF[[#This Row],[SBIndex]],tblSBRate[Rate],0)),0)</f>
        <v>0</v>
      </c>
      <c r="CP74" s="63">
        <f ca="1">IFERROR(SUM(OFFSET(tblBaseCF[[#This Row],[TAVWithdrawal]],0,0,-sb_review_period,1)),0)
*(tblBaseCF[[#This Row],[SBRate]]&gt;0)</f>
        <v>0</v>
      </c>
      <c r="CQ74" s="63">
        <f ca="1">(tblBaseCF[[#This Row],[SBRate]]&gt;0)*(tblBaseCF[[#This Row],[SBTAVWithdrawal]]=0)</f>
        <v>0</v>
      </c>
      <c r="CR74" s="59" cm="1">
        <f t="array" aca="1" ref="CR74" ca="1">IF(tblBaseCF[[#This Row],[LBFlag]],
_xlfn.SWITCH(base,
"ILP1",0,tp),0)*tblBaseCF[[#This Row],[SBFlag]]</f>
        <v>0</v>
      </c>
      <c r="CS74" s="63">
        <f ca="1">tblBaseCF[[#This Row],[SBBasis]]*tblBaseCF[[#This Row],[SBRate]]</f>
        <v>0</v>
      </c>
      <c r="CT74" s="63">
        <f ca="1">tblBaseCF[[#This Row],[LB]]+tblBaseCF[[#This Row],[SB]]</f>
        <v>0</v>
      </c>
      <c r="CU74" s="59">
        <f ca="1">tblBaseCF[[#This Row],[TAVAfterWdrlAlloc]]-tblBaseCF[[#This Row],[TAVDeduct]]+tblBaseCF[[#This Row],[TAVInt]]+tblBaseCF[[#This Row],[Bonus]]</f>
        <v>0</v>
      </c>
      <c r="CV74" s="59">
        <f ca="1">tblBaseCF[[#This Row],[EAVAfterWdrlAlloc]]-tblBaseCF[[#This Row],[EAVDeduct]]+tblBaseCF[[#This Row],[EAVInt]]</f>
        <v>0</v>
      </c>
      <c r="CW74" s="63">
        <f ca="1">tblBaseCF[[#This Row],[EndTAV]]+tblBaseCF[[#This Row],[EndEAV]]</f>
        <v>0</v>
      </c>
      <c r="CX74" s="59">
        <f ca="1">INDEX(tblPlanPrem[TP],2)
*tblBaseCF[[#This Row],[TPTermFlag]]</f>
        <v>0</v>
      </c>
      <c r="CY74" s="59">
        <f ca="1">INDEX(tblPlanPrem[EP],2)
*tblBaseCF[[#This Row],[TPTermFlag]]</f>
        <v>0</v>
      </c>
      <c r="CZ74" s="63">
        <f ca="1">ROUNDUP(tblBaseCF[[#This Row],[UnroundedEMLoad]]*INDEX(tblPlanPrem[Factor],2),-3)</f>
        <v>0</v>
      </c>
      <c r="DA74" s="63">
        <f ca="1">ROUNDUP(tblBaseCF[[#This Row],[UnroundedPMLoad]]*INDEX(tblPlanPrem[Factor],2),-3)</f>
        <v>0</v>
      </c>
      <c r="DB74" s="63">
        <f ca="1">tblBaseCF[[#This Row],[SemiAnnualEMLoad]]+tblBaseCF[[#This Row],[SemiAnnualPMLoad]]</f>
        <v>0</v>
      </c>
      <c r="DC74" s="63">
        <f ca="1">tblBaseCF[[#This Row],[SemiAnnualTP]]+tblBaseCF[[#This Row],[SemiAnnualEP]]+tblBaseCF[[#This Row],[SemiAnnualLoad]]</f>
        <v>0</v>
      </c>
      <c r="DD74" s="59">
        <f ca="1">INDEX(tblPlanPrem[TP],3)
*tblBaseCF[[#This Row],[TPTermFlag]]</f>
        <v>0</v>
      </c>
      <c r="DE74" s="59">
        <f ca="1">INDEX(tblPlanPrem[EP],3)
*tblBaseCF[[#This Row],[TPTermFlag]]</f>
        <v>0</v>
      </c>
      <c r="DF74" s="63">
        <f ca="1">ROUNDUP(tblBaseCF[[#This Row],[UnroundedEMLoad]]*INDEX(tblPlanPrem[Factor],3),-3)</f>
        <v>0</v>
      </c>
      <c r="DG74" s="63">
        <f ca="1">ROUNDUP(tblBaseCF[[#This Row],[UnroundedPMLoad]]*INDEX(tblPlanPrem[Factor],3),-3)</f>
        <v>0</v>
      </c>
      <c r="DH74" s="60">
        <f ca="1">tblBaseCF[[#This Row],[QuarterlyEMLoad]]+tblBaseCF[[#This Row],[QuarterlyPMLoad]]</f>
        <v>0</v>
      </c>
      <c r="DI74" s="60">
        <f ca="1">tblBaseCF[[#This Row],[QuarterlyTP]]+tblBaseCF[[#This Row],[QuarterlyEP]]+tblBaseCF[[#This Row],[QuarterlyLoad]]</f>
        <v>0</v>
      </c>
      <c r="DJ74" s="59">
        <f ca="1">INDEX(tblPlanPrem[TP],4)
*tblBaseCF[[#This Row],[TPTermFlag]]</f>
        <v>0</v>
      </c>
      <c r="DK74" s="59">
        <f ca="1">INDEX(tblPlanPrem[EP],4)
*tblBaseCF[[#This Row],[TPTermFlag]]</f>
        <v>0</v>
      </c>
      <c r="DL74" s="63">
        <f ca="1">ROUNDUP(tblBaseCF[[#This Row],[UnroundedEMLoad]]*INDEX(tblPlanPrem[Factor],4),-3)</f>
        <v>0</v>
      </c>
      <c r="DM74" s="63">
        <f ca="1">ROUNDUP(tblBaseCF[[#This Row],[UnroundedPMLoad]]*INDEX(tblPlanPrem[Factor],4),-3)</f>
        <v>0</v>
      </c>
      <c r="DN74" s="60">
        <f ca="1">tblBaseCF[[#This Row],[MonthlyEMLoad]]+tblBaseCF[[#This Row],[MonthlyPMLoad]]</f>
        <v>0</v>
      </c>
      <c r="DO74" s="63">
        <f ca="1">tblBaseCF[[#This Row],[MonthlyTP]]+tblBaseCF[[#This Row],[MonthlyEP]]+tblBaseCF[[#This Row],[MonthlyLoad]]</f>
        <v>0</v>
      </c>
      <c r="DP74" s="3"/>
      <c r="DS74">
        <f t="shared" si="7"/>
        <v>0</v>
      </c>
      <c r="DT74">
        <f t="shared" si="8"/>
        <v>0</v>
      </c>
      <c r="DU74">
        <f t="shared" si="9"/>
        <v>0</v>
      </c>
      <c r="DV74">
        <f ca="1">tblBaseCF[[#This Row],[Year]]</f>
        <v>54</v>
      </c>
      <c r="DW74">
        <f ca="1">tblBaseCF[[#This Row],[Age]]</f>
        <v>53</v>
      </c>
      <c r="DX74">
        <f ca="1">tblBaseCF[[#This Row],[ContFlag]]</f>
        <v>0</v>
      </c>
      <c r="DY74" t="str">
        <f ca="1">tblBaseCF[[#This Row],[ContLog]]</f>
        <v>Insufficient PAV for deduction - Discontinue.</v>
      </c>
      <c r="DZ74">
        <f ca="1">tblBaseCF[[#This Row],[StartTAV]]</f>
        <v>0</v>
      </c>
      <c r="EA74">
        <f ca="1">tblBaseCF[[#This Row],[StartEAV]]</f>
        <v>0</v>
      </c>
      <c r="EB74">
        <f ca="1">tblBaseCF[[#This Row],[StartPAV]]</f>
        <v>0</v>
      </c>
      <c r="EC74">
        <f ca="1">tblBaseCF[[#This Row],[SVChrg]]</f>
        <v>0</v>
      </c>
      <c r="ED74">
        <f ca="1">tblBaseCF[[#This Row],[SV]]</f>
        <v>0</v>
      </c>
      <c r="EE74">
        <f ca="1">tblBaseCF[[#This Row],[Ben]]</f>
        <v>0</v>
      </c>
      <c r="EF74">
        <f ca="1">tblBaseCF[[#This Row],[AccBen]]</f>
        <v>0</v>
      </c>
      <c r="EG74">
        <f ca="1">tblBaseCF[[#This Row],[WithdrawalInput]]</f>
        <v>0</v>
      </c>
      <c r="EH74" t="str">
        <f ca="1">tblBaseCF[[#This Row],[WithdrawalLog]]</f>
        <v>No withdrawal.</v>
      </c>
      <c r="EI74">
        <f ca="1">tblBaseCF[[#This Row],[TAVWithdrawal]]</f>
        <v>0</v>
      </c>
      <c r="EJ74">
        <f ca="1">tblBaseCF[[#This Row],[EAVWithdrawal]]</f>
        <v>0</v>
      </c>
      <c r="EK74">
        <f ca="1">tblBaseCF[[#This Row],[Withdrawal]]</f>
        <v>0</v>
      </c>
      <c r="EL74">
        <f ca="1">tblBaseCF[[#This Row],[TP]]</f>
        <v>0</v>
      </c>
      <c r="EM74">
        <f ca="1">tblBaseCF[[#This Row],[TPAllocChrg]]</f>
        <v>0</v>
      </c>
      <c r="EN74">
        <f ca="1">tblBaseCF[[#This Row],[TPAlloc]]</f>
        <v>0</v>
      </c>
      <c r="EO74">
        <f ca="1">tblBaseCF[[#This Row],[EP]]</f>
        <v>0</v>
      </c>
      <c r="EP74">
        <f ca="1">tblBaseCF[[#This Row],[EPAllocChrg]]</f>
        <v>0</v>
      </c>
      <c r="EQ74">
        <f ca="1">tblBaseCF[[#This Row],[EPAlloc]]</f>
        <v>0</v>
      </c>
      <c r="ER74">
        <f ca="1">tblBaseCF[[#This Row],[EMLoad]]</f>
        <v>0</v>
      </c>
      <c r="ES74">
        <f ca="1">tblBaseCF[[#This Row],[PMLoad]]</f>
        <v>0</v>
      </c>
      <c r="ET74">
        <f ca="1">tblBaseCF[[#This Row],[Load]]</f>
        <v>0</v>
      </c>
      <c r="EU74">
        <f ca="1">tblBaseCF[[#This Row],[LoadAllocChrg]]</f>
        <v>0</v>
      </c>
      <c r="EV74">
        <f ca="1">tblBaseCF[[#This Row],[LoadAlloc]]</f>
        <v>0</v>
      </c>
      <c r="EW74">
        <f ca="1">tblBaseCF[[#This Row],[TotalPrem]]</f>
        <v>0</v>
      </c>
      <c r="EX74">
        <f ca="1">tblBaseCF[[#This Row],[AllocChrg]]</f>
        <v>0</v>
      </c>
      <c r="EY74">
        <f ca="1">tblBaseCF[[#This Row],[Alloc]]</f>
        <v>0</v>
      </c>
      <c r="EZ74">
        <f ca="1">tblBaseCF[[#This Row],[AccumTotalPrem]]</f>
        <v>0</v>
      </c>
      <c r="FA74">
        <f>tblBaseCF[[#This Row],[AnnualIntRate]]</f>
        <v>0</v>
      </c>
      <c r="FB74" s="50">
        <f>tblBaseCF[[#This Row],[Duean1m12]]</f>
        <v>1</v>
      </c>
      <c r="FC74">
        <f ca="1">tblBaseCF[[#This Row],[DeductFlag]]</f>
        <v>0</v>
      </c>
      <c r="FD74">
        <f ca="1">tblBaseCF[[#This Row],[AdminChrg]]</f>
        <v>0</v>
      </c>
      <c r="FE74">
        <f ca="1">tblBaseCF[[#This Row],[StandardCOI]]</f>
        <v>0</v>
      </c>
      <c r="FF74">
        <f ca="1">tblBaseCF[[#This Row],[EMLoadCOI]]</f>
        <v>0</v>
      </c>
      <c r="FG74">
        <f ca="1">tblBaseCF[[#This Row],[PMLoadCOI]]</f>
        <v>0</v>
      </c>
      <c r="FH74">
        <f ca="1">tblBaseCF[[#This Row],[COI]]</f>
        <v>0</v>
      </c>
      <c r="FI74" s="47">
        <f ca="1">tblBaseCF[[#This Row],[NomDeduct]]</f>
        <v>0</v>
      </c>
      <c r="FJ74">
        <f ca="1">tblBaseCF[[#This Row],[Deduct]]</f>
        <v>0</v>
      </c>
      <c r="FK74">
        <f ca="1">tblBaseCF[[#This Row],[TAVDeduct]]</f>
        <v>0</v>
      </c>
      <c r="FL74">
        <f ca="1">tblBaseCF[[#This Row],[EAVDeduct]]</f>
        <v>0</v>
      </c>
      <c r="FM74" s="24">
        <f ca="1">tblBaseCF[[#This Row],[TAVInt]]</f>
        <v>0</v>
      </c>
      <c r="FN74">
        <f ca="1">tblBaseCF[[#This Row],[EAVInt]]</f>
        <v>0</v>
      </c>
      <c r="FO74" s="47">
        <f ca="1">tblBaseCF[[#This Row],[LB]]</f>
        <v>0</v>
      </c>
      <c r="FP74">
        <f ca="1">tblBaseCF[[#This Row],[SB]]</f>
        <v>0</v>
      </c>
      <c r="FQ74">
        <f ca="1">tblBaseCF[[#This Row],[Bonus]]</f>
        <v>0</v>
      </c>
      <c r="FR74">
        <f ca="1">tblBaseCF[[#This Row],[EndTAV]]</f>
        <v>0</v>
      </c>
      <c r="FS74">
        <f ca="1">tblBaseCF[[#This Row],[EndEAV]]</f>
        <v>0</v>
      </c>
      <c r="FT74">
        <f ca="1">tblBaseCF[[#This Row],[EndPAV]]</f>
        <v>0</v>
      </c>
      <c r="FU74">
        <f ca="1">tblBaseCF[[#This Row],[SemiAnnualTP]]</f>
        <v>0</v>
      </c>
      <c r="FV74">
        <f ca="1">tblBaseCF[[#This Row],[SemiAnnualEP]]</f>
        <v>0</v>
      </c>
      <c r="FW74">
        <f ca="1">tblBaseCF[[#This Row],[SemiAnnualEMLoad]]</f>
        <v>0</v>
      </c>
      <c r="FX74">
        <f ca="1">tblBaseCF[[#This Row],[SemiAnnualPMLoad]]</f>
        <v>0</v>
      </c>
      <c r="FY74">
        <f ca="1">tblBaseCF[[#This Row],[SemiAnnualLoad]]</f>
        <v>0</v>
      </c>
      <c r="FZ74">
        <f ca="1">tblBaseCF[[#This Row],[SemiAnnualTotalPrem]]</f>
        <v>0</v>
      </c>
      <c r="GA74">
        <f ca="1">tblBaseCF[[#This Row],[QuarterlyTP]]</f>
        <v>0</v>
      </c>
      <c r="GB74">
        <f ca="1">tblBaseCF[[#This Row],[QuarterlyEP]]</f>
        <v>0</v>
      </c>
      <c r="GC74">
        <f ca="1">tblBaseCF[[#This Row],[QuarterlyEMLoad]]</f>
        <v>0</v>
      </c>
      <c r="GD74">
        <f ca="1">tblBaseCF[[#This Row],[QuarterlyPMLoad]]</f>
        <v>0</v>
      </c>
      <c r="GE74">
        <f ca="1">tblBaseCF[[#This Row],[QuarterlyLoad]]</f>
        <v>0</v>
      </c>
      <c r="GF74">
        <f ca="1">tblBaseCF[[#This Row],[QuarterlyTotalPrem]]</f>
        <v>0</v>
      </c>
      <c r="GG74">
        <f ca="1">tblBaseCF[[#This Row],[MonthlyTP]]</f>
        <v>0</v>
      </c>
      <c r="GH74">
        <f ca="1">tblBaseCF[[#This Row],[MonthlyEP]]</f>
        <v>0</v>
      </c>
      <c r="GI74">
        <f ca="1">tblBaseCF[[#This Row],[MonthlyEMLoad]]</f>
        <v>0</v>
      </c>
      <c r="GJ74">
        <f ca="1">tblBaseCF[[#This Row],[MonthlyPMLoad]]</f>
        <v>0</v>
      </c>
      <c r="GK74">
        <f ca="1">tblBaseCF[[#This Row],[MonthlyLoad]]</f>
        <v>0</v>
      </c>
      <c r="GL74">
        <f ca="1">tblBaseCF[[#This Row],[MonthlyTotalPrem]]</f>
        <v>0</v>
      </c>
      <c r="GO74" t="s">
        <v>134</v>
      </c>
      <c r="GP74" t="s">
        <v>135</v>
      </c>
      <c r="GQ74" t="s">
        <v>502</v>
      </c>
      <c r="GR74">
        <v>54</v>
      </c>
      <c r="GS74">
        <v>53</v>
      </c>
      <c r="GT74">
        <v>1</v>
      </c>
      <c r="GU74" t="s">
        <v>457</v>
      </c>
      <c r="GV74">
        <v>176806768.97695199</v>
      </c>
      <c r="GW74">
        <v>1497893079.23842</v>
      </c>
      <c r="GX74">
        <v>1674699848.2153699</v>
      </c>
      <c r="GY74">
        <v>0</v>
      </c>
      <c r="GZ74">
        <v>1674699848.2153699</v>
      </c>
      <c r="HA74">
        <v>1674699848.2153699</v>
      </c>
      <c r="HB74">
        <v>303000000</v>
      </c>
      <c r="HC74">
        <v>0</v>
      </c>
      <c r="HD74" t="s">
        <v>137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7.0000000000000007E-2</v>
      </c>
      <c r="HX74">
        <v>0.96964931039809399</v>
      </c>
      <c r="HY74">
        <v>1</v>
      </c>
      <c r="HZ74">
        <v>300000</v>
      </c>
      <c r="IA74">
        <v>0</v>
      </c>
      <c r="IB74">
        <v>0</v>
      </c>
      <c r="IC74">
        <v>0</v>
      </c>
      <c r="ID74">
        <v>272700</v>
      </c>
      <c r="IE74">
        <v>572700</v>
      </c>
      <c r="IF74">
        <v>555318.16006498795</v>
      </c>
      <c r="IG74">
        <v>555318.16006498795</v>
      </c>
      <c r="IH74">
        <v>0</v>
      </c>
      <c r="II74">
        <v>12337601.5571821</v>
      </c>
      <c r="IJ74">
        <v>104852515.546689</v>
      </c>
      <c r="IK74">
        <v>0</v>
      </c>
      <c r="IL74">
        <v>0</v>
      </c>
      <c r="IM74">
        <v>0</v>
      </c>
      <c r="IN74">
        <v>188589052.37406901</v>
      </c>
      <c r="IO74">
        <v>1602745594.78511</v>
      </c>
      <c r="IP74">
        <v>1791334647.1591799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</row>
    <row r="75" spans="2:268" customFormat="1" x14ac:dyDescent="0.25">
      <c r="B75" s="2">
        <f ca="1">OFFSET(tblBaseCF[[#This Row],[Year]],-1,0)+1</f>
        <v>55</v>
      </c>
      <c r="C75" s="2">
        <f ca="1">(tblBaseCF[[#This Row],[Year]]&lt;=term)*1</f>
        <v>1</v>
      </c>
      <c r="D75" s="57">
        <f ca="1">(YEAR(rcd)+tblBaseCF[[#This Row],[Year]]-1)
*tblBaseCF[[#This Row],[PolTermFlag]]</f>
        <v>2079</v>
      </c>
      <c r="E75" s="57">
        <f ca="1">(mainLI_entry_age+tblBaseCF[[#This Row],[Year]]-1)
*tblBaseCF[[#This Row],[PolTermFlag]]</f>
        <v>54</v>
      </c>
      <c r="F75" s="57">
        <f ca="1">IF(tblBaseCF[[#This Row],[Year]]=1,1,OFFSET(tblBaseCF[[#This Row],[DeductFlag]],-1,0))
*tblBaseCF[[#This Row],[PolTermFlag]]</f>
        <v>0</v>
      </c>
      <c r="G7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5" s="57">
        <f ca="1">(tblBaseCF[[#This Row],[Year]]&lt;=acc_ben_term)
*tblBaseCF[[#This Row],[ContFlag]]</f>
        <v>0</v>
      </c>
      <c r="I75" s="57">
        <f ca="1">(tblBaseCF[[#This Row],[Year]]&lt;=tp_term)
*tblBaseCF[[#This Row],[ContFlag]]</f>
        <v>0</v>
      </c>
      <c r="J75" s="57">
        <f ca="1">(tblBaseCF[[#This Row],[Year]]&lt;=ep_term)
*tblBaseCF[[#This Row],[ContFlag]]</f>
        <v>0</v>
      </c>
      <c r="K75" s="57">
        <f ca="1">(tblBaseCF[[#This Row],[Year]]&lt;=em_load_term)*1</f>
        <v>0</v>
      </c>
      <c r="L75" s="57">
        <f ca="1">(tblBaseCF[[#This Row],[Year]]&lt;=pm_load_term)*1</f>
        <v>0</v>
      </c>
      <c r="M75" s="59">
        <f ca="1">IF(tblBaseCF[[#This Row],[Year]]=1,si,OFFSET(tblBaseCF[[#This Row],[EndSI]],-1,0))
*tblBaseCF[[#This Row],[ContFlag]]</f>
        <v>0</v>
      </c>
      <c r="N75" s="59">
        <f ca="1">OFFSET(tblBaseCF[[#This Row],[EndTAV]],-1,0)
*tblBaseCF[[#This Row],[ContFlag]]</f>
        <v>0</v>
      </c>
      <c r="O75" s="59">
        <f ca="1">OFFSET(tblBaseCF[[#This Row],[EndEAV]],-1,0)
*tblBaseCF[[#This Row],[ContFlag]]</f>
        <v>0</v>
      </c>
      <c r="P75" s="60">
        <f ca="1">tblBaseCF[[#This Row],[StartEAV]]+tblBaseCF[[#This Row],[StartTAV]]</f>
        <v>0</v>
      </c>
      <c r="Q75" s="61">
        <f ca="1">IFERROR(INDEX(tblJuvenileLienRate[Rate],MATCH(tblBaseCF[[#This Row],[Age]],tblJuvenileLienRate[Age],0)),1)
*tblBaseCF[[#This Row],[ContFlag]]</f>
        <v>0</v>
      </c>
      <c r="R7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5" s="62">
        <f ca="1">tblBaseCF[[#This Row],[StartSI]]*acc_ben_coeff*tblBaseCF[[#This Row],[JuvenileLienRate]]
*tblBaseCF[[#This Row],[AccBenTermFlag]]</f>
        <v>0</v>
      </c>
      <c r="T75" s="61">
        <f ca="1">(IFERROR(INDEX(tblSurrChrgRate[Rate],MATCH(tblBaseCF[[#This Row],[Year]],tblSurrChrgRate[Year],0)),0)
*tblBaseCF[[#This Row],[ContFlag]])</f>
        <v>0</v>
      </c>
      <c r="U75" s="60">
        <f ca="1">tp*tblBaseCF[[#This Row],[SrrChrgRate]]</f>
        <v>0</v>
      </c>
      <c r="V75" s="63">
        <f ca="1">MAX(tblBaseCF[[#This Row],[StartTAV]]-tblBaseCF[[#This Row],[SVChrg]],0)+tblBaseCF[[#This Row],[StartEAV]]</f>
        <v>0</v>
      </c>
      <c r="W75" s="59">
        <f ca="1">IFERROR(INDEX(tblWithdrawal_Output[Amount],MATCH(tblBaseCF[[#This Row],[Year]],tblWithdrawal_Output[Year],0)),0)
*tblBaseCF[[#This Row],[ContFlag]]</f>
        <v>0</v>
      </c>
      <c r="X75" s="59" t="b">
        <f ca="1">tblBaseCF[[#This Row],[WithdrawalInput]]&gt;0</f>
        <v>0</v>
      </c>
      <c r="Y75" s="59" t="b">
        <f ca="1">AND(tblBaseCF[[#This Row],[1stCheckProceed]],tblBaseCF[[#This Row],[WithdrawalInput]]&lt;=tblBaseCF[[#This Row],[StartPAV]])</f>
        <v>0</v>
      </c>
      <c r="Z75" s="59" t="b">
        <f ca="1">AND(tblBaseCF[[#This Row],[2ndCheckAmount]],(tblBaseCF[[#This Row],[StartPAV]]-tblBaseCF[[#This Row],[WithdrawalInput]])&gt;=min_pav_after_withdrawal)</f>
        <v>0</v>
      </c>
      <c r="AA7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5" s="59" t="b">
        <f ca="1">AND(tblBaseCF[[#This Row],[3rdCheckPAV]],tblBaseCF[[#This Row],[endSITest]]&gt;=min_base_si)</f>
        <v>0</v>
      </c>
      <c r="AC75" s="60">
        <f ca="1">tblBaseCF[[#This Row],[WithdrawalInput]]*tblBaseCF[[#This Row],[4thCheckSI]]</f>
        <v>0</v>
      </c>
      <c r="AD75" s="60">
        <f ca="1">MIN(tblBaseCF[[#This Row],[Withdrawal]],tblBaseCF[[#This Row],[StartEAV]])</f>
        <v>0</v>
      </c>
      <c r="AE75" s="60">
        <f ca="1">tblBaseCF[[#This Row],[Withdrawal]]-tblBaseCF[[#This Row],[EAVWithdrawal]]</f>
        <v>0</v>
      </c>
      <c r="AF75" s="60">
        <f ca="1">IF(tblBaseCF[[#This Row],[4thCheckSI]],tblBaseCF[[#This Row],[endSITest]],tblBaseCF[[#This Row],[StartSI]])</f>
        <v>0</v>
      </c>
      <c r="AG7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5" s="65">
        <f ca="1">IFERROR(INDEX(tblTPAllocChrgRate[Rate],MATCH(tblBaseCF[[#This Row],[Year]],tblTPAllocChrgRate[Year],0)),0)</f>
        <v>0.02</v>
      </c>
      <c r="AI75" s="62">
        <f ca="1">(tp+big_case_bonus_tp*(tblBaseCF[[#This Row],[Year]]=1))
*tblBaseCF[[#This Row],[TPTermFlag]]</f>
        <v>0</v>
      </c>
      <c r="AJ75" s="63">
        <f ca="1">tblBaseCF[[#This Row],[TP]]*tblBaseCF[[#This Row],[TPAllocChrgRate]]</f>
        <v>0</v>
      </c>
      <c r="AK75" s="60">
        <f ca="1">tblBaseCF[[#This Row],[TP]]-tblBaseCF[[#This Row],[TPAllocChrg]]</f>
        <v>0</v>
      </c>
      <c r="AL75" s="65">
        <f ca="1">IFERROR(INDEX(tblEPAllocChrgRate[Rate],MATCH(tblBaseCF[[#This Row],[Year]],tblEPAllocChrgRate[Year],0)),0)</f>
        <v>0.02</v>
      </c>
      <c r="AM75" s="60">
        <f ca="1">ep*tblBaseCF[[#This Row],[EPTermFlag]]</f>
        <v>0</v>
      </c>
      <c r="AN75" s="60">
        <f ca="1">tblBaseCF[[#This Row],[EP]]*tblBaseCF[[#This Row],[EPAllocChrgRate]]</f>
        <v>0</v>
      </c>
      <c r="AO75" s="63">
        <f ca="1">tblBaseCF[[#This Row],[EP]]-tblBaseCF[[#This Row],[EPAllocChrg]]</f>
        <v>0</v>
      </c>
      <c r="AP75" s="62">
        <f ca="1">tblBaseCF[[#This Row],[Ben]]*extra_prem_rate*em_load/1000/(1-tblBaseCF[[#This Row],[EPAllocChrgRate]])
*tblBaseCF[[#This Row],[EMLoadTermFlag]]</f>
        <v>0</v>
      </c>
      <c r="AQ75" s="62">
        <f ca="1">tblBaseCF[[#This Row],[Ben]]*pm_load/1000/(1-tblBaseCF[[#This Row],[EPAllocChrgRate]])
*tblBaseCF[[#This Row],[PMLoadTermFlag]]</f>
        <v>0</v>
      </c>
      <c r="AR75" s="60">
        <f ca="1">ROUNDUP(tblBaseCF[[#This Row],[UnroundedEMLoad]],-3)</f>
        <v>0</v>
      </c>
      <c r="AS75" s="62">
        <f ca="1">ROUNDUP(tblBaseCF[[#This Row],[Ben]]*pm_load/1000/(1-tblBaseCF[[#This Row],[EPAllocChrgRate]]),-3)
*tblBaseCF[[#This Row],[PMLoadTermFlag]]</f>
        <v>0</v>
      </c>
      <c r="AT75" s="60">
        <f ca="1">tblBaseCF[[#This Row],[EMLoad]]+tblBaseCF[[#This Row],[PMLoad]]</f>
        <v>0</v>
      </c>
      <c r="AU75" s="60">
        <f ca="1">tblBaseCF[[#This Row],[Load]]*tblBaseCF[[#This Row],[EPAllocChrgRate]]</f>
        <v>0</v>
      </c>
      <c r="AV75" s="60">
        <f ca="1">tblBaseCF[[#This Row],[Load]]-tblBaseCF[[#This Row],[LoadAllocChrg]]</f>
        <v>0</v>
      </c>
      <c r="AW75" s="60">
        <f ca="1">tblBaseCF[[#This Row],[TP]]+tblBaseCF[[#This Row],[EP]]+tblBaseCF[[#This Row],[Load]]</f>
        <v>0</v>
      </c>
      <c r="AX75" s="60">
        <f ca="1">tblBaseCF[[#This Row],[TPAllocChrg]]+tblBaseCF[[#This Row],[EPAllocChrg]]+tblBaseCF[[#This Row],[LoadAllocChrg]]</f>
        <v>0</v>
      </c>
      <c r="AY75" s="60">
        <f ca="1">tblBaseCF[[#This Row],[TPAlloc]]+tblBaseCF[[#This Row],[EPAlloc]]+tblBaseCF[[#This Row],[LoadAlloc]]</f>
        <v>0</v>
      </c>
      <c r="AZ75" s="60">
        <f ca="1">(OFFSET(tblBaseCF[[#This Row],[AccumTotalPrem]],-1,0)+tblBaseCF[[#This Row],[TotalPrem]])*tblBaseCF[[#This Row],[TPTermFlag]]</f>
        <v>0</v>
      </c>
      <c r="BA75" s="62">
        <f ca="1">(tblBaseCF[[#This Row],[StartTAV]]-tblBaseCF[[#This Row],[TAVWithdrawal]]+tblBaseCF[[#This Row],[TPAlloc]])
*tblBaseCF[[#This Row],[ContFlag]]</f>
        <v>0</v>
      </c>
      <c r="BB75" s="59">
        <f ca="1">(tblBaseCF[[#This Row],[StartEAV]]-tblBaseCF[[#This Row],[EAVWithdrawal]]+tblBaseCF[[#This Row],[EPAlloc]]+tblBaseCF[[#This Row],[LoadAlloc]])
*tblBaseCF[[#This Row],[ContFlag]]</f>
        <v>0</v>
      </c>
      <c r="BC75" s="59">
        <f ca="1">tblBaseCF[[#This Row],[TAVAfterWdrlAlloc]]+tblBaseCF[[#This Row],[EAVAfterWdrlAlloc]]</f>
        <v>0</v>
      </c>
      <c r="BD75" s="66">
        <f t="shared" si="6"/>
        <v>0</v>
      </c>
      <c r="BE75" s="67">
        <f>(1+tblBaseCF[[#This Row],[AnnualIntRate]])^(1/12)-1</f>
        <v>0</v>
      </c>
      <c r="BF75" s="68">
        <f>IFERROR(((1+tblBaseCF[[#This Row],[MonthlyIntRate]])^12-1)/12/(1-1/(1+tblBaseCF[[#This Row],[MonthlyIntRate]])),1)/(1+tblBaseCF[[#This Row],[AnnualIntRate]])</f>
        <v>1</v>
      </c>
      <c r="BG75" s="69">
        <f>PV(tblBaseCF[[#This Row],[MonthlyIntRate]],12,-1/12,,1)</f>
        <v>1</v>
      </c>
      <c r="BH75" s="60">
        <f ca="1">MAX(IF(death_tpd_option="A",tblBaseCF[[#This Row],[Ben]]-tblBaseCF[[#This Row],[StartPAV]],tblBaseCF[[#This Row],[Ben]]),0)</f>
        <v>0</v>
      </c>
      <c r="BI75" s="70">
        <f ca="1">IFERROR(INDEX(tblBaseCOIRate[Rate],MATCH(tblBaseCF[[#This Row],[Age]],tblBaseCOIRate[Age],0)),0)</f>
        <v>6.84999999999991E-3</v>
      </c>
      <c r="BJ75" s="60">
        <f ca="1">tblBaseCF[[#This Row],[SAR]]*tblBaseCF[[#This Row],[COIRate]]</f>
        <v>0</v>
      </c>
      <c r="BK75" s="62">
        <f ca="1">em_load*tblBaseCF[[#This Row],[pStandardCOI]]
*tblBaseCF[[#This Row],[EMLoadTermFlag]]</f>
        <v>0</v>
      </c>
      <c r="BL75" s="62">
        <f ca="1">pm_load/1000*tblBaseCF[[#This Row],[SAR]]
*tblBaseCF[[#This Row],[PMLoadTermFlag]]</f>
        <v>0</v>
      </c>
      <c r="BM75" s="60">
        <f ca="1">tblBaseCF[[#This Row],[AccBen]]*monthly_acc_coi*12</f>
        <v>0</v>
      </c>
      <c r="BN75" s="60">
        <f ca="1">tblBaseCF[[#This Row],[pStandardCOI]]+tblBaseCF[[#This Row],[pEMLoadCOI]]+tblBaseCF[[#This Row],[pPMLoadCOI]]+tblBaseCF[[#This Row],[pAccCOI]]</f>
        <v>0</v>
      </c>
      <c r="BO75" s="62">
        <f ca="1">IFERROR(INDEX(tblAdminChrg[Amount],MATCH(tblBaseCF[[#This Row],[CalYear]],tblAdminChrg[Cal_Year],0)),0)
*tblBaseCF[[#This Row],[ContFlag]]</f>
        <v>0</v>
      </c>
      <c r="BP75" s="60">
        <f ca="1">tblBaseCF[[#This Row],[pMonthlyAdminChrg]]*12</f>
        <v>0</v>
      </c>
      <c r="BQ75" s="60">
        <f ca="1">tblBaseCF[[#This Row],[pCOI]]+tblBaseCF[[#This Row],[pAdminChrg]]</f>
        <v>0</v>
      </c>
      <c r="BR75" s="60">
        <f ca="1">tblBaseCF[[#This Row],[pNomDeduct]]*tblBaseCF[[#This Row],[Duean1m12]]</f>
        <v>0</v>
      </c>
      <c r="BS75" s="57">
        <f ca="1">(tblBaseCF[[#This Row],[PAVAfterWdrlAlloc]]&gt;=tblBaseCF[[#This Row],[pNomDeduct]])
*tblBaseCF[[#This Row],[ContFlag]]</f>
        <v>0</v>
      </c>
      <c r="BT75" s="60">
        <f ca="1">tblBaseCF[[#This Row],[pStandardCOI]]*tblBaseCF[[#This Row],[DeductFlag]]</f>
        <v>0</v>
      </c>
      <c r="BU75" s="60">
        <f ca="1">tblBaseCF[[#This Row],[pEMLoadCOI]]*tblBaseCF[[#This Row],[DeductFlag]]</f>
        <v>0</v>
      </c>
      <c r="BV75" s="60">
        <f ca="1">tblBaseCF[[#This Row],[pPMLoadCOI]]*tblBaseCF[[#This Row],[DeductFlag]]</f>
        <v>0</v>
      </c>
      <c r="BW75" s="60">
        <f ca="1">tblBaseCF[[#This Row],[pAccCOI]]*tblBaseCF[[#This Row],[DeductFlag]]</f>
        <v>0</v>
      </c>
      <c r="BX75" s="60">
        <f ca="1">tblBaseCF[[#This Row],[pCOI]]*tblBaseCF[[#This Row],[DeductFlag]]</f>
        <v>0</v>
      </c>
      <c r="BY75" s="60">
        <f ca="1">tblBaseCF[[#This Row],[pMonthlyAdminChrg]]*tblBaseCF[[#This Row],[DeductFlag]]</f>
        <v>0</v>
      </c>
      <c r="BZ75" s="60">
        <f ca="1">tblBaseCF[[#This Row],[pAdminChrg]]*tblBaseCF[[#This Row],[DeductFlag]]</f>
        <v>0</v>
      </c>
      <c r="CA75" s="60">
        <f ca="1">tblBaseCF[[#This Row],[pNomDeduct]]*tblBaseCF[[#This Row],[DeductFlag]]</f>
        <v>0</v>
      </c>
      <c r="CB75" s="60">
        <f ca="1">tblBaseCF[[#This Row],[pDeduct]]*tblBaseCF[[#This Row],[DeductFlag]]</f>
        <v>0</v>
      </c>
      <c r="CC75" s="60">
        <f ca="1">MIN(tblBaseCF[[#This Row],[TAVAfterWdrlAlloc]],tblBaseCF[[#This Row],[Deduct]])</f>
        <v>0</v>
      </c>
      <c r="CD75" s="60">
        <f ca="1">tblBaseCF[[#This Row],[Deduct]]-tblBaseCF[[#This Row],[TAVDeduct]]</f>
        <v>0</v>
      </c>
      <c r="CE75" s="69">
        <f ca="1">(tblBaseCF[[#This Row],[TAVAfterWdrlAlloc]]-tblBaseCF[[#This Row],[TAVDeduct]])*tblBaseCF[[#This Row],[AnnualIntRate]]
*tblBaseCF[[#This Row],[DeductFlag]]</f>
        <v>0</v>
      </c>
      <c r="CF75" s="69">
        <f ca="1">(tblBaseCF[[#This Row],[EAVAfterWdrlAlloc]]-tblBaseCF[[#This Row],[EAVDeduct]])*tblBaseCF[[#This Row],[AnnualIntRate]]
*tblBaseCF[[#This Row],[DeductFlag]]</f>
        <v>0</v>
      </c>
      <c r="CG75" s="69">
        <f ca="1">tblBaseCF[[#This Row],[TAVInt]]+tblBaseCF[[#This Row],[EAVInt]]</f>
        <v>0</v>
      </c>
      <c r="CH75" s="62">
        <f ca="1">IFERROR(INDEX(tblLBRate[Rate],MATCH(tblBaseCF[[#This Row],[Year]],tblLBRate[Year],0)),0)
*tblBaseCF[[#This Row],[DeductFlag]]</f>
        <v>0</v>
      </c>
      <c r="CI75" s="60">
        <f ca="1">IFERROR(SUM(OFFSET(tblBaseCF[[#This Row],[TAVWithdrawal]],0,0,-lb_review_period,1)),0)
*(tblBaseCF[[#This Row],[LBRate]]&gt;0)</f>
        <v>0</v>
      </c>
      <c r="CJ75" s="60">
        <f ca="1">(tblBaseCF[[#This Row],[LBRate]]&gt;0)*(tblBaseCF[[#This Row],[LBTAVWithdrawal]]=0)</f>
        <v>0</v>
      </c>
      <c r="CK75" s="62" cm="1">
        <f t="array" aca="1" ref="CK75" ca="1">IF(tblBaseCF[[#This Row],[LBFlag]],
_xlfn.SWITCH(base,
"ILP1",AVERAGE(OFFSET(tblBaseCF[TP],0,0,-lb_review_period,1)),tp),0)
*tblBaseCF[[#This Row],[LBFlag]]</f>
        <v>0</v>
      </c>
      <c r="CL75" s="62">
        <f ca="1">tblBaseCF[[#This Row],[LBBasis]]*tblBaseCF[[#This Row],[LBRate]]</f>
        <v>0</v>
      </c>
      <c r="CM75" s="57" cm="1">
        <f t="array" aca="1" ref="CM75" ca="1">_xlfn.SWITCH(base,
"ILP1",0,($AF175&lt;500000000)*1
+($AF175&gt;=500000000)*($AF175&lt;1000000000)*2
+($AF175&gt;=1000000000)*3)
*tblBaseCF[[#This Row],[DeductFlag]]</f>
        <v>0</v>
      </c>
      <c r="CN75" s="2" t="str">
        <f ca="1">IF(tblBaseCF[[#This Row],[DeductFlag]],base&amp;"_"&amp;tblBaseCF[[#This Row],[SBCode]]&amp;"_"&amp;tblBaseCF[[#This Row],[Year]],"")</f>
        <v/>
      </c>
      <c r="CO75" s="3">
        <f ca="1">IFERROR(INDEX(tblSBRate[Index],MATCH(tblBaseCF[[#This Row],[SBIndex]],tblSBRate[Rate],0)),0)</f>
        <v>0</v>
      </c>
      <c r="CP75" s="63">
        <f ca="1">IFERROR(SUM(OFFSET(tblBaseCF[[#This Row],[TAVWithdrawal]],0,0,-sb_review_period,1)),0)
*(tblBaseCF[[#This Row],[SBRate]]&gt;0)</f>
        <v>0</v>
      </c>
      <c r="CQ75" s="63">
        <f ca="1">(tblBaseCF[[#This Row],[SBRate]]&gt;0)*(tblBaseCF[[#This Row],[SBTAVWithdrawal]]=0)</f>
        <v>0</v>
      </c>
      <c r="CR75" s="59" cm="1">
        <f t="array" aca="1" ref="CR75" ca="1">IF(tblBaseCF[[#This Row],[LBFlag]],
_xlfn.SWITCH(base,
"ILP1",0,tp),0)*tblBaseCF[[#This Row],[SBFlag]]</f>
        <v>0</v>
      </c>
      <c r="CS75" s="63">
        <f ca="1">tblBaseCF[[#This Row],[SBBasis]]*tblBaseCF[[#This Row],[SBRate]]</f>
        <v>0</v>
      </c>
      <c r="CT75" s="63">
        <f ca="1">tblBaseCF[[#This Row],[LB]]+tblBaseCF[[#This Row],[SB]]</f>
        <v>0</v>
      </c>
      <c r="CU75" s="59">
        <f ca="1">tblBaseCF[[#This Row],[TAVAfterWdrlAlloc]]-tblBaseCF[[#This Row],[TAVDeduct]]+tblBaseCF[[#This Row],[TAVInt]]+tblBaseCF[[#This Row],[Bonus]]</f>
        <v>0</v>
      </c>
      <c r="CV75" s="59">
        <f ca="1">tblBaseCF[[#This Row],[EAVAfterWdrlAlloc]]-tblBaseCF[[#This Row],[EAVDeduct]]+tblBaseCF[[#This Row],[EAVInt]]</f>
        <v>0</v>
      </c>
      <c r="CW75" s="63">
        <f ca="1">tblBaseCF[[#This Row],[EndTAV]]+tblBaseCF[[#This Row],[EndEAV]]</f>
        <v>0</v>
      </c>
      <c r="CX75" s="59">
        <f ca="1">INDEX(tblPlanPrem[TP],2)
*tblBaseCF[[#This Row],[TPTermFlag]]</f>
        <v>0</v>
      </c>
      <c r="CY75" s="59">
        <f ca="1">INDEX(tblPlanPrem[EP],2)
*tblBaseCF[[#This Row],[TPTermFlag]]</f>
        <v>0</v>
      </c>
      <c r="CZ75" s="63">
        <f ca="1">ROUNDUP(tblBaseCF[[#This Row],[UnroundedEMLoad]]*INDEX(tblPlanPrem[Factor],2),-3)</f>
        <v>0</v>
      </c>
      <c r="DA75" s="63">
        <f ca="1">ROUNDUP(tblBaseCF[[#This Row],[UnroundedPMLoad]]*INDEX(tblPlanPrem[Factor],2),-3)</f>
        <v>0</v>
      </c>
      <c r="DB75" s="63">
        <f ca="1">tblBaseCF[[#This Row],[SemiAnnualEMLoad]]+tblBaseCF[[#This Row],[SemiAnnualPMLoad]]</f>
        <v>0</v>
      </c>
      <c r="DC75" s="63">
        <f ca="1">tblBaseCF[[#This Row],[SemiAnnualTP]]+tblBaseCF[[#This Row],[SemiAnnualEP]]+tblBaseCF[[#This Row],[SemiAnnualLoad]]</f>
        <v>0</v>
      </c>
      <c r="DD75" s="59">
        <f ca="1">INDEX(tblPlanPrem[TP],3)
*tblBaseCF[[#This Row],[TPTermFlag]]</f>
        <v>0</v>
      </c>
      <c r="DE75" s="59">
        <f ca="1">INDEX(tblPlanPrem[EP],3)
*tblBaseCF[[#This Row],[TPTermFlag]]</f>
        <v>0</v>
      </c>
      <c r="DF75" s="63">
        <f ca="1">ROUNDUP(tblBaseCF[[#This Row],[UnroundedEMLoad]]*INDEX(tblPlanPrem[Factor],3),-3)</f>
        <v>0</v>
      </c>
      <c r="DG75" s="63">
        <f ca="1">ROUNDUP(tblBaseCF[[#This Row],[UnroundedPMLoad]]*INDEX(tblPlanPrem[Factor],3),-3)</f>
        <v>0</v>
      </c>
      <c r="DH75" s="60">
        <f ca="1">tblBaseCF[[#This Row],[QuarterlyEMLoad]]+tblBaseCF[[#This Row],[QuarterlyPMLoad]]</f>
        <v>0</v>
      </c>
      <c r="DI75" s="60">
        <f ca="1">tblBaseCF[[#This Row],[QuarterlyTP]]+tblBaseCF[[#This Row],[QuarterlyEP]]+tblBaseCF[[#This Row],[QuarterlyLoad]]</f>
        <v>0</v>
      </c>
      <c r="DJ75" s="59">
        <f ca="1">INDEX(tblPlanPrem[TP],4)
*tblBaseCF[[#This Row],[TPTermFlag]]</f>
        <v>0</v>
      </c>
      <c r="DK75" s="59">
        <f ca="1">INDEX(tblPlanPrem[EP],4)
*tblBaseCF[[#This Row],[TPTermFlag]]</f>
        <v>0</v>
      </c>
      <c r="DL75" s="63">
        <f ca="1">ROUNDUP(tblBaseCF[[#This Row],[UnroundedEMLoad]]*INDEX(tblPlanPrem[Factor],4),-3)</f>
        <v>0</v>
      </c>
      <c r="DM75" s="63">
        <f ca="1">ROUNDUP(tblBaseCF[[#This Row],[UnroundedPMLoad]]*INDEX(tblPlanPrem[Factor],4),-3)</f>
        <v>0</v>
      </c>
      <c r="DN75" s="60">
        <f ca="1">tblBaseCF[[#This Row],[MonthlyEMLoad]]+tblBaseCF[[#This Row],[MonthlyPMLoad]]</f>
        <v>0</v>
      </c>
      <c r="DO75" s="63">
        <f ca="1">tblBaseCF[[#This Row],[MonthlyTP]]+tblBaseCF[[#This Row],[MonthlyEP]]+tblBaseCF[[#This Row],[MonthlyLoad]]</f>
        <v>0</v>
      </c>
      <c r="DP75" s="3"/>
      <c r="DS75">
        <f t="shared" si="7"/>
        <v>0</v>
      </c>
      <c r="DT75">
        <f t="shared" si="8"/>
        <v>0</v>
      </c>
      <c r="DU75">
        <f t="shared" si="9"/>
        <v>0</v>
      </c>
      <c r="DV75">
        <f ca="1">tblBaseCF[[#This Row],[Year]]</f>
        <v>55</v>
      </c>
      <c r="DW75">
        <f ca="1">tblBaseCF[[#This Row],[Age]]</f>
        <v>54</v>
      </c>
      <c r="DX75">
        <f ca="1">tblBaseCF[[#This Row],[ContFlag]]</f>
        <v>0</v>
      </c>
      <c r="DY75" t="str">
        <f ca="1">tblBaseCF[[#This Row],[ContLog]]</f>
        <v>Insufficient PAV for deduction - Discontinue.</v>
      </c>
      <c r="DZ75">
        <f ca="1">tblBaseCF[[#This Row],[StartTAV]]</f>
        <v>0</v>
      </c>
      <c r="EA75">
        <f ca="1">tblBaseCF[[#This Row],[StartEAV]]</f>
        <v>0</v>
      </c>
      <c r="EB75">
        <f ca="1">tblBaseCF[[#This Row],[StartPAV]]</f>
        <v>0</v>
      </c>
      <c r="EC75">
        <f ca="1">tblBaseCF[[#This Row],[SVChrg]]</f>
        <v>0</v>
      </c>
      <c r="ED75">
        <f ca="1">tblBaseCF[[#This Row],[SV]]</f>
        <v>0</v>
      </c>
      <c r="EE75">
        <f ca="1">tblBaseCF[[#This Row],[Ben]]</f>
        <v>0</v>
      </c>
      <c r="EF75">
        <f ca="1">tblBaseCF[[#This Row],[AccBen]]</f>
        <v>0</v>
      </c>
      <c r="EG75">
        <f ca="1">tblBaseCF[[#This Row],[WithdrawalInput]]</f>
        <v>0</v>
      </c>
      <c r="EH75" t="str">
        <f ca="1">tblBaseCF[[#This Row],[WithdrawalLog]]</f>
        <v>No withdrawal.</v>
      </c>
      <c r="EI75">
        <f ca="1">tblBaseCF[[#This Row],[TAVWithdrawal]]</f>
        <v>0</v>
      </c>
      <c r="EJ75">
        <f ca="1">tblBaseCF[[#This Row],[EAVWithdrawal]]</f>
        <v>0</v>
      </c>
      <c r="EK75">
        <f ca="1">tblBaseCF[[#This Row],[Withdrawal]]</f>
        <v>0</v>
      </c>
      <c r="EL75">
        <f ca="1">tblBaseCF[[#This Row],[TP]]</f>
        <v>0</v>
      </c>
      <c r="EM75">
        <f ca="1">tblBaseCF[[#This Row],[TPAllocChrg]]</f>
        <v>0</v>
      </c>
      <c r="EN75">
        <f ca="1">tblBaseCF[[#This Row],[TPAlloc]]</f>
        <v>0</v>
      </c>
      <c r="EO75">
        <f ca="1">tblBaseCF[[#This Row],[EP]]</f>
        <v>0</v>
      </c>
      <c r="EP75">
        <f ca="1">tblBaseCF[[#This Row],[EPAllocChrg]]</f>
        <v>0</v>
      </c>
      <c r="EQ75">
        <f ca="1">tblBaseCF[[#This Row],[EPAlloc]]</f>
        <v>0</v>
      </c>
      <c r="ER75">
        <f ca="1">tblBaseCF[[#This Row],[EMLoad]]</f>
        <v>0</v>
      </c>
      <c r="ES75">
        <f ca="1">tblBaseCF[[#This Row],[PMLoad]]</f>
        <v>0</v>
      </c>
      <c r="ET75">
        <f ca="1">tblBaseCF[[#This Row],[Load]]</f>
        <v>0</v>
      </c>
      <c r="EU75">
        <f ca="1">tblBaseCF[[#This Row],[LoadAllocChrg]]</f>
        <v>0</v>
      </c>
      <c r="EV75">
        <f ca="1">tblBaseCF[[#This Row],[LoadAlloc]]</f>
        <v>0</v>
      </c>
      <c r="EW75">
        <f ca="1">tblBaseCF[[#This Row],[TotalPrem]]</f>
        <v>0</v>
      </c>
      <c r="EX75">
        <f ca="1">tblBaseCF[[#This Row],[AllocChrg]]</f>
        <v>0</v>
      </c>
      <c r="EY75">
        <f ca="1">tblBaseCF[[#This Row],[Alloc]]</f>
        <v>0</v>
      </c>
      <c r="EZ75">
        <f ca="1">tblBaseCF[[#This Row],[AccumTotalPrem]]</f>
        <v>0</v>
      </c>
      <c r="FA75">
        <f>tblBaseCF[[#This Row],[AnnualIntRate]]</f>
        <v>0</v>
      </c>
      <c r="FB75" s="50">
        <f>tblBaseCF[[#This Row],[Duean1m12]]</f>
        <v>1</v>
      </c>
      <c r="FC75">
        <f ca="1">tblBaseCF[[#This Row],[DeductFlag]]</f>
        <v>0</v>
      </c>
      <c r="FD75">
        <f ca="1">tblBaseCF[[#This Row],[AdminChrg]]</f>
        <v>0</v>
      </c>
      <c r="FE75">
        <f ca="1">tblBaseCF[[#This Row],[StandardCOI]]</f>
        <v>0</v>
      </c>
      <c r="FF75">
        <f ca="1">tblBaseCF[[#This Row],[EMLoadCOI]]</f>
        <v>0</v>
      </c>
      <c r="FG75">
        <f ca="1">tblBaseCF[[#This Row],[PMLoadCOI]]</f>
        <v>0</v>
      </c>
      <c r="FH75">
        <f ca="1">tblBaseCF[[#This Row],[COI]]</f>
        <v>0</v>
      </c>
      <c r="FI75" s="47">
        <f ca="1">tblBaseCF[[#This Row],[NomDeduct]]</f>
        <v>0</v>
      </c>
      <c r="FJ75">
        <f ca="1">tblBaseCF[[#This Row],[Deduct]]</f>
        <v>0</v>
      </c>
      <c r="FK75">
        <f ca="1">tblBaseCF[[#This Row],[TAVDeduct]]</f>
        <v>0</v>
      </c>
      <c r="FL75">
        <f ca="1">tblBaseCF[[#This Row],[EAVDeduct]]</f>
        <v>0</v>
      </c>
      <c r="FM75" s="24">
        <f ca="1">tblBaseCF[[#This Row],[TAVInt]]</f>
        <v>0</v>
      </c>
      <c r="FN75">
        <f ca="1">tblBaseCF[[#This Row],[EAVInt]]</f>
        <v>0</v>
      </c>
      <c r="FO75" s="47">
        <f ca="1">tblBaseCF[[#This Row],[LB]]</f>
        <v>0</v>
      </c>
      <c r="FP75">
        <f ca="1">tblBaseCF[[#This Row],[SB]]</f>
        <v>0</v>
      </c>
      <c r="FQ75">
        <f ca="1">tblBaseCF[[#This Row],[Bonus]]</f>
        <v>0</v>
      </c>
      <c r="FR75">
        <f ca="1">tblBaseCF[[#This Row],[EndTAV]]</f>
        <v>0</v>
      </c>
      <c r="FS75">
        <f ca="1">tblBaseCF[[#This Row],[EndEAV]]</f>
        <v>0</v>
      </c>
      <c r="FT75">
        <f ca="1">tblBaseCF[[#This Row],[EndPAV]]</f>
        <v>0</v>
      </c>
      <c r="FU75">
        <f ca="1">tblBaseCF[[#This Row],[SemiAnnualTP]]</f>
        <v>0</v>
      </c>
      <c r="FV75">
        <f ca="1">tblBaseCF[[#This Row],[SemiAnnualEP]]</f>
        <v>0</v>
      </c>
      <c r="FW75">
        <f ca="1">tblBaseCF[[#This Row],[SemiAnnualEMLoad]]</f>
        <v>0</v>
      </c>
      <c r="FX75">
        <f ca="1">tblBaseCF[[#This Row],[SemiAnnualPMLoad]]</f>
        <v>0</v>
      </c>
      <c r="FY75">
        <f ca="1">tblBaseCF[[#This Row],[SemiAnnualLoad]]</f>
        <v>0</v>
      </c>
      <c r="FZ75">
        <f ca="1">tblBaseCF[[#This Row],[SemiAnnualTotalPrem]]</f>
        <v>0</v>
      </c>
      <c r="GA75">
        <f ca="1">tblBaseCF[[#This Row],[QuarterlyTP]]</f>
        <v>0</v>
      </c>
      <c r="GB75">
        <f ca="1">tblBaseCF[[#This Row],[QuarterlyEP]]</f>
        <v>0</v>
      </c>
      <c r="GC75">
        <f ca="1">tblBaseCF[[#This Row],[QuarterlyEMLoad]]</f>
        <v>0</v>
      </c>
      <c r="GD75">
        <f ca="1">tblBaseCF[[#This Row],[QuarterlyPMLoad]]</f>
        <v>0</v>
      </c>
      <c r="GE75">
        <f ca="1">tblBaseCF[[#This Row],[QuarterlyLoad]]</f>
        <v>0</v>
      </c>
      <c r="GF75">
        <f ca="1">tblBaseCF[[#This Row],[QuarterlyTotalPrem]]</f>
        <v>0</v>
      </c>
      <c r="GG75">
        <f ca="1">tblBaseCF[[#This Row],[MonthlyTP]]</f>
        <v>0</v>
      </c>
      <c r="GH75">
        <f ca="1">tblBaseCF[[#This Row],[MonthlyEP]]</f>
        <v>0</v>
      </c>
      <c r="GI75">
        <f ca="1">tblBaseCF[[#This Row],[MonthlyEMLoad]]</f>
        <v>0</v>
      </c>
      <c r="GJ75">
        <f ca="1">tblBaseCF[[#This Row],[MonthlyPMLoad]]</f>
        <v>0</v>
      </c>
      <c r="GK75">
        <f ca="1">tblBaseCF[[#This Row],[MonthlyLoad]]</f>
        <v>0</v>
      </c>
      <c r="GL75">
        <f ca="1">tblBaseCF[[#This Row],[MonthlyTotalPrem]]</f>
        <v>0</v>
      </c>
      <c r="GO75" t="s">
        <v>134</v>
      </c>
      <c r="GP75" t="s">
        <v>135</v>
      </c>
      <c r="GQ75" t="s">
        <v>502</v>
      </c>
      <c r="GR75">
        <v>55</v>
      </c>
      <c r="GS75">
        <v>54</v>
      </c>
      <c r="GT75">
        <v>1</v>
      </c>
      <c r="GU75" t="s">
        <v>457</v>
      </c>
      <c r="GV75">
        <v>188589052.37406901</v>
      </c>
      <c r="GW75">
        <v>1602745594.78511</v>
      </c>
      <c r="GX75">
        <v>1791334647.1591799</v>
      </c>
      <c r="GY75">
        <v>0</v>
      </c>
      <c r="GZ75">
        <v>1791334647.1591799</v>
      </c>
      <c r="HA75">
        <v>1791334647.1591799</v>
      </c>
      <c r="HB75">
        <v>303000000</v>
      </c>
      <c r="HC75">
        <v>0</v>
      </c>
      <c r="HD75" t="s">
        <v>137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7.0000000000000007E-2</v>
      </c>
      <c r="HX75">
        <v>0.96964931039809399</v>
      </c>
      <c r="HY75">
        <v>1</v>
      </c>
      <c r="HZ75">
        <v>300000</v>
      </c>
      <c r="IA75">
        <v>0</v>
      </c>
      <c r="IB75">
        <v>0</v>
      </c>
      <c r="IC75">
        <v>0</v>
      </c>
      <c r="ID75">
        <v>272700</v>
      </c>
      <c r="IE75">
        <v>572700</v>
      </c>
      <c r="IF75">
        <v>555318.16006498795</v>
      </c>
      <c r="IG75">
        <v>555318.16006498795</v>
      </c>
      <c r="IH75">
        <v>0</v>
      </c>
      <c r="II75">
        <v>13162361.3949803</v>
      </c>
      <c r="IJ75">
        <v>112192191.634958</v>
      </c>
      <c r="IK75">
        <v>0</v>
      </c>
      <c r="IL75">
        <v>0</v>
      </c>
      <c r="IM75">
        <v>0</v>
      </c>
      <c r="IN75">
        <v>201196095.60898501</v>
      </c>
      <c r="IO75">
        <v>1714937786.4200699</v>
      </c>
      <c r="IP75">
        <v>1916133882.0290501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</row>
    <row r="76" spans="2:268" customFormat="1" x14ac:dyDescent="0.25">
      <c r="B76" s="2">
        <f ca="1">OFFSET(tblBaseCF[[#This Row],[Year]],-1,0)+1</f>
        <v>56</v>
      </c>
      <c r="C76" s="2">
        <f ca="1">(tblBaseCF[[#This Row],[Year]]&lt;=term)*1</f>
        <v>1</v>
      </c>
      <c r="D76" s="57">
        <f ca="1">(YEAR(rcd)+tblBaseCF[[#This Row],[Year]]-1)
*tblBaseCF[[#This Row],[PolTermFlag]]</f>
        <v>2080</v>
      </c>
      <c r="E76" s="57">
        <f ca="1">(mainLI_entry_age+tblBaseCF[[#This Row],[Year]]-1)
*tblBaseCF[[#This Row],[PolTermFlag]]</f>
        <v>55</v>
      </c>
      <c r="F76" s="57">
        <f ca="1">IF(tblBaseCF[[#This Row],[Year]]=1,1,OFFSET(tblBaseCF[[#This Row],[DeductFlag]],-1,0))
*tblBaseCF[[#This Row],[PolTermFlag]]</f>
        <v>0</v>
      </c>
      <c r="G7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6" s="57">
        <f ca="1">(tblBaseCF[[#This Row],[Year]]&lt;=acc_ben_term)
*tblBaseCF[[#This Row],[ContFlag]]</f>
        <v>0</v>
      </c>
      <c r="I76" s="57">
        <f ca="1">(tblBaseCF[[#This Row],[Year]]&lt;=tp_term)
*tblBaseCF[[#This Row],[ContFlag]]</f>
        <v>0</v>
      </c>
      <c r="J76" s="57">
        <f ca="1">(tblBaseCF[[#This Row],[Year]]&lt;=ep_term)
*tblBaseCF[[#This Row],[ContFlag]]</f>
        <v>0</v>
      </c>
      <c r="K76" s="57">
        <f ca="1">(tblBaseCF[[#This Row],[Year]]&lt;=em_load_term)*1</f>
        <v>0</v>
      </c>
      <c r="L76" s="57">
        <f ca="1">(tblBaseCF[[#This Row],[Year]]&lt;=pm_load_term)*1</f>
        <v>0</v>
      </c>
      <c r="M76" s="59">
        <f ca="1">IF(tblBaseCF[[#This Row],[Year]]=1,si,OFFSET(tblBaseCF[[#This Row],[EndSI]],-1,0))
*tblBaseCF[[#This Row],[ContFlag]]</f>
        <v>0</v>
      </c>
      <c r="N76" s="59">
        <f ca="1">OFFSET(tblBaseCF[[#This Row],[EndTAV]],-1,0)
*tblBaseCF[[#This Row],[ContFlag]]</f>
        <v>0</v>
      </c>
      <c r="O76" s="59">
        <f ca="1">OFFSET(tblBaseCF[[#This Row],[EndEAV]],-1,0)
*tblBaseCF[[#This Row],[ContFlag]]</f>
        <v>0</v>
      </c>
      <c r="P76" s="60">
        <f ca="1">tblBaseCF[[#This Row],[StartEAV]]+tblBaseCF[[#This Row],[StartTAV]]</f>
        <v>0</v>
      </c>
      <c r="Q76" s="61">
        <f ca="1">IFERROR(INDEX(tblJuvenileLienRate[Rate],MATCH(tblBaseCF[[#This Row],[Age]],tblJuvenileLienRate[Age],0)),1)
*tblBaseCF[[#This Row],[ContFlag]]</f>
        <v>0</v>
      </c>
      <c r="R7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6" s="62">
        <f ca="1">tblBaseCF[[#This Row],[StartSI]]*acc_ben_coeff*tblBaseCF[[#This Row],[JuvenileLienRate]]
*tblBaseCF[[#This Row],[AccBenTermFlag]]</f>
        <v>0</v>
      </c>
      <c r="T76" s="61">
        <f ca="1">(IFERROR(INDEX(tblSurrChrgRate[Rate],MATCH(tblBaseCF[[#This Row],[Year]],tblSurrChrgRate[Year],0)),0)
*tblBaseCF[[#This Row],[ContFlag]])</f>
        <v>0</v>
      </c>
      <c r="U76" s="60">
        <f ca="1">tp*tblBaseCF[[#This Row],[SrrChrgRate]]</f>
        <v>0</v>
      </c>
      <c r="V76" s="63">
        <f ca="1">MAX(tblBaseCF[[#This Row],[StartTAV]]-tblBaseCF[[#This Row],[SVChrg]],0)+tblBaseCF[[#This Row],[StartEAV]]</f>
        <v>0</v>
      </c>
      <c r="W76" s="59">
        <f ca="1">IFERROR(INDEX(tblWithdrawal_Output[Amount],MATCH(tblBaseCF[[#This Row],[Year]],tblWithdrawal_Output[Year],0)),0)
*tblBaseCF[[#This Row],[ContFlag]]</f>
        <v>0</v>
      </c>
      <c r="X76" s="59" t="b">
        <f ca="1">tblBaseCF[[#This Row],[WithdrawalInput]]&gt;0</f>
        <v>0</v>
      </c>
      <c r="Y76" s="59" t="b">
        <f ca="1">AND(tblBaseCF[[#This Row],[1stCheckProceed]],tblBaseCF[[#This Row],[WithdrawalInput]]&lt;=tblBaseCF[[#This Row],[StartPAV]])</f>
        <v>0</v>
      </c>
      <c r="Z76" s="59" t="b">
        <f ca="1">AND(tblBaseCF[[#This Row],[2ndCheckAmount]],(tblBaseCF[[#This Row],[StartPAV]]-tblBaseCF[[#This Row],[WithdrawalInput]])&gt;=min_pav_after_withdrawal)</f>
        <v>0</v>
      </c>
      <c r="AA7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6" s="59" t="b">
        <f ca="1">AND(tblBaseCF[[#This Row],[3rdCheckPAV]],tblBaseCF[[#This Row],[endSITest]]&gt;=min_base_si)</f>
        <v>0</v>
      </c>
      <c r="AC76" s="60">
        <f ca="1">tblBaseCF[[#This Row],[WithdrawalInput]]*tblBaseCF[[#This Row],[4thCheckSI]]</f>
        <v>0</v>
      </c>
      <c r="AD76" s="60">
        <f ca="1">MIN(tblBaseCF[[#This Row],[Withdrawal]],tblBaseCF[[#This Row],[StartEAV]])</f>
        <v>0</v>
      </c>
      <c r="AE76" s="60">
        <f ca="1">tblBaseCF[[#This Row],[Withdrawal]]-tblBaseCF[[#This Row],[EAVWithdrawal]]</f>
        <v>0</v>
      </c>
      <c r="AF76" s="60">
        <f ca="1">IF(tblBaseCF[[#This Row],[4thCheckSI]],tblBaseCF[[#This Row],[endSITest]],tblBaseCF[[#This Row],[StartSI]])</f>
        <v>0</v>
      </c>
      <c r="AG7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6" s="65">
        <f ca="1">IFERROR(INDEX(tblTPAllocChrgRate[Rate],MATCH(tblBaseCF[[#This Row],[Year]],tblTPAllocChrgRate[Year],0)),0)</f>
        <v>0.02</v>
      </c>
      <c r="AI76" s="62">
        <f ca="1">(tp+big_case_bonus_tp*(tblBaseCF[[#This Row],[Year]]=1))
*tblBaseCF[[#This Row],[TPTermFlag]]</f>
        <v>0</v>
      </c>
      <c r="AJ76" s="63">
        <f ca="1">tblBaseCF[[#This Row],[TP]]*tblBaseCF[[#This Row],[TPAllocChrgRate]]</f>
        <v>0</v>
      </c>
      <c r="AK76" s="60">
        <f ca="1">tblBaseCF[[#This Row],[TP]]-tblBaseCF[[#This Row],[TPAllocChrg]]</f>
        <v>0</v>
      </c>
      <c r="AL76" s="65">
        <f ca="1">IFERROR(INDEX(tblEPAllocChrgRate[Rate],MATCH(tblBaseCF[[#This Row],[Year]],tblEPAllocChrgRate[Year],0)),0)</f>
        <v>0.02</v>
      </c>
      <c r="AM76" s="60">
        <f ca="1">ep*tblBaseCF[[#This Row],[EPTermFlag]]</f>
        <v>0</v>
      </c>
      <c r="AN76" s="60">
        <f ca="1">tblBaseCF[[#This Row],[EP]]*tblBaseCF[[#This Row],[EPAllocChrgRate]]</f>
        <v>0</v>
      </c>
      <c r="AO76" s="63">
        <f ca="1">tblBaseCF[[#This Row],[EP]]-tblBaseCF[[#This Row],[EPAllocChrg]]</f>
        <v>0</v>
      </c>
      <c r="AP76" s="62">
        <f ca="1">tblBaseCF[[#This Row],[Ben]]*extra_prem_rate*em_load/1000/(1-tblBaseCF[[#This Row],[EPAllocChrgRate]])
*tblBaseCF[[#This Row],[EMLoadTermFlag]]</f>
        <v>0</v>
      </c>
      <c r="AQ76" s="62">
        <f ca="1">tblBaseCF[[#This Row],[Ben]]*pm_load/1000/(1-tblBaseCF[[#This Row],[EPAllocChrgRate]])
*tblBaseCF[[#This Row],[PMLoadTermFlag]]</f>
        <v>0</v>
      </c>
      <c r="AR76" s="60">
        <f ca="1">ROUNDUP(tblBaseCF[[#This Row],[UnroundedEMLoad]],-3)</f>
        <v>0</v>
      </c>
      <c r="AS76" s="62">
        <f ca="1">ROUNDUP(tblBaseCF[[#This Row],[Ben]]*pm_load/1000/(1-tblBaseCF[[#This Row],[EPAllocChrgRate]]),-3)
*tblBaseCF[[#This Row],[PMLoadTermFlag]]</f>
        <v>0</v>
      </c>
      <c r="AT76" s="60">
        <f ca="1">tblBaseCF[[#This Row],[EMLoad]]+tblBaseCF[[#This Row],[PMLoad]]</f>
        <v>0</v>
      </c>
      <c r="AU76" s="60">
        <f ca="1">tblBaseCF[[#This Row],[Load]]*tblBaseCF[[#This Row],[EPAllocChrgRate]]</f>
        <v>0</v>
      </c>
      <c r="AV76" s="60">
        <f ca="1">tblBaseCF[[#This Row],[Load]]-tblBaseCF[[#This Row],[LoadAllocChrg]]</f>
        <v>0</v>
      </c>
      <c r="AW76" s="60">
        <f ca="1">tblBaseCF[[#This Row],[TP]]+tblBaseCF[[#This Row],[EP]]+tblBaseCF[[#This Row],[Load]]</f>
        <v>0</v>
      </c>
      <c r="AX76" s="60">
        <f ca="1">tblBaseCF[[#This Row],[TPAllocChrg]]+tblBaseCF[[#This Row],[EPAllocChrg]]+tblBaseCF[[#This Row],[LoadAllocChrg]]</f>
        <v>0</v>
      </c>
      <c r="AY76" s="60">
        <f ca="1">tblBaseCF[[#This Row],[TPAlloc]]+tblBaseCF[[#This Row],[EPAlloc]]+tblBaseCF[[#This Row],[LoadAlloc]]</f>
        <v>0</v>
      </c>
      <c r="AZ76" s="60">
        <f ca="1">(OFFSET(tblBaseCF[[#This Row],[AccumTotalPrem]],-1,0)+tblBaseCF[[#This Row],[TotalPrem]])*tblBaseCF[[#This Row],[TPTermFlag]]</f>
        <v>0</v>
      </c>
      <c r="BA76" s="62">
        <f ca="1">(tblBaseCF[[#This Row],[StartTAV]]-tblBaseCF[[#This Row],[TAVWithdrawal]]+tblBaseCF[[#This Row],[TPAlloc]])
*tblBaseCF[[#This Row],[ContFlag]]</f>
        <v>0</v>
      </c>
      <c r="BB76" s="59">
        <f ca="1">(tblBaseCF[[#This Row],[StartEAV]]-tblBaseCF[[#This Row],[EAVWithdrawal]]+tblBaseCF[[#This Row],[EPAlloc]]+tblBaseCF[[#This Row],[LoadAlloc]])
*tblBaseCF[[#This Row],[ContFlag]]</f>
        <v>0</v>
      </c>
      <c r="BC76" s="59">
        <f ca="1">tblBaseCF[[#This Row],[TAVAfterWdrlAlloc]]+tblBaseCF[[#This Row],[EAVAfterWdrlAlloc]]</f>
        <v>0</v>
      </c>
      <c r="BD76" s="66">
        <f t="shared" si="6"/>
        <v>0</v>
      </c>
      <c r="BE76" s="67">
        <f>(1+tblBaseCF[[#This Row],[AnnualIntRate]])^(1/12)-1</f>
        <v>0</v>
      </c>
      <c r="BF76" s="68">
        <f>IFERROR(((1+tblBaseCF[[#This Row],[MonthlyIntRate]])^12-1)/12/(1-1/(1+tblBaseCF[[#This Row],[MonthlyIntRate]])),1)/(1+tblBaseCF[[#This Row],[AnnualIntRate]])</f>
        <v>1</v>
      </c>
      <c r="BG76" s="69">
        <f>PV(tblBaseCF[[#This Row],[MonthlyIntRate]],12,-1/12,,1)</f>
        <v>1</v>
      </c>
      <c r="BH76" s="60">
        <f ca="1">MAX(IF(death_tpd_option="A",tblBaseCF[[#This Row],[Ben]]-tblBaseCF[[#This Row],[StartPAV]],tblBaseCF[[#This Row],[Ben]]),0)</f>
        <v>0</v>
      </c>
      <c r="BI76" s="70">
        <f ca="1">IFERROR(INDEX(tblBaseCOIRate[Rate],MATCH(tblBaseCF[[#This Row],[Age]],tblBaseCOIRate[Age],0)),0)</f>
        <v>7.3300000000000604E-3</v>
      </c>
      <c r="BJ76" s="60">
        <f ca="1">tblBaseCF[[#This Row],[SAR]]*tblBaseCF[[#This Row],[COIRate]]</f>
        <v>0</v>
      </c>
      <c r="BK76" s="62">
        <f ca="1">em_load*tblBaseCF[[#This Row],[pStandardCOI]]
*tblBaseCF[[#This Row],[EMLoadTermFlag]]</f>
        <v>0</v>
      </c>
      <c r="BL76" s="62">
        <f ca="1">pm_load/1000*tblBaseCF[[#This Row],[SAR]]
*tblBaseCF[[#This Row],[PMLoadTermFlag]]</f>
        <v>0</v>
      </c>
      <c r="BM76" s="60">
        <f ca="1">tblBaseCF[[#This Row],[AccBen]]*monthly_acc_coi*12</f>
        <v>0</v>
      </c>
      <c r="BN76" s="60">
        <f ca="1">tblBaseCF[[#This Row],[pStandardCOI]]+tblBaseCF[[#This Row],[pEMLoadCOI]]+tblBaseCF[[#This Row],[pPMLoadCOI]]+tblBaseCF[[#This Row],[pAccCOI]]</f>
        <v>0</v>
      </c>
      <c r="BO76" s="62">
        <f ca="1">IFERROR(INDEX(tblAdminChrg[Amount],MATCH(tblBaseCF[[#This Row],[CalYear]],tblAdminChrg[Cal_Year],0)),0)
*tblBaseCF[[#This Row],[ContFlag]]</f>
        <v>0</v>
      </c>
      <c r="BP76" s="60">
        <f ca="1">tblBaseCF[[#This Row],[pMonthlyAdminChrg]]*12</f>
        <v>0</v>
      </c>
      <c r="BQ76" s="60">
        <f ca="1">tblBaseCF[[#This Row],[pCOI]]+tblBaseCF[[#This Row],[pAdminChrg]]</f>
        <v>0</v>
      </c>
      <c r="BR76" s="60">
        <f ca="1">tblBaseCF[[#This Row],[pNomDeduct]]*tblBaseCF[[#This Row],[Duean1m12]]</f>
        <v>0</v>
      </c>
      <c r="BS76" s="57">
        <f ca="1">(tblBaseCF[[#This Row],[PAVAfterWdrlAlloc]]&gt;=tblBaseCF[[#This Row],[pNomDeduct]])
*tblBaseCF[[#This Row],[ContFlag]]</f>
        <v>0</v>
      </c>
      <c r="BT76" s="60">
        <f ca="1">tblBaseCF[[#This Row],[pStandardCOI]]*tblBaseCF[[#This Row],[DeductFlag]]</f>
        <v>0</v>
      </c>
      <c r="BU76" s="60">
        <f ca="1">tblBaseCF[[#This Row],[pEMLoadCOI]]*tblBaseCF[[#This Row],[DeductFlag]]</f>
        <v>0</v>
      </c>
      <c r="BV76" s="60">
        <f ca="1">tblBaseCF[[#This Row],[pPMLoadCOI]]*tblBaseCF[[#This Row],[DeductFlag]]</f>
        <v>0</v>
      </c>
      <c r="BW76" s="60">
        <f ca="1">tblBaseCF[[#This Row],[pAccCOI]]*tblBaseCF[[#This Row],[DeductFlag]]</f>
        <v>0</v>
      </c>
      <c r="BX76" s="60">
        <f ca="1">tblBaseCF[[#This Row],[pCOI]]*tblBaseCF[[#This Row],[DeductFlag]]</f>
        <v>0</v>
      </c>
      <c r="BY76" s="60">
        <f ca="1">tblBaseCF[[#This Row],[pMonthlyAdminChrg]]*tblBaseCF[[#This Row],[DeductFlag]]</f>
        <v>0</v>
      </c>
      <c r="BZ76" s="60">
        <f ca="1">tblBaseCF[[#This Row],[pAdminChrg]]*tblBaseCF[[#This Row],[DeductFlag]]</f>
        <v>0</v>
      </c>
      <c r="CA76" s="60">
        <f ca="1">tblBaseCF[[#This Row],[pNomDeduct]]*tblBaseCF[[#This Row],[DeductFlag]]</f>
        <v>0</v>
      </c>
      <c r="CB76" s="60">
        <f ca="1">tblBaseCF[[#This Row],[pDeduct]]*tblBaseCF[[#This Row],[DeductFlag]]</f>
        <v>0</v>
      </c>
      <c r="CC76" s="60">
        <f ca="1">MIN(tblBaseCF[[#This Row],[TAVAfterWdrlAlloc]],tblBaseCF[[#This Row],[Deduct]])</f>
        <v>0</v>
      </c>
      <c r="CD76" s="60">
        <f ca="1">tblBaseCF[[#This Row],[Deduct]]-tblBaseCF[[#This Row],[TAVDeduct]]</f>
        <v>0</v>
      </c>
      <c r="CE76" s="69">
        <f ca="1">(tblBaseCF[[#This Row],[TAVAfterWdrlAlloc]]-tblBaseCF[[#This Row],[TAVDeduct]])*tblBaseCF[[#This Row],[AnnualIntRate]]
*tblBaseCF[[#This Row],[DeductFlag]]</f>
        <v>0</v>
      </c>
      <c r="CF76" s="69">
        <f ca="1">(tblBaseCF[[#This Row],[EAVAfterWdrlAlloc]]-tblBaseCF[[#This Row],[EAVDeduct]])*tblBaseCF[[#This Row],[AnnualIntRate]]
*tblBaseCF[[#This Row],[DeductFlag]]</f>
        <v>0</v>
      </c>
      <c r="CG76" s="69">
        <f ca="1">tblBaseCF[[#This Row],[TAVInt]]+tblBaseCF[[#This Row],[EAVInt]]</f>
        <v>0</v>
      </c>
      <c r="CH76" s="62">
        <f ca="1">IFERROR(INDEX(tblLBRate[Rate],MATCH(tblBaseCF[[#This Row],[Year]],tblLBRate[Year],0)),0)
*tblBaseCF[[#This Row],[DeductFlag]]</f>
        <v>0</v>
      </c>
      <c r="CI76" s="60">
        <f ca="1">IFERROR(SUM(OFFSET(tblBaseCF[[#This Row],[TAVWithdrawal]],0,0,-lb_review_period,1)),0)
*(tblBaseCF[[#This Row],[LBRate]]&gt;0)</f>
        <v>0</v>
      </c>
      <c r="CJ76" s="60">
        <f ca="1">(tblBaseCF[[#This Row],[LBRate]]&gt;0)*(tblBaseCF[[#This Row],[LBTAVWithdrawal]]=0)</f>
        <v>0</v>
      </c>
      <c r="CK76" s="62" cm="1">
        <f t="array" aca="1" ref="CK76" ca="1">IF(tblBaseCF[[#This Row],[LBFlag]],
_xlfn.SWITCH(base,
"ILP1",AVERAGE(OFFSET(tblBaseCF[TP],0,0,-lb_review_period,1)),tp),0)
*tblBaseCF[[#This Row],[LBFlag]]</f>
        <v>0</v>
      </c>
      <c r="CL76" s="62">
        <f ca="1">tblBaseCF[[#This Row],[LBBasis]]*tblBaseCF[[#This Row],[LBRate]]</f>
        <v>0</v>
      </c>
      <c r="CM76" s="57" cm="1">
        <f t="array" aca="1" ref="CM76" ca="1">_xlfn.SWITCH(base,
"ILP1",0,($AF176&lt;500000000)*1
+($AF176&gt;=500000000)*($AF176&lt;1000000000)*2
+($AF176&gt;=1000000000)*3)
*tblBaseCF[[#This Row],[DeductFlag]]</f>
        <v>0</v>
      </c>
      <c r="CN76" s="2" t="str">
        <f ca="1">IF(tblBaseCF[[#This Row],[DeductFlag]],base&amp;"_"&amp;tblBaseCF[[#This Row],[SBCode]]&amp;"_"&amp;tblBaseCF[[#This Row],[Year]],"")</f>
        <v/>
      </c>
      <c r="CO76" s="3">
        <f ca="1">IFERROR(INDEX(tblSBRate[Index],MATCH(tblBaseCF[[#This Row],[SBIndex]],tblSBRate[Rate],0)),0)</f>
        <v>0</v>
      </c>
      <c r="CP76" s="63">
        <f ca="1">IFERROR(SUM(OFFSET(tblBaseCF[[#This Row],[TAVWithdrawal]],0,0,-sb_review_period,1)),0)
*(tblBaseCF[[#This Row],[SBRate]]&gt;0)</f>
        <v>0</v>
      </c>
      <c r="CQ76" s="63">
        <f ca="1">(tblBaseCF[[#This Row],[SBRate]]&gt;0)*(tblBaseCF[[#This Row],[SBTAVWithdrawal]]=0)</f>
        <v>0</v>
      </c>
      <c r="CR76" s="59" cm="1">
        <f t="array" aca="1" ref="CR76" ca="1">IF(tblBaseCF[[#This Row],[LBFlag]],
_xlfn.SWITCH(base,
"ILP1",0,tp),0)*tblBaseCF[[#This Row],[SBFlag]]</f>
        <v>0</v>
      </c>
      <c r="CS76" s="63">
        <f ca="1">tblBaseCF[[#This Row],[SBBasis]]*tblBaseCF[[#This Row],[SBRate]]</f>
        <v>0</v>
      </c>
      <c r="CT76" s="63">
        <f ca="1">tblBaseCF[[#This Row],[LB]]+tblBaseCF[[#This Row],[SB]]</f>
        <v>0</v>
      </c>
      <c r="CU76" s="59">
        <f ca="1">tblBaseCF[[#This Row],[TAVAfterWdrlAlloc]]-tblBaseCF[[#This Row],[TAVDeduct]]+tblBaseCF[[#This Row],[TAVInt]]+tblBaseCF[[#This Row],[Bonus]]</f>
        <v>0</v>
      </c>
      <c r="CV76" s="59">
        <f ca="1">tblBaseCF[[#This Row],[EAVAfterWdrlAlloc]]-tblBaseCF[[#This Row],[EAVDeduct]]+tblBaseCF[[#This Row],[EAVInt]]</f>
        <v>0</v>
      </c>
      <c r="CW76" s="63">
        <f ca="1">tblBaseCF[[#This Row],[EndTAV]]+tblBaseCF[[#This Row],[EndEAV]]</f>
        <v>0</v>
      </c>
      <c r="CX76" s="59">
        <f ca="1">INDEX(tblPlanPrem[TP],2)
*tblBaseCF[[#This Row],[TPTermFlag]]</f>
        <v>0</v>
      </c>
      <c r="CY76" s="59">
        <f ca="1">INDEX(tblPlanPrem[EP],2)
*tblBaseCF[[#This Row],[TPTermFlag]]</f>
        <v>0</v>
      </c>
      <c r="CZ76" s="63">
        <f ca="1">ROUNDUP(tblBaseCF[[#This Row],[UnroundedEMLoad]]*INDEX(tblPlanPrem[Factor],2),-3)</f>
        <v>0</v>
      </c>
      <c r="DA76" s="63">
        <f ca="1">ROUNDUP(tblBaseCF[[#This Row],[UnroundedPMLoad]]*INDEX(tblPlanPrem[Factor],2),-3)</f>
        <v>0</v>
      </c>
      <c r="DB76" s="63">
        <f ca="1">tblBaseCF[[#This Row],[SemiAnnualEMLoad]]+tblBaseCF[[#This Row],[SemiAnnualPMLoad]]</f>
        <v>0</v>
      </c>
      <c r="DC76" s="63">
        <f ca="1">tblBaseCF[[#This Row],[SemiAnnualTP]]+tblBaseCF[[#This Row],[SemiAnnualEP]]+tblBaseCF[[#This Row],[SemiAnnualLoad]]</f>
        <v>0</v>
      </c>
      <c r="DD76" s="59">
        <f ca="1">INDEX(tblPlanPrem[TP],3)
*tblBaseCF[[#This Row],[TPTermFlag]]</f>
        <v>0</v>
      </c>
      <c r="DE76" s="59">
        <f ca="1">INDEX(tblPlanPrem[EP],3)
*tblBaseCF[[#This Row],[TPTermFlag]]</f>
        <v>0</v>
      </c>
      <c r="DF76" s="63">
        <f ca="1">ROUNDUP(tblBaseCF[[#This Row],[UnroundedEMLoad]]*INDEX(tblPlanPrem[Factor],3),-3)</f>
        <v>0</v>
      </c>
      <c r="DG76" s="63">
        <f ca="1">ROUNDUP(tblBaseCF[[#This Row],[UnroundedPMLoad]]*INDEX(tblPlanPrem[Factor],3),-3)</f>
        <v>0</v>
      </c>
      <c r="DH76" s="60">
        <f ca="1">tblBaseCF[[#This Row],[QuarterlyEMLoad]]+tblBaseCF[[#This Row],[QuarterlyPMLoad]]</f>
        <v>0</v>
      </c>
      <c r="DI76" s="60">
        <f ca="1">tblBaseCF[[#This Row],[QuarterlyTP]]+tblBaseCF[[#This Row],[QuarterlyEP]]+tblBaseCF[[#This Row],[QuarterlyLoad]]</f>
        <v>0</v>
      </c>
      <c r="DJ76" s="59">
        <f ca="1">INDEX(tblPlanPrem[TP],4)
*tblBaseCF[[#This Row],[TPTermFlag]]</f>
        <v>0</v>
      </c>
      <c r="DK76" s="59">
        <f ca="1">INDEX(tblPlanPrem[EP],4)
*tblBaseCF[[#This Row],[TPTermFlag]]</f>
        <v>0</v>
      </c>
      <c r="DL76" s="63">
        <f ca="1">ROUNDUP(tblBaseCF[[#This Row],[UnroundedEMLoad]]*INDEX(tblPlanPrem[Factor],4),-3)</f>
        <v>0</v>
      </c>
      <c r="DM76" s="63">
        <f ca="1">ROUNDUP(tblBaseCF[[#This Row],[UnroundedPMLoad]]*INDEX(tblPlanPrem[Factor],4),-3)</f>
        <v>0</v>
      </c>
      <c r="DN76" s="60">
        <f ca="1">tblBaseCF[[#This Row],[MonthlyEMLoad]]+tblBaseCF[[#This Row],[MonthlyPMLoad]]</f>
        <v>0</v>
      </c>
      <c r="DO76" s="63">
        <f ca="1">tblBaseCF[[#This Row],[MonthlyTP]]+tblBaseCF[[#This Row],[MonthlyEP]]+tblBaseCF[[#This Row],[MonthlyLoad]]</f>
        <v>0</v>
      </c>
      <c r="DP76" s="3"/>
      <c r="DS76">
        <f t="shared" si="7"/>
        <v>0</v>
      </c>
      <c r="DT76">
        <f t="shared" si="8"/>
        <v>0</v>
      </c>
      <c r="DU76">
        <f t="shared" si="9"/>
        <v>0</v>
      </c>
      <c r="DV76">
        <f ca="1">tblBaseCF[[#This Row],[Year]]</f>
        <v>56</v>
      </c>
      <c r="DW76">
        <f ca="1">tblBaseCF[[#This Row],[Age]]</f>
        <v>55</v>
      </c>
      <c r="DX76">
        <f ca="1">tblBaseCF[[#This Row],[ContFlag]]</f>
        <v>0</v>
      </c>
      <c r="DY76" t="str">
        <f ca="1">tblBaseCF[[#This Row],[ContLog]]</f>
        <v>Insufficient PAV for deduction - Discontinue.</v>
      </c>
      <c r="DZ76">
        <f ca="1">tblBaseCF[[#This Row],[StartTAV]]</f>
        <v>0</v>
      </c>
      <c r="EA76">
        <f ca="1">tblBaseCF[[#This Row],[StartEAV]]</f>
        <v>0</v>
      </c>
      <c r="EB76">
        <f ca="1">tblBaseCF[[#This Row],[StartPAV]]</f>
        <v>0</v>
      </c>
      <c r="EC76">
        <f ca="1">tblBaseCF[[#This Row],[SVChrg]]</f>
        <v>0</v>
      </c>
      <c r="ED76">
        <f ca="1">tblBaseCF[[#This Row],[SV]]</f>
        <v>0</v>
      </c>
      <c r="EE76">
        <f ca="1">tblBaseCF[[#This Row],[Ben]]</f>
        <v>0</v>
      </c>
      <c r="EF76">
        <f ca="1">tblBaseCF[[#This Row],[AccBen]]</f>
        <v>0</v>
      </c>
      <c r="EG76">
        <f ca="1">tblBaseCF[[#This Row],[WithdrawalInput]]</f>
        <v>0</v>
      </c>
      <c r="EH76" t="str">
        <f ca="1">tblBaseCF[[#This Row],[WithdrawalLog]]</f>
        <v>No withdrawal.</v>
      </c>
      <c r="EI76">
        <f ca="1">tblBaseCF[[#This Row],[TAVWithdrawal]]</f>
        <v>0</v>
      </c>
      <c r="EJ76">
        <f ca="1">tblBaseCF[[#This Row],[EAVWithdrawal]]</f>
        <v>0</v>
      </c>
      <c r="EK76">
        <f ca="1">tblBaseCF[[#This Row],[Withdrawal]]</f>
        <v>0</v>
      </c>
      <c r="EL76">
        <f ca="1">tblBaseCF[[#This Row],[TP]]</f>
        <v>0</v>
      </c>
      <c r="EM76">
        <f ca="1">tblBaseCF[[#This Row],[TPAllocChrg]]</f>
        <v>0</v>
      </c>
      <c r="EN76">
        <f ca="1">tblBaseCF[[#This Row],[TPAlloc]]</f>
        <v>0</v>
      </c>
      <c r="EO76">
        <f ca="1">tblBaseCF[[#This Row],[EP]]</f>
        <v>0</v>
      </c>
      <c r="EP76">
        <f ca="1">tblBaseCF[[#This Row],[EPAllocChrg]]</f>
        <v>0</v>
      </c>
      <c r="EQ76">
        <f ca="1">tblBaseCF[[#This Row],[EPAlloc]]</f>
        <v>0</v>
      </c>
      <c r="ER76">
        <f ca="1">tblBaseCF[[#This Row],[EMLoad]]</f>
        <v>0</v>
      </c>
      <c r="ES76">
        <f ca="1">tblBaseCF[[#This Row],[PMLoad]]</f>
        <v>0</v>
      </c>
      <c r="ET76">
        <f ca="1">tblBaseCF[[#This Row],[Load]]</f>
        <v>0</v>
      </c>
      <c r="EU76">
        <f ca="1">tblBaseCF[[#This Row],[LoadAllocChrg]]</f>
        <v>0</v>
      </c>
      <c r="EV76">
        <f ca="1">tblBaseCF[[#This Row],[LoadAlloc]]</f>
        <v>0</v>
      </c>
      <c r="EW76">
        <f ca="1">tblBaseCF[[#This Row],[TotalPrem]]</f>
        <v>0</v>
      </c>
      <c r="EX76">
        <f ca="1">tblBaseCF[[#This Row],[AllocChrg]]</f>
        <v>0</v>
      </c>
      <c r="EY76">
        <f ca="1">tblBaseCF[[#This Row],[Alloc]]</f>
        <v>0</v>
      </c>
      <c r="EZ76">
        <f ca="1">tblBaseCF[[#This Row],[AccumTotalPrem]]</f>
        <v>0</v>
      </c>
      <c r="FA76">
        <f>tblBaseCF[[#This Row],[AnnualIntRate]]</f>
        <v>0</v>
      </c>
      <c r="FB76" s="50">
        <f>tblBaseCF[[#This Row],[Duean1m12]]</f>
        <v>1</v>
      </c>
      <c r="FC76">
        <f ca="1">tblBaseCF[[#This Row],[DeductFlag]]</f>
        <v>0</v>
      </c>
      <c r="FD76">
        <f ca="1">tblBaseCF[[#This Row],[AdminChrg]]</f>
        <v>0</v>
      </c>
      <c r="FE76">
        <f ca="1">tblBaseCF[[#This Row],[StandardCOI]]</f>
        <v>0</v>
      </c>
      <c r="FF76">
        <f ca="1">tblBaseCF[[#This Row],[EMLoadCOI]]</f>
        <v>0</v>
      </c>
      <c r="FG76">
        <f ca="1">tblBaseCF[[#This Row],[PMLoadCOI]]</f>
        <v>0</v>
      </c>
      <c r="FH76">
        <f ca="1">tblBaseCF[[#This Row],[COI]]</f>
        <v>0</v>
      </c>
      <c r="FI76" s="47">
        <f ca="1">tblBaseCF[[#This Row],[NomDeduct]]</f>
        <v>0</v>
      </c>
      <c r="FJ76">
        <f ca="1">tblBaseCF[[#This Row],[Deduct]]</f>
        <v>0</v>
      </c>
      <c r="FK76">
        <f ca="1">tblBaseCF[[#This Row],[TAVDeduct]]</f>
        <v>0</v>
      </c>
      <c r="FL76">
        <f ca="1">tblBaseCF[[#This Row],[EAVDeduct]]</f>
        <v>0</v>
      </c>
      <c r="FM76" s="24">
        <f ca="1">tblBaseCF[[#This Row],[TAVInt]]</f>
        <v>0</v>
      </c>
      <c r="FN76">
        <f ca="1">tblBaseCF[[#This Row],[EAVInt]]</f>
        <v>0</v>
      </c>
      <c r="FO76" s="47">
        <f ca="1">tblBaseCF[[#This Row],[LB]]</f>
        <v>0</v>
      </c>
      <c r="FP76">
        <f ca="1">tblBaseCF[[#This Row],[SB]]</f>
        <v>0</v>
      </c>
      <c r="FQ76">
        <f ca="1">tblBaseCF[[#This Row],[Bonus]]</f>
        <v>0</v>
      </c>
      <c r="FR76">
        <f ca="1">tblBaseCF[[#This Row],[EndTAV]]</f>
        <v>0</v>
      </c>
      <c r="FS76">
        <f ca="1">tblBaseCF[[#This Row],[EndEAV]]</f>
        <v>0</v>
      </c>
      <c r="FT76">
        <f ca="1">tblBaseCF[[#This Row],[EndPAV]]</f>
        <v>0</v>
      </c>
      <c r="FU76">
        <f ca="1">tblBaseCF[[#This Row],[SemiAnnualTP]]</f>
        <v>0</v>
      </c>
      <c r="FV76">
        <f ca="1">tblBaseCF[[#This Row],[SemiAnnualEP]]</f>
        <v>0</v>
      </c>
      <c r="FW76">
        <f ca="1">tblBaseCF[[#This Row],[SemiAnnualEMLoad]]</f>
        <v>0</v>
      </c>
      <c r="FX76">
        <f ca="1">tblBaseCF[[#This Row],[SemiAnnualPMLoad]]</f>
        <v>0</v>
      </c>
      <c r="FY76">
        <f ca="1">tblBaseCF[[#This Row],[SemiAnnualLoad]]</f>
        <v>0</v>
      </c>
      <c r="FZ76">
        <f ca="1">tblBaseCF[[#This Row],[SemiAnnualTotalPrem]]</f>
        <v>0</v>
      </c>
      <c r="GA76">
        <f ca="1">tblBaseCF[[#This Row],[QuarterlyTP]]</f>
        <v>0</v>
      </c>
      <c r="GB76">
        <f ca="1">tblBaseCF[[#This Row],[QuarterlyEP]]</f>
        <v>0</v>
      </c>
      <c r="GC76">
        <f ca="1">tblBaseCF[[#This Row],[QuarterlyEMLoad]]</f>
        <v>0</v>
      </c>
      <c r="GD76">
        <f ca="1">tblBaseCF[[#This Row],[QuarterlyPMLoad]]</f>
        <v>0</v>
      </c>
      <c r="GE76">
        <f ca="1">tblBaseCF[[#This Row],[QuarterlyLoad]]</f>
        <v>0</v>
      </c>
      <c r="GF76">
        <f ca="1">tblBaseCF[[#This Row],[QuarterlyTotalPrem]]</f>
        <v>0</v>
      </c>
      <c r="GG76">
        <f ca="1">tblBaseCF[[#This Row],[MonthlyTP]]</f>
        <v>0</v>
      </c>
      <c r="GH76">
        <f ca="1">tblBaseCF[[#This Row],[MonthlyEP]]</f>
        <v>0</v>
      </c>
      <c r="GI76">
        <f ca="1">tblBaseCF[[#This Row],[MonthlyEMLoad]]</f>
        <v>0</v>
      </c>
      <c r="GJ76">
        <f ca="1">tblBaseCF[[#This Row],[MonthlyPMLoad]]</f>
        <v>0</v>
      </c>
      <c r="GK76">
        <f ca="1">tblBaseCF[[#This Row],[MonthlyLoad]]</f>
        <v>0</v>
      </c>
      <c r="GL76">
        <f ca="1">tblBaseCF[[#This Row],[MonthlyTotalPrem]]</f>
        <v>0</v>
      </c>
      <c r="GO76" t="s">
        <v>134</v>
      </c>
      <c r="GP76" t="s">
        <v>135</v>
      </c>
      <c r="GQ76" t="s">
        <v>502</v>
      </c>
      <c r="GR76">
        <v>56</v>
      </c>
      <c r="GS76">
        <v>55</v>
      </c>
      <c r="GT76">
        <v>1</v>
      </c>
      <c r="GU76" t="s">
        <v>457</v>
      </c>
      <c r="GV76">
        <v>201196095.60898501</v>
      </c>
      <c r="GW76">
        <v>1714937786.4200699</v>
      </c>
      <c r="GX76">
        <v>1916133882.0290501</v>
      </c>
      <c r="GY76">
        <v>0</v>
      </c>
      <c r="GZ76">
        <v>1916133882.0290501</v>
      </c>
      <c r="HA76">
        <v>1916133882.0290501</v>
      </c>
      <c r="HB76">
        <v>303000000</v>
      </c>
      <c r="HC76">
        <v>0</v>
      </c>
      <c r="HD76" t="s">
        <v>137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7.0000000000000007E-2</v>
      </c>
      <c r="HX76">
        <v>0.96964931039809399</v>
      </c>
      <c r="HY76">
        <v>1</v>
      </c>
      <c r="HZ76">
        <v>300000</v>
      </c>
      <c r="IA76">
        <v>0</v>
      </c>
      <c r="IB76">
        <v>0</v>
      </c>
      <c r="IC76">
        <v>0</v>
      </c>
      <c r="ID76">
        <v>272700</v>
      </c>
      <c r="IE76">
        <v>572700</v>
      </c>
      <c r="IF76">
        <v>555318.16006498795</v>
      </c>
      <c r="IG76">
        <v>555318.16006498795</v>
      </c>
      <c r="IH76">
        <v>0</v>
      </c>
      <c r="II76">
        <v>14044854.4214244</v>
      </c>
      <c r="IJ76">
        <v>120045645.04940499</v>
      </c>
      <c r="IK76">
        <v>0</v>
      </c>
      <c r="IL76">
        <v>0</v>
      </c>
      <c r="IM76">
        <v>0</v>
      </c>
      <c r="IN76">
        <v>214685631.87034401</v>
      </c>
      <c r="IO76">
        <v>1834983431.46947</v>
      </c>
      <c r="IP76">
        <v>2049669063.3398199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</row>
    <row r="77" spans="2:268" customFormat="1" x14ac:dyDescent="0.25">
      <c r="B77" s="2">
        <f ca="1">OFFSET(tblBaseCF[[#This Row],[Year]],-1,0)+1</f>
        <v>57</v>
      </c>
      <c r="C77" s="2">
        <f ca="1">(tblBaseCF[[#This Row],[Year]]&lt;=term)*1</f>
        <v>1</v>
      </c>
      <c r="D77" s="57">
        <f ca="1">(YEAR(rcd)+tblBaseCF[[#This Row],[Year]]-1)
*tblBaseCF[[#This Row],[PolTermFlag]]</f>
        <v>2081</v>
      </c>
      <c r="E77" s="57">
        <f ca="1">(mainLI_entry_age+tblBaseCF[[#This Row],[Year]]-1)
*tblBaseCF[[#This Row],[PolTermFlag]]</f>
        <v>56</v>
      </c>
      <c r="F77" s="57">
        <f ca="1">IF(tblBaseCF[[#This Row],[Year]]=1,1,OFFSET(tblBaseCF[[#This Row],[DeductFlag]],-1,0))
*tblBaseCF[[#This Row],[PolTermFlag]]</f>
        <v>0</v>
      </c>
      <c r="G7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7" s="57">
        <f ca="1">(tblBaseCF[[#This Row],[Year]]&lt;=acc_ben_term)
*tblBaseCF[[#This Row],[ContFlag]]</f>
        <v>0</v>
      </c>
      <c r="I77" s="57">
        <f ca="1">(tblBaseCF[[#This Row],[Year]]&lt;=tp_term)
*tblBaseCF[[#This Row],[ContFlag]]</f>
        <v>0</v>
      </c>
      <c r="J77" s="57">
        <f ca="1">(tblBaseCF[[#This Row],[Year]]&lt;=ep_term)
*tblBaseCF[[#This Row],[ContFlag]]</f>
        <v>0</v>
      </c>
      <c r="K77" s="57">
        <f ca="1">(tblBaseCF[[#This Row],[Year]]&lt;=em_load_term)*1</f>
        <v>0</v>
      </c>
      <c r="L77" s="57">
        <f ca="1">(tblBaseCF[[#This Row],[Year]]&lt;=pm_load_term)*1</f>
        <v>0</v>
      </c>
      <c r="M77" s="59">
        <f ca="1">IF(tblBaseCF[[#This Row],[Year]]=1,si,OFFSET(tblBaseCF[[#This Row],[EndSI]],-1,0))
*tblBaseCF[[#This Row],[ContFlag]]</f>
        <v>0</v>
      </c>
      <c r="N77" s="59">
        <f ca="1">OFFSET(tblBaseCF[[#This Row],[EndTAV]],-1,0)
*tblBaseCF[[#This Row],[ContFlag]]</f>
        <v>0</v>
      </c>
      <c r="O77" s="59">
        <f ca="1">OFFSET(tblBaseCF[[#This Row],[EndEAV]],-1,0)
*tblBaseCF[[#This Row],[ContFlag]]</f>
        <v>0</v>
      </c>
      <c r="P77" s="60">
        <f ca="1">tblBaseCF[[#This Row],[StartEAV]]+tblBaseCF[[#This Row],[StartTAV]]</f>
        <v>0</v>
      </c>
      <c r="Q77" s="61">
        <f ca="1">IFERROR(INDEX(tblJuvenileLienRate[Rate],MATCH(tblBaseCF[[#This Row],[Age]],tblJuvenileLienRate[Age],0)),1)
*tblBaseCF[[#This Row],[ContFlag]]</f>
        <v>0</v>
      </c>
      <c r="R7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7" s="62">
        <f ca="1">tblBaseCF[[#This Row],[StartSI]]*acc_ben_coeff*tblBaseCF[[#This Row],[JuvenileLienRate]]
*tblBaseCF[[#This Row],[AccBenTermFlag]]</f>
        <v>0</v>
      </c>
      <c r="T77" s="61">
        <f ca="1">(IFERROR(INDEX(tblSurrChrgRate[Rate],MATCH(tblBaseCF[[#This Row],[Year]],tblSurrChrgRate[Year],0)),0)
*tblBaseCF[[#This Row],[ContFlag]])</f>
        <v>0</v>
      </c>
      <c r="U77" s="60">
        <f ca="1">tp*tblBaseCF[[#This Row],[SrrChrgRate]]</f>
        <v>0</v>
      </c>
      <c r="V77" s="63">
        <f ca="1">MAX(tblBaseCF[[#This Row],[StartTAV]]-tblBaseCF[[#This Row],[SVChrg]],0)+tblBaseCF[[#This Row],[StartEAV]]</f>
        <v>0</v>
      </c>
      <c r="W77" s="59">
        <f ca="1">IFERROR(INDEX(tblWithdrawal_Output[Amount],MATCH(tblBaseCF[[#This Row],[Year]],tblWithdrawal_Output[Year],0)),0)
*tblBaseCF[[#This Row],[ContFlag]]</f>
        <v>0</v>
      </c>
      <c r="X77" s="59" t="b">
        <f ca="1">tblBaseCF[[#This Row],[WithdrawalInput]]&gt;0</f>
        <v>0</v>
      </c>
      <c r="Y77" s="59" t="b">
        <f ca="1">AND(tblBaseCF[[#This Row],[1stCheckProceed]],tblBaseCF[[#This Row],[WithdrawalInput]]&lt;=tblBaseCF[[#This Row],[StartPAV]])</f>
        <v>0</v>
      </c>
      <c r="Z77" s="59" t="b">
        <f ca="1">AND(tblBaseCF[[#This Row],[2ndCheckAmount]],(tblBaseCF[[#This Row],[StartPAV]]-tblBaseCF[[#This Row],[WithdrawalInput]])&gt;=min_pav_after_withdrawal)</f>
        <v>0</v>
      </c>
      <c r="AA7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7" s="59" t="b">
        <f ca="1">AND(tblBaseCF[[#This Row],[3rdCheckPAV]],tblBaseCF[[#This Row],[endSITest]]&gt;=min_base_si)</f>
        <v>0</v>
      </c>
      <c r="AC77" s="60">
        <f ca="1">tblBaseCF[[#This Row],[WithdrawalInput]]*tblBaseCF[[#This Row],[4thCheckSI]]</f>
        <v>0</v>
      </c>
      <c r="AD77" s="60">
        <f ca="1">MIN(tblBaseCF[[#This Row],[Withdrawal]],tblBaseCF[[#This Row],[StartEAV]])</f>
        <v>0</v>
      </c>
      <c r="AE77" s="60">
        <f ca="1">tblBaseCF[[#This Row],[Withdrawal]]-tblBaseCF[[#This Row],[EAVWithdrawal]]</f>
        <v>0</v>
      </c>
      <c r="AF77" s="60">
        <f ca="1">IF(tblBaseCF[[#This Row],[4thCheckSI]],tblBaseCF[[#This Row],[endSITest]],tblBaseCF[[#This Row],[StartSI]])</f>
        <v>0</v>
      </c>
      <c r="AG7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7" s="65">
        <f ca="1">IFERROR(INDEX(tblTPAllocChrgRate[Rate],MATCH(tblBaseCF[[#This Row],[Year]],tblTPAllocChrgRate[Year],0)),0)</f>
        <v>0.02</v>
      </c>
      <c r="AI77" s="62">
        <f ca="1">(tp+big_case_bonus_tp*(tblBaseCF[[#This Row],[Year]]=1))
*tblBaseCF[[#This Row],[TPTermFlag]]</f>
        <v>0</v>
      </c>
      <c r="AJ77" s="63">
        <f ca="1">tblBaseCF[[#This Row],[TP]]*tblBaseCF[[#This Row],[TPAllocChrgRate]]</f>
        <v>0</v>
      </c>
      <c r="AK77" s="60">
        <f ca="1">tblBaseCF[[#This Row],[TP]]-tblBaseCF[[#This Row],[TPAllocChrg]]</f>
        <v>0</v>
      </c>
      <c r="AL77" s="65">
        <f ca="1">IFERROR(INDEX(tblEPAllocChrgRate[Rate],MATCH(tblBaseCF[[#This Row],[Year]],tblEPAllocChrgRate[Year],0)),0)</f>
        <v>0.02</v>
      </c>
      <c r="AM77" s="60">
        <f ca="1">ep*tblBaseCF[[#This Row],[EPTermFlag]]</f>
        <v>0</v>
      </c>
      <c r="AN77" s="60">
        <f ca="1">tblBaseCF[[#This Row],[EP]]*tblBaseCF[[#This Row],[EPAllocChrgRate]]</f>
        <v>0</v>
      </c>
      <c r="AO77" s="63">
        <f ca="1">tblBaseCF[[#This Row],[EP]]-tblBaseCF[[#This Row],[EPAllocChrg]]</f>
        <v>0</v>
      </c>
      <c r="AP77" s="62">
        <f ca="1">tblBaseCF[[#This Row],[Ben]]*extra_prem_rate*em_load/1000/(1-tblBaseCF[[#This Row],[EPAllocChrgRate]])
*tblBaseCF[[#This Row],[EMLoadTermFlag]]</f>
        <v>0</v>
      </c>
      <c r="AQ77" s="62">
        <f ca="1">tblBaseCF[[#This Row],[Ben]]*pm_load/1000/(1-tblBaseCF[[#This Row],[EPAllocChrgRate]])
*tblBaseCF[[#This Row],[PMLoadTermFlag]]</f>
        <v>0</v>
      </c>
      <c r="AR77" s="60">
        <f ca="1">ROUNDUP(tblBaseCF[[#This Row],[UnroundedEMLoad]],-3)</f>
        <v>0</v>
      </c>
      <c r="AS77" s="62">
        <f ca="1">ROUNDUP(tblBaseCF[[#This Row],[Ben]]*pm_load/1000/(1-tblBaseCF[[#This Row],[EPAllocChrgRate]]),-3)
*tblBaseCF[[#This Row],[PMLoadTermFlag]]</f>
        <v>0</v>
      </c>
      <c r="AT77" s="60">
        <f ca="1">tblBaseCF[[#This Row],[EMLoad]]+tblBaseCF[[#This Row],[PMLoad]]</f>
        <v>0</v>
      </c>
      <c r="AU77" s="60">
        <f ca="1">tblBaseCF[[#This Row],[Load]]*tblBaseCF[[#This Row],[EPAllocChrgRate]]</f>
        <v>0</v>
      </c>
      <c r="AV77" s="60">
        <f ca="1">tblBaseCF[[#This Row],[Load]]-tblBaseCF[[#This Row],[LoadAllocChrg]]</f>
        <v>0</v>
      </c>
      <c r="AW77" s="60">
        <f ca="1">tblBaseCF[[#This Row],[TP]]+tblBaseCF[[#This Row],[EP]]+tblBaseCF[[#This Row],[Load]]</f>
        <v>0</v>
      </c>
      <c r="AX77" s="60">
        <f ca="1">tblBaseCF[[#This Row],[TPAllocChrg]]+tblBaseCF[[#This Row],[EPAllocChrg]]+tblBaseCF[[#This Row],[LoadAllocChrg]]</f>
        <v>0</v>
      </c>
      <c r="AY77" s="60">
        <f ca="1">tblBaseCF[[#This Row],[TPAlloc]]+tblBaseCF[[#This Row],[EPAlloc]]+tblBaseCF[[#This Row],[LoadAlloc]]</f>
        <v>0</v>
      </c>
      <c r="AZ77" s="60">
        <f ca="1">(OFFSET(tblBaseCF[[#This Row],[AccumTotalPrem]],-1,0)+tblBaseCF[[#This Row],[TotalPrem]])*tblBaseCF[[#This Row],[TPTermFlag]]</f>
        <v>0</v>
      </c>
      <c r="BA77" s="62">
        <f ca="1">(tblBaseCF[[#This Row],[StartTAV]]-tblBaseCF[[#This Row],[TAVWithdrawal]]+tblBaseCF[[#This Row],[TPAlloc]])
*tblBaseCF[[#This Row],[ContFlag]]</f>
        <v>0</v>
      </c>
      <c r="BB77" s="59">
        <f ca="1">(tblBaseCF[[#This Row],[StartEAV]]-tblBaseCF[[#This Row],[EAVWithdrawal]]+tblBaseCF[[#This Row],[EPAlloc]]+tblBaseCF[[#This Row],[LoadAlloc]])
*tblBaseCF[[#This Row],[ContFlag]]</f>
        <v>0</v>
      </c>
      <c r="BC77" s="59">
        <f ca="1">tblBaseCF[[#This Row],[TAVAfterWdrlAlloc]]+tblBaseCF[[#This Row],[EAVAfterWdrlAlloc]]</f>
        <v>0</v>
      </c>
      <c r="BD77" s="66">
        <f t="shared" si="6"/>
        <v>0</v>
      </c>
      <c r="BE77" s="67">
        <f>(1+tblBaseCF[[#This Row],[AnnualIntRate]])^(1/12)-1</f>
        <v>0</v>
      </c>
      <c r="BF77" s="68">
        <f>IFERROR(((1+tblBaseCF[[#This Row],[MonthlyIntRate]])^12-1)/12/(1-1/(1+tblBaseCF[[#This Row],[MonthlyIntRate]])),1)/(1+tblBaseCF[[#This Row],[AnnualIntRate]])</f>
        <v>1</v>
      </c>
      <c r="BG77" s="69">
        <f>PV(tblBaseCF[[#This Row],[MonthlyIntRate]],12,-1/12,,1)</f>
        <v>1</v>
      </c>
      <c r="BH77" s="60">
        <f ca="1">MAX(IF(death_tpd_option="A",tblBaseCF[[#This Row],[Ben]]-tblBaseCF[[#This Row],[StartPAV]],tblBaseCF[[#This Row],[Ben]]),0)</f>
        <v>0</v>
      </c>
      <c r="BI77" s="70">
        <f ca="1">IFERROR(INDEX(tblBaseCOIRate[Rate],MATCH(tblBaseCF[[#This Row],[Age]],tblBaseCOIRate[Age],0)),0)</f>
        <v>7.7999999999999198E-3</v>
      </c>
      <c r="BJ77" s="60">
        <f ca="1">tblBaseCF[[#This Row],[SAR]]*tblBaseCF[[#This Row],[COIRate]]</f>
        <v>0</v>
      </c>
      <c r="BK77" s="62">
        <f ca="1">em_load*tblBaseCF[[#This Row],[pStandardCOI]]
*tblBaseCF[[#This Row],[EMLoadTermFlag]]</f>
        <v>0</v>
      </c>
      <c r="BL77" s="62">
        <f ca="1">pm_load/1000*tblBaseCF[[#This Row],[SAR]]
*tblBaseCF[[#This Row],[PMLoadTermFlag]]</f>
        <v>0</v>
      </c>
      <c r="BM77" s="60">
        <f ca="1">tblBaseCF[[#This Row],[AccBen]]*monthly_acc_coi*12</f>
        <v>0</v>
      </c>
      <c r="BN77" s="60">
        <f ca="1">tblBaseCF[[#This Row],[pStandardCOI]]+tblBaseCF[[#This Row],[pEMLoadCOI]]+tblBaseCF[[#This Row],[pPMLoadCOI]]+tblBaseCF[[#This Row],[pAccCOI]]</f>
        <v>0</v>
      </c>
      <c r="BO77" s="62">
        <f ca="1">IFERROR(INDEX(tblAdminChrg[Amount],MATCH(tblBaseCF[[#This Row],[CalYear]],tblAdminChrg[Cal_Year],0)),0)
*tblBaseCF[[#This Row],[ContFlag]]</f>
        <v>0</v>
      </c>
      <c r="BP77" s="60">
        <f ca="1">tblBaseCF[[#This Row],[pMonthlyAdminChrg]]*12</f>
        <v>0</v>
      </c>
      <c r="BQ77" s="60">
        <f ca="1">tblBaseCF[[#This Row],[pCOI]]+tblBaseCF[[#This Row],[pAdminChrg]]</f>
        <v>0</v>
      </c>
      <c r="BR77" s="60">
        <f ca="1">tblBaseCF[[#This Row],[pNomDeduct]]*tblBaseCF[[#This Row],[Duean1m12]]</f>
        <v>0</v>
      </c>
      <c r="BS77" s="57">
        <f ca="1">(tblBaseCF[[#This Row],[PAVAfterWdrlAlloc]]&gt;=tblBaseCF[[#This Row],[pNomDeduct]])
*tblBaseCF[[#This Row],[ContFlag]]</f>
        <v>0</v>
      </c>
      <c r="BT77" s="60">
        <f ca="1">tblBaseCF[[#This Row],[pStandardCOI]]*tblBaseCF[[#This Row],[DeductFlag]]</f>
        <v>0</v>
      </c>
      <c r="BU77" s="60">
        <f ca="1">tblBaseCF[[#This Row],[pEMLoadCOI]]*tblBaseCF[[#This Row],[DeductFlag]]</f>
        <v>0</v>
      </c>
      <c r="BV77" s="60">
        <f ca="1">tblBaseCF[[#This Row],[pPMLoadCOI]]*tblBaseCF[[#This Row],[DeductFlag]]</f>
        <v>0</v>
      </c>
      <c r="BW77" s="60">
        <f ca="1">tblBaseCF[[#This Row],[pAccCOI]]*tblBaseCF[[#This Row],[DeductFlag]]</f>
        <v>0</v>
      </c>
      <c r="BX77" s="60">
        <f ca="1">tblBaseCF[[#This Row],[pCOI]]*tblBaseCF[[#This Row],[DeductFlag]]</f>
        <v>0</v>
      </c>
      <c r="BY77" s="60">
        <f ca="1">tblBaseCF[[#This Row],[pMonthlyAdminChrg]]*tblBaseCF[[#This Row],[DeductFlag]]</f>
        <v>0</v>
      </c>
      <c r="BZ77" s="60">
        <f ca="1">tblBaseCF[[#This Row],[pAdminChrg]]*tblBaseCF[[#This Row],[DeductFlag]]</f>
        <v>0</v>
      </c>
      <c r="CA77" s="60">
        <f ca="1">tblBaseCF[[#This Row],[pNomDeduct]]*tblBaseCF[[#This Row],[DeductFlag]]</f>
        <v>0</v>
      </c>
      <c r="CB77" s="60">
        <f ca="1">tblBaseCF[[#This Row],[pDeduct]]*tblBaseCF[[#This Row],[DeductFlag]]</f>
        <v>0</v>
      </c>
      <c r="CC77" s="60">
        <f ca="1">MIN(tblBaseCF[[#This Row],[TAVAfterWdrlAlloc]],tblBaseCF[[#This Row],[Deduct]])</f>
        <v>0</v>
      </c>
      <c r="CD77" s="60">
        <f ca="1">tblBaseCF[[#This Row],[Deduct]]-tblBaseCF[[#This Row],[TAVDeduct]]</f>
        <v>0</v>
      </c>
      <c r="CE77" s="69">
        <f ca="1">(tblBaseCF[[#This Row],[TAVAfterWdrlAlloc]]-tblBaseCF[[#This Row],[TAVDeduct]])*tblBaseCF[[#This Row],[AnnualIntRate]]
*tblBaseCF[[#This Row],[DeductFlag]]</f>
        <v>0</v>
      </c>
      <c r="CF77" s="69">
        <f ca="1">(tblBaseCF[[#This Row],[EAVAfterWdrlAlloc]]-tblBaseCF[[#This Row],[EAVDeduct]])*tblBaseCF[[#This Row],[AnnualIntRate]]
*tblBaseCF[[#This Row],[DeductFlag]]</f>
        <v>0</v>
      </c>
      <c r="CG77" s="69">
        <f ca="1">tblBaseCF[[#This Row],[TAVInt]]+tblBaseCF[[#This Row],[EAVInt]]</f>
        <v>0</v>
      </c>
      <c r="CH77" s="62">
        <f ca="1">IFERROR(INDEX(tblLBRate[Rate],MATCH(tblBaseCF[[#This Row],[Year]],tblLBRate[Year],0)),0)
*tblBaseCF[[#This Row],[DeductFlag]]</f>
        <v>0</v>
      </c>
      <c r="CI77" s="60">
        <f ca="1">IFERROR(SUM(OFFSET(tblBaseCF[[#This Row],[TAVWithdrawal]],0,0,-lb_review_period,1)),0)
*(tblBaseCF[[#This Row],[LBRate]]&gt;0)</f>
        <v>0</v>
      </c>
      <c r="CJ77" s="60">
        <f ca="1">(tblBaseCF[[#This Row],[LBRate]]&gt;0)*(tblBaseCF[[#This Row],[LBTAVWithdrawal]]=0)</f>
        <v>0</v>
      </c>
      <c r="CK77" s="62" cm="1">
        <f t="array" aca="1" ref="CK77" ca="1">IF(tblBaseCF[[#This Row],[LBFlag]],
_xlfn.SWITCH(base,
"ILP1",AVERAGE(OFFSET(tblBaseCF[TP],0,0,-lb_review_period,1)),tp),0)
*tblBaseCF[[#This Row],[LBFlag]]</f>
        <v>0</v>
      </c>
      <c r="CL77" s="62">
        <f ca="1">tblBaseCF[[#This Row],[LBBasis]]*tblBaseCF[[#This Row],[LBRate]]</f>
        <v>0</v>
      </c>
      <c r="CM77" s="57" cm="1">
        <f t="array" aca="1" ref="CM77" ca="1">_xlfn.SWITCH(base,
"ILP1",0,($AF177&lt;500000000)*1
+($AF177&gt;=500000000)*($AF177&lt;1000000000)*2
+($AF177&gt;=1000000000)*3)
*tblBaseCF[[#This Row],[DeductFlag]]</f>
        <v>0</v>
      </c>
      <c r="CN77" s="2" t="str">
        <f ca="1">IF(tblBaseCF[[#This Row],[DeductFlag]],base&amp;"_"&amp;tblBaseCF[[#This Row],[SBCode]]&amp;"_"&amp;tblBaseCF[[#This Row],[Year]],"")</f>
        <v/>
      </c>
      <c r="CO77" s="3">
        <f ca="1">IFERROR(INDEX(tblSBRate[Index],MATCH(tblBaseCF[[#This Row],[SBIndex]],tblSBRate[Rate],0)),0)</f>
        <v>0</v>
      </c>
      <c r="CP77" s="63">
        <f ca="1">IFERROR(SUM(OFFSET(tblBaseCF[[#This Row],[TAVWithdrawal]],0,0,-sb_review_period,1)),0)
*(tblBaseCF[[#This Row],[SBRate]]&gt;0)</f>
        <v>0</v>
      </c>
      <c r="CQ77" s="63">
        <f ca="1">(tblBaseCF[[#This Row],[SBRate]]&gt;0)*(tblBaseCF[[#This Row],[SBTAVWithdrawal]]=0)</f>
        <v>0</v>
      </c>
      <c r="CR77" s="59" cm="1">
        <f t="array" aca="1" ref="CR77" ca="1">IF(tblBaseCF[[#This Row],[LBFlag]],
_xlfn.SWITCH(base,
"ILP1",0,tp),0)*tblBaseCF[[#This Row],[SBFlag]]</f>
        <v>0</v>
      </c>
      <c r="CS77" s="63">
        <f ca="1">tblBaseCF[[#This Row],[SBBasis]]*tblBaseCF[[#This Row],[SBRate]]</f>
        <v>0</v>
      </c>
      <c r="CT77" s="63">
        <f ca="1">tblBaseCF[[#This Row],[LB]]+tblBaseCF[[#This Row],[SB]]</f>
        <v>0</v>
      </c>
      <c r="CU77" s="59">
        <f ca="1">tblBaseCF[[#This Row],[TAVAfterWdrlAlloc]]-tblBaseCF[[#This Row],[TAVDeduct]]+tblBaseCF[[#This Row],[TAVInt]]+tblBaseCF[[#This Row],[Bonus]]</f>
        <v>0</v>
      </c>
      <c r="CV77" s="59">
        <f ca="1">tblBaseCF[[#This Row],[EAVAfterWdrlAlloc]]-tblBaseCF[[#This Row],[EAVDeduct]]+tblBaseCF[[#This Row],[EAVInt]]</f>
        <v>0</v>
      </c>
      <c r="CW77" s="63">
        <f ca="1">tblBaseCF[[#This Row],[EndTAV]]+tblBaseCF[[#This Row],[EndEAV]]</f>
        <v>0</v>
      </c>
      <c r="CX77" s="59">
        <f ca="1">INDEX(tblPlanPrem[TP],2)
*tblBaseCF[[#This Row],[TPTermFlag]]</f>
        <v>0</v>
      </c>
      <c r="CY77" s="59">
        <f ca="1">INDEX(tblPlanPrem[EP],2)
*tblBaseCF[[#This Row],[TPTermFlag]]</f>
        <v>0</v>
      </c>
      <c r="CZ77" s="63">
        <f ca="1">ROUNDUP(tblBaseCF[[#This Row],[UnroundedEMLoad]]*INDEX(tblPlanPrem[Factor],2),-3)</f>
        <v>0</v>
      </c>
      <c r="DA77" s="63">
        <f ca="1">ROUNDUP(tblBaseCF[[#This Row],[UnroundedPMLoad]]*INDEX(tblPlanPrem[Factor],2),-3)</f>
        <v>0</v>
      </c>
      <c r="DB77" s="63">
        <f ca="1">tblBaseCF[[#This Row],[SemiAnnualEMLoad]]+tblBaseCF[[#This Row],[SemiAnnualPMLoad]]</f>
        <v>0</v>
      </c>
      <c r="DC77" s="63">
        <f ca="1">tblBaseCF[[#This Row],[SemiAnnualTP]]+tblBaseCF[[#This Row],[SemiAnnualEP]]+tblBaseCF[[#This Row],[SemiAnnualLoad]]</f>
        <v>0</v>
      </c>
      <c r="DD77" s="59">
        <f ca="1">INDEX(tblPlanPrem[TP],3)
*tblBaseCF[[#This Row],[TPTermFlag]]</f>
        <v>0</v>
      </c>
      <c r="DE77" s="59">
        <f ca="1">INDEX(tblPlanPrem[EP],3)
*tblBaseCF[[#This Row],[TPTermFlag]]</f>
        <v>0</v>
      </c>
      <c r="DF77" s="63">
        <f ca="1">ROUNDUP(tblBaseCF[[#This Row],[UnroundedEMLoad]]*INDEX(tblPlanPrem[Factor],3),-3)</f>
        <v>0</v>
      </c>
      <c r="DG77" s="63">
        <f ca="1">ROUNDUP(tblBaseCF[[#This Row],[UnroundedPMLoad]]*INDEX(tblPlanPrem[Factor],3),-3)</f>
        <v>0</v>
      </c>
      <c r="DH77" s="60">
        <f ca="1">tblBaseCF[[#This Row],[QuarterlyEMLoad]]+tblBaseCF[[#This Row],[QuarterlyPMLoad]]</f>
        <v>0</v>
      </c>
      <c r="DI77" s="60">
        <f ca="1">tblBaseCF[[#This Row],[QuarterlyTP]]+tblBaseCF[[#This Row],[QuarterlyEP]]+tblBaseCF[[#This Row],[QuarterlyLoad]]</f>
        <v>0</v>
      </c>
      <c r="DJ77" s="59">
        <f ca="1">INDEX(tblPlanPrem[TP],4)
*tblBaseCF[[#This Row],[TPTermFlag]]</f>
        <v>0</v>
      </c>
      <c r="DK77" s="59">
        <f ca="1">INDEX(tblPlanPrem[EP],4)
*tblBaseCF[[#This Row],[TPTermFlag]]</f>
        <v>0</v>
      </c>
      <c r="DL77" s="63">
        <f ca="1">ROUNDUP(tblBaseCF[[#This Row],[UnroundedEMLoad]]*INDEX(tblPlanPrem[Factor],4),-3)</f>
        <v>0</v>
      </c>
      <c r="DM77" s="63">
        <f ca="1">ROUNDUP(tblBaseCF[[#This Row],[UnroundedPMLoad]]*INDEX(tblPlanPrem[Factor],4),-3)</f>
        <v>0</v>
      </c>
      <c r="DN77" s="60">
        <f ca="1">tblBaseCF[[#This Row],[MonthlyEMLoad]]+tblBaseCF[[#This Row],[MonthlyPMLoad]]</f>
        <v>0</v>
      </c>
      <c r="DO77" s="63">
        <f ca="1">tblBaseCF[[#This Row],[MonthlyTP]]+tblBaseCF[[#This Row],[MonthlyEP]]+tblBaseCF[[#This Row],[MonthlyLoad]]</f>
        <v>0</v>
      </c>
      <c r="DP77" s="3"/>
      <c r="DS77">
        <f t="shared" si="7"/>
        <v>0</v>
      </c>
      <c r="DT77">
        <f t="shared" si="8"/>
        <v>0</v>
      </c>
      <c r="DU77">
        <f t="shared" si="9"/>
        <v>0</v>
      </c>
      <c r="DV77">
        <f ca="1">tblBaseCF[[#This Row],[Year]]</f>
        <v>57</v>
      </c>
      <c r="DW77">
        <f ca="1">tblBaseCF[[#This Row],[Age]]</f>
        <v>56</v>
      </c>
      <c r="DX77">
        <f ca="1">tblBaseCF[[#This Row],[ContFlag]]</f>
        <v>0</v>
      </c>
      <c r="DY77" t="str">
        <f ca="1">tblBaseCF[[#This Row],[ContLog]]</f>
        <v>Insufficient PAV for deduction - Discontinue.</v>
      </c>
      <c r="DZ77">
        <f ca="1">tblBaseCF[[#This Row],[StartTAV]]</f>
        <v>0</v>
      </c>
      <c r="EA77">
        <f ca="1">tblBaseCF[[#This Row],[StartEAV]]</f>
        <v>0</v>
      </c>
      <c r="EB77">
        <f ca="1">tblBaseCF[[#This Row],[StartPAV]]</f>
        <v>0</v>
      </c>
      <c r="EC77">
        <f ca="1">tblBaseCF[[#This Row],[SVChrg]]</f>
        <v>0</v>
      </c>
      <c r="ED77">
        <f ca="1">tblBaseCF[[#This Row],[SV]]</f>
        <v>0</v>
      </c>
      <c r="EE77">
        <f ca="1">tblBaseCF[[#This Row],[Ben]]</f>
        <v>0</v>
      </c>
      <c r="EF77">
        <f ca="1">tblBaseCF[[#This Row],[AccBen]]</f>
        <v>0</v>
      </c>
      <c r="EG77">
        <f ca="1">tblBaseCF[[#This Row],[WithdrawalInput]]</f>
        <v>0</v>
      </c>
      <c r="EH77" t="str">
        <f ca="1">tblBaseCF[[#This Row],[WithdrawalLog]]</f>
        <v>No withdrawal.</v>
      </c>
      <c r="EI77">
        <f ca="1">tblBaseCF[[#This Row],[TAVWithdrawal]]</f>
        <v>0</v>
      </c>
      <c r="EJ77">
        <f ca="1">tblBaseCF[[#This Row],[EAVWithdrawal]]</f>
        <v>0</v>
      </c>
      <c r="EK77">
        <f ca="1">tblBaseCF[[#This Row],[Withdrawal]]</f>
        <v>0</v>
      </c>
      <c r="EL77">
        <f ca="1">tblBaseCF[[#This Row],[TP]]</f>
        <v>0</v>
      </c>
      <c r="EM77">
        <f ca="1">tblBaseCF[[#This Row],[TPAllocChrg]]</f>
        <v>0</v>
      </c>
      <c r="EN77">
        <f ca="1">tblBaseCF[[#This Row],[TPAlloc]]</f>
        <v>0</v>
      </c>
      <c r="EO77">
        <f ca="1">tblBaseCF[[#This Row],[EP]]</f>
        <v>0</v>
      </c>
      <c r="EP77">
        <f ca="1">tblBaseCF[[#This Row],[EPAllocChrg]]</f>
        <v>0</v>
      </c>
      <c r="EQ77">
        <f ca="1">tblBaseCF[[#This Row],[EPAlloc]]</f>
        <v>0</v>
      </c>
      <c r="ER77">
        <f ca="1">tblBaseCF[[#This Row],[EMLoad]]</f>
        <v>0</v>
      </c>
      <c r="ES77">
        <f ca="1">tblBaseCF[[#This Row],[PMLoad]]</f>
        <v>0</v>
      </c>
      <c r="ET77">
        <f ca="1">tblBaseCF[[#This Row],[Load]]</f>
        <v>0</v>
      </c>
      <c r="EU77">
        <f ca="1">tblBaseCF[[#This Row],[LoadAllocChrg]]</f>
        <v>0</v>
      </c>
      <c r="EV77">
        <f ca="1">tblBaseCF[[#This Row],[LoadAlloc]]</f>
        <v>0</v>
      </c>
      <c r="EW77">
        <f ca="1">tblBaseCF[[#This Row],[TotalPrem]]</f>
        <v>0</v>
      </c>
      <c r="EX77">
        <f ca="1">tblBaseCF[[#This Row],[AllocChrg]]</f>
        <v>0</v>
      </c>
      <c r="EY77">
        <f ca="1">tblBaseCF[[#This Row],[Alloc]]</f>
        <v>0</v>
      </c>
      <c r="EZ77">
        <f ca="1">tblBaseCF[[#This Row],[AccumTotalPrem]]</f>
        <v>0</v>
      </c>
      <c r="FA77">
        <f>tblBaseCF[[#This Row],[AnnualIntRate]]</f>
        <v>0</v>
      </c>
      <c r="FB77" s="50">
        <f>tblBaseCF[[#This Row],[Duean1m12]]</f>
        <v>1</v>
      </c>
      <c r="FC77">
        <f ca="1">tblBaseCF[[#This Row],[DeductFlag]]</f>
        <v>0</v>
      </c>
      <c r="FD77">
        <f ca="1">tblBaseCF[[#This Row],[AdminChrg]]</f>
        <v>0</v>
      </c>
      <c r="FE77">
        <f ca="1">tblBaseCF[[#This Row],[StandardCOI]]</f>
        <v>0</v>
      </c>
      <c r="FF77">
        <f ca="1">tblBaseCF[[#This Row],[EMLoadCOI]]</f>
        <v>0</v>
      </c>
      <c r="FG77">
        <f ca="1">tblBaseCF[[#This Row],[PMLoadCOI]]</f>
        <v>0</v>
      </c>
      <c r="FH77">
        <f ca="1">tblBaseCF[[#This Row],[COI]]</f>
        <v>0</v>
      </c>
      <c r="FI77" s="47">
        <f ca="1">tblBaseCF[[#This Row],[NomDeduct]]</f>
        <v>0</v>
      </c>
      <c r="FJ77">
        <f ca="1">tblBaseCF[[#This Row],[Deduct]]</f>
        <v>0</v>
      </c>
      <c r="FK77">
        <f ca="1">tblBaseCF[[#This Row],[TAVDeduct]]</f>
        <v>0</v>
      </c>
      <c r="FL77">
        <f ca="1">tblBaseCF[[#This Row],[EAVDeduct]]</f>
        <v>0</v>
      </c>
      <c r="FM77" s="24">
        <f ca="1">tblBaseCF[[#This Row],[TAVInt]]</f>
        <v>0</v>
      </c>
      <c r="FN77">
        <f ca="1">tblBaseCF[[#This Row],[EAVInt]]</f>
        <v>0</v>
      </c>
      <c r="FO77" s="47">
        <f ca="1">tblBaseCF[[#This Row],[LB]]</f>
        <v>0</v>
      </c>
      <c r="FP77">
        <f ca="1">tblBaseCF[[#This Row],[SB]]</f>
        <v>0</v>
      </c>
      <c r="FQ77">
        <f ca="1">tblBaseCF[[#This Row],[Bonus]]</f>
        <v>0</v>
      </c>
      <c r="FR77">
        <f ca="1">tblBaseCF[[#This Row],[EndTAV]]</f>
        <v>0</v>
      </c>
      <c r="FS77">
        <f ca="1">tblBaseCF[[#This Row],[EndEAV]]</f>
        <v>0</v>
      </c>
      <c r="FT77">
        <f ca="1">tblBaseCF[[#This Row],[EndPAV]]</f>
        <v>0</v>
      </c>
      <c r="FU77">
        <f ca="1">tblBaseCF[[#This Row],[SemiAnnualTP]]</f>
        <v>0</v>
      </c>
      <c r="FV77">
        <f ca="1">tblBaseCF[[#This Row],[SemiAnnualEP]]</f>
        <v>0</v>
      </c>
      <c r="FW77">
        <f ca="1">tblBaseCF[[#This Row],[SemiAnnualEMLoad]]</f>
        <v>0</v>
      </c>
      <c r="FX77">
        <f ca="1">tblBaseCF[[#This Row],[SemiAnnualPMLoad]]</f>
        <v>0</v>
      </c>
      <c r="FY77">
        <f ca="1">tblBaseCF[[#This Row],[SemiAnnualLoad]]</f>
        <v>0</v>
      </c>
      <c r="FZ77">
        <f ca="1">tblBaseCF[[#This Row],[SemiAnnualTotalPrem]]</f>
        <v>0</v>
      </c>
      <c r="GA77">
        <f ca="1">tblBaseCF[[#This Row],[QuarterlyTP]]</f>
        <v>0</v>
      </c>
      <c r="GB77">
        <f ca="1">tblBaseCF[[#This Row],[QuarterlyEP]]</f>
        <v>0</v>
      </c>
      <c r="GC77">
        <f ca="1">tblBaseCF[[#This Row],[QuarterlyEMLoad]]</f>
        <v>0</v>
      </c>
      <c r="GD77">
        <f ca="1">tblBaseCF[[#This Row],[QuarterlyPMLoad]]</f>
        <v>0</v>
      </c>
      <c r="GE77">
        <f ca="1">tblBaseCF[[#This Row],[QuarterlyLoad]]</f>
        <v>0</v>
      </c>
      <c r="GF77">
        <f ca="1">tblBaseCF[[#This Row],[QuarterlyTotalPrem]]</f>
        <v>0</v>
      </c>
      <c r="GG77">
        <f ca="1">tblBaseCF[[#This Row],[MonthlyTP]]</f>
        <v>0</v>
      </c>
      <c r="GH77">
        <f ca="1">tblBaseCF[[#This Row],[MonthlyEP]]</f>
        <v>0</v>
      </c>
      <c r="GI77">
        <f ca="1">tblBaseCF[[#This Row],[MonthlyEMLoad]]</f>
        <v>0</v>
      </c>
      <c r="GJ77">
        <f ca="1">tblBaseCF[[#This Row],[MonthlyPMLoad]]</f>
        <v>0</v>
      </c>
      <c r="GK77">
        <f ca="1">tblBaseCF[[#This Row],[MonthlyLoad]]</f>
        <v>0</v>
      </c>
      <c r="GL77">
        <f ca="1">tblBaseCF[[#This Row],[MonthlyTotalPrem]]</f>
        <v>0</v>
      </c>
      <c r="GO77" t="s">
        <v>134</v>
      </c>
      <c r="GP77" t="s">
        <v>135</v>
      </c>
      <c r="GQ77" t="s">
        <v>502</v>
      </c>
      <c r="GR77">
        <v>57</v>
      </c>
      <c r="GS77">
        <v>56</v>
      </c>
      <c r="GT77">
        <v>1</v>
      </c>
      <c r="GU77" t="s">
        <v>457</v>
      </c>
      <c r="GV77">
        <v>214685631.87034401</v>
      </c>
      <c r="GW77">
        <v>1834983431.46947</v>
      </c>
      <c r="GX77">
        <v>2049669063.3398199</v>
      </c>
      <c r="GY77">
        <v>0</v>
      </c>
      <c r="GZ77">
        <v>2049669063.3398199</v>
      </c>
      <c r="HA77">
        <v>2049669063.3398199</v>
      </c>
      <c r="HB77">
        <v>303000000</v>
      </c>
      <c r="HC77">
        <v>0</v>
      </c>
      <c r="HD77" t="s">
        <v>137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7.0000000000000007E-2</v>
      </c>
      <c r="HX77">
        <v>0.96964931039809399</v>
      </c>
      <c r="HY77">
        <v>1</v>
      </c>
      <c r="HZ77">
        <v>300000</v>
      </c>
      <c r="IA77">
        <v>0</v>
      </c>
      <c r="IB77">
        <v>0</v>
      </c>
      <c r="IC77">
        <v>0</v>
      </c>
      <c r="ID77">
        <v>272700</v>
      </c>
      <c r="IE77">
        <v>572700</v>
      </c>
      <c r="IF77">
        <v>555318.16006498795</v>
      </c>
      <c r="IG77">
        <v>555318.16006498795</v>
      </c>
      <c r="IH77">
        <v>0</v>
      </c>
      <c r="II77">
        <v>14989121.9597195</v>
      </c>
      <c r="IJ77">
        <v>128448840.20286299</v>
      </c>
      <c r="IK77">
        <v>0</v>
      </c>
      <c r="IL77">
        <v>0</v>
      </c>
      <c r="IM77">
        <v>0</v>
      </c>
      <c r="IN77">
        <v>229119435.66999799</v>
      </c>
      <c r="IO77">
        <v>1963432271.6723399</v>
      </c>
      <c r="IP77">
        <v>2192551707.34233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</row>
    <row r="78" spans="2:268" customFormat="1" x14ac:dyDescent="0.25">
      <c r="B78" s="2">
        <f ca="1">OFFSET(tblBaseCF[[#This Row],[Year]],-1,0)+1</f>
        <v>58</v>
      </c>
      <c r="C78" s="2">
        <f ca="1">(tblBaseCF[[#This Row],[Year]]&lt;=term)*1</f>
        <v>1</v>
      </c>
      <c r="D78" s="57">
        <f ca="1">(YEAR(rcd)+tblBaseCF[[#This Row],[Year]]-1)
*tblBaseCF[[#This Row],[PolTermFlag]]</f>
        <v>2082</v>
      </c>
      <c r="E78" s="57">
        <f ca="1">(mainLI_entry_age+tblBaseCF[[#This Row],[Year]]-1)
*tblBaseCF[[#This Row],[PolTermFlag]]</f>
        <v>57</v>
      </c>
      <c r="F78" s="57">
        <f ca="1">IF(tblBaseCF[[#This Row],[Year]]=1,1,OFFSET(tblBaseCF[[#This Row],[DeductFlag]],-1,0))
*tblBaseCF[[#This Row],[PolTermFlag]]</f>
        <v>0</v>
      </c>
      <c r="G7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8" s="57">
        <f ca="1">(tblBaseCF[[#This Row],[Year]]&lt;=acc_ben_term)
*tblBaseCF[[#This Row],[ContFlag]]</f>
        <v>0</v>
      </c>
      <c r="I78" s="57">
        <f ca="1">(tblBaseCF[[#This Row],[Year]]&lt;=tp_term)
*tblBaseCF[[#This Row],[ContFlag]]</f>
        <v>0</v>
      </c>
      <c r="J78" s="57">
        <f ca="1">(tblBaseCF[[#This Row],[Year]]&lt;=ep_term)
*tblBaseCF[[#This Row],[ContFlag]]</f>
        <v>0</v>
      </c>
      <c r="K78" s="57">
        <f ca="1">(tblBaseCF[[#This Row],[Year]]&lt;=em_load_term)*1</f>
        <v>0</v>
      </c>
      <c r="L78" s="57">
        <f ca="1">(tblBaseCF[[#This Row],[Year]]&lt;=pm_load_term)*1</f>
        <v>0</v>
      </c>
      <c r="M78" s="59">
        <f ca="1">IF(tblBaseCF[[#This Row],[Year]]=1,si,OFFSET(tblBaseCF[[#This Row],[EndSI]],-1,0))
*tblBaseCF[[#This Row],[ContFlag]]</f>
        <v>0</v>
      </c>
      <c r="N78" s="59">
        <f ca="1">OFFSET(tblBaseCF[[#This Row],[EndTAV]],-1,0)
*tblBaseCF[[#This Row],[ContFlag]]</f>
        <v>0</v>
      </c>
      <c r="O78" s="59">
        <f ca="1">OFFSET(tblBaseCF[[#This Row],[EndEAV]],-1,0)
*tblBaseCF[[#This Row],[ContFlag]]</f>
        <v>0</v>
      </c>
      <c r="P78" s="60">
        <f ca="1">tblBaseCF[[#This Row],[StartEAV]]+tblBaseCF[[#This Row],[StartTAV]]</f>
        <v>0</v>
      </c>
      <c r="Q78" s="61">
        <f ca="1">IFERROR(INDEX(tblJuvenileLienRate[Rate],MATCH(tblBaseCF[[#This Row],[Age]],tblJuvenileLienRate[Age],0)),1)
*tblBaseCF[[#This Row],[ContFlag]]</f>
        <v>0</v>
      </c>
      <c r="R7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8" s="62">
        <f ca="1">tblBaseCF[[#This Row],[StartSI]]*acc_ben_coeff*tblBaseCF[[#This Row],[JuvenileLienRate]]
*tblBaseCF[[#This Row],[AccBenTermFlag]]</f>
        <v>0</v>
      </c>
      <c r="T78" s="61">
        <f ca="1">(IFERROR(INDEX(tblSurrChrgRate[Rate],MATCH(tblBaseCF[[#This Row],[Year]],tblSurrChrgRate[Year],0)),0)
*tblBaseCF[[#This Row],[ContFlag]])</f>
        <v>0</v>
      </c>
      <c r="U78" s="60">
        <f ca="1">tp*tblBaseCF[[#This Row],[SrrChrgRate]]</f>
        <v>0</v>
      </c>
      <c r="V78" s="63">
        <f ca="1">MAX(tblBaseCF[[#This Row],[StartTAV]]-tblBaseCF[[#This Row],[SVChrg]],0)+tblBaseCF[[#This Row],[StartEAV]]</f>
        <v>0</v>
      </c>
      <c r="W78" s="59">
        <f ca="1">IFERROR(INDEX(tblWithdrawal_Output[Amount],MATCH(tblBaseCF[[#This Row],[Year]],tblWithdrawal_Output[Year],0)),0)
*tblBaseCF[[#This Row],[ContFlag]]</f>
        <v>0</v>
      </c>
      <c r="X78" s="59" t="b">
        <f ca="1">tblBaseCF[[#This Row],[WithdrawalInput]]&gt;0</f>
        <v>0</v>
      </c>
      <c r="Y78" s="59" t="b">
        <f ca="1">AND(tblBaseCF[[#This Row],[1stCheckProceed]],tblBaseCF[[#This Row],[WithdrawalInput]]&lt;=tblBaseCF[[#This Row],[StartPAV]])</f>
        <v>0</v>
      </c>
      <c r="Z78" s="59" t="b">
        <f ca="1">AND(tblBaseCF[[#This Row],[2ndCheckAmount]],(tblBaseCF[[#This Row],[StartPAV]]-tblBaseCF[[#This Row],[WithdrawalInput]])&gt;=min_pav_after_withdrawal)</f>
        <v>0</v>
      </c>
      <c r="AA7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8" s="59" t="b">
        <f ca="1">AND(tblBaseCF[[#This Row],[3rdCheckPAV]],tblBaseCF[[#This Row],[endSITest]]&gt;=min_base_si)</f>
        <v>0</v>
      </c>
      <c r="AC78" s="60">
        <f ca="1">tblBaseCF[[#This Row],[WithdrawalInput]]*tblBaseCF[[#This Row],[4thCheckSI]]</f>
        <v>0</v>
      </c>
      <c r="AD78" s="60">
        <f ca="1">MIN(tblBaseCF[[#This Row],[Withdrawal]],tblBaseCF[[#This Row],[StartEAV]])</f>
        <v>0</v>
      </c>
      <c r="AE78" s="60">
        <f ca="1">tblBaseCF[[#This Row],[Withdrawal]]-tblBaseCF[[#This Row],[EAVWithdrawal]]</f>
        <v>0</v>
      </c>
      <c r="AF78" s="60">
        <f ca="1">IF(tblBaseCF[[#This Row],[4thCheckSI]],tblBaseCF[[#This Row],[endSITest]],tblBaseCF[[#This Row],[StartSI]])</f>
        <v>0</v>
      </c>
      <c r="AG7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8" s="65">
        <f ca="1">IFERROR(INDEX(tblTPAllocChrgRate[Rate],MATCH(tblBaseCF[[#This Row],[Year]],tblTPAllocChrgRate[Year],0)),0)</f>
        <v>0.02</v>
      </c>
      <c r="AI78" s="62">
        <f ca="1">(tp+big_case_bonus_tp*(tblBaseCF[[#This Row],[Year]]=1))
*tblBaseCF[[#This Row],[TPTermFlag]]</f>
        <v>0</v>
      </c>
      <c r="AJ78" s="63">
        <f ca="1">tblBaseCF[[#This Row],[TP]]*tblBaseCF[[#This Row],[TPAllocChrgRate]]</f>
        <v>0</v>
      </c>
      <c r="AK78" s="60">
        <f ca="1">tblBaseCF[[#This Row],[TP]]-tblBaseCF[[#This Row],[TPAllocChrg]]</f>
        <v>0</v>
      </c>
      <c r="AL78" s="65">
        <f ca="1">IFERROR(INDEX(tblEPAllocChrgRate[Rate],MATCH(tblBaseCF[[#This Row],[Year]],tblEPAllocChrgRate[Year],0)),0)</f>
        <v>0.02</v>
      </c>
      <c r="AM78" s="60">
        <f ca="1">ep*tblBaseCF[[#This Row],[EPTermFlag]]</f>
        <v>0</v>
      </c>
      <c r="AN78" s="60">
        <f ca="1">tblBaseCF[[#This Row],[EP]]*tblBaseCF[[#This Row],[EPAllocChrgRate]]</f>
        <v>0</v>
      </c>
      <c r="AO78" s="63">
        <f ca="1">tblBaseCF[[#This Row],[EP]]-tblBaseCF[[#This Row],[EPAllocChrg]]</f>
        <v>0</v>
      </c>
      <c r="AP78" s="62">
        <f ca="1">tblBaseCF[[#This Row],[Ben]]*extra_prem_rate*em_load/1000/(1-tblBaseCF[[#This Row],[EPAllocChrgRate]])
*tblBaseCF[[#This Row],[EMLoadTermFlag]]</f>
        <v>0</v>
      </c>
      <c r="AQ78" s="62">
        <f ca="1">tblBaseCF[[#This Row],[Ben]]*pm_load/1000/(1-tblBaseCF[[#This Row],[EPAllocChrgRate]])
*tblBaseCF[[#This Row],[PMLoadTermFlag]]</f>
        <v>0</v>
      </c>
      <c r="AR78" s="60">
        <f ca="1">ROUNDUP(tblBaseCF[[#This Row],[UnroundedEMLoad]],-3)</f>
        <v>0</v>
      </c>
      <c r="AS78" s="62">
        <f ca="1">ROUNDUP(tblBaseCF[[#This Row],[Ben]]*pm_load/1000/(1-tblBaseCF[[#This Row],[EPAllocChrgRate]]),-3)
*tblBaseCF[[#This Row],[PMLoadTermFlag]]</f>
        <v>0</v>
      </c>
      <c r="AT78" s="60">
        <f ca="1">tblBaseCF[[#This Row],[EMLoad]]+tblBaseCF[[#This Row],[PMLoad]]</f>
        <v>0</v>
      </c>
      <c r="AU78" s="60">
        <f ca="1">tblBaseCF[[#This Row],[Load]]*tblBaseCF[[#This Row],[EPAllocChrgRate]]</f>
        <v>0</v>
      </c>
      <c r="AV78" s="60">
        <f ca="1">tblBaseCF[[#This Row],[Load]]-tblBaseCF[[#This Row],[LoadAllocChrg]]</f>
        <v>0</v>
      </c>
      <c r="AW78" s="60">
        <f ca="1">tblBaseCF[[#This Row],[TP]]+tblBaseCF[[#This Row],[EP]]+tblBaseCF[[#This Row],[Load]]</f>
        <v>0</v>
      </c>
      <c r="AX78" s="60">
        <f ca="1">tblBaseCF[[#This Row],[TPAllocChrg]]+tblBaseCF[[#This Row],[EPAllocChrg]]+tblBaseCF[[#This Row],[LoadAllocChrg]]</f>
        <v>0</v>
      </c>
      <c r="AY78" s="60">
        <f ca="1">tblBaseCF[[#This Row],[TPAlloc]]+tblBaseCF[[#This Row],[EPAlloc]]+tblBaseCF[[#This Row],[LoadAlloc]]</f>
        <v>0</v>
      </c>
      <c r="AZ78" s="60">
        <f ca="1">(OFFSET(tblBaseCF[[#This Row],[AccumTotalPrem]],-1,0)+tblBaseCF[[#This Row],[TotalPrem]])*tblBaseCF[[#This Row],[TPTermFlag]]</f>
        <v>0</v>
      </c>
      <c r="BA78" s="62">
        <f ca="1">(tblBaseCF[[#This Row],[StartTAV]]-tblBaseCF[[#This Row],[TAVWithdrawal]]+tblBaseCF[[#This Row],[TPAlloc]])
*tblBaseCF[[#This Row],[ContFlag]]</f>
        <v>0</v>
      </c>
      <c r="BB78" s="59">
        <f ca="1">(tblBaseCF[[#This Row],[StartEAV]]-tblBaseCF[[#This Row],[EAVWithdrawal]]+tblBaseCF[[#This Row],[EPAlloc]]+tblBaseCF[[#This Row],[LoadAlloc]])
*tblBaseCF[[#This Row],[ContFlag]]</f>
        <v>0</v>
      </c>
      <c r="BC78" s="59">
        <f ca="1">tblBaseCF[[#This Row],[TAVAfterWdrlAlloc]]+tblBaseCF[[#This Row],[EAVAfterWdrlAlloc]]</f>
        <v>0</v>
      </c>
      <c r="BD78" s="66">
        <f t="shared" si="6"/>
        <v>0</v>
      </c>
      <c r="BE78" s="67">
        <f>(1+tblBaseCF[[#This Row],[AnnualIntRate]])^(1/12)-1</f>
        <v>0</v>
      </c>
      <c r="BF78" s="68">
        <f>IFERROR(((1+tblBaseCF[[#This Row],[MonthlyIntRate]])^12-1)/12/(1-1/(1+tblBaseCF[[#This Row],[MonthlyIntRate]])),1)/(1+tblBaseCF[[#This Row],[AnnualIntRate]])</f>
        <v>1</v>
      </c>
      <c r="BG78" s="69">
        <f>PV(tblBaseCF[[#This Row],[MonthlyIntRate]],12,-1/12,,1)</f>
        <v>1</v>
      </c>
      <c r="BH78" s="60">
        <f ca="1">MAX(IF(death_tpd_option="A",tblBaseCF[[#This Row],[Ben]]-tblBaseCF[[#This Row],[StartPAV]],tblBaseCF[[#This Row],[Ben]]),0)</f>
        <v>0</v>
      </c>
      <c r="BI78" s="70">
        <f ca="1">IFERROR(INDEX(tblBaseCOIRate[Rate],MATCH(tblBaseCF[[#This Row],[Age]],tblBaseCOIRate[Age],0)),0)</f>
        <v>8.2500000000000906E-3</v>
      </c>
      <c r="BJ78" s="60">
        <f ca="1">tblBaseCF[[#This Row],[SAR]]*tblBaseCF[[#This Row],[COIRate]]</f>
        <v>0</v>
      </c>
      <c r="BK78" s="62">
        <f ca="1">em_load*tblBaseCF[[#This Row],[pStandardCOI]]
*tblBaseCF[[#This Row],[EMLoadTermFlag]]</f>
        <v>0</v>
      </c>
      <c r="BL78" s="62">
        <f ca="1">pm_load/1000*tblBaseCF[[#This Row],[SAR]]
*tblBaseCF[[#This Row],[PMLoadTermFlag]]</f>
        <v>0</v>
      </c>
      <c r="BM78" s="60">
        <f ca="1">tblBaseCF[[#This Row],[AccBen]]*monthly_acc_coi*12</f>
        <v>0</v>
      </c>
      <c r="BN78" s="60">
        <f ca="1">tblBaseCF[[#This Row],[pStandardCOI]]+tblBaseCF[[#This Row],[pEMLoadCOI]]+tblBaseCF[[#This Row],[pPMLoadCOI]]+tblBaseCF[[#This Row],[pAccCOI]]</f>
        <v>0</v>
      </c>
      <c r="BO78" s="62">
        <f ca="1">IFERROR(INDEX(tblAdminChrg[Amount],MATCH(tblBaseCF[[#This Row],[CalYear]],tblAdminChrg[Cal_Year],0)),0)
*tblBaseCF[[#This Row],[ContFlag]]</f>
        <v>0</v>
      </c>
      <c r="BP78" s="60">
        <f ca="1">tblBaseCF[[#This Row],[pMonthlyAdminChrg]]*12</f>
        <v>0</v>
      </c>
      <c r="BQ78" s="60">
        <f ca="1">tblBaseCF[[#This Row],[pCOI]]+tblBaseCF[[#This Row],[pAdminChrg]]</f>
        <v>0</v>
      </c>
      <c r="BR78" s="60">
        <f ca="1">tblBaseCF[[#This Row],[pNomDeduct]]*tblBaseCF[[#This Row],[Duean1m12]]</f>
        <v>0</v>
      </c>
      <c r="BS78" s="57">
        <f ca="1">(tblBaseCF[[#This Row],[PAVAfterWdrlAlloc]]&gt;=tblBaseCF[[#This Row],[pNomDeduct]])
*tblBaseCF[[#This Row],[ContFlag]]</f>
        <v>0</v>
      </c>
      <c r="BT78" s="60">
        <f ca="1">tblBaseCF[[#This Row],[pStandardCOI]]*tblBaseCF[[#This Row],[DeductFlag]]</f>
        <v>0</v>
      </c>
      <c r="BU78" s="60">
        <f ca="1">tblBaseCF[[#This Row],[pEMLoadCOI]]*tblBaseCF[[#This Row],[DeductFlag]]</f>
        <v>0</v>
      </c>
      <c r="BV78" s="60">
        <f ca="1">tblBaseCF[[#This Row],[pPMLoadCOI]]*tblBaseCF[[#This Row],[DeductFlag]]</f>
        <v>0</v>
      </c>
      <c r="BW78" s="60">
        <f ca="1">tblBaseCF[[#This Row],[pAccCOI]]*tblBaseCF[[#This Row],[DeductFlag]]</f>
        <v>0</v>
      </c>
      <c r="BX78" s="60">
        <f ca="1">tblBaseCF[[#This Row],[pCOI]]*tblBaseCF[[#This Row],[DeductFlag]]</f>
        <v>0</v>
      </c>
      <c r="BY78" s="60">
        <f ca="1">tblBaseCF[[#This Row],[pMonthlyAdminChrg]]*tblBaseCF[[#This Row],[DeductFlag]]</f>
        <v>0</v>
      </c>
      <c r="BZ78" s="60">
        <f ca="1">tblBaseCF[[#This Row],[pAdminChrg]]*tblBaseCF[[#This Row],[DeductFlag]]</f>
        <v>0</v>
      </c>
      <c r="CA78" s="60">
        <f ca="1">tblBaseCF[[#This Row],[pNomDeduct]]*tblBaseCF[[#This Row],[DeductFlag]]</f>
        <v>0</v>
      </c>
      <c r="CB78" s="60">
        <f ca="1">tblBaseCF[[#This Row],[pDeduct]]*tblBaseCF[[#This Row],[DeductFlag]]</f>
        <v>0</v>
      </c>
      <c r="CC78" s="60">
        <f ca="1">MIN(tblBaseCF[[#This Row],[TAVAfterWdrlAlloc]],tblBaseCF[[#This Row],[Deduct]])</f>
        <v>0</v>
      </c>
      <c r="CD78" s="60">
        <f ca="1">tblBaseCF[[#This Row],[Deduct]]-tblBaseCF[[#This Row],[TAVDeduct]]</f>
        <v>0</v>
      </c>
      <c r="CE78" s="69">
        <f ca="1">(tblBaseCF[[#This Row],[TAVAfterWdrlAlloc]]-tblBaseCF[[#This Row],[TAVDeduct]])*tblBaseCF[[#This Row],[AnnualIntRate]]
*tblBaseCF[[#This Row],[DeductFlag]]</f>
        <v>0</v>
      </c>
      <c r="CF78" s="69">
        <f ca="1">(tblBaseCF[[#This Row],[EAVAfterWdrlAlloc]]-tblBaseCF[[#This Row],[EAVDeduct]])*tblBaseCF[[#This Row],[AnnualIntRate]]
*tblBaseCF[[#This Row],[DeductFlag]]</f>
        <v>0</v>
      </c>
      <c r="CG78" s="69">
        <f ca="1">tblBaseCF[[#This Row],[TAVInt]]+tblBaseCF[[#This Row],[EAVInt]]</f>
        <v>0</v>
      </c>
      <c r="CH78" s="62">
        <f ca="1">IFERROR(INDEX(tblLBRate[Rate],MATCH(tblBaseCF[[#This Row],[Year]],tblLBRate[Year],0)),0)
*tblBaseCF[[#This Row],[DeductFlag]]</f>
        <v>0</v>
      </c>
      <c r="CI78" s="60">
        <f ca="1">IFERROR(SUM(OFFSET(tblBaseCF[[#This Row],[TAVWithdrawal]],0,0,-lb_review_period,1)),0)
*(tblBaseCF[[#This Row],[LBRate]]&gt;0)</f>
        <v>0</v>
      </c>
      <c r="CJ78" s="60">
        <f ca="1">(tblBaseCF[[#This Row],[LBRate]]&gt;0)*(tblBaseCF[[#This Row],[LBTAVWithdrawal]]=0)</f>
        <v>0</v>
      </c>
      <c r="CK78" s="62" cm="1">
        <f t="array" aca="1" ref="CK78" ca="1">IF(tblBaseCF[[#This Row],[LBFlag]],
_xlfn.SWITCH(base,
"ILP1",AVERAGE(OFFSET(tblBaseCF[TP],0,0,-lb_review_period,1)),tp),0)
*tblBaseCF[[#This Row],[LBFlag]]</f>
        <v>0</v>
      </c>
      <c r="CL78" s="62">
        <f ca="1">tblBaseCF[[#This Row],[LBBasis]]*tblBaseCF[[#This Row],[LBRate]]</f>
        <v>0</v>
      </c>
      <c r="CM78" s="57" cm="1">
        <f t="array" aca="1" ref="CM78" ca="1">_xlfn.SWITCH(base,
"ILP1",0,($AF178&lt;500000000)*1
+($AF178&gt;=500000000)*($AF178&lt;1000000000)*2
+($AF178&gt;=1000000000)*3)
*tblBaseCF[[#This Row],[DeductFlag]]</f>
        <v>0</v>
      </c>
      <c r="CN78" s="2" t="str">
        <f ca="1">IF(tblBaseCF[[#This Row],[DeductFlag]],base&amp;"_"&amp;tblBaseCF[[#This Row],[SBCode]]&amp;"_"&amp;tblBaseCF[[#This Row],[Year]],"")</f>
        <v/>
      </c>
      <c r="CO78" s="3">
        <f ca="1">IFERROR(INDEX(tblSBRate[Index],MATCH(tblBaseCF[[#This Row],[SBIndex]],tblSBRate[Rate],0)),0)</f>
        <v>0</v>
      </c>
      <c r="CP78" s="63">
        <f ca="1">IFERROR(SUM(OFFSET(tblBaseCF[[#This Row],[TAVWithdrawal]],0,0,-sb_review_period,1)),0)
*(tblBaseCF[[#This Row],[SBRate]]&gt;0)</f>
        <v>0</v>
      </c>
      <c r="CQ78" s="63">
        <f ca="1">(tblBaseCF[[#This Row],[SBRate]]&gt;0)*(tblBaseCF[[#This Row],[SBTAVWithdrawal]]=0)</f>
        <v>0</v>
      </c>
      <c r="CR78" s="59" cm="1">
        <f t="array" aca="1" ref="CR78" ca="1">IF(tblBaseCF[[#This Row],[LBFlag]],
_xlfn.SWITCH(base,
"ILP1",0,tp),0)*tblBaseCF[[#This Row],[SBFlag]]</f>
        <v>0</v>
      </c>
      <c r="CS78" s="63">
        <f ca="1">tblBaseCF[[#This Row],[SBBasis]]*tblBaseCF[[#This Row],[SBRate]]</f>
        <v>0</v>
      </c>
      <c r="CT78" s="63">
        <f ca="1">tblBaseCF[[#This Row],[LB]]+tblBaseCF[[#This Row],[SB]]</f>
        <v>0</v>
      </c>
      <c r="CU78" s="59">
        <f ca="1">tblBaseCF[[#This Row],[TAVAfterWdrlAlloc]]-tblBaseCF[[#This Row],[TAVDeduct]]+tblBaseCF[[#This Row],[TAVInt]]+tblBaseCF[[#This Row],[Bonus]]</f>
        <v>0</v>
      </c>
      <c r="CV78" s="59">
        <f ca="1">tblBaseCF[[#This Row],[EAVAfterWdrlAlloc]]-tblBaseCF[[#This Row],[EAVDeduct]]+tblBaseCF[[#This Row],[EAVInt]]</f>
        <v>0</v>
      </c>
      <c r="CW78" s="63">
        <f ca="1">tblBaseCF[[#This Row],[EndTAV]]+tblBaseCF[[#This Row],[EndEAV]]</f>
        <v>0</v>
      </c>
      <c r="CX78" s="59">
        <f ca="1">INDEX(tblPlanPrem[TP],2)
*tblBaseCF[[#This Row],[TPTermFlag]]</f>
        <v>0</v>
      </c>
      <c r="CY78" s="59">
        <f ca="1">INDEX(tblPlanPrem[EP],2)
*tblBaseCF[[#This Row],[TPTermFlag]]</f>
        <v>0</v>
      </c>
      <c r="CZ78" s="63">
        <f ca="1">ROUNDUP(tblBaseCF[[#This Row],[UnroundedEMLoad]]*INDEX(tblPlanPrem[Factor],2),-3)</f>
        <v>0</v>
      </c>
      <c r="DA78" s="63">
        <f ca="1">ROUNDUP(tblBaseCF[[#This Row],[UnroundedPMLoad]]*INDEX(tblPlanPrem[Factor],2),-3)</f>
        <v>0</v>
      </c>
      <c r="DB78" s="63">
        <f ca="1">tblBaseCF[[#This Row],[SemiAnnualEMLoad]]+tblBaseCF[[#This Row],[SemiAnnualPMLoad]]</f>
        <v>0</v>
      </c>
      <c r="DC78" s="63">
        <f ca="1">tblBaseCF[[#This Row],[SemiAnnualTP]]+tblBaseCF[[#This Row],[SemiAnnualEP]]+tblBaseCF[[#This Row],[SemiAnnualLoad]]</f>
        <v>0</v>
      </c>
      <c r="DD78" s="59">
        <f ca="1">INDEX(tblPlanPrem[TP],3)
*tblBaseCF[[#This Row],[TPTermFlag]]</f>
        <v>0</v>
      </c>
      <c r="DE78" s="59">
        <f ca="1">INDEX(tblPlanPrem[EP],3)
*tblBaseCF[[#This Row],[TPTermFlag]]</f>
        <v>0</v>
      </c>
      <c r="DF78" s="63">
        <f ca="1">ROUNDUP(tblBaseCF[[#This Row],[UnroundedEMLoad]]*INDEX(tblPlanPrem[Factor],3),-3)</f>
        <v>0</v>
      </c>
      <c r="DG78" s="63">
        <f ca="1">ROUNDUP(tblBaseCF[[#This Row],[UnroundedPMLoad]]*INDEX(tblPlanPrem[Factor],3),-3)</f>
        <v>0</v>
      </c>
      <c r="DH78" s="60">
        <f ca="1">tblBaseCF[[#This Row],[QuarterlyEMLoad]]+tblBaseCF[[#This Row],[QuarterlyPMLoad]]</f>
        <v>0</v>
      </c>
      <c r="DI78" s="60">
        <f ca="1">tblBaseCF[[#This Row],[QuarterlyTP]]+tblBaseCF[[#This Row],[QuarterlyEP]]+tblBaseCF[[#This Row],[QuarterlyLoad]]</f>
        <v>0</v>
      </c>
      <c r="DJ78" s="59">
        <f ca="1">INDEX(tblPlanPrem[TP],4)
*tblBaseCF[[#This Row],[TPTermFlag]]</f>
        <v>0</v>
      </c>
      <c r="DK78" s="59">
        <f ca="1">INDEX(tblPlanPrem[EP],4)
*tblBaseCF[[#This Row],[TPTermFlag]]</f>
        <v>0</v>
      </c>
      <c r="DL78" s="63">
        <f ca="1">ROUNDUP(tblBaseCF[[#This Row],[UnroundedEMLoad]]*INDEX(tblPlanPrem[Factor],4),-3)</f>
        <v>0</v>
      </c>
      <c r="DM78" s="63">
        <f ca="1">ROUNDUP(tblBaseCF[[#This Row],[UnroundedPMLoad]]*INDEX(tblPlanPrem[Factor],4),-3)</f>
        <v>0</v>
      </c>
      <c r="DN78" s="60">
        <f ca="1">tblBaseCF[[#This Row],[MonthlyEMLoad]]+tblBaseCF[[#This Row],[MonthlyPMLoad]]</f>
        <v>0</v>
      </c>
      <c r="DO78" s="63">
        <f ca="1">tblBaseCF[[#This Row],[MonthlyTP]]+tblBaseCF[[#This Row],[MonthlyEP]]+tblBaseCF[[#This Row],[MonthlyLoad]]</f>
        <v>0</v>
      </c>
      <c r="DP78" s="3"/>
      <c r="DS78">
        <f t="shared" si="7"/>
        <v>0</v>
      </c>
      <c r="DT78">
        <f t="shared" si="8"/>
        <v>0</v>
      </c>
      <c r="DU78">
        <f t="shared" si="9"/>
        <v>0</v>
      </c>
      <c r="DV78">
        <f ca="1">tblBaseCF[[#This Row],[Year]]</f>
        <v>58</v>
      </c>
      <c r="DW78">
        <f ca="1">tblBaseCF[[#This Row],[Age]]</f>
        <v>57</v>
      </c>
      <c r="DX78">
        <f ca="1">tblBaseCF[[#This Row],[ContFlag]]</f>
        <v>0</v>
      </c>
      <c r="DY78" t="str">
        <f ca="1">tblBaseCF[[#This Row],[ContLog]]</f>
        <v>Insufficient PAV for deduction - Discontinue.</v>
      </c>
      <c r="DZ78">
        <f ca="1">tblBaseCF[[#This Row],[StartTAV]]</f>
        <v>0</v>
      </c>
      <c r="EA78">
        <f ca="1">tblBaseCF[[#This Row],[StartEAV]]</f>
        <v>0</v>
      </c>
      <c r="EB78">
        <f ca="1">tblBaseCF[[#This Row],[StartPAV]]</f>
        <v>0</v>
      </c>
      <c r="EC78">
        <f ca="1">tblBaseCF[[#This Row],[SVChrg]]</f>
        <v>0</v>
      </c>
      <c r="ED78">
        <f ca="1">tblBaseCF[[#This Row],[SV]]</f>
        <v>0</v>
      </c>
      <c r="EE78">
        <f ca="1">tblBaseCF[[#This Row],[Ben]]</f>
        <v>0</v>
      </c>
      <c r="EF78">
        <f ca="1">tblBaseCF[[#This Row],[AccBen]]</f>
        <v>0</v>
      </c>
      <c r="EG78">
        <f ca="1">tblBaseCF[[#This Row],[WithdrawalInput]]</f>
        <v>0</v>
      </c>
      <c r="EH78" t="str">
        <f ca="1">tblBaseCF[[#This Row],[WithdrawalLog]]</f>
        <v>No withdrawal.</v>
      </c>
      <c r="EI78">
        <f ca="1">tblBaseCF[[#This Row],[TAVWithdrawal]]</f>
        <v>0</v>
      </c>
      <c r="EJ78">
        <f ca="1">tblBaseCF[[#This Row],[EAVWithdrawal]]</f>
        <v>0</v>
      </c>
      <c r="EK78">
        <f ca="1">tblBaseCF[[#This Row],[Withdrawal]]</f>
        <v>0</v>
      </c>
      <c r="EL78">
        <f ca="1">tblBaseCF[[#This Row],[TP]]</f>
        <v>0</v>
      </c>
      <c r="EM78">
        <f ca="1">tblBaseCF[[#This Row],[TPAllocChrg]]</f>
        <v>0</v>
      </c>
      <c r="EN78">
        <f ca="1">tblBaseCF[[#This Row],[TPAlloc]]</f>
        <v>0</v>
      </c>
      <c r="EO78">
        <f ca="1">tblBaseCF[[#This Row],[EP]]</f>
        <v>0</v>
      </c>
      <c r="EP78">
        <f ca="1">tblBaseCF[[#This Row],[EPAllocChrg]]</f>
        <v>0</v>
      </c>
      <c r="EQ78">
        <f ca="1">tblBaseCF[[#This Row],[EPAlloc]]</f>
        <v>0</v>
      </c>
      <c r="ER78">
        <f ca="1">tblBaseCF[[#This Row],[EMLoad]]</f>
        <v>0</v>
      </c>
      <c r="ES78">
        <f ca="1">tblBaseCF[[#This Row],[PMLoad]]</f>
        <v>0</v>
      </c>
      <c r="ET78">
        <f ca="1">tblBaseCF[[#This Row],[Load]]</f>
        <v>0</v>
      </c>
      <c r="EU78">
        <f ca="1">tblBaseCF[[#This Row],[LoadAllocChrg]]</f>
        <v>0</v>
      </c>
      <c r="EV78">
        <f ca="1">tblBaseCF[[#This Row],[LoadAlloc]]</f>
        <v>0</v>
      </c>
      <c r="EW78">
        <f ca="1">tblBaseCF[[#This Row],[TotalPrem]]</f>
        <v>0</v>
      </c>
      <c r="EX78">
        <f ca="1">tblBaseCF[[#This Row],[AllocChrg]]</f>
        <v>0</v>
      </c>
      <c r="EY78">
        <f ca="1">tblBaseCF[[#This Row],[Alloc]]</f>
        <v>0</v>
      </c>
      <c r="EZ78">
        <f ca="1">tblBaseCF[[#This Row],[AccumTotalPrem]]</f>
        <v>0</v>
      </c>
      <c r="FA78">
        <f>tblBaseCF[[#This Row],[AnnualIntRate]]</f>
        <v>0</v>
      </c>
      <c r="FB78" s="50">
        <f>tblBaseCF[[#This Row],[Duean1m12]]</f>
        <v>1</v>
      </c>
      <c r="FC78">
        <f ca="1">tblBaseCF[[#This Row],[DeductFlag]]</f>
        <v>0</v>
      </c>
      <c r="FD78">
        <f ca="1">tblBaseCF[[#This Row],[AdminChrg]]</f>
        <v>0</v>
      </c>
      <c r="FE78">
        <f ca="1">tblBaseCF[[#This Row],[StandardCOI]]</f>
        <v>0</v>
      </c>
      <c r="FF78">
        <f ca="1">tblBaseCF[[#This Row],[EMLoadCOI]]</f>
        <v>0</v>
      </c>
      <c r="FG78">
        <f ca="1">tblBaseCF[[#This Row],[PMLoadCOI]]</f>
        <v>0</v>
      </c>
      <c r="FH78">
        <f ca="1">tblBaseCF[[#This Row],[COI]]</f>
        <v>0</v>
      </c>
      <c r="FI78" s="47">
        <f ca="1">tblBaseCF[[#This Row],[NomDeduct]]</f>
        <v>0</v>
      </c>
      <c r="FJ78">
        <f ca="1">tblBaseCF[[#This Row],[Deduct]]</f>
        <v>0</v>
      </c>
      <c r="FK78">
        <f ca="1">tblBaseCF[[#This Row],[TAVDeduct]]</f>
        <v>0</v>
      </c>
      <c r="FL78">
        <f ca="1">tblBaseCF[[#This Row],[EAVDeduct]]</f>
        <v>0</v>
      </c>
      <c r="FM78" s="24">
        <f ca="1">tblBaseCF[[#This Row],[TAVInt]]</f>
        <v>0</v>
      </c>
      <c r="FN78">
        <f ca="1">tblBaseCF[[#This Row],[EAVInt]]</f>
        <v>0</v>
      </c>
      <c r="FO78" s="47">
        <f ca="1">tblBaseCF[[#This Row],[LB]]</f>
        <v>0</v>
      </c>
      <c r="FP78">
        <f ca="1">tblBaseCF[[#This Row],[SB]]</f>
        <v>0</v>
      </c>
      <c r="FQ78">
        <f ca="1">tblBaseCF[[#This Row],[Bonus]]</f>
        <v>0</v>
      </c>
      <c r="FR78">
        <f ca="1">tblBaseCF[[#This Row],[EndTAV]]</f>
        <v>0</v>
      </c>
      <c r="FS78">
        <f ca="1">tblBaseCF[[#This Row],[EndEAV]]</f>
        <v>0</v>
      </c>
      <c r="FT78">
        <f ca="1">tblBaseCF[[#This Row],[EndPAV]]</f>
        <v>0</v>
      </c>
      <c r="FU78">
        <f ca="1">tblBaseCF[[#This Row],[SemiAnnualTP]]</f>
        <v>0</v>
      </c>
      <c r="FV78">
        <f ca="1">tblBaseCF[[#This Row],[SemiAnnualEP]]</f>
        <v>0</v>
      </c>
      <c r="FW78">
        <f ca="1">tblBaseCF[[#This Row],[SemiAnnualEMLoad]]</f>
        <v>0</v>
      </c>
      <c r="FX78">
        <f ca="1">tblBaseCF[[#This Row],[SemiAnnualPMLoad]]</f>
        <v>0</v>
      </c>
      <c r="FY78">
        <f ca="1">tblBaseCF[[#This Row],[SemiAnnualLoad]]</f>
        <v>0</v>
      </c>
      <c r="FZ78">
        <f ca="1">tblBaseCF[[#This Row],[SemiAnnualTotalPrem]]</f>
        <v>0</v>
      </c>
      <c r="GA78">
        <f ca="1">tblBaseCF[[#This Row],[QuarterlyTP]]</f>
        <v>0</v>
      </c>
      <c r="GB78">
        <f ca="1">tblBaseCF[[#This Row],[QuarterlyEP]]</f>
        <v>0</v>
      </c>
      <c r="GC78">
        <f ca="1">tblBaseCF[[#This Row],[QuarterlyEMLoad]]</f>
        <v>0</v>
      </c>
      <c r="GD78">
        <f ca="1">tblBaseCF[[#This Row],[QuarterlyPMLoad]]</f>
        <v>0</v>
      </c>
      <c r="GE78">
        <f ca="1">tblBaseCF[[#This Row],[QuarterlyLoad]]</f>
        <v>0</v>
      </c>
      <c r="GF78">
        <f ca="1">tblBaseCF[[#This Row],[QuarterlyTotalPrem]]</f>
        <v>0</v>
      </c>
      <c r="GG78">
        <f ca="1">tblBaseCF[[#This Row],[MonthlyTP]]</f>
        <v>0</v>
      </c>
      <c r="GH78">
        <f ca="1">tblBaseCF[[#This Row],[MonthlyEP]]</f>
        <v>0</v>
      </c>
      <c r="GI78">
        <f ca="1">tblBaseCF[[#This Row],[MonthlyEMLoad]]</f>
        <v>0</v>
      </c>
      <c r="GJ78">
        <f ca="1">tblBaseCF[[#This Row],[MonthlyPMLoad]]</f>
        <v>0</v>
      </c>
      <c r="GK78">
        <f ca="1">tblBaseCF[[#This Row],[MonthlyLoad]]</f>
        <v>0</v>
      </c>
      <c r="GL78">
        <f ca="1">tblBaseCF[[#This Row],[MonthlyTotalPrem]]</f>
        <v>0</v>
      </c>
      <c r="GO78" t="s">
        <v>134</v>
      </c>
      <c r="GP78" t="s">
        <v>135</v>
      </c>
      <c r="GQ78" t="s">
        <v>502</v>
      </c>
      <c r="GR78">
        <v>58</v>
      </c>
      <c r="GS78">
        <v>57</v>
      </c>
      <c r="GT78">
        <v>1</v>
      </c>
      <c r="GU78" t="s">
        <v>457</v>
      </c>
      <c r="GV78">
        <v>229119435.66999799</v>
      </c>
      <c r="GW78">
        <v>1963432271.6723399</v>
      </c>
      <c r="GX78">
        <v>2192551707.34233</v>
      </c>
      <c r="GY78">
        <v>0</v>
      </c>
      <c r="GZ78">
        <v>2192551707.34233</v>
      </c>
      <c r="HA78">
        <v>2192551707.34233</v>
      </c>
      <c r="HB78">
        <v>303000000</v>
      </c>
      <c r="HC78">
        <v>0</v>
      </c>
      <c r="HD78" t="s">
        <v>137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7.0000000000000007E-2</v>
      </c>
      <c r="HX78">
        <v>0.96964931039809399</v>
      </c>
      <c r="HY78">
        <v>1</v>
      </c>
      <c r="HZ78">
        <v>300000</v>
      </c>
      <c r="IA78">
        <v>0</v>
      </c>
      <c r="IB78">
        <v>0</v>
      </c>
      <c r="IC78">
        <v>0</v>
      </c>
      <c r="ID78">
        <v>272700</v>
      </c>
      <c r="IE78">
        <v>572700</v>
      </c>
      <c r="IF78">
        <v>555318.16006498795</v>
      </c>
      <c r="IG78">
        <v>555318.16006498795</v>
      </c>
      <c r="IH78">
        <v>0</v>
      </c>
      <c r="II78">
        <v>15999488.225695301</v>
      </c>
      <c r="IJ78">
        <v>137440259.01706401</v>
      </c>
      <c r="IK78">
        <v>0</v>
      </c>
      <c r="IL78">
        <v>0</v>
      </c>
      <c r="IM78">
        <v>0</v>
      </c>
      <c r="IN78">
        <v>244563605.73562899</v>
      </c>
      <c r="IO78">
        <v>2100872530.6894</v>
      </c>
      <c r="IP78">
        <v>2345436136.4250302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</row>
    <row r="79" spans="2:268" customFormat="1" x14ac:dyDescent="0.25">
      <c r="B79" s="2">
        <f ca="1">OFFSET(tblBaseCF[[#This Row],[Year]],-1,0)+1</f>
        <v>59</v>
      </c>
      <c r="C79" s="2">
        <f ca="1">(tblBaseCF[[#This Row],[Year]]&lt;=term)*1</f>
        <v>1</v>
      </c>
      <c r="D79" s="57">
        <f ca="1">(YEAR(rcd)+tblBaseCF[[#This Row],[Year]]-1)
*tblBaseCF[[#This Row],[PolTermFlag]]</f>
        <v>2083</v>
      </c>
      <c r="E79" s="57">
        <f ca="1">(mainLI_entry_age+tblBaseCF[[#This Row],[Year]]-1)
*tblBaseCF[[#This Row],[PolTermFlag]]</f>
        <v>58</v>
      </c>
      <c r="F79" s="57">
        <f ca="1">IF(tblBaseCF[[#This Row],[Year]]=1,1,OFFSET(tblBaseCF[[#This Row],[DeductFlag]],-1,0))
*tblBaseCF[[#This Row],[PolTermFlag]]</f>
        <v>0</v>
      </c>
      <c r="G7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79" s="57">
        <f ca="1">(tblBaseCF[[#This Row],[Year]]&lt;=acc_ben_term)
*tblBaseCF[[#This Row],[ContFlag]]</f>
        <v>0</v>
      </c>
      <c r="I79" s="57">
        <f ca="1">(tblBaseCF[[#This Row],[Year]]&lt;=tp_term)
*tblBaseCF[[#This Row],[ContFlag]]</f>
        <v>0</v>
      </c>
      <c r="J79" s="57">
        <f ca="1">(tblBaseCF[[#This Row],[Year]]&lt;=ep_term)
*tblBaseCF[[#This Row],[ContFlag]]</f>
        <v>0</v>
      </c>
      <c r="K79" s="57">
        <f ca="1">(tblBaseCF[[#This Row],[Year]]&lt;=em_load_term)*1</f>
        <v>0</v>
      </c>
      <c r="L79" s="57">
        <f ca="1">(tblBaseCF[[#This Row],[Year]]&lt;=pm_load_term)*1</f>
        <v>0</v>
      </c>
      <c r="M79" s="59">
        <f ca="1">IF(tblBaseCF[[#This Row],[Year]]=1,si,OFFSET(tblBaseCF[[#This Row],[EndSI]],-1,0))
*tblBaseCF[[#This Row],[ContFlag]]</f>
        <v>0</v>
      </c>
      <c r="N79" s="59">
        <f ca="1">OFFSET(tblBaseCF[[#This Row],[EndTAV]],-1,0)
*tblBaseCF[[#This Row],[ContFlag]]</f>
        <v>0</v>
      </c>
      <c r="O79" s="59">
        <f ca="1">OFFSET(tblBaseCF[[#This Row],[EndEAV]],-1,0)
*tblBaseCF[[#This Row],[ContFlag]]</f>
        <v>0</v>
      </c>
      <c r="P79" s="60">
        <f ca="1">tblBaseCF[[#This Row],[StartEAV]]+tblBaseCF[[#This Row],[StartTAV]]</f>
        <v>0</v>
      </c>
      <c r="Q79" s="61">
        <f ca="1">IFERROR(INDEX(tblJuvenileLienRate[Rate],MATCH(tblBaseCF[[#This Row],[Age]],tblJuvenileLienRate[Age],0)),1)
*tblBaseCF[[#This Row],[ContFlag]]</f>
        <v>0</v>
      </c>
      <c r="R7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79" s="62">
        <f ca="1">tblBaseCF[[#This Row],[StartSI]]*acc_ben_coeff*tblBaseCF[[#This Row],[JuvenileLienRate]]
*tblBaseCF[[#This Row],[AccBenTermFlag]]</f>
        <v>0</v>
      </c>
      <c r="T79" s="61">
        <f ca="1">(IFERROR(INDEX(tblSurrChrgRate[Rate],MATCH(tblBaseCF[[#This Row],[Year]],tblSurrChrgRate[Year],0)),0)
*tblBaseCF[[#This Row],[ContFlag]])</f>
        <v>0</v>
      </c>
      <c r="U79" s="60">
        <f ca="1">tp*tblBaseCF[[#This Row],[SrrChrgRate]]</f>
        <v>0</v>
      </c>
      <c r="V79" s="63">
        <f ca="1">MAX(tblBaseCF[[#This Row],[StartTAV]]-tblBaseCF[[#This Row],[SVChrg]],0)+tblBaseCF[[#This Row],[StartEAV]]</f>
        <v>0</v>
      </c>
      <c r="W79" s="59">
        <f ca="1">IFERROR(INDEX(tblWithdrawal_Output[Amount],MATCH(tblBaseCF[[#This Row],[Year]],tblWithdrawal_Output[Year],0)),0)
*tblBaseCF[[#This Row],[ContFlag]]</f>
        <v>0</v>
      </c>
      <c r="X79" s="59" t="b">
        <f ca="1">tblBaseCF[[#This Row],[WithdrawalInput]]&gt;0</f>
        <v>0</v>
      </c>
      <c r="Y79" s="59" t="b">
        <f ca="1">AND(tblBaseCF[[#This Row],[1stCheckProceed]],tblBaseCF[[#This Row],[WithdrawalInput]]&lt;=tblBaseCF[[#This Row],[StartPAV]])</f>
        <v>0</v>
      </c>
      <c r="Z79" s="59" t="b">
        <f ca="1">AND(tblBaseCF[[#This Row],[2ndCheckAmount]],(tblBaseCF[[#This Row],[StartPAV]]-tblBaseCF[[#This Row],[WithdrawalInput]])&gt;=min_pav_after_withdrawal)</f>
        <v>0</v>
      </c>
      <c r="AA7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79" s="59" t="b">
        <f ca="1">AND(tblBaseCF[[#This Row],[3rdCheckPAV]],tblBaseCF[[#This Row],[endSITest]]&gt;=min_base_si)</f>
        <v>0</v>
      </c>
      <c r="AC79" s="60">
        <f ca="1">tblBaseCF[[#This Row],[WithdrawalInput]]*tblBaseCF[[#This Row],[4thCheckSI]]</f>
        <v>0</v>
      </c>
      <c r="AD79" s="60">
        <f ca="1">MIN(tblBaseCF[[#This Row],[Withdrawal]],tblBaseCF[[#This Row],[StartEAV]])</f>
        <v>0</v>
      </c>
      <c r="AE79" s="60">
        <f ca="1">tblBaseCF[[#This Row],[Withdrawal]]-tblBaseCF[[#This Row],[EAVWithdrawal]]</f>
        <v>0</v>
      </c>
      <c r="AF79" s="60">
        <f ca="1">IF(tblBaseCF[[#This Row],[4thCheckSI]],tblBaseCF[[#This Row],[endSITest]],tblBaseCF[[#This Row],[StartSI]])</f>
        <v>0</v>
      </c>
      <c r="AG7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79" s="65">
        <f ca="1">IFERROR(INDEX(tblTPAllocChrgRate[Rate],MATCH(tblBaseCF[[#This Row],[Year]],tblTPAllocChrgRate[Year],0)),0)</f>
        <v>0.02</v>
      </c>
      <c r="AI79" s="62">
        <f ca="1">(tp+big_case_bonus_tp*(tblBaseCF[[#This Row],[Year]]=1))
*tblBaseCF[[#This Row],[TPTermFlag]]</f>
        <v>0</v>
      </c>
      <c r="AJ79" s="63">
        <f ca="1">tblBaseCF[[#This Row],[TP]]*tblBaseCF[[#This Row],[TPAllocChrgRate]]</f>
        <v>0</v>
      </c>
      <c r="AK79" s="60">
        <f ca="1">tblBaseCF[[#This Row],[TP]]-tblBaseCF[[#This Row],[TPAllocChrg]]</f>
        <v>0</v>
      </c>
      <c r="AL79" s="65">
        <f ca="1">IFERROR(INDEX(tblEPAllocChrgRate[Rate],MATCH(tblBaseCF[[#This Row],[Year]],tblEPAllocChrgRate[Year],0)),0)</f>
        <v>0.02</v>
      </c>
      <c r="AM79" s="60">
        <f ca="1">ep*tblBaseCF[[#This Row],[EPTermFlag]]</f>
        <v>0</v>
      </c>
      <c r="AN79" s="60">
        <f ca="1">tblBaseCF[[#This Row],[EP]]*tblBaseCF[[#This Row],[EPAllocChrgRate]]</f>
        <v>0</v>
      </c>
      <c r="AO79" s="63">
        <f ca="1">tblBaseCF[[#This Row],[EP]]-tblBaseCF[[#This Row],[EPAllocChrg]]</f>
        <v>0</v>
      </c>
      <c r="AP79" s="62">
        <f ca="1">tblBaseCF[[#This Row],[Ben]]*extra_prem_rate*em_load/1000/(1-tblBaseCF[[#This Row],[EPAllocChrgRate]])
*tblBaseCF[[#This Row],[EMLoadTermFlag]]</f>
        <v>0</v>
      </c>
      <c r="AQ79" s="62">
        <f ca="1">tblBaseCF[[#This Row],[Ben]]*pm_load/1000/(1-tblBaseCF[[#This Row],[EPAllocChrgRate]])
*tblBaseCF[[#This Row],[PMLoadTermFlag]]</f>
        <v>0</v>
      </c>
      <c r="AR79" s="60">
        <f ca="1">ROUNDUP(tblBaseCF[[#This Row],[UnroundedEMLoad]],-3)</f>
        <v>0</v>
      </c>
      <c r="AS79" s="62">
        <f ca="1">ROUNDUP(tblBaseCF[[#This Row],[Ben]]*pm_load/1000/(1-tblBaseCF[[#This Row],[EPAllocChrgRate]]),-3)
*tblBaseCF[[#This Row],[PMLoadTermFlag]]</f>
        <v>0</v>
      </c>
      <c r="AT79" s="60">
        <f ca="1">tblBaseCF[[#This Row],[EMLoad]]+tblBaseCF[[#This Row],[PMLoad]]</f>
        <v>0</v>
      </c>
      <c r="AU79" s="60">
        <f ca="1">tblBaseCF[[#This Row],[Load]]*tblBaseCF[[#This Row],[EPAllocChrgRate]]</f>
        <v>0</v>
      </c>
      <c r="AV79" s="60">
        <f ca="1">tblBaseCF[[#This Row],[Load]]-tblBaseCF[[#This Row],[LoadAllocChrg]]</f>
        <v>0</v>
      </c>
      <c r="AW79" s="60">
        <f ca="1">tblBaseCF[[#This Row],[TP]]+tblBaseCF[[#This Row],[EP]]+tblBaseCF[[#This Row],[Load]]</f>
        <v>0</v>
      </c>
      <c r="AX79" s="60">
        <f ca="1">tblBaseCF[[#This Row],[TPAllocChrg]]+tblBaseCF[[#This Row],[EPAllocChrg]]+tblBaseCF[[#This Row],[LoadAllocChrg]]</f>
        <v>0</v>
      </c>
      <c r="AY79" s="60">
        <f ca="1">tblBaseCF[[#This Row],[TPAlloc]]+tblBaseCF[[#This Row],[EPAlloc]]+tblBaseCF[[#This Row],[LoadAlloc]]</f>
        <v>0</v>
      </c>
      <c r="AZ79" s="60">
        <f ca="1">(OFFSET(tblBaseCF[[#This Row],[AccumTotalPrem]],-1,0)+tblBaseCF[[#This Row],[TotalPrem]])*tblBaseCF[[#This Row],[TPTermFlag]]</f>
        <v>0</v>
      </c>
      <c r="BA79" s="62">
        <f ca="1">(tblBaseCF[[#This Row],[StartTAV]]-tblBaseCF[[#This Row],[TAVWithdrawal]]+tblBaseCF[[#This Row],[TPAlloc]])
*tblBaseCF[[#This Row],[ContFlag]]</f>
        <v>0</v>
      </c>
      <c r="BB79" s="59">
        <f ca="1">(tblBaseCF[[#This Row],[StartEAV]]-tblBaseCF[[#This Row],[EAVWithdrawal]]+tblBaseCF[[#This Row],[EPAlloc]]+tblBaseCF[[#This Row],[LoadAlloc]])
*tblBaseCF[[#This Row],[ContFlag]]</f>
        <v>0</v>
      </c>
      <c r="BC79" s="59">
        <f ca="1">tblBaseCF[[#This Row],[TAVAfterWdrlAlloc]]+tblBaseCF[[#This Row],[EAVAfterWdrlAlloc]]</f>
        <v>0</v>
      </c>
      <c r="BD79" s="66">
        <f t="shared" si="6"/>
        <v>0</v>
      </c>
      <c r="BE79" s="67">
        <f>(1+tblBaseCF[[#This Row],[AnnualIntRate]])^(1/12)-1</f>
        <v>0</v>
      </c>
      <c r="BF79" s="68">
        <f>IFERROR(((1+tblBaseCF[[#This Row],[MonthlyIntRate]])^12-1)/12/(1-1/(1+tblBaseCF[[#This Row],[MonthlyIntRate]])),1)/(1+tblBaseCF[[#This Row],[AnnualIntRate]])</f>
        <v>1</v>
      </c>
      <c r="BG79" s="69">
        <f>PV(tblBaseCF[[#This Row],[MonthlyIntRate]],12,-1/12,,1)</f>
        <v>1</v>
      </c>
      <c r="BH79" s="60">
        <f ca="1">MAX(IF(death_tpd_option="A",tblBaseCF[[#This Row],[Ben]]-tblBaseCF[[#This Row],[StartPAV]],tblBaseCF[[#This Row],[Ben]]),0)</f>
        <v>0</v>
      </c>
      <c r="BI79" s="70">
        <f ca="1">IFERROR(INDEX(tblBaseCOIRate[Rate],MATCH(tblBaseCF[[#This Row],[Age]],tblBaseCOIRate[Age],0)),0)</f>
        <v>8.7000000000000393E-3</v>
      </c>
      <c r="BJ79" s="60">
        <f ca="1">tblBaseCF[[#This Row],[SAR]]*tblBaseCF[[#This Row],[COIRate]]</f>
        <v>0</v>
      </c>
      <c r="BK79" s="62">
        <f ca="1">em_load*tblBaseCF[[#This Row],[pStandardCOI]]
*tblBaseCF[[#This Row],[EMLoadTermFlag]]</f>
        <v>0</v>
      </c>
      <c r="BL79" s="62">
        <f ca="1">pm_load/1000*tblBaseCF[[#This Row],[SAR]]
*tblBaseCF[[#This Row],[PMLoadTermFlag]]</f>
        <v>0</v>
      </c>
      <c r="BM79" s="60">
        <f ca="1">tblBaseCF[[#This Row],[AccBen]]*monthly_acc_coi*12</f>
        <v>0</v>
      </c>
      <c r="BN79" s="60">
        <f ca="1">tblBaseCF[[#This Row],[pStandardCOI]]+tblBaseCF[[#This Row],[pEMLoadCOI]]+tblBaseCF[[#This Row],[pPMLoadCOI]]+tblBaseCF[[#This Row],[pAccCOI]]</f>
        <v>0</v>
      </c>
      <c r="BO79" s="62">
        <f ca="1">IFERROR(INDEX(tblAdminChrg[Amount],MATCH(tblBaseCF[[#This Row],[CalYear]],tblAdminChrg[Cal_Year],0)),0)
*tblBaseCF[[#This Row],[ContFlag]]</f>
        <v>0</v>
      </c>
      <c r="BP79" s="60">
        <f ca="1">tblBaseCF[[#This Row],[pMonthlyAdminChrg]]*12</f>
        <v>0</v>
      </c>
      <c r="BQ79" s="60">
        <f ca="1">tblBaseCF[[#This Row],[pCOI]]+tblBaseCF[[#This Row],[pAdminChrg]]</f>
        <v>0</v>
      </c>
      <c r="BR79" s="60">
        <f ca="1">tblBaseCF[[#This Row],[pNomDeduct]]*tblBaseCF[[#This Row],[Duean1m12]]</f>
        <v>0</v>
      </c>
      <c r="BS79" s="57">
        <f ca="1">(tblBaseCF[[#This Row],[PAVAfterWdrlAlloc]]&gt;=tblBaseCF[[#This Row],[pNomDeduct]])
*tblBaseCF[[#This Row],[ContFlag]]</f>
        <v>0</v>
      </c>
      <c r="BT79" s="60">
        <f ca="1">tblBaseCF[[#This Row],[pStandardCOI]]*tblBaseCF[[#This Row],[DeductFlag]]</f>
        <v>0</v>
      </c>
      <c r="BU79" s="60">
        <f ca="1">tblBaseCF[[#This Row],[pEMLoadCOI]]*tblBaseCF[[#This Row],[DeductFlag]]</f>
        <v>0</v>
      </c>
      <c r="BV79" s="60">
        <f ca="1">tblBaseCF[[#This Row],[pPMLoadCOI]]*tblBaseCF[[#This Row],[DeductFlag]]</f>
        <v>0</v>
      </c>
      <c r="BW79" s="60">
        <f ca="1">tblBaseCF[[#This Row],[pAccCOI]]*tblBaseCF[[#This Row],[DeductFlag]]</f>
        <v>0</v>
      </c>
      <c r="BX79" s="60">
        <f ca="1">tblBaseCF[[#This Row],[pCOI]]*tblBaseCF[[#This Row],[DeductFlag]]</f>
        <v>0</v>
      </c>
      <c r="BY79" s="60">
        <f ca="1">tblBaseCF[[#This Row],[pMonthlyAdminChrg]]*tblBaseCF[[#This Row],[DeductFlag]]</f>
        <v>0</v>
      </c>
      <c r="BZ79" s="60">
        <f ca="1">tblBaseCF[[#This Row],[pAdminChrg]]*tblBaseCF[[#This Row],[DeductFlag]]</f>
        <v>0</v>
      </c>
      <c r="CA79" s="60">
        <f ca="1">tblBaseCF[[#This Row],[pNomDeduct]]*tblBaseCF[[#This Row],[DeductFlag]]</f>
        <v>0</v>
      </c>
      <c r="CB79" s="60">
        <f ca="1">tblBaseCF[[#This Row],[pDeduct]]*tblBaseCF[[#This Row],[DeductFlag]]</f>
        <v>0</v>
      </c>
      <c r="CC79" s="60">
        <f ca="1">MIN(tblBaseCF[[#This Row],[TAVAfterWdrlAlloc]],tblBaseCF[[#This Row],[Deduct]])</f>
        <v>0</v>
      </c>
      <c r="CD79" s="60">
        <f ca="1">tblBaseCF[[#This Row],[Deduct]]-tblBaseCF[[#This Row],[TAVDeduct]]</f>
        <v>0</v>
      </c>
      <c r="CE79" s="69">
        <f ca="1">(tblBaseCF[[#This Row],[TAVAfterWdrlAlloc]]-tblBaseCF[[#This Row],[TAVDeduct]])*tblBaseCF[[#This Row],[AnnualIntRate]]
*tblBaseCF[[#This Row],[DeductFlag]]</f>
        <v>0</v>
      </c>
      <c r="CF79" s="69">
        <f ca="1">(tblBaseCF[[#This Row],[EAVAfterWdrlAlloc]]-tblBaseCF[[#This Row],[EAVDeduct]])*tblBaseCF[[#This Row],[AnnualIntRate]]
*tblBaseCF[[#This Row],[DeductFlag]]</f>
        <v>0</v>
      </c>
      <c r="CG79" s="69">
        <f ca="1">tblBaseCF[[#This Row],[TAVInt]]+tblBaseCF[[#This Row],[EAVInt]]</f>
        <v>0</v>
      </c>
      <c r="CH79" s="62">
        <f ca="1">IFERROR(INDEX(tblLBRate[Rate],MATCH(tblBaseCF[[#This Row],[Year]],tblLBRate[Year],0)),0)
*tblBaseCF[[#This Row],[DeductFlag]]</f>
        <v>0</v>
      </c>
      <c r="CI79" s="60">
        <f ca="1">IFERROR(SUM(OFFSET(tblBaseCF[[#This Row],[TAVWithdrawal]],0,0,-lb_review_period,1)),0)
*(tblBaseCF[[#This Row],[LBRate]]&gt;0)</f>
        <v>0</v>
      </c>
      <c r="CJ79" s="60">
        <f ca="1">(tblBaseCF[[#This Row],[LBRate]]&gt;0)*(tblBaseCF[[#This Row],[LBTAVWithdrawal]]=0)</f>
        <v>0</v>
      </c>
      <c r="CK79" s="62" cm="1">
        <f t="array" aca="1" ref="CK79" ca="1">IF(tblBaseCF[[#This Row],[LBFlag]],
_xlfn.SWITCH(base,
"ILP1",AVERAGE(OFFSET(tblBaseCF[TP],0,0,-lb_review_period,1)),tp),0)
*tblBaseCF[[#This Row],[LBFlag]]</f>
        <v>0</v>
      </c>
      <c r="CL79" s="62">
        <f ca="1">tblBaseCF[[#This Row],[LBBasis]]*tblBaseCF[[#This Row],[LBRate]]</f>
        <v>0</v>
      </c>
      <c r="CM79" s="57" cm="1">
        <f t="array" aca="1" ref="CM79" ca="1">_xlfn.SWITCH(base,
"ILP1",0,($AF179&lt;500000000)*1
+($AF179&gt;=500000000)*($AF179&lt;1000000000)*2
+($AF179&gt;=1000000000)*3)
*tblBaseCF[[#This Row],[DeductFlag]]</f>
        <v>0</v>
      </c>
      <c r="CN79" s="2" t="str">
        <f ca="1">IF(tblBaseCF[[#This Row],[DeductFlag]],base&amp;"_"&amp;tblBaseCF[[#This Row],[SBCode]]&amp;"_"&amp;tblBaseCF[[#This Row],[Year]],"")</f>
        <v/>
      </c>
      <c r="CO79" s="3">
        <f ca="1">IFERROR(INDEX(tblSBRate[Index],MATCH(tblBaseCF[[#This Row],[SBIndex]],tblSBRate[Rate],0)),0)</f>
        <v>0</v>
      </c>
      <c r="CP79" s="63">
        <f ca="1">IFERROR(SUM(OFFSET(tblBaseCF[[#This Row],[TAVWithdrawal]],0,0,-sb_review_period,1)),0)
*(tblBaseCF[[#This Row],[SBRate]]&gt;0)</f>
        <v>0</v>
      </c>
      <c r="CQ79" s="63">
        <f ca="1">(tblBaseCF[[#This Row],[SBRate]]&gt;0)*(tblBaseCF[[#This Row],[SBTAVWithdrawal]]=0)</f>
        <v>0</v>
      </c>
      <c r="CR79" s="59" cm="1">
        <f t="array" aca="1" ref="CR79" ca="1">IF(tblBaseCF[[#This Row],[LBFlag]],
_xlfn.SWITCH(base,
"ILP1",0,tp),0)*tblBaseCF[[#This Row],[SBFlag]]</f>
        <v>0</v>
      </c>
      <c r="CS79" s="63">
        <f ca="1">tblBaseCF[[#This Row],[SBBasis]]*tblBaseCF[[#This Row],[SBRate]]</f>
        <v>0</v>
      </c>
      <c r="CT79" s="63">
        <f ca="1">tblBaseCF[[#This Row],[LB]]+tblBaseCF[[#This Row],[SB]]</f>
        <v>0</v>
      </c>
      <c r="CU79" s="59">
        <f ca="1">tblBaseCF[[#This Row],[TAVAfterWdrlAlloc]]-tblBaseCF[[#This Row],[TAVDeduct]]+tblBaseCF[[#This Row],[TAVInt]]+tblBaseCF[[#This Row],[Bonus]]</f>
        <v>0</v>
      </c>
      <c r="CV79" s="59">
        <f ca="1">tblBaseCF[[#This Row],[EAVAfterWdrlAlloc]]-tblBaseCF[[#This Row],[EAVDeduct]]+tblBaseCF[[#This Row],[EAVInt]]</f>
        <v>0</v>
      </c>
      <c r="CW79" s="63">
        <f ca="1">tblBaseCF[[#This Row],[EndTAV]]+tblBaseCF[[#This Row],[EndEAV]]</f>
        <v>0</v>
      </c>
      <c r="CX79" s="59">
        <f ca="1">INDEX(tblPlanPrem[TP],2)
*tblBaseCF[[#This Row],[TPTermFlag]]</f>
        <v>0</v>
      </c>
      <c r="CY79" s="59">
        <f ca="1">INDEX(tblPlanPrem[EP],2)
*tblBaseCF[[#This Row],[TPTermFlag]]</f>
        <v>0</v>
      </c>
      <c r="CZ79" s="63">
        <f ca="1">ROUNDUP(tblBaseCF[[#This Row],[UnroundedEMLoad]]*INDEX(tblPlanPrem[Factor],2),-3)</f>
        <v>0</v>
      </c>
      <c r="DA79" s="63">
        <f ca="1">ROUNDUP(tblBaseCF[[#This Row],[UnroundedPMLoad]]*INDEX(tblPlanPrem[Factor],2),-3)</f>
        <v>0</v>
      </c>
      <c r="DB79" s="63">
        <f ca="1">tblBaseCF[[#This Row],[SemiAnnualEMLoad]]+tblBaseCF[[#This Row],[SemiAnnualPMLoad]]</f>
        <v>0</v>
      </c>
      <c r="DC79" s="63">
        <f ca="1">tblBaseCF[[#This Row],[SemiAnnualTP]]+tblBaseCF[[#This Row],[SemiAnnualEP]]+tblBaseCF[[#This Row],[SemiAnnualLoad]]</f>
        <v>0</v>
      </c>
      <c r="DD79" s="59">
        <f ca="1">INDEX(tblPlanPrem[TP],3)
*tblBaseCF[[#This Row],[TPTermFlag]]</f>
        <v>0</v>
      </c>
      <c r="DE79" s="59">
        <f ca="1">INDEX(tblPlanPrem[EP],3)
*tblBaseCF[[#This Row],[TPTermFlag]]</f>
        <v>0</v>
      </c>
      <c r="DF79" s="63">
        <f ca="1">ROUNDUP(tblBaseCF[[#This Row],[UnroundedEMLoad]]*INDEX(tblPlanPrem[Factor],3),-3)</f>
        <v>0</v>
      </c>
      <c r="DG79" s="63">
        <f ca="1">ROUNDUP(tblBaseCF[[#This Row],[UnroundedPMLoad]]*INDEX(tblPlanPrem[Factor],3),-3)</f>
        <v>0</v>
      </c>
      <c r="DH79" s="60">
        <f ca="1">tblBaseCF[[#This Row],[QuarterlyEMLoad]]+tblBaseCF[[#This Row],[QuarterlyPMLoad]]</f>
        <v>0</v>
      </c>
      <c r="DI79" s="60">
        <f ca="1">tblBaseCF[[#This Row],[QuarterlyTP]]+tblBaseCF[[#This Row],[QuarterlyEP]]+tblBaseCF[[#This Row],[QuarterlyLoad]]</f>
        <v>0</v>
      </c>
      <c r="DJ79" s="59">
        <f ca="1">INDEX(tblPlanPrem[TP],4)
*tblBaseCF[[#This Row],[TPTermFlag]]</f>
        <v>0</v>
      </c>
      <c r="DK79" s="59">
        <f ca="1">INDEX(tblPlanPrem[EP],4)
*tblBaseCF[[#This Row],[TPTermFlag]]</f>
        <v>0</v>
      </c>
      <c r="DL79" s="63">
        <f ca="1">ROUNDUP(tblBaseCF[[#This Row],[UnroundedEMLoad]]*INDEX(tblPlanPrem[Factor],4),-3)</f>
        <v>0</v>
      </c>
      <c r="DM79" s="63">
        <f ca="1">ROUNDUP(tblBaseCF[[#This Row],[UnroundedPMLoad]]*INDEX(tblPlanPrem[Factor],4),-3)</f>
        <v>0</v>
      </c>
      <c r="DN79" s="60">
        <f ca="1">tblBaseCF[[#This Row],[MonthlyEMLoad]]+tblBaseCF[[#This Row],[MonthlyPMLoad]]</f>
        <v>0</v>
      </c>
      <c r="DO79" s="63">
        <f ca="1">tblBaseCF[[#This Row],[MonthlyTP]]+tblBaseCF[[#This Row],[MonthlyEP]]+tblBaseCF[[#This Row],[MonthlyLoad]]</f>
        <v>0</v>
      </c>
      <c r="DP79" s="3"/>
      <c r="DS79">
        <f t="shared" si="7"/>
        <v>0</v>
      </c>
      <c r="DT79">
        <f t="shared" si="8"/>
        <v>0</v>
      </c>
      <c r="DU79">
        <f t="shared" si="9"/>
        <v>0</v>
      </c>
      <c r="DV79">
        <f ca="1">tblBaseCF[[#This Row],[Year]]</f>
        <v>59</v>
      </c>
      <c r="DW79">
        <f ca="1">tblBaseCF[[#This Row],[Age]]</f>
        <v>58</v>
      </c>
      <c r="DX79">
        <f ca="1">tblBaseCF[[#This Row],[ContFlag]]</f>
        <v>0</v>
      </c>
      <c r="DY79" t="str">
        <f ca="1">tblBaseCF[[#This Row],[ContLog]]</f>
        <v>Insufficient PAV for deduction - Discontinue.</v>
      </c>
      <c r="DZ79">
        <f ca="1">tblBaseCF[[#This Row],[StartTAV]]</f>
        <v>0</v>
      </c>
      <c r="EA79">
        <f ca="1">tblBaseCF[[#This Row],[StartEAV]]</f>
        <v>0</v>
      </c>
      <c r="EB79">
        <f ca="1">tblBaseCF[[#This Row],[StartPAV]]</f>
        <v>0</v>
      </c>
      <c r="EC79">
        <f ca="1">tblBaseCF[[#This Row],[SVChrg]]</f>
        <v>0</v>
      </c>
      <c r="ED79">
        <f ca="1">tblBaseCF[[#This Row],[SV]]</f>
        <v>0</v>
      </c>
      <c r="EE79">
        <f ca="1">tblBaseCF[[#This Row],[Ben]]</f>
        <v>0</v>
      </c>
      <c r="EF79">
        <f ca="1">tblBaseCF[[#This Row],[AccBen]]</f>
        <v>0</v>
      </c>
      <c r="EG79">
        <f ca="1">tblBaseCF[[#This Row],[WithdrawalInput]]</f>
        <v>0</v>
      </c>
      <c r="EH79" t="str">
        <f ca="1">tblBaseCF[[#This Row],[WithdrawalLog]]</f>
        <v>No withdrawal.</v>
      </c>
      <c r="EI79">
        <f ca="1">tblBaseCF[[#This Row],[TAVWithdrawal]]</f>
        <v>0</v>
      </c>
      <c r="EJ79">
        <f ca="1">tblBaseCF[[#This Row],[EAVWithdrawal]]</f>
        <v>0</v>
      </c>
      <c r="EK79">
        <f ca="1">tblBaseCF[[#This Row],[Withdrawal]]</f>
        <v>0</v>
      </c>
      <c r="EL79">
        <f ca="1">tblBaseCF[[#This Row],[TP]]</f>
        <v>0</v>
      </c>
      <c r="EM79">
        <f ca="1">tblBaseCF[[#This Row],[TPAllocChrg]]</f>
        <v>0</v>
      </c>
      <c r="EN79">
        <f ca="1">tblBaseCF[[#This Row],[TPAlloc]]</f>
        <v>0</v>
      </c>
      <c r="EO79">
        <f ca="1">tblBaseCF[[#This Row],[EP]]</f>
        <v>0</v>
      </c>
      <c r="EP79">
        <f ca="1">tblBaseCF[[#This Row],[EPAllocChrg]]</f>
        <v>0</v>
      </c>
      <c r="EQ79">
        <f ca="1">tblBaseCF[[#This Row],[EPAlloc]]</f>
        <v>0</v>
      </c>
      <c r="ER79">
        <f ca="1">tblBaseCF[[#This Row],[EMLoad]]</f>
        <v>0</v>
      </c>
      <c r="ES79">
        <f ca="1">tblBaseCF[[#This Row],[PMLoad]]</f>
        <v>0</v>
      </c>
      <c r="ET79">
        <f ca="1">tblBaseCF[[#This Row],[Load]]</f>
        <v>0</v>
      </c>
      <c r="EU79">
        <f ca="1">tblBaseCF[[#This Row],[LoadAllocChrg]]</f>
        <v>0</v>
      </c>
      <c r="EV79">
        <f ca="1">tblBaseCF[[#This Row],[LoadAlloc]]</f>
        <v>0</v>
      </c>
      <c r="EW79">
        <f ca="1">tblBaseCF[[#This Row],[TotalPrem]]</f>
        <v>0</v>
      </c>
      <c r="EX79">
        <f ca="1">tblBaseCF[[#This Row],[AllocChrg]]</f>
        <v>0</v>
      </c>
      <c r="EY79">
        <f ca="1">tblBaseCF[[#This Row],[Alloc]]</f>
        <v>0</v>
      </c>
      <c r="EZ79">
        <f ca="1">tblBaseCF[[#This Row],[AccumTotalPrem]]</f>
        <v>0</v>
      </c>
      <c r="FA79">
        <f>tblBaseCF[[#This Row],[AnnualIntRate]]</f>
        <v>0</v>
      </c>
      <c r="FB79" s="50">
        <f>tblBaseCF[[#This Row],[Duean1m12]]</f>
        <v>1</v>
      </c>
      <c r="FC79">
        <f ca="1">tblBaseCF[[#This Row],[DeductFlag]]</f>
        <v>0</v>
      </c>
      <c r="FD79">
        <f ca="1">tblBaseCF[[#This Row],[AdminChrg]]</f>
        <v>0</v>
      </c>
      <c r="FE79">
        <f ca="1">tblBaseCF[[#This Row],[StandardCOI]]</f>
        <v>0</v>
      </c>
      <c r="FF79">
        <f ca="1">tblBaseCF[[#This Row],[EMLoadCOI]]</f>
        <v>0</v>
      </c>
      <c r="FG79">
        <f ca="1">tblBaseCF[[#This Row],[PMLoadCOI]]</f>
        <v>0</v>
      </c>
      <c r="FH79">
        <f ca="1">tblBaseCF[[#This Row],[COI]]</f>
        <v>0</v>
      </c>
      <c r="FI79" s="47">
        <f ca="1">tblBaseCF[[#This Row],[NomDeduct]]</f>
        <v>0</v>
      </c>
      <c r="FJ79">
        <f ca="1">tblBaseCF[[#This Row],[Deduct]]</f>
        <v>0</v>
      </c>
      <c r="FK79">
        <f ca="1">tblBaseCF[[#This Row],[TAVDeduct]]</f>
        <v>0</v>
      </c>
      <c r="FL79">
        <f ca="1">tblBaseCF[[#This Row],[EAVDeduct]]</f>
        <v>0</v>
      </c>
      <c r="FM79" s="24">
        <f ca="1">tblBaseCF[[#This Row],[TAVInt]]</f>
        <v>0</v>
      </c>
      <c r="FN79">
        <f ca="1">tblBaseCF[[#This Row],[EAVInt]]</f>
        <v>0</v>
      </c>
      <c r="FO79" s="47">
        <f ca="1">tblBaseCF[[#This Row],[LB]]</f>
        <v>0</v>
      </c>
      <c r="FP79">
        <f ca="1">tblBaseCF[[#This Row],[SB]]</f>
        <v>0</v>
      </c>
      <c r="FQ79">
        <f ca="1">tblBaseCF[[#This Row],[Bonus]]</f>
        <v>0</v>
      </c>
      <c r="FR79">
        <f ca="1">tblBaseCF[[#This Row],[EndTAV]]</f>
        <v>0</v>
      </c>
      <c r="FS79">
        <f ca="1">tblBaseCF[[#This Row],[EndEAV]]</f>
        <v>0</v>
      </c>
      <c r="FT79">
        <f ca="1">tblBaseCF[[#This Row],[EndPAV]]</f>
        <v>0</v>
      </c>
      <c r="FU79">
        <f ca="1">tblBaseCF[[#This Row],[SemiAnnualTP]]</f>
        <v>0</v>
      </c>
      <c r="FV79">
        <f ca="1">tblBaseCF[[#This Row],[SemiAnnualEP]]</f>
        <v>0</v>
      </c>
      <c r="FW79">
        <f ca="1">tblBaseCF[[#This Row],[SemiAnnualEMLoad]]</f>
        <v>0</v>
      </c>
      <c r="FX79">
        <f ca="1">tblBaseCF[[#This Row],[SemiAnnualPMLoad]]</f>
        <v>0</v>
      </c>
      <c r="FY79">
        <f ca="1">tblBaseCF[[#This Row],[SemiAnnualLoad]]</f>
        <v>0</v>
      </c>
      <c r="FZ79">
        <f ca="1">tblBaseCF[[#This Row],[SemiAnnualTotalPrem]]</f>
        <v>0</v>
      </c>
      <c r="GA79">
        <f ca="1">tblBaseCF[[#This Row],[QuarterlyTP]]</f>
        <v>0</v>
      </c>
      <c r="GB79">
        <f ca="1">tblBaseCF[[#This Row],[QuarterlyEP]]</f>
        <v>0</v>
      </c>
      <c r="GC79">
        <f ca="1">tblBaseCF[[#This Row],[QuarterlyEMLoad]]</f>
        <v>0</v>
      </c>
      <c r="GD79">
        <f ca="1">tblBaseCF[[#This Row],[QuarterlyPMLoad]]</f>
        <v>0</v>
      </c>
      <c r="GE79">
        <f ca="1">tblBaseCF[[#This Row],[QuarterlyLoad]]</f>
        <v>0</v>
      </c>
      <c r="GF79">
        <f ca="1">tblBaseCF[[#This Row],[QuarterlyTotalPrem]]</f>
        <v>0</v>
      </c>
      <c r="GG79">
        <f ca="1">tblBaseCF[[#This Row],[MonthlyTP]]</f>
        <v>0</v>
      </c>
      <c r="GH79">
        <f ca="1">tblBaseCF[[#This Row],[MonthlyEP]]</f>
        <v>0</v>
      </c>
      <c r="GI79">
        <f ca="1">tblBaseCF[[#This Row],[MonthlyEMLoad]]</f>
        <v>0</v>
      </c>
      <c r="GJ79">
        <f ca="1">tblBaseCF[[#This Row],[MonthlyPMLoad]]</f>
        <v>0</v>
      </c>
      <c r="GK79">
        <f ca="1">tblBaseCF[[#This Row],[MonthlyLoad]]</f>
        <v>0</v>
      </c>
      <c r="GL79">
        <f ca="1">tblBaseCF[[#This Row],[MonthlyTotalPrem]]</f>
        <v>0</v>
      </c>
      <c r="GO79" t="s">
        <v>134</v>
      </c>
      <c r="GP79" t="s">
        <v>135</v>
      </c>
      <c r="GQ79" t="s">
        <v>502</v>
      </c>
      <c r="GR79">
        <v>59</v>
      </c>
      <c r="GS79">
        <v>58</v>
      </c>
      <c r="GT79">
        <v>1</v>
      </c>
      <c r="GU79" t="s">
        <v>457</v>
      </c>
      <c r="GV79">
        <v>244563605.73562899</v>
      </c>
      <c r="GW79">
        <v>2100872530.6894</v>
      </c>
      <c r="GX79">
        <v>2345436136.4250302</v>
      </c>
      <c r="GY79">
        <v>0</v>
      </c>
      <c r="GZ79">
        <v>2345436136.4250302</v>
      </c>
      <c r="HA79">
        <v>2345436136.4250302</v>
      </c>
      <c r="HB79">
        <v>303000000</v>
      </c>
      <c r="HC79">
        <v>0</v>
      </c>
      <c r="HD79" t="s">
        <v>137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7.0000000000000007E-2</v>
      </c>
      <c r="HX79">
        <v>0.96964931039809399</v>
      </c>
      <c r="HY79">
        <v>1</v>
      </c>
      <c r="HZ79">
        <v>300000</v>
      </c>
      <c r="IA79">
        <v>0</v>
      </c>
      <c r="IB79">
        <v>0</v>
      </c>
      <c r="IC79">
        <v>0</v>
      </c>
      <c r="ID79">
        <v>272700</v>
      </c>
      <c r="IE79">
        <v>572700</v>
      </c>
      <c r="IF79">
        <v>555318.16006498795</v>
      </c>
      <c r="IG79">
        <v>555318.16006498795</v>
      </c>
      <c r="IH79">
        <v>0</v>
      </c>
      <c r="II79">
        <v>17080580.130289499</v>
      </c>
      <c r="IJ79">
        <v>147061077.148258</v>
      </c>
      <c r="IK79">
        <v>0</v>
      </c>
      <c r="IL79">
        <v>0</v>
      </c>
      <c r="IM79">
        <v>0</v>
      </c>
      <c r="IN79">
        <v>261088867.70585299</v>
      </c>
      <c r="IO79">
        <v>2247933607.8376598</v>
      </c>
      <c r="IP79">
        <v>2509022475.54351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</row>
    <row r="80" spans="2:268" customFormat="1" x14ac:dyDescent="0.25">
      <c r="B80" s="2">
        <f ca="1">OFFSET(tblBaseCF[[#This Row],[Year]],-1,0)+1</f>
        <v>60</v>
      </c>
      <c r="C80" s="2">
        <f ca="1">(tblBaseCF[[#This Row],[Year]]&lt;=term)*1</f>
        <v>1</v>
      </c>
      <c r="D80" s="57">
        <f ca="1">(YEAR(rcd)+tblBaseCF[[#This Row],[Year]]-1)
*tblBaseCF[[#This Row],[PolTermFlag]]</f>
        <v>2084</v>
      </c>
      <c r="E80" s="57">
        <f ca="1">(mainLI_entry_age+tblBaseCF[[#This Row],[Year]]-1)
*tblBaseCF[[#This Row],[PolTermFlag]]</f>
        <v>59</v>
      </c>
      <c r="F80" s="57">
        <f ca="1">IF(tblBaseCF[[#This Row],[Year]]=1,1,OFFSET(tblBaseCF[[#This Row],[DeductFlag]],-1,0))
*tblBaseCF[[#This Row],[PolTermFlag]]</f>
        <v>0</v>
      </c>
      <c r="G8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0" s="57">
        <f ca="1">(tblBaseCF[[#This Row],[Year]]&lt;=acc_ben_term)
*tblBaseCF[[#This Row],[ContFlag]]</f>
        <v>0</v>
      </c>
      <c r="I80" s="57">
        <f ca="1">(tblBaseCF[[#This Row],[Year]]&lt;=tp_term)
*tblBaseCF[[#This Row],[ContFlag]]</f>
        <v>0</v>
      </c>
      <c r="J80" s="57">
        <f ca="1">(tblBaseCF[[#This Row],[Year]]&lt;=ep_term)
*tblBaseCF[[#This Row],[ContFlag]]</f>
        <v>0</v>
      </c>
      <c r="K80" s="57">
        <f ca="1">(tblBaseCF[[#This Row],[Year]]&lt;=em_load_term)*1</f>
        <v>0</v>
      </c>
      <c r="L80" s="57">
        <f ca="1">(tblBaseCF[[#This Row],[Year]]&lt;=pm_load_term)*1</f>
        <v>0</v>
      </c>
      <c r="M80" s="59">
        <f ca="1">IF(tblBaseCF[[#This Row],[Year]]=1,si,OFFSET(tblBaseCF[[#This Row],[EndSI]],-1,0))
*tblBaseCF[[#This Row],[ContFlag]]</f>
        <v>0</v>
      </c>
      <c r="N80" s="59">
        <f ca="1">OFFSET(tblBaseCF[[#This Row],[EndTAV]],-1,0)
*tblBaseCF[[#This Row],[ContFlag]]</f>
        <v>0</v>
      </c>
      <c r="O80" s="59">
        <f ca="1">OFFSET(tblBaseCF[[#This Row],[EndEAV]],-1,0)
*tblBaseCF[[#This Row],[ContFlag]]</f>
        <v>0</v>
      </c>
      <c r="P80" s="60">
        <f ca="1">tblBaseCF[[#This Row],[StartEAV]]+tblBaseCF[[#This Row],[StartTAV]]</f>
        <v>0</v>
      </c>
      <c r="Q80" s="61">
        <f ca="1">IFERROR(INDEX(tblJuvenileLienRate[Rate],MATCH(tblBaseCF[[#This Row],[Age]],tblJuvenileLienRate[Age],0)),1)
*tblBaseCF[[#This Row],[ContFlag]]</f>
        <v>0</v>
      </c>
      <c r="R8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0" s="62">
        <f ca="1">tblBaseCF[[#This Row],[StartSI]]*acc_ben_coeff*tblBaseCF[[#This Row],[JuvenileLienRate]]
*tblBaseCF[[#This Row],[AccBenTermFlag]]</f>
        <v>0</v>
      </c>
      <c r="T80" s="61">
        <f ca="1">(IFERROR(INDEX(tblSurrChrgRate[Rate],MATCH(tblBaseCF[[#This Row],[Year]],tblSurrChrgRate[Year],0)),0)
*tblBaseCF[[#This Row],[ContFlag]])</f>
        <v>0</v>
      </c>
      <c r="U80" s="60">
        <f ca="1">tp*tblBaseCF[[#This Row],[SrrChrgRate]]</f>
        <v>0</v>
      </c>
      <c r="V80" s="63">
        <f ca="1">MAX(tblBaseCF[[#This Row],[StartTAV]]-tblBaseCF[[#This Row],[SVChrg]],0)+tblBaseCF[[#This Row],[StartEAV]]</f>
        <v>0</v>
      </c>
      <c r="W80" s="59">
        <f ca="1">IFERROR(INDEX(tblWithdrawal_Output[Amount],MATCH(tblBaseCF[[#This Row],[Year]],tblWithdrawal_Output[Year],0)),0)
*tblBaseCF[[#This Row],[ContFlag]]</f>
        <v>0</v>
      </c>
      <c r="X80" s="59" t="b">
        <f ca="1">tblBaseCF[[#This Row],[WithdrawalInput]]&gt;0</f>
        <v>0</v>
      </c>
      <c r="Y80" s="59" t="b">
        <f ca="1">AND(tblBaseCF[[#This Row],[1stCheckProceed]],tblBaseCF[[#This Row],[WithdrawalInput]]&lt;=tblBaseCF[[#This Row],[StartPAV]])</f>
        <v>0</v>
      </c>
      <c r="Z80" s="59" t="b">
        <f ca="1">AND(tblBaseCF[[#This Row],[2ndCheckAmount]],(tblBaseCF[[#This Row],[StartPAV]]-tblBaseCF[[#This Row],[WithdrawalInput]])&gt;=min_pav_after_withdrawal)</f>
        <v>0</v>
      </c>
      <c r="AA8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0" s="59" t="b">
        <f ca="1">AND(tblBaseCF[[#This Row],[3rdCheckPAV]],tblBaseCF[[#This Row],[endSITest]]&gt;=min_base_si)</f>
        <v>0</v>
      </c>
      <c r="AC80" s="60">
        <f ca="1">tblBaseCF[[#This Row],[WithdrawalInput]]*tblBaseCF[[#This Row],[4thCheckSI]]</f>
        <v>0</v>
      </c>
      <c r="AD80" s="60">
        <f ca="1">MIN(tblBaseCF[[#This Row],[Withdrawal]],tblBaseCF[[#This Row],[StartEAV]])</f>
        <v>0</v>
      </c>
      <c r="AE80" s="60">
        <f ca="1">tblBaseCF[[#This Row],[Withdrawal]]-tblBaseCF[[#This Row],[EAVWithdrawal]]</f>
        <v>0</v>
      </c>
      <c r="AF80" s="60">
        <f ca="1">IF(tblBaseCF[[#This Row],[4thCheckSI]],tblBaseCF[[#This Row],[endSITest]],tblBaseCF[[#This Row],[StartSI]])</f>
        <v>0</v>
      </c>
      <c r="AG8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0" s="65">
        <f ca="1">IFERROR(INDEX(tblTPAllocChrgRate[Rate],MATCH(tblBaseCF[[#This Row],[Year]],tblTPAllocChrgRate[Year],0)),0)</f>
        <v>0.02</v>
      </c>
      <c r="AI80" s="62">
        <f ca="1">(tp+big_case_bonus_tp*(tblBaseCF[[#This Row],[Year]]=1))
*tblBaseCF[[#This Row],[TPTermFlag]]</f>
        <v>0</v>
      </c>
      <c r="AJ80" s="63">
        <f ca="1">tblBaseCF[[#This Row],[TP]]*tblBaseCF[[#This Row],[TPAllocChrgRate]]</f>
        <v>0</v>
      </c>
      <c r="AK80" s="60">
        <f ca="1">tblBaseCF[[#This Row],[TP]]-tblBaseCF[[#This Row],[TPAllocChrg]]</f>
        <v>0</v>
      </c>
      <c r="AL80" s="65">
        <f ca="1">IFERROR(INDEX(tblEPAllocChrgRate[Rate],MATCH(tblBaseCF[[#This Row],[Year]],tblEPAllocChrgRate[Year],0)),0)</f>
        <v>0.02</v>
      </c>
      <c r="AM80" s="60">
        <f ca="1">ep*tblBaseCF[[#This Row],[EPTermFlag]]</f>
        <v>0</v>
      </c>
      <c r="AN80" s="60">
        <f ca="1">tblBaseCF[[#This Row],[EP]]*tblBaseCF[[#This Row],[EPAllocChrgRate]]</f>
        <v>0</v>
      </c>
      <c r="AO80" s="63">
        <f ca="1">tblBaseCF[[#This Row],[EP]]-tblBaseCF[[#This Row],[EPAllocChrg]]</f>
        <v>0</v>
      </c>
      <c r="AP80" s="62">
        <f ca="1">tblBaseCF[[#This Row],[Ben]]*extra_prem_rate*em_load/1000/(1-tblBaseCF[[#This Row],[EPAllocChrgRate]])
*tblBaseCF[[#This Row],[EMLoadTermFlag]]</f>
        <v>0</v>
      </c>
      <c r="AQ80" s="62">
        <f ca="1">tblBaseCF[[#This Row],[Ben]]*pm_load/1000/(1-tblBaseCF[[#This Row],[EPAllocChrgRate]])
*tblBaseCF[[#This Row],[PMLoadTermFlag]]</f>
        <v>0</v>
      </c>
      <c r="AR80" s="60">
        <f ca="1">ROUNDUP(tblBaseCF[[#This Row],[UnroundedEMLoad]],-3)</f>
        <v>0</v>
      </c>
      <c r="AS80" s="62">
        <f ca="1">ROUNDUP(tblBaseCF[[#This Row],[Ben]]*pm_load/1000/(1-tblBaseCF[[#This Row],[EPAllocChrgRate]]),-3)
*tblBaseCF[[#This Row],[PMLoadTermFlag]]</f>
        <v>0</v>
      </c>
      <c r="AT80" s="60">
        <f ca="1">tblBaseCF[[#This Row],[EMLoad]]+tblBaseCF[[#This Row],[PMLoad]]</f>
        <v>0</v>
      </c>
      <c r="AU80" s="60">
        <f ca="1">tblBaseCF[[#This Row],[Load]]*tblBaseCF[[#This Row],[EPAllocChrgRate]]</f>
        <v>0</v>
      </c>
      <c r="AV80" s="60">
        <f ca="1">tblBaseCF[[#This Row],[Load]]-tblBaseCF[[#This Row],[LoadAllocChrg]]</f>
        <v>0</v>
      </c>
      <c r="AW80" s="60">
        <f ca="1">tblBaseCF[[#This Row],[TP]]+tblBaseCF[[#This Row],[EP]]+tblBaseCF[[#This Row],[Load]]</f>
        <v>0</v>
      </c>
      <c r="AX80" s="60">
        <f ca="1">tblBaseCF[[#This Row],[TPAllocChrg]]+tblBaseCF[[#This Row],[EPAllocChrg]]+tblBaseCF[[#This Row],[LoadAllocChrg]]</f>
        <v>0</v>
      </c>
      <c r="AY80" s="60">
        <f ca="1">tblBaseCF[[#This Row],[TPAlloc]]+tblBaseCF[[#This Row],[EPAlloc]]+tblBaseCF[[#This Row],[LoadAlloc]]</f>
        <v>0</v>
      </c>
      <c r="AZ80" s="60">
        <f ca="1">(OFFSET(tblBaseCF[[#This Row],[AccumTotalPrem]],-1,0)+tblBaseCF[[#This Row],[TotalPrem]])*tblBaseCF[[#This Row],[TPTermFlag]]</f>
        <v>0</v>
      </c>
      <c r="BA80" s="62">
        <f ca="1">(tblBaseCF[[#This Row],[StartTAV]]-tblBaseCF[[#This Row],[TAVWithdrawal]]+tblBaseCF[[#This Row],[TPAlloc]])
*tblBaseCF[[#This Row],[ContFlag]]</f>
        <v>0</v>
      </c>
      <c r="BB80" s="59">
        <f ca="1">(tblBaseCF[[#This Row],[StartEAV]]-tblBaseCF[[#This Row],[EAVWithdrawal]]+tblBaseCF[[#This Row],[EPAlloc]]+tblBaseCF[[#This Row],[LoadAlloc]])
*tblBaseCF[[#This Row],[ContFlag]]</f>
        <v>0</v>
      </c>
      <c r="BC80" s="59">
        <f ca="1">tblBaseCF[[#This Row],[TAVAfterWdrlAlloc]]+tblBaseCF[[#This Row],[EAVAfterWdrlAlloc]]</f>
        <v>0</v>
      </c>
      <c r="BD80" s="66">
        <f t="shared" si="6"/>
        <v>0</v>
      </c>
      <c r="BE80" s="67">
        <f>(1+tblBaseCF[[#This Row],[AnnualIntRate]])^(1/12)-1</f>
        <v>0</v>
      </c>
      <c r="BF80" s="68">
        <f>IFERROR(((1+tblBaseCF[[#This Row],[MonthlyIntRate]])^12-1)/12/(1-1/(1+tblBaseCF[[#This Row],[MonthlyIntRate]])),1)/(1+tblBaseCF[[#This Row],[AnnualIntRate]])</f>
        <v>1</v>
      </c>
      <c r="BG80" s="69">
        <f>PV(tblBaseCF[[#This Row],[MonthlyIntRate]],12,-1/12,,1)</f>
        <v>1</v>
      </c>
      <c r="BH80" s="60">
        <f ca="1">MAX(IF(death_tpd_option="A",tblBaseCF[[#This Row],[Ben]]-tblBaseCF[[#This Row],[StartPAV]],tblBaseCF[[#This Row],[Ben]]),0)</f>
        <v>0</v>
      </c>
      <c r="BI80" s="70">
        <f ca="1">IFERROR(INDEX(tblBaseCOIRate[Rate],MATCH(tblBaseCF[[#This Row],[Age]],tblBaseCOIRate[Age],0)),0)</f>
        <v>9.1999999999999894E-3</v>
      </c>
      <c r="BJ80" s="60">
        <f ca="1">tblBaseCF[[#This Row],[SAR]]*tblBaseCF[[#This Row],[COIRate]]</f>
        <v>0</v>
      </c>
      <c r="BK80" s="62">
        <f ca="1">em_load*tblBaseCF[[#This Row],[pStandardCOI]]
*tblBaseCF[[#This Row],[EMLoadTermFlag]]</f>
        <v>0</v>
      </c>
      <c r="BL80" s="62">
        <f ca="1">pm_load/1000*tblBaseCF[[#This Row],[SAR]]
*tblBaseCF[[#This Row],[PMLoadTermFlag]]</f>
        <v>0</v>
      </c>
      <c r="BM80" s="60">
        <f ca="1">tblBaseCF[[#This Row],[AccBen]]*monthly_acc_coi*12</f>
        <v>0</v>
      </c>
      <c r="BN80" s="60">
        <f ca="1">tblBaseCF[[#This Row],[pStandardCOI]]+tblBaseCF[[#This Row],[pEMLoadCOI]]+tblBaseCF[[#This Row],[pPMLoadCOI]]+tblBaseCF[[#This Row],[pAccCOI]]</f>
        <v>0</v>
      </c>
      <c r="BO80" s="62">
        <f ca="1">IFERROR(INDEX(tblAdminChrg[Amount],MATCH(tblBaseCF[[#This Row],[CalYear]],tblAdminChrg[Cal_Year],0)),0)
*tblBaseCF[[#This Row],[ContFlag]]</f>
        <v>0</v>
      </c>
      <c r="BP80" s="60">
        <f ca="1">tblBaseCF[[#This Row],[pMonthlyAdminChrg]]*12</f>
        <v>0</v>
      </c>
      <c r="BQ80" s="60">
        <f ca="1">tblBaseCF[[#This Row],[pCOI]]+tblBaseCF[[#This Row],[pAdminChrg]]</f>
        <v>0</v>
      </c>
      <c r="BR80" s="60">
        <f ca="1">tblBaseCF[[#This Row],[pNomDeduct]]*tblBaseCF[[#This Row],[Duean1m12]]</f>
        <v>0</v>
      </c>
      <c r="BS80" s="57">
        <f ca="1">(tblBaseCF[[#This Row],[PAVAfterWdrlAlloc]]&gt;=tblBaseCF[[#This Row],[pNomDeduct]])
*tblBaseCF[[#This Row],[ContFlag]]</f>
        <v>0</v>
      </c>
      <c r="BT80" s="60">
        <f ca="1">tblBaseCF[[#This Row],[pStandardCOI]]*tblBaseCF[[#This Row],[DeductFlag]]</f>
        <v>0</v>
      </c>
      <c r="BU80" s="60">
        <f ca="1">tblBaseCF[[#This Row],[pEMLoadCOI]]*tblBaseCF[[#This Row],[DeductFlag]]</f>
        <v>0</v>
      </c>
      <c r="BV80" s="60">
        <f ca="1">tblBaseCF[[#This Row],[pPMLoadCOI]]*tblBaseCF[[#This Row],[DeductFlag]]</f>
        <v>0</v>
      </c>
      <c r="BW80" s="60">
        <f ca="1">tblBaseCF[[#This Row],[pAccCOI]]*tblBaseCF[[#This Row],[DeductFlag]]</f>
        <v>0</v>
      </c>
      <c r="BX80" s="60">
        <f ca="1">tblBaseCF[[#This Row],[pCOI]]*tblBaseCF[[#This Row],[DeductFlag]]</f>
        <v>0</v>
      </c>
      <c r="BY80" s="60">
        <f ca="1">tblBaseCF[[#This Row],[pMonthlyAdminChrg]]*tblBaseCF[[#This Row],[DeductFlag]]</f>
        <v>0</v>
      </c>
      <c r="BZ80" s="60">
        <f ca="1">tblBaseCF[[#This Row],[pAdminChrg]]*tblBaseCF[[#This Row],[DeductFlag]]</f>
        <v>0</v>
      </c>
      <c r="CA80" s="60">
        <f ca="1">tblBaseCF[[#This Row],[pNomDeduct]]*tblBaseCF[[#This Row],[DeductFlag]]</f>
        <v>0</v>
      </c>
      <c r="CB80" s="60">
        <f ca="1">tblBaseCF[[#This Row],[pDeduct]]*tblBaseCF[[#This Row],[DeductFlag]]</f>
        <v>0</v>
      </c>
      <c r="CC80" s="60">
        <f ca="1">MIN(tblBaseCF[[#This Row],[TAVAfterWdrlAlloc]],tblBaseCF[[#This Row],[Deduct]])</f>
        <v>0</v>
      </c>
      <c r="CD80" s="60">
        <f ca="1">tblBaseCF[[#This Row],[Deduct]]-tblBaseCF[[#This Row],[TAVDeduct]]</f>
        <v>0</v>
      </c>
      <c r="CE80" s="69">
        <f ca="1">(tblBaseCF[[#This Row],[TAVAfterWdrlAlloc]]-tblBaseCF[[#This Row],[TAVDeduct]])*tblBaseCF[[#This Row],[AnnualIntRate]]
*tblBaseCF[[#This Row],[DeductFlag]]</f>
        <v>0</v>
      </c>
      <c r="CF80" s="69">
        <f ca="1">(tblBaseCF[[#This Row],[EAVAfterWdrlAlloc]]-tblBaseCF[[#This Row],[EAVDeduct]])*tblBaseCF[[#This Row],[AnnualIntRate]]
*tblBaseCF[[#This Row],[DeductFlag]]</f>
        <v>0</v>
      </c>
      <c r="CG80" s="69">
        <f ca="1">tblBaseCF[[#This Row],[TAVInt]]+tblBaseCF[[#This Row],[EAVInt]]</f>
        <v>0</v>
      </c>
      <c r="CH80" s="62">
        <f ca="1">IFERROR(INDEX(tblLBRate[Rate],MATCH(tblBaseCF[[#This Row],[Year]],tblLBRate[Year],0)),0)
*tblBaseCF[[#This Row],[DeductFlag]]</f>
        <v>0</v>
      </c>
      <c r="CI80" s="60">
        <f ca="1">IFERROR(SUM(OFFSET(tblBaseCF[[#This Row],[TAVWithdrawal]],0,0,-lb_review_period,1)),0)
*(tblBaseCF[[#This Row],[LBRate]]&gt;0)</f>
        <v>0</v>
      </c>
      <c r="CJ80" s="60">
        <f ca="1">(tblBaseCF[[#This Row],[LBRate]]&gt;0)*(tblBaseCF[[#This Row],[LBTAVWithdrawal]]=0)</f>
        <v>0</v>
      </c>
      <c r="CK80" s="62" cm="1">
        <f t="array" aca="1" ref="CK80" ca="1">IF(tblBaseCF[[#This Row],[LBFlag]],
_xlfn.SWITCH(base,
"ILP1",AVERAGE(OFFSET(tblBaseCF[TP],0,0,-lb_review_period,1)),tp),0)
*tblBaseCF[[#This Row],[LBFlag]]</f>
        <v>0</v>
      </c>
      <c r="CL80" s="62">
        <f ca="1">tblBaseCF[[#This Row],[LBBasis]]*tblBaseCF[[#This Row],[LBRate]]</f>
        <v>0</v>
      </c>
      <c r="CM80" s="57" cm="1">
        <f t="array" aca="1" ref="CM80" ca="1">_xlfn.SWITCH(base,
"ILP1",0,($AF180&lt;500000000)*1
+($AF180&gt;=500000000)*($AF180&lt;1000000000)*2
+($AF180&gt;=1000000000)*3)
*tblBaseCF[[#This Row],[DeductFlag]]</f>
        <v>0</v>
      </c>
      <c r="CN80" s="2" t="str">
        <f ca="1">IF(tblBaseCF[[#This Row],[DeductFlag]],base&amp;"_"&amp;tblBaseCF[[#This Row],[SBCode]]&amp;"_"&amp;tblBaseCF[[#This Row],[Year]],"")</f>
        <v/>
      </c>
      <c r="CO80" s="3">
        <f ca="1">IFERROR(INDEX(tblSBRate[Index],MATCH(tblBaseCF[[#This Row],[SBIndex]],tblSBRate[Rate],0)),0)</f>
        <v>0</v>
      </c>
      <c r="CP80" s="63">
        <f ca="1">IFERROR(SUM(OFFSET(tblBaseCF[[#This Row],[TAVWithdrawal]],0,0,-sb_review_period,1)),0)
*(tblBaseCF[[#This Row],[SBRate]]&gt;0)</f>
        <v>0</v>
      </c>
      <c r="CQ80" s="63">
        <f ca="1">(tblBaseCF[[#This Row],[SBRate]]&gt;0)*(tblBaseCF[[#This Row],[SBTAVWithdrawal]]=0)</f>
        <v>0</v>
      </c>
      <c r="CR80" s="59" cm="1">
        <f t="array" aca="1" ref="CR80" ca="1">IF(tblBaseCF[[#This Row],[LBFlag]],
_xlfn.SWITCH(base,
"ILP1",0,tp),0)*tblBaseCF[[#This Row],[SBFlag]]</f>
        <v>0</v>
      </c>
      <c r="CS80" s="63">
        <f ca="1">tblBaseCF[[#This Row],[SBBasis]]*tblBaseCF[[#This Row],[SBRate]]</f>
        <v>0</v>
      </c>
      <c r="CT80" s="63">
        <f ca="1">tblBaseCF[[#This Row],[LB]]+tblBaseCF[[#This Row],[SB]]</f>
        <v>0</v>
      </c>
      <c r="CU80" s="59">
        <f ca="1">tblBaseCF[[#This Row],[TAVAfterWdrlAlloc]]-tblBaseCF[[#This Row],[TAVDeduct]]+tblBaseCF[[#This Row],[TAVInt]]+tblBaseCF[[#This Row],[Bonus]]</f>
        <v>0</v>
      </c>
      <c r="CV80" s="59">
        <f ca="1">tblBaseCF[[#This Row],[EAVAfterWdrlAlloc]]-tblBaseCF[[#This Row],[EAVDeduct]]+tblBaseCF[[#This Row],[EAVInt]]</f>
        <v>0</v>
      </c>
      <c r="CW80" s="63">
        <f ca="1">tblBaseCF[[#This Row],[EndTAV]]+tblBaseCF[[#This Row],[EndEAV]]</f>
        <v>0</v>
      </c>
      <c r="CX80" s="59">
        <f ca="1">INDEX(tblPlanPrem[TP],2)
*tblBaseCF[[#This Row],[TPTermFlag]]</f>
        <v>0</v>
      </c>
      <c r="CY80" s="59">
        <f ca="1">INDEX(tblPlanPrem[EP],2)
*tblBaseCF[[#This Row],[TPTermFlag]]</f>
        <v>0</v>
      </c>
      <c r="CZ80" s="63">
        <f ca="1">ROUNDUP(tblBaseCF[[#This Row],[UnroundedEMLoad]]*INDEX(tblPlanPrem[Factor],2),-3)</f>
        <v>0</v>
      </c>
      <c r="DA80" s="63">
        <f ca="1">ROUNDUP(tblBaseCF[[#This Row],[UnroundedPMLoad]]*INDEX(tblPlanPrem[Factor],2),-3)</f>
        <v>0</v>
      </c>
      <c r="DB80" s="63">
        <f ca="1">tblBaseCF[[#This Row],[SemiAnnualEMLoad]]+tblBaseCF[[#This Row],[SemiAnnualPMLoad]]</f>
        <v>0</v>
      </c>
      <c r="DC80" s="63">
        <f ca="1">tblBaseCF[[#This Row],[SemiAnnualTP]]+tblBaseCF[[#This Row],[SemiAnnualEP]]+tblBaseCF[[#This Row],[SemiAnnualLoad]]</f>
        <v>0</v>
      </c>
      <c r="DD80" s="59">
        <f ca="1">INDEX(tblPlanPrem[TP],3)
*tblBaseCF[[#This Row],[TPTermFlag]]</f>
        <v>0</v>
      </c>
      <c r="DE80" s="59">
        <f ca="1">INDEX(tblPlanPrem[EP],3)
*tblBaseCF[[#This Row],[TPTermFlag]]</f>
        <v>0</v>
      </c>
      <c r="DF80" s="63">
        <f ca="1">ROUNDUP(tblBaseCF[[#This Row],[UnroundedEMLoad]]*INDEX(tblPlanPrem[Factor],3),-3)</f>
        <v>0</v>
      </c>
      <c r="DG80" s="63">
        <f ca="1">ROUNDUP(tblBaseCF[[#This Row],[UnroundedPMLoad]]*INDEX(tblPlanPrem[Factor],3),-3)</f>
        <v>0</v>
      </c>
      <c r="DH80" s="60">
        <f ca="1">tblBaseCF[[#This Row],[QuarterlyEMLoad]]+tblBaseCF[[#This Row],[QuarterlyPMLoad]]</f>
        <v>0</v>
      </c>
      <c r="DI80" s="60">
        <f ca="1">tblBaseCF[[#This Row],[QuarterlyTP]]+tblBaseCF[[#This Row],[QuarterlyEP]]+tblBaseCF[[#This Row],[QuarterlyLoad]]</f>
        <v>0</v>
      </c>
      <c r="DJ80" s="59">
        <f ca="1">INDEX(tblPlanPrem[TP],4)
*tblBaseCF[[#This Row],[TPTermFlag]]</f>
        <v>0</v>
      </c>
      <c r="DK80" s="59">
        <f ca="1">INDEX(tblPlanPrem[EP],4)
*tblBaseCF[[#This Row],[TPTermFlag]]</f>
        <v>0</v>
      </c>
      <c r="DL80" s="63">
        <f ca="1">ROUNDUP(tblBaseCF[[#This Row],[UnroundedEMLoad]]*INDEX(tblPlanPrem[Factor],4),-3)</f>
        <v>0</v>
      </c>
      <c r="DM80" s="63">
        <f ca="1">ROUNDUP(tblBaseCF[[#This Row],[UnroundedPMLoad]]*INDEX(tblPlanPrem[Factor],4),-3)</f>
        <v>0</v>
      </c>
      <c r="DN80" s="60">
        <f ca="1">tblBaseCF[[#This Row],[MonthlyEMLoad]]+tblBaseCF[[#This Row],[MonthlyPMLoad]]</f>
        <v>0</v>
      </c>
      <c r="DO80" s="63">
        <f ca="1">tblBaseCF[[#This Row],[MonthlyTP]]+tblBaseCF[[#This Row],[MonthlyEP]]+tblBaseCF[[#This Row],[MonthlyLoad]]</f>
        <v>0</v>
      </c>
      <c r="DP80" s="3"/>
      <c r="DS80">
        <f t="shared" si="7"/>
        <v>0</v>
      </c>
      <c r="DT80">
        <f t="shared" si="8"/>
        <v>0</v>
      </c>
      <c r="DU80">
        <f t="shared" si="9"/>
        <v>0</v>
      </c>
      <c r="DV80">
        <f ca="1">tblBaseCF[[#This Row],[Year]]</f>
        <v>60</v>
      </c>
      <c r="DW80">
        <f ca="1">tblBaseCF[[#This Row],[Age]]</f>
        <v>59</v>
      </c>
      <c r="DX80">
        <f ca="1">tblBaseCF[[#This Row],[ContFlag]]</f>
        <v>0</v>
      </c>
      <c r="DY80" t="str">
        <f ca="1">tblBaseCF[[#This Row],[ContLog]]</f>
        <v>Insufficient PAV for deduction - Discontinue.</v>
      </c>
      <c r="DZ80">
        <f ca="1">tblBaseCF[[#This Row],[StartTAV]]</f>
        <v>0</v>
      </c>
      <c r="EA80">
        <f ca="1">tblBaseCF[[#This Row],[StartEAV]]</f>
        <v>0</v>
      </c>
      <c r="EB80">
        <f ca="1">tblBaseCF[[#This Row],[StartPAV]]</f>
        <v>0</v>
      </c>
      <c r="EC80">
        <f ca="1">tblBaseCF[[#This Row],[SVChrg]]</f>
        <v>0</v>
      </c>
      <c r="ED80">
        <f ca="1">tblBaseCF[[#This Row],[SV]]</f>
        <v>0</v>
      </c>
      <c r="EE80">
        <f ca="1">tblBaseCF[[#This Row],[Ben]]</f>
        <v>0</v>
      </c>
      <c r="EF80">
        <f ca="1">tblBaseCF[[#This Row],[AccBen]]</f>
        <v>0</v>
      </c>
      <c r="EG80">
        <f ca="1">tblBaseCF[[#This Row],[WithdrawalInput]]</f>
        <v>0</v>
      </c>
      <c r="EH80" t="str">
        <f ca="1">tblBaseCF[[#This Row],[WithdrawalLog]]</f>
        <v>No withdrawal.</v>
      </c>
      <c r="EI80">
        <f ca="1">tblBaseCF[[#This Row],[TAVWithdrawal]]</f>
        <v>0</v>
      </c>
      <c r="EJ80">
        <f ca="1">tblBaseCF[[#This Row],[EAVWithdrawal]]</f>
        <v>0</v>
      </c>
      <c r="EK80">
        <f ca="1">tblBaseCF[[#This Row],[Withdrawal]]</f>
        <v>0</v>
      </c>
      <c r="EL80">
        <f ca="1">tblBaseCF[[#This Row],[TP]]</f>
        <v>0</v>
      </c>
      <c r="EM80">
        <f ca="1">tblBaseCF[[#This Row],[TPAllocChrg]]</f>
        <v>0</v>
      </c>
      <c r="EN80">
        <f ca="1">tblBaseCF[[#This Row],[TPAlloc]]</f>
        <v>0</v>
      </c>
      <c r="EO80">
        <f ca="1">tblBaseCF[[#This Row],[EP]]</f>
        <v>0</v>
      </c>
      <c r="EP80">
        <f ca="1">tblBaseCF[[#This Row],[EPAllocChrg]]</f>
        <v>0</v>
      </c>
      <c r="EQ80">
        <f ca="1">tblBaseCF[[#This Row],[EPAlloc]]</f>
        <v>0</v>
      </c>
      <c r="ER80">
        <f ca="1">tblBaseCF[[#This Row],[EMLoad]]</f>
        <v>0</v>
      </c>
      <c r="ES80">
        <f ca="1">tblBaseCF[[#This Row],[PMLoad]]</f>
        <v>0</v>
      </c>
      <c r="ET80">
        <f ca="1">tblBaseCF[[#This Row],[Load]]</f>
        <v>0</v>
      </c>
      <c r="EU80">
        <f ca="1">tblBaseCF[[#This Row],[LoadAllocChrg]]</f>
        <v>0</v>
      </c>
      <c r="EV80">
        <f ca="1">tblBaseCF[[#This Row],[LoadAlloc]]</f>
        <v>0</v>
      </c>
      <c r="EW80">
        <f ca="1">tblBaseCF[[#This Row],[TotalPrem]]</f>
        <v>0</v>
      </c>
      <c r="EX80">
        <f ca="1">tblBaseCF[[#This Row],[AllocChrg]]</f>
        <v>0</v>
      </c>
      <c r="EY80">
        <f ca="1">tblBaseCF[[#This Row],[Alloc]]</f>
        <v>0</v>
      </c>
      <c r="EZ80">
        <f ca="1">tblBaseCF[[#This Row],[AccumTotalPrem]]</f>
        <v>0</v>
      </c>
      <c r="FA80">
        <f>tblBaseCF[[#This Row],[AnnualIntRate]]</f>
        <v>0</v>
      </c>
      <c r="FB80" s="50">
        <f>tblBaseCF[[#This Row],[Duean1m12]]</f>
        <v>1</v>
      </c>
      <c r="FC80">
        <f ca="1">tblBaseCF[[#This Row],[DeductFlag]]</f>
        <v>0</v>
      </c>
      <c r="FD80">
        <f ca="1">tblBaseCF[[#This Row],[AdminChrg]]</f>
        <v>0</v>
      </c>
      <c r="FE80">
        <f ca="1">tblBaseCF[[#This Row],[StandardCOI]]</f>
        <v>0</v>
      </c>
      <c r="FF80">
        <f ca="1">tblBaseCF[[#This Row],[EMLoadCOI]]</f>
        <v>0</v>
      </c>
      <c r="FG80">
        <f ca="1">tblBaseCF[[#This Row],[PMLoadCOI]]</f>
        <v>0</v>
      </c>
      <c r="FH80">
        <f ca="1">tblBaseCF[[#This Row],[COI]]</f>
        <v>0</v>
      </c>
      <c r="FI80" s="47">
        <f ca="1">tblBaseCF[[#This Row],[NomDeduct]]</f>
        <v>0</v>
      </c>
      <c r="FJ80">
        <f ca="1">tblBaseCF[[#This Row],[Deduct]]</f>
        <v>0</v>
      </c>
      <c r="FK80">
        <f ca="1">tblBaseCF[[#This Row],[TAVDeduct]]</f>
        <v>0</v>
      </c>
      <c r="FL80">
        <f ca="1">tblBaseCF[[#This Row],[EAVDeduct]]</f>
        <v>0</v>
      </c>
      <c r="FM80" s="24">
        <f ca="1">tblBaseCF[[#This Row],[TAVInt]]</f>
        <v>0</v>
      </c>
      <c r="FN80">
        <f ca="1">tblBaseCF[[#This Row],[EAVInt]]</f>
        <v>0</v>
      </c>
      <c r="FO80" s="47">
        <f ca="1">tblBaseCF[[#This Row],[LB]]</f>
        <v>0</v>
      </c>
      <c r="FP80">
        <f ca="1">tblBaseCF[[#This Row],[SB]]</f>
        <v>0</v>
      </c>
      <c r="FQ80">
        <f ca="1">tblBaseCF[[#This Row],[Bonus]]</f>
        <v>0</v>
      </c>
      <c r="FR80">
        <f ca="1">tblBaseCF[[#This Row],[EndTAV]]</f>
        <v>0</v>
      </c>
      <c r="FS80">
        <f ca="1">tblBaseCF[[#This Row],[EndEAV]]</f>
        <v>0</v>
      </c>
      <c r="FT80">
        <f ca="1">tblBaseCF[[#This Row],[EndPAV]]</f>
        <v>0</v>
      </c>
      <c r="FU80">
        <f ca="1">tblBaseCF[[#This Row],[SemiAnnualTP]]</f>
        <v>0</v>
      </c>
      <c r="FV80">
        <f ca="1">tblBaseCF[[#This Row],[SemiAnnualEP]]</f>
        <v>0</v>
      </c>
      <c r="FW80">
        <f ca="1">tblBaseCF[[#This Row],[SemiAnnualEMLoad]]</f>
        <v>0</v>
      </c>
      <c r="FX80">
        <f ca="1">tblBaseCF[[#This Row],[SemiAnnualPMLoad]]</f>
        <v>0</v>
      </c>
      <c r="FY80">
        <f ca="1">tblBaseCF[[#This Row],[SemiAnnualLoad]]</f>
        <v>0</v>
      </c>
      <c r="FZ80">
        <f ca="1">tblBaseCF[[#This Row],[SemiAnnualTotalPrem]]</f>
        <v>0</v>
      </c>
      <c r="GA80">
        <f ca="1">tblBaseCF[[#This Row],[QuarterlyTP]]</f>
        <v>0</v>
      </c>
      <c r="GB80">
        <f ca="1">tblBaseCF[[#This Row],[QuarterlyEP]]</f>
        <v>0</v>
      </c>
      <c r="GC80">
        <f ca="1">tblBaseCF[[#This Row],[QuarterlyEMLoad]]</f>
        <v>0</v>
      </c>
      <c r="GD80">
        <f ca="1">tblBaseCF[[#This Row],[QuarterlyPMLoad]]</f>
        <v>0</v>
      </c>
      <c r="GE80">
        <f ca="1">tblBaseCF[[#This Row],[QuarterlyLoad]]</f>
        <v>0</v>
      </c>
      <c r="GF80">
        <f ca="1">tblBaseCF[[#This Row],[QuarterlyTotalPrem]]</f>
        <v>0</v>
      </c>
      <c r="GG80">
        <f ca="1">tblBaseCF[[#This Row],[MonthlyTP]]</f>
        <v>0</v>
      </c>
      <c r="GH80">
        <f ca="1">tblBaseCF[[#This Row],[MonthlyEP]]</f>
        <v>0</v>
      </c>
      <c r="GI80">
        <f ca="1">tblBaseCF[[#This Row],[MonthlyEMLoad]]</f>
        <v>0</v>
      </c>
      <c r="GJ80">
        <f ca="1">tblBaseCF[[#This Row],[MonthlyPMLoad]]</f>
        <v>0</v>
      </c>
      <c r="GK80">
        <f ca="1">tblBaseCF[[#This Row],[MonthlyLoad]]</f>
        <v>0</v>
      </c>
      <c r="GL80">
        <f ca="1">tblBaseCF[[#This Row],[MonthlyTotalPrem]]</f>
        <v>0</v>
      </c>
      <c r="GO80" t="s">
        <v>134</v>
      </c>
      <c r="GP80" t="s">
        <v>135</v>
      </c>
      <c r="GQ80" t="s">
        <v>502</v>
      </c>
      <c r="GR80">
        <v>60</v>
      </c>
      <c r="GS80">
        <v>59</v>
      </c>
      <c r="GT80">
        <v>1</v>
      </c>
      <c r="GU80" t="s">
        <v>457</v>
      </c>
      <c r="GV80">
        <v>261088867.70585299</v>
      </c>
      <c r="GW80">
        <v>2247933607.8376598</v>
      </c>
      <c r="GX80">
        <v>2509022475.54351</v>
      </c>
      <c r="GY80">
        <v>0</v>
      </c>
      <c r="GZ80">
        <v>2509022475.54351</v>
      </c>
      <c r="HA80">
        <v>2509022475.54351</v>
      </c>
      <c r="HB80">
        <v>303000000</v>
      </c>
      <c r="HC80">
        <v>0</v>
      </c>
      <c r="HD80" t="s">
        <v>137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7.0000000000000007E-2</v>
      </c>
      <c r="HX80">
        <v>0.96964931039809399</v>
      </c>
      <c r="HY80">
        <v>1</v>
      </c>
      <c r="HZ80">
        <v>300000</v>
      </c>
      <c r="IA80">
        <v>0</v>
      </c>
      <c r="IB80">
        <v>0</v>
      </c>
      <c r="IC80">
        <v>0</v>
      </c>
      <c r="ID80">
        <v>272700</v>
      </c>
      <c r="IE80">
        <v>572700</v>
      </c>
      <c r="IF80">
        <v>555318.16006498795</v>
      </c>
      <c r="IG80">
        <v>555318.16006498795</v>
      </c>
      <c r="IH80">
        <v>0</v>
      </c>
      <c r="II80">
        <v>18237348.468205199</v>
      </c>
      <c r="IJ80">
        <v>157355352.54863599</v>
      </c>
      <c r="IK80">
        <v>0</v>
      </c>
      <c r="IL80">
        <v>0</v>
      </c>
      <c r="IM80">
        <v>0</v>
      </c>
      <c r="IN80">
        <v>278770898.01399398</v>
      </c>
      <c r="IO80">
        <v>2405288960.3862901</v>
      </c>
      <c r="IP80">
        <v>2684059858.40029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</row>
    <row r="81" spans="2:268" customFormat="1" x14ac:dyDescent="0.25">
      <c r="B81" s="2">
        <f ca="1">OFFSET(tblBaseCF[[#This Row],[Year]],-1,0)+1</f>
        <v>61</v>
      </c>
      <c r="C81" s="2">
        <f ca="1">(tblBaseCF[[#This Row],[Year]]&lt;=term)*1</f>
        <v>1</v>
      </c>
      <c r="D81" s="57">
        <f ca="1">(YEAR(rcd)+tblBaseCF[[#This Row],[Year]]-1)
*tblBaseCF[[#This Row],[PolTermFlag]]</f>
        <v>2085</v>
      </c>
      <c r="E81" s="57">
        <f ca="1">(mainLI_entry_age+tblBaseCF[[#This Row],[Year]]-1)
*tblBaseCF[[#This Row],[PolTermFlag]]</f>
        <v>60</v>
      </c>
      <c r="F81" s="57">
        <f ca="1">IF(tblBaseCF[[#This Row],[Year]]=1,1,OFFSET(tblBaseCF[[#This Row],[DeductFlag]],-1,0))
*tblBaseCF[[#This Row],[PolTermFlag]]</f>
        <v>0</v>
      </c>
      <c r="G8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1" s="57">
        <f ca="1">(tblBaseCF[[#This Row],[Year]]&lt;=acc_ben_term)
*tblBaseCF[[#This Row],[ContFlag]]</f>
        <v>0</v>
      </c>
      <c r="I81" s="57">
        <f ca="1">(tblBaseCF[[#This Row],[Year]]&lt;=tp_term)
*tblBaseCF[[#This Row],[ContFlag]]</f>
        <v>0</v>
      </c>
      <c r="J81" s="57">
        <f ca="1">(tblBaseCF[[#This Row],[Year]]&lt;=ep_term)
*tblBaseCF[[#This Row],[ContFlag]]</f>
        <v>0</v>
      </c>
      <c r="K81" s="57">
        <f ca="1">(tblBaseCF[[#This Row],[Year]]&lt;=em_load_term)*1</f>
        <v>0</v>
      </c>
      <c r="L81" s="57">
        <f ca="1">(tblBaseCF[[#This Row],[Year]]&lt;=pm_load_term)*1</f>
        <v>0</v>
      </c>
      <c r="M81" s="59">
        <f ca="1">IF(tblBaseCF[[#This Row],[Year]]=1,si,OFFSET(tblBaseCF[[#This Row],[EndSI]],-1,0))
*tblBaseCF[[#This Row],[ContFlag]]</f>
        <v>0</v>
      </c>
      <c r="N81" s="59">
        <f ca="1">OFFSET(tblBaseCF[[#This Row],[EndTAV]],-1,0)
*tblBaseCF[[#This Row],[ContFlag]]</f>
        <v>0</v>
      </c>
      <c r="O81" s="59">
        <f ca="1">OFFSET(tblBaseCF[[#This Row],[EndEAV]],-1,0)
*tblBaseCF[[#This Row],[ContFlag]]</f>
        <v>0</v>
      </c>
      <c r="P81" s="60">
        <f ca="1">tblBaseCF[[#This Row],[StartEAV]]+tblBaseCF[[#This Row],[StartTAV]]</f>
        <v>0</v>
      </c>
      <c r="Q81" s="61">
        <f ca="1">IFERROR(INDEX(tblJuvenileLienRate[Rate],MATCH(tblBaseCF[[#This Row],[Age]],tblJuvenileLienRate[Age],0)),1)
*tblBaseCF[[#This Row],[ContFlag]]</f>
        <v>0</v>
      </c>
      <c r="R8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1" s="62">
        <f ca="1">tblBaseCF[[#This Row],[StartSI]]*acc_ben_coeff*tblBaseCF[[#This Row],[JuvenileLienRate]]
*tblBaseCF[[#This Row],[AccBenTermFlag]]</f>
        <v>0</v>
      </c>
      <c r="T81" s="61">
        <f ca="1">(IFERROR(INDEX(tblSurrChrgRate[Rate],MATCH(tblBaseCF[[#This Row],[Year]],tblSurrChrgRate[Year],0)),0)
*tblBaseCF[[#This Row],[ContFlag]])</f>
        <v>0</v>
      </c>
      <c r="U81" s="60">
        <f ca="1">tp*tblBaseCF[[#This Row],[SrrChrgRate]]</f>
        <v>0</v>
      </c>
      <c r="V81" s="63">
        <f ca="1">MAX(tblBaseCF[[#This Row],[StartTAV]]-tblBaseCF[[#This Row],[SVChrg]],0)+tblBaseCF[[#This Row],[StartEAV]]</f>
        <v>0</v>
      </c>
      <c r="W81" s="59">
        <f ca="1">IFERROR(INDEX(tblWithdrawal_Output[Amount],MATCH(tblBaseCF[[#This Row],[Year]],tblWithdrawal_Output[Year],0)),0)
*tblBaseCF[[#This Row],[ContFlag]]</f>
        <v>0</v>
      </c>
      <c r="X81" s="59" t="b">
        <f ca="1">tblBaseCF[[#This Row],[WithdrawalInput]]&gt;0</f>
        <v>0</v>
      </c>
      <c r="Y81" s="59" t="b">
        <f ca="1">AND(tblBaseCF[[#This Row],[1stCheckProceed]],tblBaseCF[[#This Row],[WithdrawalInput]]&lt;=tblBaseCF[[#This Row],[StartPAV]])</f>
        <v>0</v>
      </c>
      <c r="Z81" s="59" t="b">
        <f ca="1">AND(tblBaseCF[[#This Row],[2ndCheckAmount]],(tblBaseCF[[#This Row],[StartPAV]]-tblBaseCF[[#This Row],[WithdrawalInput]])&gt;=min_pav_after_withdrawal)</f>
        <v>0</v>
      </c>
      <c r="AA8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1" s="59" t="b">
        <f ca="1">AND(tblBaseCF[[#This Row],[3rdCheckPAV]],tblBaseCF[[#This Row],[endSITest]]&gt;=min_base_si)</f>
        <v>0</v>
      </c>
      <c r="AC81" s="60">
        <f ca="1">tblBaseCF[[#This Row],[WithdrawalInput]]*tblBaseCF[[#This Row],[4thCheckSI]]</f>
        <v>0</v>
      </c>
      <c r="AD81" s="60">
        <f ca="1">MIN(tblBaseCF[[#This Row],[Withdrawal]],tblBaseCF[[#This Row],[StartEAV]])</f>
        <v>0</v>
      </c>
      <c r="AE81" s="60">
        <f ca="1">tblBaseCF[[#This Row],[Withdrawal]]-tblBaseCF[[#This Row],[EAVWithdrawal]]</f>
        <v>0</v>
      </c>
      <c r="AF81" s="60">
        <f ca="1">IF(tblBaseCF[[#This Row],[4thCheckSI]],tblBaseCF[[#This Row],[endSITest]],tblBaseCF[[#This Row],[StartSI]])</f>
        <v>0</v>
      </c>
      <c r="AG8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1" s="65">
        <f ca="1">IFERROR(INDEX(tblTPAllocChrgRate[Rate],MATCH(tblBaseCF[[#This Row],[Year]],tblTPAllocChrgRate[Year],0)),0)</f>
        <v>0.02</v>
      </c>
      <c r="AI81" s="62">
        <f ca="1">(tp+big_case_bonus_tp*(tblBaseCF[[#This Row],[Year]]=1))
*tblBaseCF[[#This Row],[TPTermFlag]]</f>
        <v>0</v>
      </c>
      <c r="AJ81" s="63">
        <f ca="1">tblBaseCF[[#This Row],[TP]]*tblBaseCF[[#This Row],[TPAllocChrgRate]]</f>
        <v>0</v>
      </c>
      <c r="AK81" s="60">
        <f ca="1">tblBaseCF[[#This Row],[TP]]-tblBaseCF[[#This Row],[TPAllocChrg]]</f>
        <v>0</v>
      </c>
      <c r="AL81" s="65">
        <f ca="1">IFERROR(INDEX(tblEPAllocChrgRate[Rate],MATCH(tblBaseCF[[#This Row],[Year]],tblEPAllocChrgRate[Year],0)),0)</f>
        <v>0.02</v>
      </c>
      <c r="AM81" s="60">
        <f ca="1">ep*tblBaseCF[[#This Row],[EPTermFlag]]</f>
        <v>0</v>
      </c>
      <c r="AN81" s="60">
        <f ca="1">tblBaseCF[[#This Row],[EP]]*tblBaseCF[[#This Row],[EPAllocChrgRate]]</f>
        <v>0</v>
      </c>
      <c r="AO81" s="63">
        <f ca="1">tblBaseCF[[#This Row],[EP]]-tblBaseCF[[#This Row],[EPAllocChrg]]</f>
        <v>0</v>
      </c>
      <c r="AP81" s="62">
        <f ca="1">tblBaseCF[[#This Row],[Ben]]*extra_prem_rate*em_load/1000/(1-tblBaseCF[[#This Row],[EPAllocChrgRate]])
*tblBaseCF[[#This Row],[EMLoadTermFlag]]</f>
        <v>0</v>
      </c>
      <c r="AQ81" s="62">
        <f ca="1">tblBaseCF[[#This Row],[Ben]]*pm_load/1000/(1-tblBaseCF[[#This Row],[EPAllocChrgRate]])
*tblBaseCF[[#This Row],[PMLoadTermFlag]]</f>
        <v>0</v>
      </c>
      <c r="AR81" s="60">
        <f ca="1">ROUNDUP(tblBaseCF[[#This Row],[UnroundedEMLoad]],-3)</f>
        <v>0</v>
      </c>
      <c r="AS81" s="62">
        <f ca="1">ROUNDUP(tblBaseCF[[#This Row],[Ben]]*pm_load/1000/(1-tblBaseCF[[#This Row],[EPAllocChrgRate]]),-3)
*tblBaseCF[[#This Row],[PMLoadTermFlag]]</f>
        <v>0</v>
      </c>
      <c r="AT81" s="60">
        <f ca="1">tblBaseCF[[#This Row],[EMLoad]]+tblBaseCF[[#This Row],[PMLoad]]</f>
        <v>0</v>
      </c>
      <c r="AU81" s="60">
        <f ca="1">tblBaseCF[[#This Row],[Load]]*tblBaseCF[[#This Row],[EPAllocChrgRate]]</f>
        <v>0</v>
      </c>
      <c r="AV81" s="60">
        <f ca="1">tblBaseCF[[#This Row],[Load]]-tblBaseCF[[#This Row],[LoadAllocChrg]]</f>
        <v>0</v>
      </c>
      <c r="AW81" s="60">
        <f ca="1">tblBaseCF[[#This Row],[TP]]+tblBaseCF[[#This Row],[EP]]+tblBaseCF[[#This Row],[Load]]</f>
        <v>0</v>
      </c>
      <c r="AX81" s="60">
        <f ca="1">tblBaseCF[[#This Row],[TPAllocChrg]]+tblBaseCF[[#This Row],[EPAllocChrg]]+tblBaseCF[[#This Row],[LoadAllocChrg]]</f>
        <v>0</v>
      </c>
      <c r="AY81" s="60">
        <f ca="1">tblBaseCF[[#This Row],[TPAlloc]]+tblBaseCF[[#This Row],[EPAlloc]]+tblBaseCF[[#This Row],[LoadAlloc]]</f>
        <v>0</v>
      </c>
      <c r="AZ81" s="60">
        <f ca="1">(OFFSET(tblBaseCF[[#This Row],[AccumTotalPrem]],-1,0)+tblBaseCF[[#This Row],[TotalPrem]])*tblBaseCF[[#This Row],[TPTermFlag]]</f>
        <v>0</v>
      </c>
      <c r="BA81" s="62">
        <f ca="1">(tblBaseCF[[#This Row],[StartTAV]]-tblBaseCF[[#This Row],[TAVWithdrawal]]+tblBaseCF[[#This Row],[TPAlloc]])
*tblBaseCF[[#This Row],[ContFlag]]</f>
        <v>0</v>
      </c>
      <c r="BB81" s="59">
        <f ca="1">(tblBaseCF[[#This Row],[StartEAV]]-tblBaseCF[[#This Row],[EAVWithdrawal]]+tblBaseCF[[#This Row],[EPAlloc]]+tblBaseCF[[#This Row],[LoadAlloc]])
*tblBaseCF[[#This Row],[ContFlag]]</f>
        <v>0</v>
      </c>
      <c r="BC81" s="59">
        <f ca="1">tblBaseCF[[#This Row],[TAVAfterWdrlAlloc]]+tblBaseCF[[#This Row],[EAVAfterWdrlAlloc]]</f>
        <v>0</v>
      </c>
      <c r="BD81" s="66">
        <f t="shared" si="6"/>
        <v>0</v>
      </c>
      <c r="BE81" s="67">
        <f>(1+tblBaseCF[[#This Row],[AnnualIntRate]])^(1/12)-1</f>
        <v>0</v>
      </c>
      <c r="BF81" s="68">
        <f>IFERROR(((1+tblBaseCF[[#This Row],[MonthlyIntRate]])^12-1)/12/(1-1/(1+tblBaseCF[[#This Row],[MonthlyIntRate]])),1)/(1+tblBaseCF[[#This Row],[AnnualIntRate]])</f>
        <v>1</v>
      </c>
      <c r="BG81" s="69">
        <f>PV(tblBaseCF[[#This Row],[MonthlyIntRate]],12,-1/12,,1)</f>
        <v>1</v>
      </c>
      <c r="BH81" s="60">
        <f ca="1">MAX(IF(death_tpd_option="A",tblBaseCF[[#This Row],[Ben]]-tblBaseCF[[#This Row],[StartPAV]],tblBaseCF[[#This Row],[Ben]]),0)</f>
        <v>0</v>
      </c>
      <c r="BI81" s="70">
        <f ca="1">IFERROR(INDEX(tblBaseCOIRate[Rate],MATCH(tblBaseCF[[#This Row],[Age]],tblBaseCOIRate[Age],0)),0)</f>
        <v>9.7999999999999199E-3</v>
      </c>
      <c r="BJ81" s="60">
        <f ca="1">tblBaseCF[[#This Row],[SAR]]*tblBaseCF[[#This Row],[COIRate]]</f>
        <v>0</v>
      </c>
      <c r="BK81" s="62">
        <f ca="1">em_load*tblBaseCF[[#This Row],[pStandardCOI]]
*tblBaseCF[[#This Row],[EMLoadTermFlag]]</f>
        <v>0</v>
      </c>
      <c r="BL81" s="62">
        <f ca="1">pm_load/1000*tblBaseCF[[#This Row],[SAR]]
*tblBaseCF[[#This Row],[PMLoadTermFlag]]</f>
        <v>0</v>
      </c>
      <c r="BM81" s="60">
        <f ca="1">tblBaseCF[[#This Row],[AccBen]]*monthly_acc_coi*12</f>
        <v>0</v>
      </c>
      <c r="BN81" s="60">
        <f ca="1">tblBaseCF[[#This Row],[pStandardCOI]]+tblBaseCF[[#This Row],[pEMLoadCOI]]+tblBaseCF[[#This Row],[pPMLoadCOI]]+tblBaseCF[[#This Row],[pAccCOI]]</f>
        <v>0</v>
      </c>
      <c r="BO81" s="62">
        <f ca="1">IFERROR(INDEX(tblAdminChrg[Amount],MATCH(tblBaseCF[[#This Row],[CalYear]],tblAdminChrg[Cal_Year],0)),0)
*tblBaseCF[[#This Row],[ContFlag]]</f>
        <v>0</v>
      </c>
      <c r="BP81" s="60">
        <f ca="1">tblBaseCF[[#This Row],[pMonthlyAdminChrg]]*12</f>
        <v>0</v>
      </c>
      <c r="BQ81" s="60">
        <f ca="1">tblBaseCF[[#This Row],[pCOI]]+tblBaseCF[[#This Row],[pAdminChrg]]</f>
        <v>0</v>
      </c>
      <c r="BR81" s="60">
        <f ca="1">tblBaseCF[[#This Row],[pNomDeduct]]*tblBaseCF[[#This Row],[Duean1m12]]</f>
        <v>0</v>
      </c>
      <c r="BS81" s="57">
        <f ca="1">(tblBaseCF[[#This Row],[PAVAfterWdrlAlloc]]&gt;=tblBaseCF[[#This Row],[pNomDeduct]])
*tblBaseCF[[#This Row],[ContFlag]]</f>
        <v>0</v>
      </c>
      <c r="BT81" s="60">
        <f ca="1">tblBaseCF[[#This Row],[pStandardCOI]]*tblBaseCF[[#This Row],[DeductFlag]]</f>
        <v>0</v>
      </c>
      <c r="BU81" s="60">
        <f ca="1">tblBaseCF[[#This Row],[pEMLoadCOI]]*tblBaseCF[[#This Row],[DeductFlag]]</f>
        <v>0</v>
      </c>
      <c r="BV81" s="60">
        <f ca="1">tblBaseCF[[#This Row],[pPMLoadCOI]]*tblBaseCF[[#This Row],[DeductFlag]]</f>
        <v>0</v>
      </c>
      <c r="BW81" s="60">
        <f ca="1">tblBaseCF[[#This Row],[pAccCOI]]*tblBaseCF[[#This Row],[DeductFlag]]</f>
        <v>0</v>
      </c>
      <c r="BX81" s="60">
        <f ca="1">tblBaseCF[[#This Row],[pCOI]]*tblBaseCF[[#This Row],[DeductFlag]]</f>
        <v>0</v>
      </c>
      <c r="BY81" s="60">
        <f ca="1">tblBaseCF[[#This Row],[pMonthlyAdminChrg]]*tblBaseCF[[#This Row],[DeductFlag]]</f>
        <v>0</v>
      </c>
      <c r="BZ81" s="60">
        <f ca="1">tblBaseCF[[#This Row],[pAdminChrg]]*tblBaseCF[[#This Row],[DeductFlag]]</f>
        <v>0</v>
      </c>
      <c r="CA81" s="60">
        <f ca="1">tblBaseCF[[#This Row],[pNomDeduct]]*tblBaseCF[[#This Row],[DeductFlag]]</f>
        <v>0</v>
      </c>
      <c r="CB81" s="60">
        <f ca="1">tblBaseCF[[#This Row],[pDeduct]]*tblBaseCF[[#This Row],[DeductFlag]]</f>
        <v>0</v>
      </c>
      <c r="CC81" s="60">
        <f ca="1">MIN(tblBaseCF[[#This Row],[TAVAfterWdrlAlloc]],tblBaseCF[[#This Row],[Deduct]])</f>
        <v>0</v>
      </c>
      <c r="CD81" s="60">
        <f ca="1">tblBaseCF[[#This Row],[Deduct]]-tblBaseCF[[#This Row],[TAVDeduct]]</f>
        <v>0</v>
      </c>
      <c r="CE81" s="69">
        <f ca="1">(tblBaseCF[[#This Row],[TAVAfterWdrlAlloc]]-tblBaseCF[[#This Row],[TAVDeduct]])*tblBaseCF[[#This Row],[AnnualIntRate]]
*tblBaseCF[[#This Row],[DeductFlag]]</f>
        <v>0</v>
      </c>
      <c r="CF81" s="69">
        <f ca="1">(tblBaseCF[[#This Row],[EAVAfterWdrlAlloc]]-tblBaseCF[[#This Row],[EAVDeduct]])*tblBaseCF[[#This Row],[AnnualIntRate]]
*tblBaseCF[[#This Row],[DeductFlag]]</f>
        <v>0</v>
      </c>
      <c r="CG81" s="69">
        <f ca="1">tblBaseCF[[#This Row],[TAVInt]]+tblBaseCF[[#This Row],[EAVInt]]</f>
        <v>0</v>
      </c>
      <c r="CH81" s="62">
        <f ca="1">IFERROR(INDEX(tblLBRate[Rate],MATCH(tblBaseCF[[#This Row],[Year]],tblLBRate[Year],0)),0)
*tblBaseCF[[#This Row],[DeductFlag]]</f>
        <v>0</v>
      </c>
      <c r="CI81" s="60">
        <f ca="1">IFERROR(SUM(OFFSET(tblBaseCF[[#This Row],[TAVWithdrawal]],0,0,-lb_review_period,1)),0)
*(tblBaseCF[[#This Row],[LBRate]]&gt;0)</f>
        <v>0</v>
      </c>
      <c r="CJ81" s="60">
        <f ca="1">(tblBaseCF[[#This Row],[LBRate]]&gt;0)*(tblBaseCF[[#This Row],[LBTAVWithdrawal]]=0)</f>
        <v>0</v>
      </c>
      <c r="CK81" s="62" cm="1">
        <f t="array" aca="1" ref="CK81" ca="1">IF(tblBaseCF[[#This Row],[LBFlag]],
_xlfn.SWITCH(base,
"ILP1",AVERAGE(OFFSET(tblBaseCF[TP],0,0,-lb_review_period,1)),tp),0)
*tblBaseCF[[#This Row],[LBFlag]]</f>
        <v>0</v>
      </c>
      <c r="CL81" s="62">
        <f ca="1">tblBaseCF[[#This Row],[LBBasis]]*tblBaseCF[[#This Row],[LBRate]]</f>
        <v>0</v>
      </c>
      <c r="CM81" s="57" cm="1">
        <f t="array" aca="1" ref="CM81" ca="1">_xlfn.SWITCH(base,
"ILP1",0,($AF181&lt;500000000)*1
+($AF181&gt;=500000000)*($AF181&lt;1000000000)*2
+($AF181&gt;=1000000000)*3)
*tblBaseCF[[#This Row],[DeductFlag]]</f>
        <v>0</v>
      </c>
      <c r="CN81" s="2" t="str">
        <f ca="1">IF(tblBaseCF[[#This Row],[DeductFlag]],base&amp;"_"&amp;tblBaseCF[[#This Row],[SBCode]]&amp;"_"&amp;tblBaseCF[[#This Row],[Year]],"")</f>
        <v/>
      </c>
      <c r="CO81" s="3">
        <f ca="1">IFERROR(INDEX(tblSBRate[Index],MATCH(tblBaseCF[[#This Row],[SBIndex]],tblSBRate[Rate],0)),0)</f>
        <v>0</v>
      </c>
      <c r="CP81" s="63">
        <f ca="1">IFERROR(SUM(OFFSET(tblBaseCF[[#This Row],[TAVWithdrawal]],0,0,-sb_review_period,1)),0)
*(tblBaseCF[[#This Row],[SBRate]]&gt;0)</f>
        <v>0</v>
      </c>
      <c r="CQ81" s="63">
        <f ca="1">(tblBaseCF[[#This Row],[SBRate]]&gt;0)*(tblBaseCF[[#This Row],[SBTAVWithdrawal]]=0)</f>
        <v>0</v>
      </c>
      <c r="CR81" s="59" cm="1">
        <f t="array" aca="1" ref="CR81" ca="1">IF(tblBaseCF[[#This Row],[LBFlag]],
_xlfn.SWITCH(base,
"ILP1",0,tp),0)*tblBaseCF[[#This Row],[SBFlag]]</f>
        <v>0</v>
      </c>
      <c r="CS81" s="63">
        <f ca="1">tblBaseCF[[#This Row],[SBBasis]]*tblBaseCF[[#This Row],[SBRate]]</f>
        <v>0</v>
      </c>
      <c r="CT81" s="63">
        <f ca="1">tblBaseCF[[#This Row],[LB]]+tblBaseCF[[#This Row],[SB]]</f>
        <v>0</v>
      </c>
      <c r="CU81" s="59">
        <f ca="1">tblBaseCF[[#This Row],[TAVAfterWdrlAlloc]]-tblBaseCF[[#This Row],[TAVDeduct]]+tblBaseCF[[#This Row],[TAVInt]]+tblBaseCF[[#This Row],[Bonus]]</f>
        <v>0</v>
      </c>
      <c r="CV81" s="59">
        <f ca="1">tblBaseCF[[#This Row],[EAVAfterWdrlAlloc]]-tblBaseCF[[#This Row],[EAVDeduct]]+tblBaseCF[[#This Row],[EAVInt]]</f>
        <v>0</v>
      </c>
      <c r="CW81" s="63">
        <f ca="1">tblBaseCF[[#This Row],[EndTAV]]+tblBaseCF[[#This Row],[EndEAV]]</f>
        <v>0</v>
      </c>
      <c r="CX81" s="59">
        <f ca="1">INDEX(tblPlanPrem[TP],2)
*tblBaseCF[[#This Row],[TPTermFlag]]</f>
        <v>0</v>
      </c>
      <c r="CY81" s="59">
        <f ca="1">INDEX(tblPlanPrem[EP],2)
*tblBaseCF[[#This Row],[TPTermFlag]]</f>
        <v>0</v>
      </c>
      <c r="CZ81" s="63">
        <f ca="1">ROUNDUP(tblBaseCF[[#This Row],[UnroundedEMLoad]]*INDEX(tblPlanPrem[Factor],2),-3)</f>
        <v>0</v>
      </c>
      <c r="DA81" s="63">
        <f ca="1">ROUNDUP(tblBaseCF[[#This Row],[UnroundedPMLoad]]*INDEX(tblPlanPrem[Factor],2),-3)</f>
        <v>0</v>
      </c>
      <c r="DB81" s="63">
        <f ca="1">tblBaseCF[[#This Row],[SemiAnnualEMLoad]]+tblBaseCF[[#This Row],[SemiAnnualPMLoad]]</f>
        <v>0</v>
      </c>
      <c r="DC81" s="63">
        <f ca="1">tblBaseCF[[#This Row],[SemiAnnualTP]]+tblBaseCF[[#This Row],[SemiAnnualEP]]+tblBaseCF[[#This Row],[SemiAnnualLoad]]</f>
        <v>0</v>
      </c>
      <c r="DD81" s="59">
        <f ca="1">INDEX(tblPlanPrem[TP],3)
*tblBaseCF[[#This Row],[TPTermFlag]]</f>
        <v>0</v>
      </c>
      <c r="DE81" s="59">
        <f ca="1">INDEX(tblPlanPrem[EP],3)
*tblBaseCF[[#This Row],[TPTermFlag]]</f>
        <v>0</v>
      </c>
      <c r="DF81" s="63">
        <f ca="1">ROUNDUP(tblBaseCF[[#This Row],[UnroundedEMLoad]]*INDEX(tblPlanPrem[Factor],3),-3)</f>
        <v>0</v>
      </c>
      <c r="DG81" s="63">
        <f ca="1">ROUNDUP(tblBaseCF[[#This Row],[UnroundedPMLoad]]*INDEX(tblPlanPrem[Factor],3),-3)</f>
        <v>0</v>
      </c>
      <c r="DH81" s="60">
        <f ca="1">tblBaseCF[[#This Row],[QuarterlyEMLoad]]+tblBaseCF[[#This Row],[QuarterlyPMLoad]]</f>
        <v>0</v>
      </c>
      <c r="DI81" s="60">
        <f ca="1">tblBaseCF[[#This Row],[QuarterlyTP]]+tblBaseCF[[#This Row],[QuarterlyEP]]+tblBaseCF[[#This Row],[QuarterlyLoad]]</f>
        <v>0</v>
      </c>
      <c r="DJ81" s="59">
        <f ca="1">INDEX(tblPlanPrem[TP],4)
*tblBaseCF[[#This Row],[TPTermFlag]]</f>
        <v>0</v>
      </c>
      <c r="DK81" s="59">
        <f ca="1">INDEX(tblPlanPrem[EP],4)
*tblBaseCF[[#This Row],[TPTermFlag]]</f>
        <v>0</v>
      </c>
      <c r="DL81" s="63">
        <f ca="1">ROUNDUP(tblBaseCF[[#This Row],[UnroundedEMLoad]]*INDEX(tblPlanPrem[Factor],4),-3)</f>
        <v>0</v>
      </c>
      <c r="DM81" s="63">
        <f ca="1">ROUNDUP(tblBaseCF[[#This Row],[UnroundedPMLoad]]*INDEX(tblPlanPrem[Factor],4),-3)</f>
        <v>0</v>
      </c>
      <c r="DN81" s="60">
        <f ca="1">tblBaseCF[[#This Row],[MonthlyEMLoad]]+tblBaseCF[[#This Row],[MonthlyPMLoad]]</f>
        <v>0</v>
      </c>
      <c r="DO81" s="63">
        <f ca="1">tblBaseCF[[#This Row],[MonthlyTP]]+tblBaseCF[[#This Row],[MonthlyEP]]+tblBaseCF[[#This Row],[MonthlyLoad]]</f>
        <v>0</v>
      </c>
      <c r="DP81" s="3"/>
      <c r="DS81">
        <f t="shared" si="7"/>
        <v>0</v>
      </c>
      <c r="DT81">
        <f t="shared" si="8"/>
        <v>0</v>
      </c>
      <c r="DU81">
        <f t="shared" si="9"/>
        <v>0</v>
      </c>
      <c r="DV81">
        <f ca="1">tblBaseCF[[#This Row],[Year]]</f>
        <v>61</v>
      </c>
      <c r="DW81">
        <f ca="1">tblBaseCF[[#This Row],[Age]]</f>
        <v>60</v>
      </c>
      <c r="DX81">
        <f ca="1">tblBaseCF[[#This Row],[ContFlag]]</f>
        <v>0</v>
      </c>
      <c r="DY81" t="str">
        <f ca="1">tblBaseCF[[#This Row],[ContLog]]</f>
        <v>Insufficient PAV for deduction - Discontinue.</v>
      </c>
      <c r="DZ81">
        <f ca="1">tblBaseCF[[#This Row],[StartTAV]]</f>
        <v>0</v>
      </c>
      <c r="EA81">
        <f ca="1">tblBaseCF[[#This Row],[StartEAV]]</f>
        <v>0</v>
      </c>
      <c r="EB81">
        <f ca="1">tblBaseCF[[#This Row],[StartPAV]]</f>
        <v>0</v>
      </c>
      <c r="EC81">
        <f ca="1">tblBaseCF[[#This Row],[SVChrg]]</f>
        <v>0</v>
      </c>
      <c r="ED81">
        <f ca="1">tblBaseCF[[#This Row],[SV]]</f>
        <v>0</v>
      </c>
      <c r="EE81">
        <f ca="1">tblBaseCF[[#This Row],[Ben]]</f>
        <v>0</v>
      </c>
      <c r="EF81">
        <f ca="1">tblBaseCF[[#This Row],[AccBen]]</f>
        <v>0</v>
      </c>
      <c r="EG81">
        <f ca="1">tblBaseCF[[#This Row],[WithdrawalInput]]</f>
        <v>0</v>
      </c>
      <c r="EH81" t="str">
        <f ca="1">tblBaseCF[[#This Row],[WithdrawalLog]]</f>
        <v>No withdrawal.</v>
      </c>
      <c r="EI81">
        <f ca="1">tblBaseCF[[#This Row],[TAVWithdrawal]]</f>
        <v>0</v>
      </c>
      <c r="EJ81">
        <f ca="1">tblBaseCF[[#This Row],[EAVWithdrawal]]</f>
        <v>0</v>
      </c>
      <c r="EK81">
        <f ca="1">tblBaseCF[[#This Row],[Withdrawal]]</f>
        <v>0</v>
      </c>
      <c r="EL81">
        <f ca="1">tblBaseCF[[#This Row],[TP]]</f>
        <v>0</v>
      </c>
      <c r="EM81">
        <f ca="1">tblBaseCF[[#This Row],[TPAllocChrg]]</f>
        <v>0</v>
      </c>
      <c r="EN81">
        <f ca="1">tblBaseCF[[#This Row],[TPAlloc]]</f>
        <v>0</v>
      </c>
      <c r="EO81">
        <f ca="1">tblBaseCF[[#This Row],[EP]]</f>
        <v>0</v>
      </c>
      <c r="EP81">
        <f ca="1">tblBaseCF[[#This Row],[EPAllocChrg]]</f>
        <v>0</v>
      </c>
      <c r="EQ81">
        <f ca="1">tblBaseCF[[#This Row],[EPAlloc]]</f>
        <v>0</v>
      </c>
      <c r="ER81">
        <f ca="1">tblBaseCF[[#This Row],[EMLoad]]</f>
        <v>0</v>
      </c>
      <c r="ES81">
        <f ca="1">tblBaseCF[[#This Row],[PMLoad]]</f>
        <v>0</v>
      </c>
      <c r="ET81">
        <f ca="1">tblBaseCF[[#This Row],[Load]]</f>
        <v>0</v>
      </c>
      <c r="EU81">
        <f ca="1">tblBaseCF[[#This Row],[LoadAllocChrg]]</f>
        <v>0</v>
      </c>
      <c r="EV81">
        <f ca="1">tblBaseCF[[#This Row],[LoadAlloc]]</f>
        <v>0</v>
      </c>
      <c r="EW81">
        <f ca="1">tblBaseCF[[#This Row],[TotalPrem]]</f>
        <v>0</v>
      </c>
      <c r="EX81">
        <f ca="1">tblBaseCF[[#This Row],[AllocChrg]]</f>
        <v>0</v>
      </c>
      <c r="EY81">
        <f ca="1">tblBaseCF[[#This Row],[Alloc]]</f>
        <v>0</v>
      </c>
      <c r="EZ81">
        <f ca="1">tblBaseCF[[#This Row],[AccumTotalPrem]]</f>
        <v>0</v>
      </c>
      <c r="FA81">
        <f>tblBaseCF[[#This Row],[AnnualIntRate]]</f>
        <v>0</v>
      </c>
      <c r="FB81" s="50">
        <f>tblBaseCF[[#This Row],[Duean1m12]]</f>
        <v>1</v>
      </c>
      <c r="FC81">
        <f ca="1">tblBaseCF[[#This Row],[DeductFlag]]</f>
        <v>0</v>
      </c>
      <c r="FD81">
        <f ca="1">tblBaseCF[[#This Row],[AdminChrg]]</f>
        <v>0</v>
      </c>
      <c r="FE81">
        <f ca="1">tblBaseCF[[#This Row],[StandardCOI]]</f>
        <v>0</v>
      </c>
      <c r="FF81">
        <f ca="1">tblBaseCF[[#This Row],[EMLoadCOI]]</f>
        <v>0</v>
      </c>
      <c r="FG81">
        <f ca="1">tblBaseCF[[#This Row],[PMLoadCOI]]</f>
        <v>0</v>
      </c>
      <c r="FH81">
        <f ca="1">tblBaseCF[[#This Row],[COI]]</f>
        <v>0</v>
      </c>
      <c r="FI81" s="47">
        <f ca="1">tblBaseCF[[#This Row],[NomDeduct]]</f>
        <v>0</v>
      </c>
      <c r="FJ81">
        <f ca="1">tblBaseCF[[#This Row],[Deduct]]</f>
        <v>0</v>
      </c>
      <c r="FK81">
        <f ca="1">tblBaseCF[[#This Row],[TAVDeduct]]</f>
        <v>0</v>
      </c>
      <c r="FL81">
        <f ca="1">tblBaseCF[[#This Row],[EAVDeduct]]</f>
        <v>0</v>
      </c>
      <c r="FM81" s="24">
        <f ca="1">tblBaseCF[[#This Row],[TAVInt]]</f>
        <v>0</v>
      </c>
      <c r="FN81">
        <f ca="1">tblBaseCF[[#This Row],[EAVInt]]</f>
        <v>0</v>
      </c>
      <c r="FO81" s="47">
        <f ca="1">tblBaseCF[[#This Row],[LB]]</f>
        <v>0</v>
      </c>
      <c r="FP81">
        <f ca="1">tblBaseCF[[#This Row],[SB]]</f>
        <v>0</v>
      </c>
      <c r="FQ81">
        <f ca="1">tblBaseCF[[#This Row],[Bonus]]</f>
        <v>0</v>
      </c>
      <c r="FR81">
        <f ca="1">tblBaseCF[[#This Row],[EndTAV]]</f>
        <v>0</v>
      </c>
      <c r="FS81">
        <f ca="1">tblBaseCF[[#This Row],[EndEAV]]</f>
        <v>0</v>
      </c>
      <c r="FT81">
        <f ca="1">tblBaseCF[[#This Row],[EndPAV]]</f>
        <v>0</v>
      </c>
      <c r="FU81">
        <f ca="1">tblBaseCF[[#This Row],[SemiAnnualTP]]</f>
        <v>0</v>
      </c>
      <c r="FV81">
        <f ca="1">tblBaseCF[[#This Row],[SemiAnnualEP]]</f>
        <v>0</v>
      </c>
      <c r="FW81">
        <f ca="1">tblBaseCF[[#This Row],[SemiAnnualEMLoad]]</f>
        <v>0</v>
      </c>
      <c r="FX81">
        <f ca="1">tblBaseCF[[#This Row],[SemiAnnualPMLoad]]</f>
        <v>0</v>
      </c>
      <c r="FY81">
        <f ca="1">tblBaseCF[[#This Row],[SemiAnnualLoad]]</f>
        <v>0</v>
      </c>
      <c r="FZ81">
        <f ca="1">tblBaseCF[[#This Row],[SemiAnnualTotalPrem]]</f>
        <v>0</v>
      </c>
      <c r="GA81">
        <f ca="1">tblBaseCF[[#This Row],[QuarterlyTP]]</f>
        <v>0</v>
      </c>
      <c r="GB81">
        <f ca="1">tblBaseCF[[#This Row],[QuarterlyEP]]</f>
        <v>0</v>
      </c>
      <c r="GC81">
        <f ca="1">tblBaseCF[[#This Row],[QuarterlyEMLoad]]</f>
        <v>0</v>
      </c>
      <c r="GD81">
        <f ca="1">tblBaseCF[[#This Row],[QuarterlyPMLoad]]</f>
        <v>0</v>
      </c>
      <c r="GE81">
        <f ca="1">tblBaseCF[[#This Row],[QuarterlyLoad]]</f>
        <v>0</v>
      </c>
      <c r="GF81">
        <f ca="1">tblBaseCF[[#This Row],[QuarterlyTotalPrem]]</f>
        <v>0</v>
      </c>
      <c r="GG81">
        <f ca="1">tblBaseCF[[#This Row],[MonthlyTP]]</f>
        <v>0</v>
      </c>
      <c r="GH81">
        <f ca="1">tblBaseCF[[#This Row],[MonthlyEP]]</f>
        <v>0</v>
      </c>
      <c r="GI81">
        <f ca="1">tblBaseCF[[#This Row],[MonthlyEMLoad]]</f>
        <v>0</v>
      </c>
      <c r="GJ81">
        <f ca="1">tblBaseCF[[#This Row],[MonthlyPMLoad]]</f>
        <v>0</v>
      </c>
      <c r="GK81">
        <f ca="1">tblBaseCF[[#This Row],[MonthlyLoad]]</f>
        <v>0</v>
      </c>
      <c r="GL81">
        <f ca="1">tblBaseCF[[#This Row],[MonthlyTotalPrem]]</f>
        <v>0</v>
      </c>
      <c r="GO81" t="s">
        <v>134</v>
      </c>
      <c r="GP81" t="s">
        <v>135</v>
      </c>
      <c r="GQ81" t="s">
        <v>502</v>
      </c>
      <c r="GR81">
        <v>61</v>
      </c>
      <c r="GS81">
        <v>60</v>
      </c>
      <c r="GT81">
        <v>1</v>
      </c>
      <c r="GU81" t="s">
        <v>457</v>
      </c>
      <c r="GV81">
        <v>278770898.01399398</v>
      </c>
      <c r="GW81">
        <v>2405288960.3862901</v>
      </c>
      <c r="GX81">
        <v>2684059858.40029</v>
      </c>
      <c r="GY81">
        <v>0</v>
      </c>
      <c r="GZ81">
        <v>2684059858.40029</v>
      </c>
      <c r="HA81">
        <v>2684059858.40029</v>
      </c>
      <c r="HB81">
        <v>303000000</v>
      </c>
      <c r="HC81">
        <v>0</v>
      </c>
      <c r="HD81" t="s">
        <v>137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7.0000000000000007E-2</v>
      </c>
      <c r="HX81">
        <v>0.96964931039809399</v>
      </c>
      <c r="HY81">
        <v>1</v>
      </c>
      <c r="HZ81">
        <v>300000</v>
      </c>
      <c r="IA81">
        <v>0</v>
      </c>
      <c r="IB81">
        <v>0</v>
      </c>
      <c r="IC81">
        <v>0</v>
      </c>
      <c r="ID81">
        <v>272700</v>
      </c>
      <c r="IE81">
        <v>572700</v>
      </c>
      <c r="IF81">
        <v>555318.16006498795</v>
      </c>
      <c r="IG81">
        <v>555318.16006498795</v>
      </c>
      <c r="IH81">
        <v>0</v>
      </c>
      <c r="II81">
        <v>19475090.589775</v>
      </c>
      <c r="IJ81">
        <v>168370227.22704101</v>
      </c>
      <c r="IK81">
        <v>0</v>
      </c>
      <c r="IL81">
        <v>0</v>
      </c>
      <c r="IM81">
        <v>0</v>
      </c>
      <c r="IN81">
        <v>297690670.44370401</v>
      </c>
      <c r="IO81">
        <v>2573659187.6133299</v>
      </c>
      <c r="IP81">
        <v>2871349858.0570402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</row>
    <row r="82" spans="2:268" customFormat="1" x14ac:dyDescent="0.25">
      <c r="B82" s="2">
        <f ca="1">OFFSET(tblBaseCF[[#This Row],[Year]],-1,0)+1</f>
        <v>62</v>
      </c>
      <c r="C82" s="2">
        <f ca="1">(tblBaseCF[[#This Row],[Year]]&lt;=term)*1</f>
        <v>1</v>
      </c>
      <c r="D82" s="57">
        <f ca="1">(YEAR(rcd)+tblBaseCF[[#This Row],[Year]]-1)
*tblBaseCF[[#This Row],[PolTermFlag]]</f>
        <v>2086</v>
      </c>
      <c r="E82" s="57">
        <f ca="1">(mainLI_entry_age+tblBaseCF[[#This Row],[Year]]-1)
*tblBaseCF[[#This Row],[PolTermFlag]]</f>
        <v>61</v>
      </c>
      <c r="F82" s="57">
        <f ca="1">IF(tblBaseCF[[#This Row],[Year]]=1,1,OFFSET(tblBaseCF[[#This Row],[DeductFlag]],-1,0))
*tblBaseCF[[#This Row],[PolTermFlag]]</f>
        <v>0</v>
      </c>
      <c r="G8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2" s="57">
        <f ca="1">(tblBaseCF[[#This Row],[Year]]&lt;=acc_ben_term)
*tblBaseCF[[#This Row],[ContFlag]]</f>
        <v>0</v>
      </c>
      <c r="I82" s="57">
        <f ca="1">(tblBaseCF[[#This Row],[Year]]&lt;=tp_term)
*tblBaseCF[[#This Row],[ContFlag]]</f>
        <v>0</v>
      </c>
      <c r="J82" s="57">
        <f ca="1">(tblBaseCF[[#This Row],[Year]]&lt;=ep_term)
*tblBaseCF[[#This Row],[ContFlag]]</f>
        <v>0</v>
      </c>
      <c r="K82" s="57">
        <f ca="1">(tblBaseCF[[#This Row],[Year]]&lt;=em_load_term)*1</f>
        <v>0</v>
      </c>
      <c r="L82" s="57">
        <f ca="1">(tblBaseCF[[#This Row],[Year]]&lt;=pm_load_term)*1</f>
        <v>0</v>
      </c>
      <c r="M82" s="59">
        <f ca="1">IF(tblBaseCF[[#This Row],[Year]]=1,si,OFFSET(tblBaseCF[[#This Row],[EndSI]],-1,0))
*tblBaseCF[[#This Row],[ContFlag]]</f>
        <v>0</v>
      </c>
      <c r="N82" s="59">
        <f ca="1">OFFSET(tblBaseCF[[#This Row],[EndTAV]],-1,0)
*tblBaseCF[[#This Row],[ContFlag]]</f>
        <v>0</v>
      </c>
      <c r="O82" s="59">
        <f ca="1">OFFSET(tblBaseCF[[#This Row],[EndEAV]],-1,0)
*tblBaseCF[[#This Row],[ContFlag]]</f>
        <v>0</v>
      </c>
      <c r="P82" s="60">
        <f ca="1">tblBaseCF[[#This Row],[StartEAV]]+tblBaseCF[[#This Row],[StartTAV]]</f>
        <v>0</v>
      </c>
      <c r="Q82" s="61">
        <f ca="1">IFERROR(INDEX(tblJuvenileLienRate[Rate],MATCH(tblBaseCF[[#This Row],[Age]],tblJuvenileLienRate[Age],0)),1)
*tblBaseCF[[#This Row],[ContFlag]]</f>
        <v>0</v>
      </c>
      <c r="R8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2" s="62">
        <f ca="1">tblBaseCF[[#This Row],[StartSI]]*acc_ben_coeff*tblBaseCF[[#This Row],[JuvenileLienRate]]
*tblBaseCF[[#This Row],[AccBenTermFlag]]</f>
        <v>0</v>
      </c>
      <c r="T82" s="61">
        <f ca="1">(IFERROR(INDEX(tblSurrChrgRate[Rate],MATCH(tblBaseCF[[#This Row],[Year]],tblSurrChrgRate[Year],0)),0)
*tblBaseCF[[#This Row],[ContFlag]])</f>
        <v>0</v>
      </c>
      <c r="U82" s="60">
        <f ca="1">tp*tblBaseCF[[#This Row],[SrrChrgRate]]</f>
        <v>0</v>
      </c>
      <c r="V82" s="63">
        <f ca="1">MAX(tblBaseCF[[#This Row],[StartTAV]]-tblBaseCF[[#This Row],[SVChrg]],0)+tblBaseCF[[#This Row],[StartEAV]]</f>
        <v>0</v>
      </c>
      <c r="W82" s="59">
        <f ca="1">IFERROR(INDEX(tblWithdrawal_Output[Amount],MATCH(tblBaseCF[[#This Row],[Year]],tblWithdrawal_Output[Year],0)),0)
*tblBaseCF[[#This Row],[ContFlag]]</f>
        <v>0</v>
      </c>
      <c r="X82" s="59" t="b">
        <f ca="1">tblBaseCF[[#This Row],[WithdrawalInput]]&gt;0</f>
        <v>0</v>
      </c>
      <c r="Y82" s="59" t="b">
        <f ca="1">AND(tblBaseCF[[#This Row],[1stCheckProceed]],tblBaseCF[[#This Row],[WithdrawalInput]]&lt;=tblBaseCF[[#This Row],[StartPAV]])</f>
        <v>0</v>
      </c>
      <c r="Z82" s="59" t="b">
        <f ca="1">AND(tblBaseCF[[#This Row],[2ndCheckAmount]],(tblBaseCF[[#This Row],[StartPAV]]-tblBaseCF[[#This Row],[WithdrawalInput]])&gt;=min_pav_after_withdrawal)</f>
        <v>0</v>
      </c>
      <c r="AA8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2" s="59" t="b">
        <f ca="1">AND(tblBaseCF[[#This Row],[3rdCheckPAV]],tblBaseCF[[#This Row],[endSITest]]&gt;=min_base_si)</f>
        <v>0</v>
      </c>
      <c r="AC82" s="60">
        <f ca="1">tblBaseCF[[#This Row],[WithdrawalInput]]*tblBaseCF[[#This Row],[4thCheckSI]]</f>
        <v>0</v>
      </c>
      <c r="AD82" s="60">
        <f ca="1">MIN(tblBaseCF[[#This Row],[Withdrawal]],tblBaseCF[[#This Row],[StartEAV]])</f>
        <v>0</v>
      </c>
      <c r="AE82" s="60">
        <f ca="1">tblBaseCF[[#This Row],[Withdrawal]]-tblBaseCF[[#This Row],[EAVWithdrawal]]</f>
        <v>0</v>
      </c>
      <c r="AF82" s="60">
        <f ca="1">IF(tblBaseCF[[#This Row],[4thCheckSI]],tblBaseCF[[#This Row],[endSITest]],tblBaseCF[[#This Row],[StartSI]])</f>
        <v>0</v>
      </c>
      <c r="AG8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2" s="65">
        <f ca="1">IFERROR(INDEX(tblTPAllocChrgRate[Rate],MATCH(tblBaseCF[[#This Row],[Year]],tblTPAllocChrgRate[Year],0)),0)</f>
        <v>0.02</v>
      </c>
      <c r="AI82" s="62">
        <f ca="1">(tp+big_case_bonus_tp*(tblBaseCF[[#This Row],[Year]]=1))
*tblBaseCF[[#This Row],[TPTermFlag]]</f>
        <v>0</v>
      </c>
      <c r="AJ82" s="63">
        <f ca="1">tblBaseCF[[#This Row],[TP]]*tblBaseCF[[#This Row],[TPAllocChrgRate]]</f>
        <v>0</v>
      </c>
      <c r="AK82" s="60">
        <f ca="1">tblBaseCF[[#This Row],[TP]]-tblBaseCF[[#This Row],[TPAllocChrg]]</f>
        <v>0</v>
      </c>
      <c r="AL82" s="65">
        <f ca="1">IFERROR(INDEX(tblEPAllocChrgRate[Rate],MATCH(tblBaseCF[[#This Row],[Year]],tblEPAllocChrgRate[Year],0)),0)</f>
        <v>0.02</v>
      </c>
      <c r="AM82" s="60">
        <f ca="1">ep*tblBaseCF[[#This Row],[EPTermFlag]]</f>
        <v>0</v>
      </c>
      <c r="AN82" s="60">
        <f ca="1">tblBaseCF[[#This Row],[EP]]*tblBaseCF[[#This Row],[EPAllocChrgRate]]</f>
        <v>0</v>
      </c>
      <c r="AO82" s="63">
        <f ca="1">tblBaseCF[[#This Row],[EP]]-tblBaseCF[[#This Row],[EPAllocChrg]]</f>
        <v>0</v>
      </c>
      <c r="AP82" s="62">
        <f ca="1">tblBaseCF[[#This Row],[Ben]]*extra_prem_rate*em_load/1000/(1-tblBaseCF[[#This Row],[EPAllocChrgRate]])
*tblBaseCF[[#This Row],[EMLoadTermFlag]]</f>
        <v>0</v>
      </c>
      <c r="AQ82" s="62">
        <f ca="1">tblBaseCF[[#This Row],[Ben]]*pm_load/1000/(1-tblBaseCF[[#This Row],[EPAllocChrgRate]])
*tblBaseCF[[#This Row],[PMLoadTermFlag]]</f>
        <v>0</v>
      </c>
      <c r="AR82" s="60">
        <f ca="1">ROUNDUP(tblBaseCF[[#This Row],[UnroundedEMLoad]],-3)</f>
        <v>0</v>
      </c>
      <c r="AS82" s="62">
        <f ca="1">ROUNDUP(tblBaseCF[[#This Row],[Ben]]*pm_load/1000/(1-tblBaseCF[[#This Row],[EPAllocChrgRate]]),-3)
*tblBaseCF[[#This Row],[PMLoadTermFlag]]</f>
        <v>0</v>
      </c>
      <c r="AT82" s="60">
        <f ca="1">tblBaseCF[[#This Row],[EMLoad]]+tblBaseCF[[#This Row],[PMLoad]]</f>
        <v>0</v>
      </c>
      <c r="AU82" s="60">
        <f ca="1">tblBaseCF[[#This Row],[Load]]*tblBaseCF[[#This Row],[EPAllocChrgRate]]</f>
        <v>0</v>
      </c>
      <c r="AV82" s="60">
        <f ca="1">tblBaseCF[[#This Row],[Load]]-tblBaseCF[[#This Row],[LoadAllocChrg]]</f>
        <v>0</v>
      </c>
      <c r="AW82" s="60">
        <f ca="1">tblBaseCF[[#This Row],[TP]]+tblBaseCF[[#This Row],[EP]]+tblBaseCF[[#This Row],[Load]]</f>
        <v>0</v>
      </c>
      <c r="AX82" s="60">
        <f ca="1">tblBaseCF[[#This Row],[TPAllocChrg]]+tblBaseCF[[#This Row],[EPAllocChrg]]+tblBaseCF[[#This Row],[LoadAllocChrg]]</f>
        <v>0</v>
      </c>
      <c r="AY82" s="60">
        <f ca="1">tblBaseCF[[#This Row],[TPAlloc]]+tblBaseCF[[#This Row],[EPAlloc]]+tblBaseCF[[#This Row],[LoadAlloc]]</f>
        <v>0</v>
      </c>
      <c r="AZ82" s="60">
        <f ca="1">(OFFSET(tblBaseCF[[#This Row],[AccumTotalPrem]],-1,0)+tblBaseCF[[#This Row],[TotalPrem]])*tblBaseCF[[#This Row],[TPTermFlag]]</f>
        <v>0</v>
      </c>
      <c r="BA82" s="62">
        <f ca="1">(tblBaseCF[[#This Row],[StartTAV]]-tblBaseCF[[#This Row],[TAVWithdrawal]]+tblBaseCF[[#This Row],[TPAlloc]])
*tblBaseCF[[#This Row],[ContFlag]]</f>
        <v>0</v>
      </c>
      <c r="BB82" s="59">
        <f ca="1">(tblBaseCF[[#This Row],[StartEAV]]-tblBaseCF[[#This Row],[EAVWithdrawal]]+tblBaseCF[[#This Row],[EPAlloc]]+tblBaseCF[[#This Row],[LoadAlloc]])
*tblBaseCF[[#This Row],[ContFlag]]</f>
        <v>0</v>
      </c>
      <c r="BC82" s="59">
        <f ca="1">tblBaseCF[[#This Row],[TAVAfterWdrlAlloc]]+tblBaseCF[[#This Row],[EAVAfterWdrlAlloc]]</f>
        <v>0</v>
      </c>
      <c r="BD82" s="66">
        <f t="shared" si="6"/>
        <v>0</v>
      </c>
      <c r="BE82" s="67">
        <f>(1+tblBaseCF[[#This Row],[AnnualIntRate]])^(1/12)-1</f>
        <v>0</v>
      </c>
      <c r="BF82" s="68">
        <f>IFERROR(((1+tblBaseCF[[#This Row],[MonthlyIntRate]])^12-1)/12/(1-1/(1+tblBaseCF[[#This Row],[MonthlyIntRate]])),1)/(1+tblBaseCF[[#This Row],[AnnualIntRate]])</f>
        <v>1</v>
      </c>
      <c r="BG82" s="69">
        <f>PV(tblBaseCF[[#This Row],[MonthlyIntRate]],12,-1/12,,1)</f>
        <v>1</v>
      </c>
      <c r="BH82" s="60">
        <f ca="1">MAX(IF(death_tpd_option="A",tblBaseCF[[#This Row],[Ben]]-tblBaseCF[[#This Row],[StartPAV]],tblBaseCF[[#This Row],[Ben]]),0)</f>
        <v>0</v>
      </c>
      <c r="BI82" s="70">
        <f ca="1">IFERROR(INDEX(tblBaseCOIRate[Rate],MATCH(tblBaseCF[[#This Row],[Age]],tblBaseCOIRate[Age],0)),0)</f>
        <v>1.0540000000000001E-2</v>
      </c>
      <c r="BJ82" s="60">
        <f ca="1">tblBaseCF[[#This Row],[SAR]]*tblBaseCF[[#This Row],[COIRate]]</f>
        <v>0</v>
      </c>
      <c r="BK82" s="62">
        <f ca="1">em_load*tblBaseCF[[#This Row],[pStandardCOI]]
*tblBaseCF[[#This Row],[EMLoadTermFlag]]</f>
        <v>0</v>
      </c>
      <c r="BL82" s="62">
        <f ca="1">pm_load/1000*tblBaseCF[[#This Row],[SAR]]
*tblBaseCF[[#This Row],[PMLoadTermFlag]]</f>
        <v>0</v>
      </c>
      <c r="BM82" s="60">
        <f ca="1">tblBaseCF[[#This Row],[AccBen]]*monthly_acc_coi*12</f>
        <v>0</v>
      </c>
      <c r="BN82" s="60">
        <f ca="1">tblBaseCF[[#This Row],[pStandardCOI]]+tblBaseCF[[#This Row],[pEMLoadCOI]]+tblBaseCF[[#This Row],[pPMLoadCOI]]+tblBaseCF[[#This Row],[pAccCOI]]</f>
        <v>0</v>
      </c>
      <c r="BO82" s="62">
        <f ca="1">IFERROR(INDEX(tblAdminChrg[Amount],MATCH(tblBaseCF[[#This Row],[CalYear]],tblAdminChrg[Cal_Year],0)),0)
*tblBaseCF[[#This Row],[ContFlag]]</f>
        <v>0</v>
      </c>
      <c r="BP82" s="60">
        <f ca="1">tblBaseCF[[#This Row],[pMonthlyAdminChrg]]*12</f>
        <v>0</v>
      </c>
      <c r="BQ82" s="60">
        <f ca="1">tblBaseCF[[#This Row],[pCOI]]+tblBaseCF[[#This Row],[pAdminChrg]]</f>
        <v>0</v>
      </c>
      <c r="BR82" s="60">
        <f ca="1">tblBaseCF[[#This Row],[pNomDeduct]]*tblBaseCF[[#This Row],[Duean1m12]]</f>
        <v>0</v>
      </c>
      <c r="BS82" s="57">
        <f ca="1">(tblBaseCF[[#This Row],[PAVAfterWdrlAlloc]]&gt;=tblBaseCF[[#This Row],[pNomDeduct]])
*tblBaseCF[[#This Row],[ContFlag]]</f>
        <v>0</v>
      </c>
      <c r="BT82" s="60">
        <f ca="1">tblBaseCF[[#This Row],[pStandardCOI]]*tblBaseCF[[#This Row],[DeductFlag]]</f>
        <v>0</v>
      </c>
      <c r="BU82" s="60">
        <f ca="1">tblBaseCF[[#This Row],[pEMLoadCOI]]*tblBaseCF[[#This Row],[DeductFlag]]</f>
        <v>0</v>
      </c>
      <c r="BV82" s="60">
        <f ca="1">tblBaseCF[[#This Row],[pPMLoadCOI]]*tblBaseCF[[#This Row],[DeductFlag]]</f>
        <v>0</v>
      </c>
      <c r="BW82" s="60">
        <f ca="1">tblBaseCF[[#This Row],[pAccCOI]]*tblBaseCF[[#This Row],[DeductFlag]]</f>
        <v>0</v>
      </c>
      <c r="BX82" s="60">
        <f ca="1">tblBaseCF[[#This Row],[pCOI]]*tblBaseCF[[#This Row],[DeductFlag]]</f>
        <v>0</v>
      </c>
      <c r="BY82" s="60">
        <f ca="1">tblBaseCF[[#This Row],[pMonthlyAdminChrg]]*tblBaseCF[[#This Row],[DeductFlag]]</f>
        <v>0</v>
      </c>
      <c r="BZ82" s="60">
        <f ca="1">tblBaseCF[[#This Row],[pAdminChrg]]*tblBaseCF[[#This Row],[DeductFlag]]</f>
        <v>0</v>
      </c>
      <c r="CA82" s="60">
        <f ca="1">tblBaseCF[[#This Row],[pNomDeduct]]*tblBaseCF[[#This Row],[DeductFlag]]</f>
        <v>0</v>
      </c>
      <c r="CB82" s="60">
        <f ca="1">tblBaseCF[[#This Row],[pDeduct]]*tblBaseCF[[#This Row],[DeductFlag]]</f>
        <v>0</v>
      </c>
      <c r="CC82" s="60">
        <f ca="1">MIN(tblBaseCF[[#This Row],[TAVAfterWdrlAlloc]],tblBaseCF[[#This Row],[Deduct]])</f>
        <v>0</v>
      </c>
      <c r="CD82" s="60">
        <f ca="1">tblBaseCF[[#This Row],[Deduct]]-tblBaseCF[[#This Row],[TAVDeduct]]</f>
        <v>0</v>
      </c>
      <c r="CE82" s="69">
        <f ca="1">(tblBaseCF[[#This Row],[TAVAfterWdrlAlloc]]-tblBaseCF[[#This Row],[TAVDeduct]])*tblBaseCF[[#This Row],[AnnualIntRate]]
*tblBaseCF[[#This Row],[DeductFlag]]</f>
        <v>0</v>
      </c>
      <c r="CF82" s="69">
        <f ca="1">(tblBaseCF[[#This Row],[EAVAfterWdrlAlloc]]-tblBaseCF[[#This Row],[EAVDeduct]])*tblBaseCF[[#This Row],[AnnualIntRate]]
*tblBaseCF[[#This Row],[DeductFlag]]</f>
        <v>0</v>
      </c>
      <c r="CG82" s="69">
        <f ca="1">tblBaseCF[[#This Row],[TAVInt]]+tblBaseCF[[#This Row],[EAVInt]]</f>
        <v>0</v>
      </c>
      <c r="CH82" s="62">
        <f ca="1">IFERROR(INDEX(tblLBRate[Rate],MATCH(tblBaseCF[[#This Row],[Year]],tblLBRate[Year],0)),0)
*tblBaseCF[[#This Row],[DeductFlag]]</f>
        <v>0</v>
      </c>
      <c r="CI82" s="60">
        <f ca="1">IFERROR(SUM(OFFSET(tblBaseCF[[#This Row],[TAVWithdrawal]],0,0,-lb_review_period,1)),0)
*(tblBaseCF[[#This Row],[LBRate]]&gt;0)</f>
        <v>0</v>
      </c>
      <c r="CJ82" s="60">
        <f ca="1">(tblBaseCF[[#This Row],[LBRate]]&gt;0)*(tblBaseCF[[#This Row],[LBTAVWithdrawal]]=0)</f>
        <v>0</v>
      </c>
      <c r="CK82" s="62" cm="1">
        <f t="array" aca="1" ref="CK82" ca="1">IF(tblBaseCF[[#This Row],[LBFlag]],
_xlfn.SWITCH(base,
"ILP1",AVERAGE(OFFSET(tblBaseCF[TP],0,0,-lb_review_period,1)),tp),0)
*tblBaseCF[[#This Row],[LBFlag]]</f>
        <v>0</v>
      </c>
      <c r="CL82" s="62">
        <f ca="1">tblBaseCF[[#This Row],[LBBasis]]*tblBaseCF[[#This Row],[LBRate]]</f>
        <v>0</v>
      </c>
      <c r="CM82" s="57" cm="1">
        <f t="array" aca="1" ref="CM82" ca="1">_xlfn.SWITCH(base,
"ILP1",0,($AF182&lt;500000000)*1
+($AF182&gt;=500000000)*($AF182&lt;1000000000)*2
+($AF182&gt;=1000000000)*3)
*tblBaseCF[[#This Row],[DeductFlag]]</f>
        <v>0</v>
      </c>
      <c r="CN82" s="2" t="str">
        <f ca="1">IF(tblBaseCF[[#This Row],[DeductFlag]],base&amp;"_"&amp;tblBaseCF[[#This Row],[SBCode]]&amp;"_"&amp;tblBaseCF[[#This Row],[Year]],"")</f>
        <v/>
      </c>
      <c r="CO82" s="3">
        <f ca="1">IFERROR(INDEX(tblSBRate[Index],MATCH(tblBaseCF[[#This Row],[SBIndex]],tblSBRate[Rate],0)),0)</f>
        <v>0</v>
      </c>
      <c r="CP82" s="63">
        <f ca="1">IFERROR(SUM(OFFSET(tblBaseCF[[#This Row],[TAVWithdrawal]],0,0,-sb_review_period,1)),0)
*(tblBaseCF[[#This Row],[SBRate]]&gt;0)</f>
        <v>0</v>
      </c>
      <c r="CQ82" s="63">
        <f ca="1">(tblBaseCF[[#This Row],[SBRate]]&gt;0)*(tblBaseCF[[#This Row],[SBTAVWithdrawal]]=0)</f>
        <v>0</v>
      </c>
      <c r="CR82" s="59" cm="1">
        <f t="array" aca="1" ref="CR82" ca="1">IF(tblBaseCF[[#This Row],[LBFlag]],
_xlfn.SWITCH(base,
"ILP1",0,tp),0)*tblBaseCF[[#This Row],[SBFlag]]</f>
        <v>0</v>
      </c>
      <c r="CS82" s="63">
        <f ca="1">tblBaseCF[[#This Row],[SBBasis]]*tblBaseCF[[#This Row],[SBRate]]</f>
        <v>0</v>
      </c>
      <c r="CT82" s="63">
        <f ca="1">tblBaseCF[[#This Row],[LB]]+tblBaseCF[[#This Row],[SB]]</f>
        <v>0</v>
      </c>
      <c r="CU82" s="59">
        <f ca="1">tblBaseCF[[#This Row],[TAVAfterWdrlAlloc]]-tblBaseCF[[#This Row],[TAVDeduct]]+tblBaseCF[[#This Row],[TAVInt]]+tblBaseCF[[#This Row],[Bonus]]</f>
        <v>0</v>
      </c>
      <c r="CV82" s="59">
        <f ca="1">tblBaseCF[[#This Row],[EAVAfterWdrlAlloc]]-tblBaseCF[[#This Row],[EAVDeduct]]+tblBaseCF[[#This Row],[EAVInt]]</f>
        <v>0</v>
      </c>
      <c r="CW82" s="63">
        <f ca="1">tblBaseCF[[#This Row],[EndTAV]]+tblBaseCF[[#This Row],[EndEAV]]</f>
        <v>0</v>
      </c>
      <c r="CX82" s="59">
        <f ca="1">INDEX(tblPlanPrem[TP],2)
*tblBaseCF[[#This Row],[TPTermFlag]]</f>
        <v>0</v>
      </c>
      <c r="CY82" s="59">
        <f ca="1">INDEX(tblPlanPrem[EP],2)
*tblBaseCF[[#This Row],[TPTermFlag]]</f>
        <v>0</v>
      </c>
      <c r="CZ82" s="63">
        <f ca="1">ROUNDUP(tblBaseCF[[#This Row],[UnroundedEMLoad]]*INDEX(tblPlanPrem[Factor],2),-3)</f>
        <v>0</v>
      </c>
      <c r="DA82" s="63">
        <f ca="1">ROUNDUP(tblBaseCF[[#This Row],[UnroundedPMLoad]]*INDEX(tblPlanPrem[Factor],2),-3)</f>
        <v>0</v>
      </c>
      <c r="DB82" s="63">
        <f ca="1">tblBaseCF[[#This Row],[SemiAnnualEMLoad]]+tblBaseCF[[#This Row],[SemiAnnualPMLoad]]</f>
        <v>0</v>
      </c>
      <c r="DC82" s="63">
        <f ca="1">tblBaseCF[[#This Row],[SemiAnnualTP]]+tblBaseCF[[#This Row],[SemiAnnualEP]]+tblBaseCF[[#This Row],[SemiAnnualLoad]]</f>
        <v>0</v>
      </c>
      <c r="DD82" s="59">
        <f ca="1">INDEX(tblPlanPrem[TP],3)
*tblBaseCF[[#This Row],[TPTermFlag]]</f>
        <v>0</v>
      </c>
      <c r="DE82" s="59">
        <f ca="1">INDEX(tblPlanPrem[EP],3)
*tblBaseCF[[#This Row],[TPTermFlag]]</f>
        <v>0</v>
      </c>
      <c r="DF82" s="63">
        <f ca="1">ROUNDUP(tblBaseCF[[#This Row],[UnroundedEMLoad]]*INDEX(tblPlanPrem[Factor],3),-3)</f>
        <v>0</v>
      </c>
      <c r="DG82" s="63">
        <f ca="1">ROUNDUP(tblBaseCF[[#This Row],[UnroundedPMLoad]]*INDEX(tblPlanPrem[Factor],3),-3)</f>
        <v>0</v>
      </c>
      <c r="DH82" s="60">
        <f ca="1">tblBaseCF[[#This Row],[QuarterlyEMLoad]]+tblBaseCF[[#This Row],[QuarterlyPMLoad]]</f>
        <v>0</v>
      </c>
      <c r="DI82" s="60">
        <f ca="1">tblBaseCF[[#This Row],[QuarterlyTP]]+tblBaseCF[[#This Row],[QuarterlyEP]]+tblBaseCF[[#This Row],[QuarterlyLoad]]</f>
        <v>0</v>
      </c>
      <c r="DJ82" s="59">
        <f ca="1">INDEX(tblPlanPrem[TP],4)
*tblBaseCF[[#This Row],[TPTermFlag]]</f>
        <v>0</v>
      </c>
      <c r="DK82" s="59">
        <f ca="1">INDEX(tblPlanPrem[EP],4)
*tblBaseCF[[#This Row],[TPTermFlag]]</f>
        <v>0</v>
      </c>
      <c r="DL82" s="63">
        <f ca="1">ROUNDUP(tblBaseCF[[#This Row],[UnroundedEMLoad]]*INDEX(tblPlanPrem[Factor],4),-3)</f>
        <v>0</v>
      </c>
      <c r="DM82" s="63">
        <f ca="1">ROUNDUP(tblBaseCF[[#This Row],[UnroundedPMLoad]]*INDEX(tblPlanPrem[Factor],4),-3)</f>
        <v>0</v>
      </c>
      <c r="DN82" s="60">
        <f ca="1">tblBaseCF[[#This Row],[MonthlyEMLoad]]+tblBaseCF[[#This Row],[MonthlyPMLoad]]</f>
        <v>0</v>
      </c>
      <c r="DO82" s="63">
        <f ca="1">tblBaseCF[[#This Row],[MonthlyTP]]+tblBaseCF[[#This Row],[MonthlyEP]]+tblBaseCF[[#This Row],[MonthlyLoad]]</f>
        <v>0</v>
      </c>
      <c r="DP82" s="3"/>
      <c r="DS82">
        <f t="shared" si="7"/>
        <v>0</v>
      </c>
      <c r="DT82">
        <f t="shared" si="8"/>
        <v>0</v>
      </c>
      <c r="DU82">
        <f t="shared" si="9"/>
        <v>0</v>
      </c>
      <c r="DV82">
        <f ca="1">tblBaseCF[[#This Row],[Year]]</f>
        <v>62</v>
      </c>
      <c r="DW82">
        <f ca="1">tblBaseCF[[#This Row],[Age]]</f>
        <v>61</v>
      </c>
      <c r="DX82">
        <f ca="1">tblBaseCF[[#This Row],[ContFlag]]</f>
        <v>0</v>
      </c>
      <c r="DY82" t="str">
        <f ca="1">tblBaseCF[[#This Row],[ContLog]]</f>
        <v>Insufficient PAV for deduction - Discontinue.</v>
      </c>
      <c r="DZ82">
        <f ca="1">tblBaseCF[[#This Row],[StartTAV]]</f>
        <v>0</v>
      </c>
      <c r="EA82">
        <f ca="1">tblBaseCF[[#This Row],[StartEAV]]</f>
        <v>0</v>
      </c>
      <c r="EB82">
        <f ca="1">tblBaseCF[[#This Row],[StartPAV]]</f>
        <v>0</v>
      </c>
      <c r="EC82">
        <f ca="1">tblBaseCF[[#This Row],[SVChrg]]</f>
        <v>0</v>
      </c>
      <c r="ED82">
        <f ca="1">tblBaseCF[[#This Row],[SV]]</f>
        <v>0</v>
      </c>
      <c r="EE82">
        <f ca="1">tblBaseCF[[#This Row],[Ben]]</f>
        <v>0</v>
      </c>
      <c r="EF82">
        <f ca="1">tblBaseCF[[#This Row],[AccBen]]</f>
        <v>0</v>
      </c>
      <c r="EG82">
        <f ca="1">tblBaseCF[[#This Row],[WithdrawalInput]]</f>
        <v>0</v>
      </c>
      <c r="EH82" t="str">
        <f ca="1">tblBaseCF[[#This Row],[WithdrawalLog]]</f>
        <v>No withdrawal.</v>
      </c>
      <c r="EI82">
        <f ca="1">tblBaseCF[[#This Row],[TAVWithdrawal]]</f>
        <v>0</v>
      </c>
      <c r="EJ82">
        <f ca="1">tblBaseCF[[#This Row],[EAVWithdrawal]]</f>
        <v>0</v>
      </c>
      <c r="EK82">
        <f ca="1">tblBaseCF[[#This Row],[Withdrawal]]</f>
        <v>0</v>
      </c>
      <c r="EL82">
        <f ca="1">tblBaseCF[[#This Row],[TP]]</f>
        <v>0</v>
      </c>
      <c r="EM82">
        <f ca="1">tblBaseCF[[#This Row],[TPAllocChrg]]</f>
        <v>0</v>
      </c>
      <c r="EN82">
        <f ca="1">tblBaseCF[[#This Row],[TPAlloc]]</f>
        <v>0</v>
      </c>
      <c r="EO82">
        <f ca="1">tblBaseCF[[#This Row],[EP]]</f>
        <v>0</v>
      </c>
      <c r="EP82">
        <f ca="1">tblBaseCF[[#This Row],[EPAllocChrg]]</f>
        <v>0</v>
      </c>
      <c r="EQ82">
        <f ca="1">tblBaseCF[[#This Row],[EPAlloc]]</f>
        <v>0</v>
      </c>
      <c r="ER82">
        <f ca="1">tblBaseCF[[#This Row],[EMLoad]]</f>
        <v>0</v>
      </c>
      <c r="ES82">
        <f ca="1">tblBaseCF[[#This Row],[PMLoad]]</f>
        <v>0</v>
      </c>
      <c r="ET82">
        <f ca="1">tblBaseCF[[#This Row],[Load]]</f>
        <v>0</v>
      </c>
      <c r="EU82">
        <f ca="1">tblBaseCF[[#This Row],[LoadAllocChrg]]</f>
        <v>0</v>
      </c>
      <c r="EV82">
        <f ca="1">tblBaseCF[[#This Row],[LoadAlloc]]</f>
        <v>0</v>
      </c>
      <c r="EW82">
        <f ca="1">tblBaseCF[[#This Row],[TotalPrem]]</f>
        <v>0</v>
      </c>
      <c r="EX82">
        <f ca="1">tblBaseCF[[#This Row],[AllocChrg]]</f>
        <v>0</v>
      </c>
      <c r="EY82">
        <f ca="1">tblBaseCF[[#This Row],[Alloc]]</f>
        <v>0</v>
      </c>
      <c r="EZ82">
        <f ca="1">tblBaseCF[[#This Row],[AccumTotalPrem]]</f>
        <v>0</v>
      </c>
      <c r="FA82">
        <f>tblBaseCF[[#This Row],[AnnualIntRate]]</f>
        <v>0</v>
      </c>
      <c r="FB82" s="50">
        <f>tblBaseCF[[#This Row],[Duean1m12]]</f>
        <v>1</v>
      </c>
      <c r="FC82">
        <f ca="1">tblBaseCF[[#This Row],[DeductFlag]]</f>
        <v>0</v>
      </c>
      <c r="FD82">
        <f ca="1">tblBaseCF[[#This Row],[AdminChrg]]</f>
        <v>0</v>
      </c>
      <c r="FE82">
        <f ca="1">tblBaseCF[[#This Row],[StandardCOI]]</f>
        <v>0</v>
      </c>
      <c r="FF82">
        <f ca="1">tblBaseCF[[#This Row],[EMLoadCOI]]</f>
        <v>0</v>
      </c>
      <c r="FG82">
        <f ca="1">tblBaseCF[[#This Row],[PMLoadCOI]]</f>
        <v>0</v>
      </c>
      <c r="FH82">
        <f ca="1">tblBaseCF[[#This Row],[COI]]</f>
        <v>0</v>
      </c>
      <c r="FI82" s="47">
        <f ca="1">tblBaseCF[[#This Row],[NomDeduct]]</f>
        <v>0</v>
      </c>
      <c r="FJ82">
        <f ca="1">tblBaseCF[[#This Row],[Deduct]]</f>
        <v>0</v>
      </c>
      <c r="FK82">
        <f ca="1">tblBaseCF[[#This Row],[TAVDeduct]]</f>
        <v>0</v>
      </c>
      <c r="FL82">
        <f ca="1">tblBaseCF[[#This Row],[EAVDeduct]]</f>
        <v>0</v>
      </c>
      <c r="FM82" s="24">
        <f ca="1">tblBaseCF[[#This Row],[TAVInt]]</f>
        <v>0</v>
      </c>
      <c r="FN82">
        <f ca="1">tblBaseCF[[#This Row],[EAVInt]]</f>
        <v>0</v>
      </c>
      <c r="FO82" s="47">
        <f ca="1">tblBaseCF[[#This Row],[LB]]</f>
        <v>0</v>
      </c>
      <c r="FP82">
        <f ca="1">tblBaseCF[[#This Row],[SB]]</f>
        <v>0</v>
      </c>
      <c r="FQ82">
        <f ca="1">tblBaseCF[[#This Row],[Bonus]]</f>
        <v>0</v>
      </c>
      <c r="FR82">
        <f ca="1">tblBaseCF[[#This Row],[EndTAV]]</f>
        <v>0</v>
      </c>
      <c r="FS82">
        <f ca="1">tblBaseCF[[#This Row],[EndEAV]]</f>
        <v>0</v>
      </c>
      <c r="FT82">
        <f ca="1">tblBaseCF[[#This Row],[EndPAV]]</f>
        <v>0</v>
      </c>
      <c r="FU82">
        <f ca="1">tblBaseCF[[#This Row],[SemiAnnualTP]]</f>
        <v>0</v>
      </c>
      <c r="FV82">
        <f ca="1">tblBaseCF[[#This Row],[SemiAnnualEP]]</f>
        <v>0</v>
      </c>
      <c r="FW82">
        <f ca="1">tblBaseCF[[#This Row],[SemiAnnualEMLoad]]</f>
        <v>0</v>
      </c>
      <c r="FX82">
        <f ca="1">tblBaseCF[[#This Row],[SemiAnnualPMLoad]]</f>
        <v>0</v>
      </c>
      <c r="FY82">
        <f ca="1">tblBaseCF[[#This Row],[SemiAnnualLoad]]</f>
        <v>0</v>
      </c>
      <c r="FZ82">
        <f ca="1">tblBaseCF[[#This Row],[SemiAnnualTotalPrem]]</f>
        <v>0</v>
      </c>
      <c r="GA82">
        <f ca="1">tblBaseCF[[#This Row],[QuarterlyTP]]</f>
        <v>0</v>
      </c>
      <c r="GB82">
        <f ca="1">tblBaseCF[[#This Row],[QuarterlyEP]]</f>
        <v>0</v>
      </c>
      <c r="GC82">
        <f ca="1">tblBaseCF[[#This Row],[QuarterlyEMLoad]]</f>
        <v>0</v>
      </c>
      <c r="GD82">
        <f ca="1">tblBaseCF[[#This Row],[QuarterlyPMLoad]]</f>
        <v>0</v>
      </c>
      <c r="GE82">
        <f ca="1">tblBaseCF[[#This Row],[QuarterlyLoad]]</f>
        <v>0</v>
      </c>
      <c r="GF82">
        <f ca="1">tblBaseCF[[#This Row],[QuarterlyTotalPrem]]</f>
        <v>0</v>
      </c>
      <c r="GG82">
        <f ca="1">tblBaseCF[[#This Row],[MonthlyTP]]</f>
        <v>0</v>
      </c>
      <c r="GH82">
        <f ca="1">tblBaseCF[[#This Row],[MonthlyEP]]</f>
        <v>0</v>
      </c>
      <c r="GI82">
        <f ca="1">tblBaseCF[[#This Row],[MonthlyEMLoad]]</f>
        <v>0</v>
      </c>
      <c r="GJ82">
        <f ca="1">tblBaseCF[[#This Row],[MonthlyPMLoad]]</f>
        <v>0</v>
      </c>
      <c r="GK82">
        <f ca="1">tblBaseCF[[#This Row],[MonthlyLoad]]</f>
        <v>0</v>
      </c>
      <c r="GL82">
        <f ca="1">tblBaseCF[[#This Row],[MonthlyTotalPrem]]</f>
        <v>0</v>
      </c>
      <c r="GO82" t="s">
        <v>134</v>
      </c>
      <c r="GP82" t="s">
        <v>135</v>
      </c>
      <c r="GQ82" t="s">
        <v>502</v>
      </c>
      <c r="GR82">
        <v>62</v>
      </c>
      <c r="GS82">
        <v>61</v>
      </c>
      <c r="GT82">
        <v>1</v>
      </c>
      <c r="GU82" t="s">
        <v>457</v>
      </c>
      <c r="GV82">
        <v>297690670.44370401</v>
      </c>
      <c r="GW82">
        <v>2573659187.6133299</v>
      </c>
      <c r="GX82">
        <v>2871349858.0570402</v>
      </c>
      <c r="GY82">
        <v>0</v>
      </c>
      <c r="GZ82">
        <v>2871349858.0570402</v>
      </c>
      <c r="HA82">
        <v>2871349858.0570402</v>
      </c>
      <c r="HB82">
        <v>303000000</v>
      </c>
      <c r="HC82">
        <v>0</v>
      </c>
      <c r="HD82" t="s">
        <v>137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7.0000000000000007E-2</v>
      </c>
      <c r="HX82">
        <v>0.96964931039809399</v>
      </c>
      <c r="HY82">
        <v>1</v>
      </c>
      <c r="HZ82">
        <v>300000</v>
      </c>
      <c r="IA82">
        <v>0</v>
      </c>
      <c r="IB82">
        <v>0</v>
      </c>
      <c r="IC82">
        <v>0</v>
      </c>
      <c r="ID82">
        <v>272700</v>
      </c>
      <c r="IE82">
        <v>572700</v>
      </c>
      <c r="IF82">
        <v>555318.16006498795</v>
      </c>
      <c r="IG82">
        <v>555318.16006498795</v>
      </c>
      <c r="IH82">
        <v>0</v>
      </c>
      <c r="II82">
        <v>20799474.659854699</v>
      </c>
      <c r="IJ82">
        <v>180156143.13293299</v>
      </c>
      <c r="IK82">
        <v>0</v>
      </c>
      <c r="IL82">
        <v>0</v>
      </c>
      <c r="IM82">
        <v>0</v>
      </c>
      <c r="IN82">
        <v>317934826.94349301</v>
      </c>
      <c r="IO82">
        <v>2753815330.7462702</v>
      </c>
      <c r="IP82">
        <v>3071750157.6897602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</row>
    <row r="83" spans="2:268" customFormat="1" x14ac:dyDescent="0.25">
      <c r="B83" s="2">
        <f ca="1">OFFSET(tblBaseCF[[#This Row],[Year]],-1,0)+1</f>
        <v>63</v>
      </c>
      <c r="C83" s="2">
        <f ca="1">(tblBaseCF[[#This Row],[Year]]&lt;=term)*1</f>
        <v>1</v>
      </c>
      <c r="D83" s="57">
        <f ca="1">(YEAR(rcd)+tblBaseCF[[#This Row],[Year]]-1)
*tblBaseCF[[#This Row],[PolTermFlag]]</f>
        <v>2087</v>
      </c>
      <c r="E83" s="57">
        <f ca="1">(mainLI_entry_age+tblBaseCF[[#This Row],[Year]]-1)
*tblBaseCF[[#This Row],[PolTermFlag]]</f>
        <v>62</v>
      </c>
      <c r="F83" s="57">
        <f ca="1">IF(tblBaseCF[[#This Row],[Year]]=1,1,OFFSET(tblBaseCF[[#This Row],[DeductFlag]],-1,0))
*tblBaseCF[[#This Row],[PolTermFlag]]</f>
        <v>0</v>
      </c>
      <c r="G8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3" s="57">
        <f ca="1">(tblBaseCF[[#This Row],[Year]]&lt;=acc_ben_term)
*tblBaseCF[[#This Row],[ContFlag]]</f>
        <v>0</v>
      </c>
      <c r="I83" s="57">
        <f ca="1">(tblBaseCF[[#This Row],[Year]]&lt;=tp_term)
*tblBaseCF[[#This Row],[ContFlag]]</f>
        <v>0</v>
      </c>
      <c r="J83" s="57">
        <f ca="1">(tblBaseCF[[#This Row],[Year]]&lt;=ep_term)
*tblBaseCF[[#This Row],[ContFlag]]</f>
        <v>0</v>
      </c>
      <c r="K83" s="57">
        <f ca="1">(tblBaseCF[[#This Row],[Year]]&lt;=em_load_term)*1</f>
        <v>0</v>
      </c>
      <c r="L83" s="57">
        <f ca="1">(tblBaseCF[[#This Row],[Year]]&lt;=pm_load_term)*1</f>
        <v>0</v>
      </c>
      <c r="M83" s="59">
        <f ca="1">IF(tblBaseCF[[#This Row],[Year]]=1,si,OFFSET(tblBaseCF[[#This Row],[EndSI]],-1,0))
*tblBaseCF[[#This Row],[ContFlag]]</f>
        <v>0</v>
      </c>
      <c r="N83" s="59">
        <f ca="1">OFFSET(tblBaseCF[[#This Row],[EndTAV]],-1,0)
*tblBaseCF[[#This Row],[ContFlag]]</f>
        <v>0</v>
      </c>
      <c r="O83" s="59">
        <f ca="1">OFFSET(tblBaseCF[[#This Row],[EndEAV]],-1,0)
*tblBaseCF[[#This Row],[ContFlag]]</f>
        <v>0</v>
      </c>
      <c r="P83" s="60">
        <f ca="1">tblBaseCF[[#This Row],[StartEAV]]+tblBaseCF[[#This Row],[StartTAV]]</f>
        <v>0</v>
      </c>
      <c r="Q83" s="61">
        <f ca="1">IFERROR(INDEX(tblJuvenileLienRate[Rate],MATCH(tblBaseCF[[#This Row],[Age]],tblJuvenileLienRate[Age],0)),1)
*tblBaseCF[[#This Row],[ContFlag]]</f>
        <v>0</v>
      </c>
      <c r="R8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3" s="62">
        <f ca="1">tblBaseCF[[#This Row],[StartSI]]*acc_ben_coeff*tblBaseCF[[#This Row],[JuvenileLienRate]]
*tblBaseCF[[#This Row],[AccBenTermFlag]]</f>
        <v>0</v>
      </c>
      <c r="T83" s="61">
        <f ca="1">(IFERROR(INDEX(tblSurrChrgRate[Rate],MATCH(tblBaseCF[[#This Row],[Year]],tblSurrChrgRate[Year],0)),0)
*tblBaseCF[[#This Row],[ContFlag]])</f>
        <v>0</v>
      </c>
      <c r="U83" s="60">
        <f ca="1">tp*tblBaseCF[[#This Row],[SrrChrgRate]]</f>
        <v>0</v>
      </c>
      <c r="V83" s="63">
        <f ca="1">MAX(tblBaseCF[[#This Row],[StartTAV]]-tblBaseCF[[#This Row],[SVChrg]],0)+tblBaseCF[[#This Row],[StartEAV]]</f>
        <v>0</v>
      </c>
      <c r="W83" s="59">
        <f ca="1">IFERROR(INDEX(tblWithdrawal_Output[Amount],MATCH(tblBaseCF[[#This Row],[Year]],tblWithdrawal_Output[Year],0)),0)
*tblBaseCF[[#This Row],[ContFlag]]</f>
        <v>0</v>
      </c>
      <c r="X83" s="59" t="b">
        <f ca="1">tblBaseCF[[#This Row],[WithdrawalInput]]&gt;0</f>
        <v>0</v>
      </c>
      <c r="Y83" s="59" t="b">
        <f ca="1">AND(tblBaseCF[[#This Row],[1stCheckProceed]],tblBaseCF[[#This Row],[WithdrawalInput]]&lt;=tblBaseCF[[#This Row],[StartPAV]])</f>
        <v>0</v>
      </c>
      <c r="Z83" s="59" t="b">
        <f ca="1">AND(tblBaseCF[[#This Row],[2ndCheckAmount]],(tblBaseCF[[#This Row],[StartPAV]]-tblBaseCF[[#This Row],[WithdrawalInput]])&gt;=min_pav_after_withdrawal)</f>
        <v>0</v>
      </c>
      <c r="AA8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3" s="59" t="b">
        <f ca="1">AND(tblBaseCF[[#This Row],[3rdCheckPAV]],tblBaseCF[[#This Row],[endSITest]]&gt;=min_base_si)</f>
        <v>0</v>
      </c>
      <c r="AC83" s="60">
        <f ca="1">tblBaseCF[[#This Row],[WithdrawalInput]]*tblBaseCF[[#This Row],[4thCheckSI]]</f>
        <v>0</v>
      </c>
      <c r="AD83" s="60">
        <f ca="1">MIN(tblBaseCF[[#This Row],[Withdrawal]],tblBaseCF[[#This Row],[StartEAV]])</f>
        <v>0</v>
      </c>
      <c r="AE83" s="60">
        <f ca="1">tblBaseCF[[#This Row],[Withdrawal]]-tblBaseCF[[#This Row],[EAVWithdrawal]]</f>
        <v>0</v>
      </c>
      <c r="AF83" s="60">
        <f ca="1">IF(tblBaseCF[[#This Row],[4thCheckSI]],tblBaseCF[[#This Row],[endSITest]],tblBaseCF[[#This Row],[StartSI]])</f>
        <v>0</v>
      </c>
      <c r="AG8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3" s="65">
        <f ca="1">IFERROR(INDEX(tblTPAllocChrgRate[Rate],MATCH(tblBaseCF[[#This Row],[Year]],tblTPAllocChrgRate[Year],0)),0)</f>
        <v>0.02</v>
      </c>
      <c r="AI83" s="62">
        <f ca="1">(tp+big_case_bonus_tp*(tblBaseCF[[#This Row],[Year]]=1))
*tblBaseCF[[#This Row],[TPTermFlag]]</f>
        <v>0</v>
      </c>
      <c r="AJ83" s="63">
        <f ca="1">tblBaseCF[[#This Row],[TP]]*tblBaseCF[[#This Row],[TPAllocChrgRate]]</f>
        <v>0</v>
      </c>
      <c r="AK83" s="60">
        <f ca="1">tblBaseCF[[#This Row],[TP]]-tblBaseCF[[#This Row],[TPAllocChrg]]</f>
        <v>0</v>
      </c>
      <c r="AL83" s="65">
        <f ca="1">IFERROR(INDEX(tblEPAllocChrgRate[Rate],MATCH(tblBaseCF[[#This Row],[Year]],tblEPAllocChrgRate[Year],0)),0)</f>
        <v>0.02</v>
      </c>
      <c r="AM83" s="60">
        <f ca="1">ep*tblBaseCF[[#This Row],[EPTermFlag]]</f>
        <v>0</v>
      </c>
      <c r="AN83" s="60">
        <f ca="1">tblBaseCF[[#This Row],[EP]]*tblBaseCF[[#This Row],[EPAllocChrgRate]]</f>
        <v>0</v>
      </c>
      <c r="AO83" s="63">
        <f ca="1">tblBaseCF[[#This Row],[EP]]-tblBaseCF[[#This Row],[EPAllocChrg]]</f>
        <v>0</v>
      </c>
      <c r="AP83" s="62">
        <f ca="1">tblBaseCF[[#This Row],[Ben]]*extra_prem_rate*em_load/1000/(1-tblBaseCF[[#This Row],[EPAllocChrgRate]])
*tblBaseCF[[#This Row],[EMLoadTermFlag]]</f>
        <v>0</v>
      </c>
      <c r="AQ83" s="62">
        <f ca="1">tblBaseCF[[#This Row],[Ben]]*pm_load/1000/(1-tblBaseCF[[#This Row],[EPAllocChrgRate]])
*tblBaseCF[[#This Row],[PMLoadTermFlag]]</f>
        <v>0</v>
      </c>
      <c r="AR83" s="60">
        <f ca="1">ROUNDUP(tblBaseCF[[#This Row],[UnroundedEMLoad]],-3)</f>
        <v>0</v>
      </c>
      <c r="AS83" s="62">
        <f ca="1">ROUNDUP(tblBaseCF[[#This Row],[Ben]]*pm_load/1000/(1-tblBaseCF[[#This Row],[EPAllocChrgRate]]),-3)
*tblBaseCF[[#This Row],[PMLoadTermFlag]]</f>
        <v>0</v>
      </c>
      <c r="AT83" s="60">
        <f ca="1">tblBaseCF[[#This Row],[EMLoad]]+tblBaseCF[[#This Row],[PMLoad]]</f>
        <v>0</v>
      </c>
      <c r="AU83" s="60">
        <f ca="1">tblBaseCF[[#This Row],[Load]]*tblBaseCF[[#This Row],[EPAllocChrgRate]]</f>
        <v>0</v>
      </c>
      <c r="AV83" s="60">
        <f ca="1">tblBaseCF[[#This Row],[Load]]-tblBaseCF[[#This Row],[LoadAllocChrg]]</f>
        <v>0</v>
      </c>
      <c r="AW83" s="60">
        <f ca="1">tblBaseCF[[#This Row],[TP]]+tblBaseCF[[#This Row],[EP]]+tblBaseCF[[#This Row],[Load]]</f>
        <v>0</v>
      </c>
      <c r="AX83" s="60">
        <f ca="1">tblBaseCF[[#This Row],[TPAllocChrg]]+tblBaseCF[[#This Row],[EPAllocChrg]]+tblBaseCF[[#This Row],[LoadAllocChrg]]</f>
        <v>0</v>
      </c>
      <c r="AY83" s="60">
        <f ca="1">tblBaseCF[[#This Row],[TPAlloc]]+tblBaseCF[[#This Row],[EPAlloc]]+tblBaseCF[[#This Row],[LoadAlloc]]</f>
        <v>0</v>
      </c>
      <c r="AZ83" s="60">
        <f ca="1">(OFFSET(tblBaseCF[[#This Row],[AccumTotalPrem]],-1,0)+tblBaseCF[[#This Row],[TotalPrem]])*tblBaseCF[[#This Row],[TPTermFlag]]</f>
        <v>0</v>
      </c>
      <c r="BA83" s="62">
        <f ca="1">(tblBaseCF[[#This Row],[StartTAV]]-tblBaseCF[[#This Row],[TAVWithdrawal]]+tblBaseCF[[#This Row],[TPAlloc]])
*tblBaseCF[[#This Row],[ContFlag]]</f>
        <v>0</v>
      </c>
      <c r="BB83" s="59">
        <f ca="1">(tblBaseCF[[#This Row],[StartEAV]]-tblBaseCF[[#This Row],[EAVWithdrawal]]+tblBaseCF[[#This Row],[EPAlloc]]+tblBaseCF[[#This Row],[LoadAlloc]])
*tblBaseCF[[#This Row],[ContFlag]]</f>
        <v>0</v>
      </c>
      <c r="BC83" s="59">
        <f ca="1">tblBaseCF[[#This Row],[TAVAfterWdrlAlloc]]+tblBaseCF[[#This Row],[EAVAfterWdrlAlloc]]</f>
        <v>0</v>
      </c>
      <c r="BD83" s="66">
        <f t="shared" si="6"/>
        <v>0</v>
      </c>
      <c r="BE83" s="67">
        <f>(1+tblBaseCF[[#This Row],[AnnualIntRate]])^(1/12)-1</f>
        <v>0</v>
      </c>
      <c r="BF83" s="68">
        <f>IFERROR(((1+tblBaseCF[[#This Row],[MonthlyIntRate]])^12-1)/12/(1-1/(1+tblBaseCF[[#This Row],[MonthlyIntRate]])),1)/(1+tblBaseCF[[#This Row],[AnnualIntRate]])</f>
        <v>1</v>
      </c>
      <c r="BG83" s="69">
        <f>PV(tblBaseCF[[#This Row],[MonthlyIntRate]],12,-1/12,,1)</f>
        <v>1</v>
      </c>
      <c r="BH83" s="60">
        <f ca="1">MAX(IF(death_tpd_option="A",tblBaseCF[[#This Row],[Ben]]-tblBaseCF[[#This Row],[StartPAV]],tblBaseCF[[#This Row],[Ben]]),0)</f>
        <v>0</v>
      </c>
      <c r="BI83" s="70">
        <f ca="1">IFERROR(INDEX(tblBaseCOIRate[Rate],MATCH(tblBaseCF[[#This Row],[Age]],tblBaseCOIRate[Age],0)),0)</f>
        <v>1.14899999999999E-2</v>
      </c>
      <c r="BJ83" s="60">
        <f ca="1">tblBaseCF[[#This Row],[SAR]]*tblBaseCF[[#This Row],[COIRate]]</f>
        <v>0</v>
      </c>
      <c r="BK83" s="62">
        <f ca="1">em_load*tblBaseCF[[#This Row],[pStandardCOI]]
*tblBaseCF[[#This Row],[EMLoadTermFlag]]</f>
        <v>0</v>
      </c>
      <c r="BL83" s="62">
        <f ca="1">pm_load/1000*tblBaseCF[[#This Row],[SAR]]
*tblBaseCF[[#This Row],[PMLoadTermFlag]]</f>
        <v>0</v>
      </c>
      <c r="BM83" s="60">
        <f ca="1">tblBaseCF[[#This Row],[AccBen]]*monthly_acc_coi*12</f>
        <v>0</v>
      </c>
      <c r="BN83" s="60">
        <f ca="1">tblBaseCF[[#This Row],[pStandardCOI]]+tblBaseCF[[#This Row],[pEMLoadCOI]]+tblBaseCF[[#This Row],[pPMLoadCOI]]+tblBaseCF[[#This Row],[pAccCOI]]</f>
        <v>0</v>
      </c>
      <c r="BO83" s="62">
        <f ca="1">IFERROR(INDEX(tblAdminChrg[Amount],MATCH(tblBaseCF[[#This Row],[CalYear]],tblAdminChrg[Cal_Year],0)),0)
*tblBaseCF[[#This Row],[ContFlag]]</f>
        <v>0</v>
      </c>
      <c r="BP83" s="60">
        <f ca="1">tblBaseCF[[#This Row],[pMonthlyAdminChrg]]*12</f>
        <v>0</v>
      </c>
      <c r="BQ83" s="60">
        <f ca="1">tblBaseCF[[#This Row],[pCOI]]+tblBaseCF[[#This Row],[pAdminChrg]]</f>
        <v>0</v>
      </c>
      <c r="BR83" s="60">
        <f ca="1">tblBaseCF[[#This Row],[pNomDeduct]]*tblBaseCF[[#This Row],[Duean1m12]]</f>
        <v>0</v>
      </c>
      <c r="BS83" s="57">
        <f ca="1">(tblBaseCF[[#This Row],[PAVAfterWdrlAlloc]]&gt;=tblBaseCF[[#This Row],[pNomDeduct]])
*tblBaseCF[[#This Row],[ContFlag]]</f>
        <v>0</v>
      </c>
      <c r="BT83" s="60">
        <f ca="1">tblBaseCF[[#This Row],[pStandardCOI]]*tblBaseCF[[#This Row],[DeductFlag]]</f>
        <v>0</v>
      </c>
      <c r="BU83" s="60">
        <f ca="1">tblBaseCF[[#This Row],[pEMLoadCOI]]*tblBaseCF[[#This Row],[DeductFlag]]</f>
        <v>0</v>
      </c>
      <c r="BV83" s="60">
        <f ca="1">tblBaseCF[[#This Row],[pPMLoadCOI]]*tblBaseCF[[#This Row],[DeductFlag]]</f>
        <v>0</v>
      </c>
      <c r="BW83" s="60">
        <f ca="1">tblBaseCF[[#This Row],[pAccCOI]]*tblBaseCF[[#This Row],[DeductFlag]]</f>
        <v>0</v>
      </c>
      <c r="BX83" s="60">
        <f ca="1">tblBaseCF[[#This Row],[pCOI]]*tblBaseCF[[#This Row],[DeductFlag]]</f>
        <v>0</v>
      </c>
      <c r="BY83" s="60">
        <f ca="1">tblBaseCF[[#This Row],[pMonthlyAdminChrg]]*tblBaseCF[[#This Row],[DeductFlag]]</f>
        <v>0</v>
      </c>
      <c r="BZ83" s="60">
        <f ca="1">tblBaseCF[[#This Row],[pAdminChrg]]*tblBaseCF[[#This Row],[DeductFlag]]</f>
        <v>0</v>
      </c>
      <c r="CA83" s="60">
        <f ca="1">tblBaseCF[[#This Row],[pNomDeduct]]*tblBaseCF[[#This Row],[DeductFlag]]</f>
        <v>0</v>
      </c>
      <c r="CB83" s="60">
        <f ca="1">tblBaseCF[[#This Row],[pDeduct]]*tblBaseCF[[#This Row],[DeductFlag]]</f>
        <v>0</v>
      </c>
      <c r="CC83" s="60">
        <f ca="1">MIN(tblBaseCF[[#This Row],[TAVAfterWdrlAlloc]],tblBaseCF[[#This Row],[Deduct]])</f>
        <v>0</v>
      </c>
      <c r="CD83" s="60">
        <f ca="1">tblBaseCF[[#This Row],[Deduct]]-tblBaseCF[[#This Row],[TAVDeduct]]</f>
        <v>0</v>
      </c>
      <c r="CE83" s="69">
        <f ca="1">(tblBaseCF[[#This Row],[TAVAfterWdrlAlloc]]-tblBaseCF[[#This Row],[TAVDeduct]])*tblBaseCF[[#This Row],[AnnualIntRate]]
*tblBaseCF[[#This Row],[DeductFlag]]</f>
        <v>0</v>
      </c>
      <c r="CF83" s="69">
        <f ca="1">(tblBaseCF[[#This Row],[EAVAfterWdrlAlloc]]-tblBaseCF[[#This Row],[EAVDeduct]])*tblBaseCF[[#This Row],[AnnualIntRate]]
*tblBaseCF[[#This Row],[DeductFlag]]</f>
        <v>0</v>
      </c>
      <c r="CG83" s="69">
        <f ca="1">tblBaseCF[[#This Row],[TAVInt]]+tblBaseCF[[#This Row],[EAVInt]]</f>
        <v>0</v>
      </c>
      <c r="CH83" s="62">
        <f ca="1">IFERROR(INDEX(tblLBRate[Rate],MATCH(tblBaseCF[[#This Row],[Year]],tblLBRate[Year],0)),0)
*tblBaseCF[[#This Row],[DeductFlag]]</f>
        <v>0</v>
      </c>
      <c r="CI83" s="60">
        <f ca="1">IFERROR(SUM(OFFSET(tblBaseCF[[#This Row],[TAVWithdrawal]],0,0,-lb_review_period,1)),0)
*(tblBaseCF[[#This Row],[LBRate]]&gt;0)</f>
        <v>0</v>
      </c>
      <c r="CJ83" s="60">
        <f ca="1">(tblBaseCF[[#This Row],[LBRate]]&gt;0)*(tblBaseCF[[#This Row],[LBTAVWithdrawal]]=0)</f>
        <v>0</v>
      </c>
      <c r="CK83" s="62" cm="1">
        <f t="array" aca="1" ref="CK83" ca="1">IF(tblBaseCF[[#This Row],[LBFlag]],
_xlfn.SWITCH(base,
"ILP1",AVERAGE(OFFSET(tblBaseCF[TP],0,0,-lb_review_period,1)),tp),0)
*tblBaseCF[[#This Row],[LBFlag]]</f>
        <v>0</v>
      </c>
      <c r="CL83" s="62">
        <f ca="1">tblBaseCF[[#This Row],[LBBasis]]*tblBaseCF[[#This Row],[LBRate]]</f>
        <v>0</v>
      </c>
      <c r="CM83" s="57" cm="1">
        <f t="array" aca="1" ref="CM83" ca="1">_xlfn.SWITCH(base,
"ILP1",0,($AF183&lt;500000000)*1
+($AF183&gt;=500000000)*($AF183&lt;1000000000)*2
+($AF183&gt;=1000000000)*3)
*tblBaseCF[[#This Row],[DeductFlag]]</f>
        <v>0</v>
      </c>
      <c r="CN83" s="2" t="str">
        <f ca="1">IF(tblBaseCF[[#This Row],[DeductFlag]],base&amp;"_"&amp;tblBaseCF[[#This Row],[SBCode]]&amp;"_"&amp;tblBaseCF[[#This Row],[Year]],"")</f>
        <v/>
      </c>
      <c r="CO83" s="3">
        <f ca="1">IFERROR(INDEX(tblSBRate[Index],MATCH(tblBaseCF[[#This Row],[SBIndex]],tblSBRate[Rate],0)),0)</f>
        <v>0</v>
      </c>
      <c r="CP83" s="63">
        <f ca="1">IFERROR(SUM(OFFSET(tblBaseCF[[#This Row],[TAVWithdrawal]],0,0,-sb_review_period,1)),0)
*(tblBaseCF[[#This Row],[SBRate]]&gt;0)</f>
        <v>0</v>
      </c>
      <c r="CQ83" s="63">
        <f ca="1">(tblBaseCF[[#This Row],[SBRate]]&gt;0)*(tblBaseCF[[#This Row],[SBTAVWithdrawal]]=0)</f>
        <v>0</v>
      </c>
      <c r="CR83" s="59" cm="1">
        <f t="array" aca="1" ref="CR83" ca="1">IF(tblBaseCF[[#This Row],[LBFlag]],
_xlfn.SWITCH(base,
"ILP1",0,tp),0)*tblBaseCF[[#This Row],[SBFlag]]</f>
        <v>0</v>
      </c>
      <c r="CS83" s="63">
        <f ca="1">tblBaseCF[[#This Row],[SBBasis]]*tblBaseCF[[#This Row],[SBRate]]</f>
        <v>0</v>
      </c>
      <c r="CT83" s="63">
        <f ca="1">tblBaseCF[[#This Row],[LB]]+tblBaseCF[[#This Row],[SB]]</f>
        <v>0</v>
      </c>
      <c r="CU83" s="59">
        <f ca="1">tblBaseCF[[#This Row],[TAVAfterWdrlAlloc]]-tblBaseCF[[#This Row],[TAVDeduct]]+tblBaseCF[[#This Row],[TAVInt]]+tblBaseCF[[#This Row],[Bonus]]</f>
        <v>0</v>
      </c>
      <c r="CV83" s="59">
        <f ca="1">tblBaseCF[[#This Row],[EAVAfterWdrlAlloc]]-tblBaseCF[[#This Row],[EAVDeduct]]+tblBaseCF[[#This Row],[EAVInt]]</f>
        <v>0</v>
      </c>
      <c r="CW83" s="63">
        <f ca="1">tblBaseCF[[#This Row],[EndTAV]]+tblBaseCF[[#This Row],[EndEAV]]</f>
        <v>0</v>
      </c>
      <c r="CX83" s="59">
        <f ca="1">INDEX(tblPlanPrem[TP],2)
*tblBaseCF[[#This Row],[TPTermFlag]]</f>
        <v>0</v>
      </c>
      <c r="CY83" s="59">
        <f ca="1">INDEX(tblPlanPrem[EP],2)
*tblBaseCF[[#This Row],[TPTermFlag]]</f>
        <v>0</v>
      </c>
      <c r="CZ83" s="63">
        <f ca="1">ROUNDUP(tblBaseCF[[#This Row],[UnroundedEMLoad]]*INDEX(tblPlanPrem[Factor],2),-3)</f>
        <v>0</v>
      </c>
      <c r="DA83" s="63">
        <f ca="1">ROUNDUP(tblBaseCF[[#This Row],[UnroundedPMLoad]]*INDEX(tblPlanPrem[Factor],2),-3)</f>
        <v>0</v>
      </c>
      <c r="DB83" s="63">
        <f ca="1">tblBaseCF[[#This Row],[SemiAnnualEMLoad]]+tblBaseCF[[#This Row],[SemiAnnualPMLoad]]</f>
        <v>0</v>
      </c>
      <c r="DC83" s="63">
        <f ca="1">tblBaseCF[[#This Row],[SemiAnnualTP]]+tblBaseCF[[#This Row],[SemiAnnualEP]]+tblBaseCF[[#This Row],[SemiAnnualLoad]]</f>
        <v>0</v>
      </c>
      <c r="DD83" s="59">
        <f ca="1">INDEX(tblPlanPrem[TP],3)
*tblBaseCF[[#This Row],[TPTermFlag]]</f>
        <v>0</v>
      </c>
      <c r="DE83" s="59">
        <f ca="1">INDEX(tblPlanPrem[EP],3)
*tblBaseCF[[#This Row],[TPTermFlag]]</f>
        <v>0</v>
      </c>
      <c r="DF83" s="63">
        <f ca="1">ROUNDUP(tblBaseCF[[#This Row],[UnroundedEMLoad]]*INDEX(tblPlanPrem[Factor],3),-3)</f>
        <v>0</v>
      </c>
      <c r="DG83" s="63">
        <f ca="1">ROUNDUP(tblBaseCF[[#This Row],[UnroundedPMLoad]]*INDEX(tblPlanPrem[Factor],3),-3)</f>
        <v>0</v>
      </c>
      <c r="DH83" s="60">
        <f ca="1">tblBaseCF[[#This Row],[QuarterlyEMLoad]]+tblBaseCF[[#This Row],[QuarterlyPMLoad]]</f>
        <v>0</v>
      </c>
      <c r="DI83" s="60">
        <f ca="1">tblBaseCF[[#This Row],[QuarterlyTP]]+tblBaseCF[[#This Row],[QuarterlyEP]]+tblBaseCF[[#This Row],[QuarterlyLoad]]</f>
        <v>0</v>
      </c>
      <c r="DJ83" s="59">
        <f ca="1">INDEX(tblPlanPrem[TP],4)
*tblBaseCF[[#This Row],[TPTermFlag]]</f>
        <v>0</v>
      </c>
      <c r="DK83" s="59">
        <f ca="1">INDEX(tblPlanPrem[EP],4)
*tblBaseCF[[#This Row],[TPTermFlag]]</f>
        <v>0</v>
      </c>
      <c r="DL83" s="63">
        <f ca="1">ROUNDUP(tblBaseCF[[#This Row],[UnroundedEMLoad]]*INDEX(tblPlanPrem[Factor],4),-3)</f>
        <v>0</v>
      </c>
      <c r="DM83" s="63">
        <f ca="1">ROUNDUP(tblBaseCF[[#This Row],[UnroundedPMLoad]]*INDEX(tblPlanPrem[Factor],4),-3)</f>
        <v>0</v>
      </c>
      <c r="DN83" s="60">
        <f ca="1">tblBaseCF[[#This Row],[MonthlyEMLoad]]+tblBaseCF[[#This Row],[MonthlyPMLoad]]</f>
        <v>0</v>
      </c>
      <c r="DO83" s="63">
        <f ca="1">tblBaseCF[[#This Row],[MonthlyTP]]+tblBaseCF[[#This Row],[MonthlyEP]]+tblBaseCF[[#This Row],[MonthlyLoad]]</f>
        <v>0</v>
      </c>
      <c r="DP83" s="3"/>
      <c r="DS83">
        <f t="shared" si="7"/>
        <v>0</v>
      </c>
      <c r="DT83">
        <f t="shared" si="8"/>
        <v>0</v>
      </c>
      <c r="DU83">
        <f t="shared" si="9"/>
        <v>0</v>
      </c>
      <c r="DV83">
        <f ca="1">tblBaseCF[[#This Row],[Year]]</f>
        <v>63</v>
      </c>
      <c r="DW83">
        <f ca="1">tblBaseCF[[#This Row],[Age]]</f>
        <v>62</v>
      </c>
      <c r="DX83">
        <f ca="1">tblBaseCF[[#This Row],[ContFlag]]</f>
        <v>0</v>
      </c>
      <c r="DY83" t="str">
        <f ca="1">tblBaseCF[[#This Row],[ContLog]]</f>
        <v>Insufficient PAV for deduction - Discontinue.</v>
      </c>
      <c r="DZ83">
        <f ca="1">tblBaseCF[[#This Row],[StartTAV]]</f>
        <v>0</v>
      </c>
      <c r="EA83">
        <f ca="1">tblBaseCF[[#This Row],[StartEAV]]</f>
        <v>0</v>
      </c>
      <c r="EB83">
        <f ca="1">tblBaseCF[[#This Row],[StartPAV]]</f>
        <v>0</v>
      </c>
      <c r="EC83">
        <f ca="1">tblBaseCF[[#This Row],[SVChrg]]</f>
        <v>0</v>
      </c>
      <c r="ED83">
        <f ca="1">tblBaseCF[[#This Row],[SV]]</f>
        <v>0</v>
      </c>
      <c r="EE83">
        <f ca="1">tblBaseCF[[#This Row],[Ben]]</f>
        <v>0</v>
      </c>
      <c r="EF83">
        <f ca="1">tblBaseCF[[#This Row],[AccBen]]</f>
        <v>0</v>
      </c>
      <c r="EG83">
        <f ca="1">tblBaseCF[[#This Row],[WithdrawalInput]]</f>
        <v>0</v>
      </c>
      <c r="EH83" t="str">
        <f ca="1">tblBaseCF[[#This Row],[WithdrawalLog]]</f>
        <v>No withdrawal.</v>
      </c>
      <c r="EI83">
        <f ca="1">tblBaseCF[[#This Row],[TAVWithdrawal]]</f>
        <v>0</v>
      </c>
      <c r="EJ83">
        <f ca="1">tblBaseCF[[#This Row],[EAVWithdrawal]]</f>
        <v>0</v>
      </c>
      <c r="EK83">
        <f ca="1">tblBaseCF[[#This Row],[Withdrawal]]</f>
        <v>0</v>
      </c>
      <c r="EL83">
        <f ca="1">tblBaseCF[[#This Row],[TP]]</f>
        <v>0</v>
      </c>
      <c r="EM83">
        <f ca="1">tblBaseCF[[#This Row],[TPAllocChrg]]</f>
        <v>0</v>
      </c>
      <c r="EN83">
        <f ca="1">tblBaseCF[[#This Row],[TPAlloc]]</f>
        <v>0</v>
      </c>
      <c r="EO83">
        <f ca="1">tblBaseCF[[#This Row],[EP]]</f>
        <v>0</v>
      </c>
      <c r="EP83">
        <f ca="1">tblBaseCF[[#This Row],[EPAllocChrg]]</f>
        <v>0</v>
      </c>
      <c r="EQ83">
        <f ca="1">tblBaseCF[[#This Row],[EPAlloc]]</f>
        <v>0</v>
      </c>
      <c r="ER83">
        <f ca="1">tblBaseCF[[#This Row],[EMLoad]]</f>
        <v>0</v>
      </c>
      <c r="ES83">
        <f ca="1">tblBaseCF[[#This Row],[PMLoad]]</f>
        <v>0</v>
      </c>
      <c r="ET83">
        <f ca="1">tblBaseCF[[#This Row],[Load]]</f>
        <v>0</v>
      </c>
      <c r="EU83">
        <f ca="1">tblBaseCF[[#This Row],[LoadAllocChrg]]</f>
        <v>0</v>
      </c>
      <c r="EV83">
        <f ca="1">tblBaseCF[[#This Row],[LoadAlloc]]</f>
        <v>0</v>
      </c>
      <c r="EW83">
        <f ca="1">tblBaseCF[[#This Row],[TotalPrem]]</f>
        <v>0</v>
      </c>
      <c r="EX83">
        <f ca="1">tblBaseCF[[#This Row],[AllocChrg]]</f>
        <v>0</v>
      </c>
      <c r="EY83">
        <f ca="1">tblBaseCF[[#This Row],[Alloc]]</f>
        <v>0</v>
      </c>
      <c r="EZ83">
        <f ca="1">tblBaseCF[[#This Row],[AccumTotalPrem]]</f>
        <v>0</v>
      </c>
      <c r="FA83">
        <f>tblBaseCF[[#This Row],[AnnualIntRate]]</f>
        <v>0</v>
      </c>
      <c r="FB83" s="50">
        <f>tblBaseCF[[#This Row],[Duean1m12]]</f>
        <v>1</v>
      </c>
      <c r="FC83">
        <f ca="1">tblBaseCF[[#This Row],[DeductFlag]]</f>
        <v>0</v>
      </c>
      <c r="FD83">
        <f ca="1">tblBaseCF[[#This Row],[AdminChrg]]</f>
        <v>0</v>
      </c>
      <c r="FE83">
        <f ca="1">tblBaseCF[[#This Row],[StandardCOI]]</f>
        <v>0</v>
      </c>
      <c r="FF83">
        <f ca="1">tblBaseCF[[#This Row],[EMLoadCOI]]</f>
        <v>0</v>
      </c>
      <c r="FG83">
        <f ca="1">tblBaseCF[[#This Row],[PMLoadCOI]]</f>
        <v>0</v>
      </c>
      <c r="FH83">
        <f ca="1">tblBaseCF[[#This Row],[COI]]</f>
        <v>0</v>
      </c>
      <c r="FI83" s="47">
        <f ca="1">tblBaseCF[[#This Row],[NomDeduct]]</f>
        <v>0</v>
      </c>
      <c r="FJ83">
        <f ca="1">tblBaseCF[[#This Row],[Deduct]]</f>
        <v>0</v>
      </c>
      <c r="FK83">
        <f ca="1">tblBaseCF[[#This Row],[TAVDeduct]]</f>
        <v>0</v>
      </c>
      <c r="FL83">
        <f ca="1">tblBaseCF[[#This Row],[EAVDeduct]]</f>
        <v>0</v>
      </c>
      <c r="FM83" s="24">
        <f ca="1">tblBaseCF[[#This Row],[TAVInt]]</f>
        <v>0</v>
      </c>
      <c r="FN83">
        <f ca="1">tblBaseCF[[#This Row],[EAVInt]]</f>
        <v>0</v>
      </c>
      <c r="FO83" s="47">
        <f ca="1">tblBaseCF[[#This Row],[LB]]</f>
        <v>0</v>
      </c>
      <c r="FP83">
        <f ca="1">tblBaseCF[[#This Row],[SB]]</f>
        <v>0</v>
      </c>
      <c r="FQ83">
        <f ca="1">tblBaseCF[[#This Row],[Bonus]]</f>
        <v>0</v>
      </c>
      <c r="FR83">
        <f ca="1">tblBaseCF[[#This Row],[EndTAV]]</f>
        <v>0</v>
      </c>
      <c r="FS83">
        <f ca="1">tblBaseCF[[#This Row],[EndEAV]]</f>
        <v>0</v>
      </c>
      <c r="FT83">
        <f ca="1">tblBaseCF[[#This Row],[EndPAV]]</f>
        <v>0</v>
      </c>
      <c r="FU83">
        <f ca="1">tblBaseCF[[#This Row],[SemiAnnualTP]]</f>
        <v>0</v>
      </c>
      <c r="FV83">
        <f ca="1">tblBaseCF[[#This Row],[SemiAnnualEP]]</f>
        <v>0</v>
      </c>
      <c r="FW83">
        <f ca="1">tblBaseCF[[#This Row],[SemiAnnualEMLoad]]</f>
        <v>0</v>
      </c>
      <c r="FX83">
        <f ca="1">tblBaseCF[[#This Row],[SemiAnnualPMLoad]]</f>
        <v>0</v>
      </c>
      <c r="FY83">
        <f ca="1">tblBaseCF[[#This Row],[SemiAnnualLoad]]</f>
        <v>0</v>
      </c>
      <c r="FZ83">
        <f ca="1">tblBaseCF[[#This Row],[SemiAnnualTotalPrem]]</f>
        <v>0</v>
      </c>
      <c r="GA83">
        <f ca="1">tblBaseCF[[#This Row],[QuarterlyTP]]</f>
        <v>0</v>
      </c>
      <c r="GB83">
        <f ca="1">tblBaseCF[[#This Row],[QuarterlyEP]]</f>
        <v>0</v>
      </c>
      <c r="GC83">
        <f ca="1">tblBaseCF[[#This Row],[QuarterlyEMLoad]]</f>
        <v>0</v>
      </c>
      <c r="GD83">
        <f ca="1">tblBaseCF[[#This Row],[QuarterlyPMLoad]]</f>
        <v>0</v>
      </c>
      <c r="GE83">
        <f ca="1">tblBaseCF[[#This Row],[QuarterlyLoad]]</f>
        <v>0</v>
      </c>
      <c r="GF83">
        <f ca="1">tblBaseCF[[#This Row],[QuarterlyTotalPrem]]</f>
        <v>0</v>
      </c>
      <c r="GG83">
        <f ca="1">tblBaseCF[[#This Row],[MonthlyTP]]</f>
        <v>0</v>
      </c>
      <c r="GH83">
        <f ca="1">tblBaseCF[[#This Row],[MonthlyEP]]</f>
        <v>0</v>
      </c>
      <c r="GI83">
        <f ca="1">tblBaseCF[[#This Row],[MonthlyEMLoad]]</f>
        <v>0</v>
      </c>
      <c r="GJ83">
        <f ca="1">tblBaseCF[[#This Row],[MonthlyPMLoad]]</f>
        <v>0</v>
      </c>
      <c r="GK83">
        <f ca="1">tblBaseCF[[#This Row],[MonthlyLoad]]</f>
        <v>0</v>
      </c>
      <c r="GL83">
        <f ca="1">tblBaseCF[[#This Row],[MonthlyTotalPrem]]</f>
        <v>0</v>
      </c>
      <c r="GO83" t="s">
        <v>134</v>
      </c>
      <c r="GP83" t="s">
        <v>135</v>
      </c>
      <c r="GQ83" t="s">
        <v>502</v>
      </c>
      <c r="GR83">
        <v>63</v>
      </c>
      <c r="GS83">
        <v>62</v>
      </c>
      <c r="GT83">
        <v>1</v>
      </c>
      <c r="GU83" t="s">
        <v>457</v>
      </c>
      <c r="GV83">
        <v>317934826.94349301</v>
      </c>
      <c r="GW83">
        <v>2753815330.7462702</v>
      </c>
      <c r="GX83">
        <v>3071750157.6897602</v>
      </c>
      <c r="GY83">
        <v>0</v>
      </c>
      <c r="GZ83">
        <v>3071750157.6897602</v>
      </c>
      <c r="HA83">
        <v>3071750157.6897602</v>
      </c>
      <c r="HB83">
        <v>303000000</v>
      </c>
      <c r="HC83">
        <v>0</v>
      </c>
      <c r="HD83" t="s">
        <v>137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7.0000000000000007E-2</v>
      </c>
      <c r="HX83">
        <v>0.96964931039809399</v>
      </c>
      <c r="HY83">
        <v>1</v>
      </c>
      <c r="HZ83">
        <v>300000</v>
      </c>
      <c r="IA83">
        <v>0</v>
      </c>
      <c r="IB83">
        <v>0</v>
      </c>
      <c r="IC83">
        <v>0</v>
      </c>
      <c r="ID83">
        <v>272700</v>
      </c>
      <c r="IE83">
        <v>572700</v>
      </c>
      <c r="IF83">
        <v>555318.16006498795</v>
      </c>
      <c r="IG83">
        <v>555318.16006498795</v>
      </c>
      <c r="IH83">
        <v>0</v>
      </c>
      <c r="II83">
        <v>22216565.614840001</v>
      </c>
      <c r="IJ83">
        <v>192767073.15223899</v>
      </c>
      <c r="IK83">
        <v>0</v>
      </c>
      <c r="IL83">
        <v>0</v>
      </c>
      <c r="IM83">
        <v>0</v>
      </c>
      <c r="IN83">
        <v>339596074.39826798</v>
      </c>
      <c r="IO83">
        <v>2946582403.89851</v>
      </c>
      <c r="IP83">
        <v>3286178478.2967801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</row>
    <row r="84" spans="2:268" customFormat="1" x14ac:dyDescent="0.25">
      <c r="B84" s="2">
        <f ca="1">OFFSET(tblBaseCF[[#This Row],[Year]],-1,0)+1</f>
        <v>64</v>
      </c>
      <c r="C84" s="2">
        <f ca="1">(tblBaseCF[[#This Row],[Year]]&lt;=term)*1</f>
        <v>1</v>
      </c>
      <c r="D84" s="57">
        <f ca="1">(YEAR(rcd)+tblBaseCF[[#This Row],[Year]]-1)
*tblBaseCF[[#This Row],[PolTermFlag]]</f>
        <v>2088</v>
      </c>
      <c r="E84" s="57">
        <f ca="1">(mainLI_entry_age+tblBaseCF[[#This Row],[Year]]-1)
*tblBaseCF[[#This Row],[PolTermFlag]]</f>
        <v>63</v>
      </c>
      <c r="F84" s="57">
        <f ca="1">IF(tblBaseCF[[#This Row],[Year]]=1,1,OFFSET(tblBaseCF[[#This Row],[DeductFlag]],-1,0))
*tblBaseCF[[#This Row],[PolTermFlag]]</f>
        <v>0</v>
      </c>
      <c r="G8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4" s="57">
        <f ca="1">(tblBaseCF[[#This Row],[Year]]&lt;=acc_ben_term)
*tblBaseCF[[#This Row],[ContFlag]]</f>
        <v>0</v>
      </c>
      <c r="I84" s="57">
        <f ca="1">(tblBaseCF[[#This Row],[Year]]&lt;=tp_term)
*tblBaseCF[[#This Row],[ContFlag]]</f>
        <v>0</v>
      </c>
      <c r="J84" s="57">
        <f ca="1">(tblBaseCF[[#This Row],[Year]]&lt;=ep_term)
*tblBaseCF[[#This Row],[ContFlag]]</f>
        <v>0</v>
      </c>
      <c r="K84" s="57">
        <f ca="1">(tblBaseCF[[#This Row],[Year]]&lt;=em_load_term)*1</f>
        <v>0</v>
      </c>
      <c r="L84" s="57">
        <f ca="1">(tblBaseCF[[#This Row],[Year]]&lt;=pm_load_term)*1</f>
        <v>0</v>
      </c>
      <c r="M84" s="59">
        <f ca="1">IF(tblBaseCF[[#This Row],[Year]]=1,si,OFFSET(tblBaseCF[[#This Row],[EndSI]],-1,0))
*tblBaseCF[[#This Row],[ContFlag]]</f>
        <v>0</v>
      </c>
      <c r="N84" s="59">
        <f ca="1">OFFSET(tblBaseCF[[#This Row],[EndTAV]],-1,0)
*tblBaseCF[[#This Row],[ContFlag]]</f>
        <v>0</v>
      </c>
      <c r="O84" s="59">
        <f ca="1">OFFSET(tblBaseCF[[#This Row],[EndEAV]],-1,0)
*tblBaseCF[[#This Row],[ContFlag]]</f>
        <v>0</v>
      </c>
      <c r="P84" s="60">
        <f ca="1">tblBaseCF[[#This Row],[StartEAV]]+tblBaseCF[[#This Row],[StartTAV]]</f>
        <v>0</v>
      </c>
      <c r="Q84" s="61">
        <f ca="1">IFERROR(INDEX(tblJuvenileLienRate[Rate],MATCH(tblBaseCF[[#This Row],[Age]],tblJuvenileLienRate[Age],0)),1)
*tblBaseCF[[#This Row],[ContFlag]]</f>
        <v>0</v>
      </c>
      <c r="R8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4" s="62">
        <f ca="1">tblBaseCF[[#This Row],[StartSI]]*acc_ben_coeff*tblBaseCF[[#This Row],[JuvenileLienRate]]
*tblBaseCF[[#This Row],[AccBenTermFlag]]</f>
        <v>0</v>
      </c>
      <c r="T84" s="61">
        <f ca="1">(IFERROR(INDEX(tblSurrChrgRate[Rate],MATCH(tblBaseCF[[#This Row],[Year]],tblSurrChrgRate[Year],0)),0)
*tblBaseCF[[#This Row],[ContFlag]])</f>
        <v>0</v>
      </c>
      <c r="U84" s="60">
        <f ca="1">tp*tblBaseCF[[#This Row],[SrrChrgRate]]</f>
        <v>0</v>
      </c>
      <c r="V84" s="63">
        <f ca="1">MAX(tblBaseCF[[#This Row],[StartTAV]]-tblBaseCF[[#This Row],[SVChrg]],0)+tblBaseCF[[#This Row],[StartEAV]]</f>
        <v>0</v>
      </c>
      <c r="W84" s="59">
        <f ca="1">IFERROR(INDEX(tblWithdrawal_Output[Amount],MATCH(tblBaseCF[[#This Row],[Year]],tblWithdrawal_Output[Year],0)),0)
*tblBaseCF[[#This Row],[ContFlag]]</f>
        <v>0</v>
      </c>
      <c r="X84" s="59" t="b">
        <f ca="1">tblBaseCF[[#This Row],[WithdrawalInput]]&gt;0</f>
        <v>0</v>
      </c>
      <c r="Y84" s="59" t="b">
        <f ca="1">AND(tblBaseCF[[#This Row],[1stCheckProceed]],tblBaseCF[[#This Row],[WithdrawalInput]]&lt;=tblBaseCF[[#This Row],[StartPAV]])</f>
        <v>0</v>
      </c>
      <c r="Z84" s="59" t="b">
        <f ca="1">AND(tblBaseCF[[#This Row],[2ndCheckAmount]],(tblBaseCF[[#This Row],[StartPAV]]-tblBaseCF[[#This Row],[WithdrawalInput]])&gt;=min_pav_after_withdrawal)</f>
        <v>0</v>
      </c>
      <c r="AA8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4" s="59" t="b">
        <f ca="1">AND(tblBaseCF[[#This Row],[3rdCheckPAV]],tblBaseCF[[#This Row],[endSITest]]&gt;=min_base_si)</f>
        <v>0</v>
      </c>
      <c r="AC84" s="60">
        <f ca="1">tblBaseCF[[#This Row],[WithdrawalInput]]*tblBaseCF[[#This Row],[4thCheckSI]]</f>
        <v>0</v>
      </c>
      <c r="AD84" s="60">
        <f ca="1">MIN(tblBaseCF[[#This Row],[Withdrawal]],tblBaseCF[[#This Row],[StartEAV]])</f>
        <v>0</v>
      </c>
      <c r="AE84" s="60">
        <f ca="1">tblBaseCF[[#This Row],[Withdrawal]]-tblBaseCF[[#This Row],[EAVWithdrawal]]</f>
        <v>0</v>
      </c>
      <c r="AF84" s="60">
        <f ca="1">IF(tblBaseCF[[#This Row],[4thCheckSI]],tblBaseCF[[#This Row],[endSITest]],tblBaseCF[[#This Row],[StartSI]])</f>
        <v>0</v>
      </c>
      <c r="AG8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4" s="65">
        <f ca="1">IFERROR(INDEX(tblTPAllocChrgRate[Rate],MATCH(tblBaseCF[[#This Row],[Year]],tblTPAllocChrgRate[Year],0)),0)</f>
        <v>0.02</v>
      </c>
      <c r="AI84" s="62">
        <f ca="1">(tp+big_case_bonus_tp*(tblBaseCF[[#This Row],[Year]]=1))
*tblBaseCF[[#This Row],[TPTermFlag]]</f>
        <v>0</v>
      </c>
      <c r="AJ84" s="63">
        <f ca="1">tblBaseCF[[#This Row],[TP]]*tblBaseCF[[#This Row],[TPAllocChrgRate]]</f>
        <v>0</v>
      </c>
      <c r="AK84" s="60">
        <f ca="1">tblBaseCF[[#This Row],[TP]]-tblBaseCF[[#This Row],[TPAllocChrg]]</f>
        <v>0</v>
      </c>
      <c r="AL84" s="65">
        <f ca="1">IFERROR(INDEX(tblEPAllocChrgRate[Rate],MATCH(tblBaseCF[[#This Row],[Year]],tblEPAllocChrgRate[Year],0)),0)</f>
        <v>0.02</v>
      </c>
      <c r="AM84" s="60">
        <f ca="1">ep*tblBaseCF[[#This Row],[EPTermFlag]]</f>
        <v>0</v>
      </c>
      <c r="AN84" s="60">
        <f ca="1">tblBaseCF[[#This Row],[EP]]*tblBaseCF[[#This Row],[EPAllocChrgRate]]</f>
        <v>0</v>
      </c>
      <c r="AO84" s="63">
        <f ca="1">tblBaseCF[[#This Row],[EP]]-tblBaseCF[[#This Row],[EPAllocChrg]]</f>
        <v>0</v>
      </c>
      <c r="AP84" s="62">
        <f ca="1">tblBaseCF[[#This Row],[Ben]]*extra_prem_rate*em_load/1000/(1-tblBaseCF[[#This Row],[EPAllocChrgRate]])
*tblBaseCF[[#This Row],[EMLoadTermFlag]]</f>
        <v>0</v>
      </c>
      <c r="AQ84" s="62">
        <f ca="1">tblBaseCF[[#This Row],[Ben]]*pm_load/1000/(1-tblBaseCF[[#This Row],[EPAllocChrgRate]])
*tblBaseCF[[#This Row],[PMLoadTermFlag]]</f>
        <v>0</v>
      </c>
      <c r="AR84" s="60">
        <f ca="1">ROUNDUP(tblBaseCF[[#This Row],[UnroundedEMLoad]],-3)</f>
        <v>0</v>
      </c>
      <c r="AS84" s="62">
        <f ca="1">ROUNDUP(tblBaseCF[[#This Row],[Ben]]*pm_load/1000/(1-tblBaseCF[[#This Row],[EPAllocChrgRate]]),-3)
*tblBaseCF[[#This Row],[PMLoadTermFlag]]</f>
        <v>0</v>
      </c>
      <c r="AT84" s="60">
        <f ca="1">tblBaseCF[[#This Row],[EMLoad]]+tblBaseCF[[#This Row],[PMLoad]]</f>
        <v>0</v>
      </c>
      <c r="AU84" s="60">
        <f ca="1">tblBaseCF[[#This Row],[Load]]*tblBaseCF[[#This Row],[EPAllocChrgRate]]</f>
        <v>0</v>
      </c>
      <c r="AV84" s="60">
        <f ca="1">tblBaseCF[[#This Row],[Load]]-tblBaseCF[[#This Row],[LoadAllocChrg]]</f>
        <v>0</v>
      </c>
      <c r="AW84" s="60">
        <f ca="1">tblBaseCF[[#This Row],[TP]]+tblBaseCF[[#This Row],[EP]]+tblBaseCF[[#This Row],[Load]]</f>
        <v>0</v>
      </c>
      <c r="AX84" s="60">
        <f ca="1">tblBaseCF[[#This Row],[TPAllocChrg]]+tblBaseCF[[#This Row],[EPAllocChrg]]+tblBaseCF[[#This Row],[LoadAllocChrg]]</f>
        <v>0</v>
      </c>
      <c r="AY84" s="60">
        <f ca="1">tblBaseCF[[#This Row],[TPAlloc]]+tblBaseCF[[#This Row],[EPAlloc]]+tblBaseCF[[#This Row],[LoadAlloc]]</f>
        <v>0</v>
      </c>
      <c r="AZ84" s="60">
        <f ca="1">(OFFSET(tblBaseCF[[#This Row],[AccumTotalPrem]],-1,0)+tblBaseCF[[#This Row],[TotalPrem]])*tblBaseCF[[#This Row],[TPTermFlag]]</f>
        <v>0</v>
      </c>
      <c r="BA84" s="62">
        <f ca="1">(tblBaseCF[[#This Row],[StartTAV]]-tblBaseCF[[#This Row],[TAVWithdrawal]]+tblBaseCF[[#This Row],[TPAlloc]])
*tblBaseCF[[#This Row],[ContFlag]]</f>
        <v>0</v>
      </c>
      <c r="BB84" s="59">
        <f ca="1">(tblBaseCF[[#This Row],[StartEAV]]-tblBaseCF[[#This Row],[EAVWithdrawal]]+tblBaseCF[[#This Row],[EPAlloc]]+tblBaseCF[[#This Row],[LoadAlloc]])
*tblBaseCF[[#This Row],[ContFlag]]</f>
        <v>0</v>
      </c>
      <c r="BC84" s="59">
        <f ca="1">tblBaseCF[[#This Row],[TAVAfterWdrlAlloc]]+tblBaseCF[[#This Row],[EAVAfterWdrlAlloc]]</f>
        <v>0</v>
      </c>
      <c r="BD84" s="66">
        <f t="shared" si="6"/>
        <v>0</v>
      </c>
      <c r="BE84" s="67">
        <f>(1+tblBaseCF[[#This Row],[AnnualIntRate]])^(1/12)-1</f>
        <v>0</v>
      </c>
      <c r="BF84" s="68">
        <f>IFERROR(((1+tblBaseCF[[#This Row],[MonthlyIntRate]])^12-1)/12/(1-1/(1+tblBaseCF[[#This Row],[MonthlyIntRate]])),1)/(1+tblBaseCF[[#This Row],[AnnualIntRate]])</f>
        <v>1</v>
      </c>
      <c r="BG84" s="69">
        <f>PV(tblBaseCF[[#This Row],[MonthlyIntRate]],12,-1/12,,1)</f>
        <v>1</v>
      </c>
      <c r="BH84" s="60">
        <f ca="1">MAX(IF(death_tpd_option="A",tblBaseCF[[#This Row],[Ben]]-tblBaseCF[[#This Row],[StartPAV]],tblBaseCF[[#This Row],[Ben]]),0)</f>
        <v>0</v>
      </c>
      <c r="BI84" s="70">
        <f ca="1">IFERROR(INDEX(tblBaseCOIRate[Rate],MATCH(tblBaseCF[[#This Row],[Age]],tblBaseCOIRate[Age],0)),0)</f>
        <v>1.26299999999999E-2</v>
      </c>
      <c r="BJ84" s="60">
        <f ca="1">tblBaseCF[[#This Row],[SAR]]*tblBaseCF[[#This Row],[COIRate]]</f>
        <v>0</v>
      </c>
      <c r="BK84" s="62">
        <f ca="1">em_load*tblBaseCF[[#This Row],[pStandardCOI]]
*tblBaseCF[[#This Row],[EMLoadTermFlag]]</f>
        <v>0</v>
      </c>
      <c r="BL84" s="62">
        <f ca="1">pm_load/1000*tblBaseCF[[#This Row],[SAR]]
*tblBaseCF[[#This Row],[PMLoadTermFlag]]</f>
        <v>0</v>
      </c>
      <c r="BM84" s="60">
        <f ca="1">tblBaseCF[[#This Row],[AccBen]]*monthly_acc_coi*12</f>
        <v>0</v>
      </c>
      <c r="BN84" s="60">
        <f ca="1">tblBaseCF[[#This Row],[pStandardCOI]]+tblBaseCF[[#This Row],[pEMLoadCOI]]+tblBaseCF[[#This Row],[pPMLoadCOI]]+tblBaseCF[[#This Row],[pAccCOI]]</f>
        <v>0</v>
      </c>
      <c r="BO84" s="62">
        <f ca="1">IFERROR(INDEX(tblAdminChrg[Amount],MATCH(tblBaseCF[[#This Row],[CalYear]],tblAdminChrg[Cal_Year],0)),0)
*tblBaseCF[[#This Row],[ContFlag]]</f>
        <v>0</v>
      </c>
      <c r="BP84" s="60">
        <f ca="1">tblBaseCF[[#This Row],[pMonthlyAdminChrg]]*12</f>
        <v>0</v>
      </c>
      <c r="BQ84" s="60">
        <f ca="1">tblBaseCF[[#This Row],[pCOI]]+tblBaseCF[[#This Row],[pAdminChrg]]</f>
        <v>0</v>
      </c>
      <c r="BR84" s="60">
        <f ca="1">tblBaseCF[[#This Row],[pNomDeduct]]*tblBaseCF[[#This Row],[Duean1m12]]</f>
        <v>0</v>
      </c>
      <c r="BS84" s="57">
        <f ca="1">(tblBaseCF[[#This Row],[PAVAfterWdrlAlloc]]&gt;=tblBaseCF[[#This Row],[pNomDeduct]])
*tblBaseCF[[#This Row],[ContFlag]]</f>
        <v>0</v>
      </c>
      <c r="BT84" s="60">
        <f ca="1">tblBaseCF[[#This Row],[pStandardCOI]]*tblBaseCF[[#This Row],[DeductFlag]]</f>
        <v>0</v>
      </c>
      <c r="BU84" s="60">
        <f ca="1">tblBaseCF[[#This Row],[pEMLoadCOI]]*tblBaseCF[[#This Row],[DeductFlag]]</f>
        <v>0</v>
      </c>
      <c r="BV84" s="60">
        <f ca="1">tblBaseCF[[#This Row],[pPMLoadCOI]]*tblBaseCF[[#This Row],[DeductFlag]]</f>
        <v>0</v>
      </c>
      <c r="BW84" s="60">
        <f ca="1">tblBaseCF[[#This Row],[pAccCOI]]*tblBaseCF[[#This Row],[DeductFlag]]</f>
        <v>0</v>
      </c>
      <c r="BX84" s="60">
        <f ca="1">tblBaseCF[[#This Row],[pCOI]]*tblBaseCF[[#This Row],[DeductFlag]]</f>
        <v>0</v>
      </c>
      <c r="BY84" s="60">
        <f ca="1">tblBaseCF[[#This Row],[pMonthlyAdminChrg]]*tblBaseCF[[#This Row],[DeductFlag]]</f>
        <v>0</v>
      </c>
      <c r="BZ84" s="60">
        <f ca="1">tblBaseCF[[#This Row],[pAdminChrg]]*tblBaseCF[[#This Row],[DeductFlag]]</f>
        <v>0</v>
      </c>
      <c r="CA84" s="60">
        <f ca="1">tblBaseCF[[#This Row],[pNomDeduct]]*tblBaseCF[[#This Row],[DeductFlag]]</f>
        <v>0</v>
      </c>
      <c r="CB84" s="60">
        <f ca="1">tblBaseCF[[#This Row],[pDeduct]]*tblBaseCF[[#This Row],[DeductFlag]]</f>
        <v>0</v>
      </c>
      <c r="CC84" s="60">
        <f ca="1">MIN(tblBaseCF[[#This Row],[TAVAfterWdrlAlloc]],tblBaseCF[[#This Row],[Deduct]])</f>
        <v>0</v>
      </c>
      <c r="CD84" s="60">
        <f ca="1">tblBaseCF[[#This Row],[Deduct]]-tblBaseCF[[#This Row],[TAVDeduct]]</f>
        <v>0</v>
      </c>
      <c r="CE84" s="69">
        <f ca="1">(tblBaseCF[[#This Row],[TAVAfterWdrlAlloc]]-tblBaseCF[[#This Row],[TAVDeduct]])*tblBaseCF[[#This Row],[AnnualIntRate]]
*tblBaseCF[[#This Row],[DeductFlag]]</f>
        <v>0</v>
      </c>
      <c r="CF84" s="69">
        <f ca="1">(tblBaseCF[[#This Row],[EAVAfterWdrlAlloc]]-tblBaseCF[[#This Row],[EAVDeduct]])*tblBaseCF[[#This Row],[AnnualIntRate]]
*tblBaseCF[[#This Row],[DeductFlag]]</f>
        <v>0</v>
      </c>
      <c r="CG84" s="69">
        <f ca="1">tblBaseCF[[#This Row],[TAVInt]]+tblBaseCF[[#This Row],[EAVInt]]</f>
        <v>0</v>
      </c>
      <c r="CH84" s="62">
        <f ca="1">IFERROR(INDEX(tblLBRate[Rate],MATCH(tblBaseCF[[#This Row],[Year]],tblLBRate[Year],0)),0)
*tblBaseCF[[#This Row],[DeductFlag]]</f>
        <v>0</v>
      </c>
      <c r="CI84" s="60">
        <f ca="1">IFERROR(SUM(OFFSET(tblBaseCF[[#This Row],[TAVWithdrawal]],0,0,-lb_review_period,1)),0)
*(tblBaseCF[[#This Row],[LBRate]]&gt;0)</f>
        <v>0</v>
      </c>
      <c r="CJ84" s="60">
        <f ca="1">(tblBaseCF[[#This Row],[LBRate]]&gt;0)*(tblBaseCF[[#This Row],[LBTAVWithdrawal]]=0)</f>
        <v>0</v>
      </c>
      <c r="CK84" s="62" cm="1">
        <f t="array" aca="1" ref="CK84" ca="1">IF(tblBaseCF[[#This Row],[LBFlag]],
_xlfn.SWITCH(base,
"ILP1",AVERAGE(OFFSET(tblBaseCF[TP],0,0,-lb_review_period,1)),tp),0)
*tblBaseCF[[#This Row],[LBFlag]]</f>
        <v>0</v>
      </c>
      <c r="CL84" s="62">
        <f ca="1">tblBaseCF[[#This Row],[LBBasis]]*tblBaseCF[[#This Row],[LBRate]]</f>
        <v>0</v>
      </c>
      <c r="CM84" s="57" cm="1">
        <f t="array" aca="1" ref="CM84" ca="1">_xlfn.SWITCH(base,
"ILP1",0,($AF184&lt;500000000)*1
+($AF184&gt;=500000000)*($AF184&lt;1000000000)*2
+($AF184&gt;=1000000000)*3)
*tblBaseCF[[#This Row],[DeductFlag]]</f>
        <v>0</v>
      </c>
      <c r="CN84" s="2" t="str">
        <f ca="1">IF(tblBaseCF[[#This Row],[DeductFlag]],base&amp;"_"&amp;tblBaseCF[[#This Row],[SBCode]]&amp;"_"&amp;tblBaseCF[[#This Row],[Year]],"")</f>
        <v/>
      </c>
      <c r="CO84" s="3">
        <f ca="1">IFERROR(INDEX(tblSBRate[Index],MATCH(tblBaseCF[[#This Row],[SBIndex]],tblSBRate[Rate],0)),0)</f>
        <v>0</v>
      </c>
      <c r="CP84" s="63">
        <f ca="1">IFERROR(SUM(OFFSET(tblBaseCF[[#This Row],[TAVWithdrawal]],0,0,-sb_review_period,1)),0)
*(tblBaseCF[[#This Row],[SBRate]]&gt;0)</f>
        <v>0</v>
      </c>
      <c r="CQ84" s="63">
        <f ca="1">(tblBaseCF[[#This Row],[SBRate]]&gt;0)*(tblBaseCF[[#This Row],[SBTAVWithdrawal]]=0)</f>
        <v>0</v>
      </c>
      <c r="CR84" s="59" cm="1">
        <f t="array" aca="1" ref="CR84" ca="1">IF(tblBaseCF[[#This Row],[LBFlag]],
_xlfn.SWITCH(base,
"ILP1",0,tp),0)*tblBaseCF[[#This Row],[SBFlag]]</f>
        <v>0</v>
      </c>
      <c r="CS84" s="63">
        <f ca="1">tblBaseCF[[#This Row],[SBBasis]]*tblBaseCF[[#This Row],[SBRate]]</f>
        <v>0</v>
      </c>
      <c r="CT84" s="63">
        <f ca="1">tblBaseCF[[#This Row],[LB]]+tblBaseCF[[#This Row],[SB]]</f>
        <v>0</v>
      </c>
      <c r="CU84" s="59">
        <f ca="1">tblBaseCF[[#This Row],[TAVAfterWdrlAlloc]]-tblBaseCF[[#This Row],[TAVDeduct]]+tblBaseCF[[#This Row],[TAVInt]]+tblBaseCF[[#This Row],[Bonus]]</f>
        <v>0</v>
      </c>
      <c r="CV84" s="59">
        <f ca="1">tblBaseCF[[#This Row],[EAVAfterWdrlAlloc]]-tblBaseCF[[#This Row],[EAVDeduct]]+tblBaseCF[[#This Row],[EAVInt]]</f>
        <v>0</v>
      </c>
      <c r="CW84" s="63">
        <f ca="1">tblBaseCF[[#This Row],[EndTAV]]+tblBaseCF[[#This Row],[EndEAV]]</f>
        <v>0</v>
      </c>
      <c r="CX84" s="59">
        <f ca="1">INDEX(tblPlanPrem[TP],2)
*tblBaseCF[[#This Row],[TPTermFlag]]</f>
        <v>0</v>
      </c>
      <c r="CY84" s="59">
        <f ca="1">INDEX(tblPlanPrem[EP],2)
*tblBaseCF[[#This Row],[TPTermFlag]]</f>
        <v>0</v>
      </c>
      <c r="CZ84" s="63">
        <f ca="1">ROUNDUP(tblBaseCF[[#This Row],[UnroundedEMLoad]]*INDEX(tblPlanPrem[Factor],2),-3)</f>
        <v>0</v>
      </c>
      <c r="DA84" s="63">
        <f ca="1">ROUNDUP(tblBaseCF[[#This Row],[UnroundedPMLoad]]*INDEX(tblPlanPrem[Factor],2),-3)</f>
        <v>0</v>
      </c>
      <c r="DB84" s="63">
        <f ca="1">tblBaseCF[[#This Row],[SemiAnnualEMLoad]]+tblBaseCF[[#This Row],[SemiAnnualPMLoad]]</f>
        <v>0</v>
      </c>
      <c r="DC84" s="63">
        <f ca="1">tblBaseCF[[#This Row],[SemiAnnualTP]]+tblBaseCF[[#This Row],[SemiAnnualEP]]+tblBaseCF[[#This Row],[SemiAnnualLoad]]</f>
        <v>0</v>
      </c>
      <c r="DD84" s="59">
        <f ca="1">INDEX(tblPlanPrem[TP],3)
*tblBaseCF[[#This Row],[TPTermFlag]]</f>
        <v>0</v>
      </c>
      <c r="DE84" s="59">
        <f ca="1">INDEX(tblPlanPrem[EP],3)
*tblBaseCF[[#This Row],[TPTermFlag]]</f>
        <v>0</v>
      </c>
      <c r="DF84" s="63">
        <f ca="1">ROUNDUP(tblBaseCF[[#This Row],[UnroundedEMLoad]]*INDEX(tblPlanPrem[Factor],3),-3)</f>
        <v>0</v>
      </c>
      <c r="DG84" s="63">
        <f ca="1">ROUNDUP(tblBaseCF[[#This Row],[UnroundedPMLoad]]*INDEX(tblPlanPrem[Factor],3),-3)</f>
        <v>0</v>
      </c>
      <c r="DH84" s="60">
        <f ca="1">tblBaseCF[[#This Row],[QuarterlyEMLoad]]+tblBaseCF[[#This Row],[QuarterlyPMLoad]]</f>
        <v>0</v>
      </c>
      <c r="DI84" s="60">
        <f ca="1">tblBaseCF[[#This Row],[QuarterlyTP]]+tblBaseCF[[#This Row],[QuarterlyEP]]+tblBaseCF[[#This Row],[QuarterlyLoad]]</f>
        <v>0</v>
      </c>
      <c r="DJ84" s="59">
        <f ca="1">INDEX(tblPlanPrem[TP],4)
*tblBaseCF[[#This Row],[TPTermFlag]]</f>
        <v>0</v>
      </c>
      <c r="DK84" s="59">
        <f ca="1">INDEX(tblPlanPrem[EP],4)
*tblBaseCF[[#This Row],[TPTermFlag]]</f>
        <v>0</v>
      </c>
      <c r="DL84" s="63">
        <f ca="1">ROUNDUP(tblBaseCF[[#This Row],[UnroundedEMLoad]]*INDEX(tblPlanPrem[Factor],4),-3)</f>
        <v>0</v>
      </c>
      <c r="DM84" s="63">
        <f ca="1">ROUNDUP(tblBaseCF[[#This Row],[UnroundedPMLoad]]*INDEX(tblPlanPrem[Factor],4),-3)</f>
        <v>0</v>
      </c>
      <c r="DN84" s="60">
        <f ca="1">tblBaseCF[[#This Row],[MonthlyEMLoad]]+tblBaseCF[[#This Row],[MonthlyPMLoad]]</f>
        <v>0</v>
      </c>
      <c r="DO84" s="63">
        <f ca="1">tblBaseCF[[#This Row],[MonthlyTP]]+tblBaseCF[[#This Row],[MonthlyEP]]+tblBaseCF[[#This Row],[MonthlyLoad]]</f>
        <v>0</v>
      </c>
      <c r="DP84" s="3"/>
      <c r="DS84">
        <f t="shared" si="7"/>
        <v>0</v>
      </c>
      <c r="DT84">
        <f t="shared" si="8"/>
        <v>0</v>
      </c>
      <c r="DU84">
        <f t="shared" si="9"/>
        <v>0</v>
      </c>
      <c r="DV84">
        <f ca="1">tblBaseCF[[#This Row],[Year]]</f>
        <v>64</v>
      </c>
      <c r="DW84">
        <f ca="1">tblBaseCF[[#This Row],[Age]]</f>
        <v>63</v>
      </c>
      <c r="DX84">
        <f ca="1">tblBaseCF[[#This Row],[ContFlag]]</f>
        <v>0</v>
      </c>
      <c r="DY84" t="str">
        <f ca="1">tblBaseCF[[#This Row],[ContLog]]</f>
        <v>Insufficient PAV for deduction - Discontinue.</v>
      </c>
      <c r="DZ84">
        <f ca="1">tblBaseCF[[#This Row],[StartTAV]]</f>
        <v>0</v>
      </c>
      <c r="EA84">
        <f ca="1">tblBaseCF[[#This Row],[StartEAV]]</f>
        <v>0</v>
      </c>
      <c r="EB84">
        <f ca="1">tblBaseCF[[#This Row],[StartPAV]]</f>
        <v>0</v>
      </c>
      <c r="EC84">
        <f ca="1">tblBaseCF[[#This Row],[SVChrg]]</f>
        <v>0</v>
      </c>
      <c r="ED84">
        <f ca="1">tblBaseCF[[#This Row],[SV]]</f>
        <v>0</v>
      </c>
      <c r="EE84">
        <f ca="1">tblBaseCF[[#This Row],[Ben]]</f>
        <v>0</v>
      </c>
      <c r="EF84">
        <f ca="1">tblBaseCF[[#This Row],[AccBen]]</f>
        <v>0</v>
      </c>
      <c r="EG84">
        <f ca="1">tblBaseCF[[#This Row],[WithdrawalInput]]</f>
        <v>0</v>
      </c>
      <c r="EH84" t="str">
        <f ca="1">tblBaseCF[[#This Row],[WithdrawalLog]]</f>
        <v>No withdrawal.</v>
      </c>
      <c r="EI84">
        <f ca="1">tblBaseCF[[#This Row],[TAVWithdrawal]]</f>
        <v>0</v>
      </c>
      <c r="EJ84">
        <f ca="1">tblBaseCF[[#This Row],[EAVWithdrawal]]</f>
        <v>0</v>
      </c>
      <c r="EK84">
        <f ca="1">tblBaseCF[[#This Row],[Withdrawal]]</f>
        <v>0</v>
      </c>
      <c r="EL84">
        <f ca="1">tblBaseCF[[#This Row],[TP]]</f>
        <v>0</v>
      </c>
      <c r="EM84">
        <f ca="1">tblBaseCF[[#This Row],[TPAllocChrg]]</f>
        <v>0</v>
      </c>
      <c r="EN84">
        <f ca="1">tblBaseCF[[#This Row],[TPAlloc]]</f>
        <v>0</v>
      </c>
      <c r="EO84">
        <f ca="1">tblBaseCF[[#This Row],[EP]]</f>
        <v>0</v>
      </c>
      <c r="EP84">
        <f ca="1">tblBaseCF[[#This Row],[EPAllocChrg]]</f>
        <v>0</v>
      </c>
      <c r="EQ84">
        <f ca="1">tblBaseCF[[#This Row],[EPAlloc]]</f>
        <v>0</v>
      </c>
      <c r="ER84">
        <f ca="1">tblBaseCF[[#This Row],[EMLoad]]</f>
        <v>0</v>
      </c>
      <c r="ES84">
        <f ca="1">tblBaseCF[[#This Row],[PMLoad]]</f>
        <v>0</v>
      </c>
      <c r="ET84">
        <f ca="1">tblBaseCF[[#This Row],[Load]]</f>
        <v>0</v>
      </c>
      <c r="EU84">
        <f ca="1">tblBaseCF[[#This Row],[LoadAllocChrg]]</f>
        <v>0</v>
      </c>
      <c r="EV84">
        <f ca="1">tblBaseCF[[#This Row],[LoadAlloc]]</f>
        <v>0</v>
      </c>
      <c r="EW84">
        <f ca="1">tblBaseCF[[#This Row],[TotalPrem]]</f>
        <v>0</v>
      </c>
      <c r="EX84">
        <f ca="1">tblBaseCF[[#This Row],[AllocChrg]]</f>
        <v>0</v>
      </c>
      <c r="EY84">
        <f ca="1">tblBaseCF[[#This Row],[Alloc]]</f>
        <v>0</v>
      </c>
      <c r="EZ84">
        <f ca="1">tblBaseCF[[#This Row],[AccumTotalPrem]]</f>
        <v>0</v>
      </c>
      <c r="FA84">
        <f>tblBaseCF[[#This Row],[AnnualIntRate]]</f>
        <v>0</v>
      </c>
      <c r="FB84" s="50">
        <f>tblBaseCF[[#This Row],[Duean1m12]]</f>
        <v>1</v>
      </c>
      <c r="FC84">
        <f ca="1">tblBaseCF[[#This Row],[DeductFlag]]</f>
        <v>0</v>
      </c>
      <c r="FD84">
        <f ca="1">tblBaseCF[[#This Row],[AdminChrg]]</f>
        <v>0</v>
      </c>
      <c r="FE84">
        <f ca="1">tblBaseCF[[#This Row],[StandardCOI]]</f>
        <v>0</v>
      </c>
      <c r="FF84">
        <f ca="1">tblBaseCF[[#This Row],[EMLoadCOI]]</f>
        <v>0</v>
      </c>
      <c r="FG84">
        <f ca="1">tblBaseCF[[#This Row],[PMLoadCOI]]</f>
        <v>0</v>
      </c>
      <c r="FH84">
        <f ca="1">tblBaseCF[[#This Row],[COI]]</f>
        <v>0</v>
      </c>
      <c r="FI84" s="47">
        <f ca="1">tblBaseCF[[#This Row],[NomDeduct]]</f>
        <v>0</v>
      </c>
      <c r="FJ84">
        <f ca="1">tblBaseCF[[#This Row],[Deduct]]</f>
        <v>0</v>
      </c>
      <c r="FK84">
        <f ca="1">tblBaseCF[[#This Row],[TAVDeduct]]</f>
        <v>0</v>
      </c>
      <c r="FL84">
        <f ca="1">tblBaseCF[[#This Row],[EAVDeduct]]</f>
        <v>0</v>
      </c>
      <c r="FM84" s="24">
        <f ca="1">tblBaseCF[[#This Row],[TAVInt]]</f>
        <v>0</v>
      </c>
      <c r="FN84">
        <f ca="1">tblBaseCF[[#This Row],[EAVInt]]</f>
        <v>0</v>
      </c>
      <c r="FO84" s="47">
        <f ca="1">tblBaseCF[[#This Row],[LB]]</f>
        <v>0</v>
      </c>
      <c r="FP84">
        <f ca="1">tblBaseCF[[#This Row],[SB]]</f>
        <v>0</v>
      </c>
      <c r="FQ84">
        <f ca="1">tblBaseCF[[#This Row],[Bonus]]</f>
        <v>0</v>
      </c>
      <c r="FR84">
        <f ca="1">tblBaseCF[[#This Row],[EndTAV]]</f>
        <v>0</v>
      </c>
      <c r="FS84">
        <f ca="1">tblBaseCF[[#This Row],[EndEAV]]</f>
        <v>0</v>
      </c>
      <c r="FT84">
        <f ca="1">tblBaseCF[[#This Row],[EndPAV]]</f>
        <v>0</v>
      </c>
      <c r="FU84">
        <f ca="1">tblBaseCF[[#This Row],[SemiAnnualTP]]</f>
        <v>0</v>
      </c>
      <c r="FV84">
        <f ca="1">tblBaseCF[[#This Row],[SemiAnnualEP]]</f>
        <v>0</v>
      </c>
      <c r="FW84">
        <f ca="1">tblBaseCF[[#This Row],[SemiAnnualEMLoad]]</f>
        <v>0</v>
      </c>
      <c r="FX84">
        <f ca="1">tblBaseCF[[#This Row],[SemiAnnualPMLoad]]</f>
        <v>0</v>
      </c>
      <c r="FY84">
        <f ca="1">tblBaseCF[[#This Row],[SemiAnnualLoad]]</f>
        <v>0</v>
      </c>
      <c r="FZ84">
        <f ca="1">tblBaseCF[[#This Row],[SemiAnnualTotalPrem]]</f>
        <v>0</v>
      </c>
      <c r="GA84">
        <f ca="1">tblBaseCF[[#This Row],[QuarterlyTP]]</f>
        <v>0</v>
      </c>
      <c r="GB84">
        <f ca="1">tblBaseCF[[#This Row],[QuarterlyEP]]</f>
        <v>0</v>
      </c>
      <c r="GC84">
        <f ca="1">tblBaseCF[[#This Row],[QuarterlyEMLoad]]</f>
        <v>0</v>
      </c>
      <c r="GD84">
        <f ca="1">tblBaseCF[[#This Row],[QuarterlyPMLoad]]</f>
        <v>0</v>
      </c>
      <c r="GE84">
        <f ca="1">tblBaseCF[[#This Row],[QuarterlyLoad]]</f>
        <v>0</v>
      </c>
      <c r="GF84">
        <f ca="1">tblBaseCF[[#This Row],[QuarterlyTotalPrem]]</f>
        <v>0</v>
      </c>
      <c r="GG84">
        <f ca="1">tblBaseCF[[#This Row],[MonthlyTP]]</f>
        <v>0</v>
      </c>
      <c r="GH84">
        <f ca="1">tblBaseCF[[#This Row],[MonthlyEP]]</f>
        <v>0</v>
      </c>
      <c r="GI84">
        <f ca="1">tblBaseCF[[#This Row],[MonthlyEMLoad]]</f>
        <v>0</v>
      </c>
      <c r="GJ84">
        <f ca="1">tblBaseCF[[#This Row],[MonthlyPMLoad]]</f>
        <v>0</v>
      </c>
      <c r="GK84">
        <f ca="1">tblBaseCF[[#This Row],[MonthlyLoad]]</f>
        <v>0</v>
      </c>
      <c r="GL84">
        <f ca="1">tblBaseCF[[#This Row],[MonthlyTotalPrem]]</f>
        <v>0</v>
      </c>
      <c r="GO84" t="s">
        <v>134</v>
      </c>
      <c r="GP84" t="s">
        <v>135</v>
      </c>
      <c r="GQ84" t="s">
        <v>502</v>
      </c>
      <c r="GR84">
        <v>64</v>
      </c>
      <c r="GS84">
        <v>63</v>
      </c>
      <c r="GT84">
        <v>1</v>
      </c>
      <c r="GU84" t="s">
        <v>457</v>
      </c>
      <c r="GV84">
        <v>339596074.39826798</v>
      </c>
      <c r="GW84">
        <v>2946582403.89851</v>
      </c>
      <c r="GX84">
        <v>3286178478.2967801</v>
      </c>
      <c r="GY84">
        <v>0</v>
      </c>
      <c r="GZ84">
        <v>3286178478.2967801</v>
      </c>
      <c r="HA84">
        <v>3286178478.2967801</v>
      </c>
      <c r="HB84">
        <v>303000000</v>
      </c>
      <c r="HC84">
        <v>0</v>
      </c>
      <c r="HD84" t="s">
        <v>137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7.0000000000000007E-2</v>
      </c>
      <c r="HX84">
        <v>0.96964931039809399</v>
      </c>
      <c r="HY84">
        <v>1</v>
      </c>
      <c r="HZ84">
        <v>300000</v>
      </c>
      <c r="IA84">
        <v>0</v>
      </c>
      <c r="IB84">
        <v>0</v>
      </c>
      <c r="IC84">
        <v>0</v>
      </c>
      <c r="ID84">
        <v>272700</v>
      </c>
      <c r="IE84">
        <v>572700</v>
      </c>
      <c r="IF84">
        <v>555318.16006498795</v>
      </c>
      <c r="IG84">
        <v>555318.16006498795</v>
      </c>
      <c r="IH84">
        <v>0</v>
      </c>
      <c r="II84">
        <v>23732852.9366742</v>
      </c>
      <c r="IJ84">
        <v>206260768.27289599</v>
      </c>
      <c r="IK84">
        <v>0</v>
      </c>
      <c r="IL84">
        <v>0</v>
      </c>
      <c r="IM84">
        <v>0</v>
      </c>
      <c r="IN84">
        <v>362773609.17487699</v>
      </c>
      <c r="IO84">
        <v>3152843172.1714001</v>
      </c>
      <c r="IP84">
        <v>3515616781.3462801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</row>
    <row r="85" spans="2:268" customFormat="1" x14ac:dyDescent="0.25">
      <c r="B85" s="2">
        <f ca="1">OFFSET(tblBaseCF[[#This Row],[Year]],-1,0)+1</f>
        <v>65</v>
      </c>
      <c r="C85" s="2">
        <f ca="1">(tblBaseCF[[#This Row],[Year]]&lt;=term)*1</f>
        <v>1</v>
      </c>
      <c r="D85" s="57">
        <f ca="1">(YEAR(rcd)+tblBaseCF[[#This Row],[Year]]-1)
*tblBaseCF[[#This Row],[PolTermFlag]]</f>
        <v>2089</v>
      </c>
      <c r="E85" s="57">
        <f ca="1">(mainLI_entry_age+tblBaseCF[[#This Row],[Year]]-1)
*tblBaseCF[[#This Row],[PolTermFlag]]</f>
        <v>64</v>
      </c>
      <c r="F85" s="57">
        <f ca="1">IF(tblBaseCF[[#This Row],[Year]]=1,1,OFFSET(tblBaseCF[[#This Row],[DeductFlag]],-1,0))
*tblBaseCF[[#This Row],[PolTermFlag]]</f>
        <v>0</v>
      </c>
      <c r="G8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5" s="57">
        <f ca="1">(tblBaseCF[[#This Row],[Year]]&lt;=acc_ben_term)
*tblBaseCF[[#This Row],[ContFlag]]</f>
        <v>0</v>
      </c>
      <c r="I85" s="57">
        <f ca="1">(tblBaseCF[[#This Row],[Year]]&lt;=tp_term)
*tblBaseCF[[#This Row],[ContFlag]]</f>
        <v>0</v>
      </c>
      <c r="J85" s="57">
        <f ca="1">(tblBaseCF[[#This Row],[Year]]&lt;=ep_term)
*tblBaseCF[[#This Row],[ContFlag]]</f>
        <v>0</v>
      </c>
      <c r="K85" s="57">
        <f ca="1">(tblBaseCF[[#This Row],[Year]]&lt;=em_load_term)*1</f>
        <v>0</v>
      </c>
      <c r="L85" s="57">
        <f ca="1">(tblBaseCF[[#This Row],[Year]]&lt;=pm_load_term)*1</f>
        <v>0</v>
      </c>
      <c r="M85" s="59">
        <f ca="1">IF(tblBaseCF[[#This Row],[Year]]=1,si,OFFSET(tblBaseCF[[#This Row],[EndSI]],-1,0))
*tblBaseCF[[#This Row],[ContFlag]]</f>
        <v>0</v>
      </c>
      <c r="N85" s="59">
        <f ca="1">OFFSET(tblBaseCF[[#This Row],[EndTAV]],-1,0)
*tblBaseCF[[#This Row],[ContFlag]]</f>
        <v>0</v>
      </c>
      <c r="O85" s="59">
        <f ca="1">OFFSET(tblBaseCF[[#This Row],[EndEAV]],-1,0)
*tblBaseCF[[#This Row],[ContFlag]]</f>
        <v>0</v>
      </c>
      <c r="P85" s="60">
        <f ca="1">tblBaseCF[[#This Row],[StartEAV]]+tblBaseCF[[#This Row],[StartTAV]]</f>
        <v>0</v>
      </c>
      <c r="Q85" s="61">
        <f ca="1">IFERROR(INDEX(tblJuvenileLienRate[Rate],MATCH(tblBaseCF[[#This Row],[Age]],tblJuvenileLienRate[Age],0)),1)
*tblBaseCF[[#This Row],[ContFlag]]</f>
        <v>0</v>
      </c>
      <c r="R8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5" s="62">
        <f ca="1">tblBaseCF[[#This Row],[StartSI]]*acc_ben_coeff*tblBaseCF[[#This Row],[JuvenileLienRate]]
*tblBaseCF[[#This Row],[AccBenTermFlag]]</f>
        <v>0</v>
      </c>
      <c r="T85" s="61">
        <f ca="1">(IFERROR(INDEX(tblSurrChrgRate[Rate],MATCH(tblBaseCF[[#This Row],[Year]],tblSurrChrgRate[Year],0)),0)
*tblBaseCF[[#This Row],[ContFlag]])</f>
        <v>0</v>
      </c>
      <c r="U85" s="60">
        <f ca="1">tp*tblBaseCF[[#This Row],[SrrChrgRate]]</f>
        <v>0</v>
      </c>
      <c r="V85" s="63">
        <f ca="1">MAX(tblBaseCF[[#This Row],[StartTAV]]-tblBaseCF[[#This Row],[SVChrg]],0)+tblBaseCF[[#This Row],[StartEAV]]</f>
        <v>0</v>
      </c>
      <c r="W85" s="59">
        <f ca="1">IFERROR(INDEX(tblWithdrawal_Output[Amount],MATCH(tblBaseCF[[#This Row],[Year]],tblWithdrawal_Output[Year],0)),0)
*tblBaseCF[[#This Row],[ContFlag]]</f>
        <v>0</v>
      </c>
      <c r="X85" s="59" t="b">
        <f ca="1">tblBaseCF[[#This Row],[WithdrawalInput]]&gt;0</f>
        <v>0</v>
      </c>
      <c r="Y85" s="59" t="b">
        <f ca="1">AND(tblBaseCF[[#This Row],[1stCheckProceed]],tblBaseCF[[#This Row],[WithdrawalInput]]&lt;=tblBaseCF[[#This Row],[StartPAV]])</f>
        <v>0</v>
      </c>
      <c r="Z85" s="59" t="b">
        <f ca="1">AND(tblBaseCF[[#This Row],[2ndCheckAmount]],(tblBaseCF[[#This Row],[StartPAV]]-tblBaseCF[[#This Row],[WithdrawalInput]])&gt;=min_pav_after_withdrawal)</f>
        <v>0</v>
      </c>
      <c r="AA8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5" s="59" t="b">
        <f ca="1">AND(tblBaseCF[[#This Row],[3rdCheckPAV]],tblBaseCF[[#This Row],[endSITest]]&gt;=min_base_si)</f>
        <v>0</v>
      </c>
      <c r="AC85" s="60">
        <f ca="1">tblBaseCF[[#This Row],[WithdrawalInput]]*tblBaseCF[[#This Row],[4thCheckSI]]</f>
        <v>0</v>
      </c>
      <c r="AD85" s="60">
        <f ca="1">MIN(tblBaseCF[[#This Row],[Withdrawal]],tblBaseCF[[#This Row],[StartEAV]])</f>
        <v>0</v>
      </c>
      <c r="AE85" s="60">
        <f ca="1">tblBaseCF[[#This Row],[Withdrawal]]-tblBaseCF[[#This Row],[EAVWithdrawal]]</f>
        <v>0</v>
      </c>
      <c r="AF85" s="60">
        <f ca="1">IF(tblBaseCF[[#This Row],[4thCheckSI]],tblBaseCF[[#This Row],[endSITest]],tblBaseCF[[#This Row],[StartSI]])</f>
        <v>0</v>
      </c>
      <c r="AG8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5" s="65">
        <f ca="1">IFERROR(INDEX(tblTPAllocChrgRate[Rate],MATCH(tblBaseCF[[#This Row],[Year]],tblTPAllocChrgRate[Year],0)),0)</f>
        <v>0.02</v>
      </c>
      <c r="AI85" s="62">
        <f ca="1">(tp+big_case_bonus_tp*(tblBaseCF[[#This Row],[Year]]=1))
*tblBaseCF[[#This Row],[TPTermFlag]]</f>
        <v>0</v>
      </c>
      <c r="AJ85" s="63">
        <f ca="1">tblBaseCF[[#This Row],[TP]]*tblBaseCF[[#This Row],[TPAllocChrgRate]]</f>
        <v>0</v>
      </c>
      <c r="AK85" s="60">
        <f ca="1">tblBaseCF[[#This Row],[TP]]-tblBaseCF[[#This Row],[TPAllocChrg]]</f>
        <v>0</v>
      </c>
      <c r="AL85" s="65">
        <f ca="1">IFERROR(INDEX(tblEPAllocChrgRate[Rate],MATCH(tblBaseCF[[#This Row],[Year]],tblEPAllocChrgRate[Year],0)),0)</f>
        <v>0.02</v>
      </c>
      <c r="AM85" s="60">
        <f ca="1">ep*tblBaseCF[[#This Row],[EPTermFlag]]</f>
        <v>0</v>
      </c>
      <c r="AN85" s="60">
        <f ca="1">tblBaseCF[[#This Row],[EP]]*tblBaseCF[[#This Row],[EPAllocChrgRate]]</f>
        <v>0</v>
      </c>
      <c r="AO85" s="63">
        <f ca="1">tblBaseCF[[#This Row],[EP]]-tblBaseCF[[#This Row],[EPAllocChrg]]</f>
        <v>0</v>
      </c>
      <c r="AP85" s="62">
        <f ca="1">tblBaseCF[[#This Row],[Ben]]*extra_prem_rate*em_load/1000/(1-tblBaseCF[[#This Row],[EPAllocChrgRate]])
*tblBaseCF[[#This Row],[EMLoadTermFlag]]</f>
        <v>0</v>
      </c>
      <c r="AQ85" s="62">
        <f ca="1">tblBaseCF[[#This Row],[Ben]]*pm_load/1000/(1-tblBaseCF[[#This Row],[EPAllocChrgRate]])
*tblBaseCF[[#This Row],[PMLoadTermFlag]]</f>
        <v>0</v>
      </c>
      <c r="AR85" s="60">
        <f ca="1">ROUNDUP(tblBaseCF[[#This Row],[UnroundedEMLoad]],-3)</f>
        <v>0</v>
      </c>
      <c r="AS85" s="62">
        <f ca="1">ROUNDUP(tblBaseCF[[#This Row],[Ben]]*pm_load/1000/(1-tblBaseCF[[#This Row],[EPAllocChrgRate]]),-3)
*tblBaseCF[[#This Row],[PMLoadTermFlag]]</f>
        <v>0</v>
      </c>
      <c r="AT85" s="60">
        <f ca="1">tblBaseCF[[#This Row],[EMLoad]]+tblBaseCF[[#This Row],[PMLoad]]</f>
        <v>0</v>
      </c>
      <c r="AU85" s="60">
        <f ca="1">tblBaseCF[[#This Row],[Load]]*tblBaseCF[[#This Row],[EPAllocChrgRate]]</f>
        <v>0</v>
      </c>
      <c r="AV85" s="60">
        <f ca="1">tblBaseCF[[#This Row],[Load]]-tblBaseCF[[#This Row],[LoadAllocChrg]]</f>
        <v>0</v>
      </c>
      <c r="AW85" s="60">
        <f ca="1">tblBaseCF[[#This Row],[TP]]+tblBaseCF[[#This Row],[EP]]+tblBaseCF[[#This Row],[Load]]</f>
        <v>0</v>
      </c>
      <c r="AX85" s="60">
        <f ca="1">tblBaseCF[[#This Row],[TPAllocChrg]]+tblBaseCF[[#This Row],[EPAllocChrg]]+tblBaseCF[[#This Row],[LoadAllocChrg]]</f>
        <v>0</v>
      </c>
      <c r="AY85" s="60">
        <f ca="1">tblBaseCF[[#This Row],[TPAlloc]]+tblBaseCF[[#This Row],[EPAlloc]]+tblBaseCF[[#This Row],[LoadAlloc]]</f>
        <v>0</v>
      </c>
      <c r="AZ85" s="60">
        <f ca="1">(OFFSET(tblBaseCF[[#This Row],[AccumTotalPrem]],-1,0)+tblBaseCF[[#This Row],[TotalPrem]])*tblBaseCF[[#This Row],[TPTermFlag]]</f>
        <v>0</v>
      </c>
      <c r="BA85" s="62">
        <f ca="1">(tblBaseCF[[#This Row],[StartTAV]]-tblBaseCF[[#This Row],[TAVWithdrawal]]+tblBaseCF[[#This Row],[TPAlloc]])
*tblBaseCF[[#This Row],[ContFlag]]</f>
        <v>0</v>
      </c>
      <c r="BB85" s="59">
        <f ca="1">(tblBaseCF[[#This Row],[StartEAV]]-tblBaseCF[[#This Row],[EAVWithdrawal]]+tblBaseCF[[#This Row],[EPAlloc]]+tblBaseCF[[#This Row],[LoadAlloc]])
*tblBaseCF[[#This Row],[ContFlag]]</f>
        <v>0</v>
      </c>
      <c r="BC85" s="59">
        <f ca="1">tblBaseCF[[#This Row],[TAVAfterWdrlAlloc]]+tblBaseCF[[#This Row],[EAVAfterWdrlAlloc]]</f>
        <v>0</v>
      </c>
      <c r="BD85" s="66">
        <f t="shared" ref="BD85:BD120" si="10">int_rate</f>
        <v>0</v>
      </c>
      <c r="BE85" s="67">
        <f>(1+tblBaseCF[[#This Row],[AnnualIntRate]])^(1/12)-1</f>
        <v>0</v>
      </c>
      <c r="BF85" s="68">
        <f>IFERROR(((1+tblBaseCF[[#This Row],[MonthlyIntRate]])^12-1)/12/(1-1/(1+tblBaseCF[[#This Row],[MonthlyIntRate]])),1)/(1+tblBaseCF[[#This Row],[AnnualIntRate]])</f>
        <v>1</v>
      </c>
      <c r="BG85" s="69">
        <f>PV(tblBaseCF[[#This Row],[MonthlyIntRate]],12,-1/12,,1)</f>
        <v>1</v>
      </c>
      <c r="BH85" s="60">
        <f ca="1">MAX(IF(death_tpd_option="A",tblBaseCF[[#This Row],[Ben]]-tblBaseCF[[#This Row],[StartPAV]],tblBaseCF[[#This Row],[Ben]]),0)</f>
        <v>0</v>
      </c>
      <c r="BI85" s="70">
        <f ca="1">IFERROR(INDEX(tblBaseCOIRate[Rate],MATCH(tblBaseCF[[#This Row],[Age]],tblBaseCOIRate[Age],0)),0)</f>
        <v>1.392E-2</v>
      </c>
      <c r="BJ85" s="60">
        <f ca="1">tblBaseCF[[#This Row],[SAR]]*tblBaseCF[[#This Row],[COIRate]]</f>
        <v>0</v>
      </c>
      <c r="BK85" s="62">
        <f ca="1">em_load*tblBaseCF[[#This Row],[pStandardCOI]]
*tblBaseCF[[#This Row],[EMLoadTermFlag]]</f>
        <v>0</v>
      </c>
      <c r="BL85" s="62">
        <f ca="1">pm_load/1000*tblBaseCF[[#This Row],[SAR]]
*tblBaseCF[[#This Row],[PMLoadTermFlag]]</f>
        <v>0</v>
      </c>
      <c r="BM85" s="60">
        <f ca="1">tblBaseCF[[#This Row],[AccBen]]*monthly_acc_coi*12</f>
        <v>0</v>
      </c>
      <c r="BN85" s="60">
        <f ca="1">tblBaseCF[[#This Row],[pStandardCOI]]+tblBaseCF[[#This Row],[pEMLoadCOI]]+tblBaseCF[[#This Row],[pPMLoadCOI]]+tblBaseCF[[#This Row],[pAccCOI]]</f>
        <v>0</v>
      </c>
      <c r="BO85" s="62">
        <f ca="1">IFERROR(INDEX(tblAdminChrg[Amount],MATCH(tblBaseCF[[#This Row],[CalYear]],tblAdminChrg[Cal_Year],0)),0)
*tblBaseCF[[#This Row],[ContFlag]]</f>
        <v>0</v>
      </c>
      <c r="BP85" s="60">
        <f ca="1">tblBaseCF[[#This Row],[pMonthlyAdminChrg]]*12</f>
        <v>0</v>
      </c>
      <c r="BQ85" s="60">
        <f ca="1">tblBaseCF[[#This Row],[pCOI]]+tblBaseCF[[#This Row],[pAdminChrg]]</f>
        <v>0</v>
      </c>
      <c r="BR85" s="60">
        <f ca="1">tblBaseCF[[#This Row],[pNomDeduct]]*tblBaseCF[[#This Row],[Duean1m12]]</f>
        <v>0</v>
      </c>
      <c r="BS85" s="57">
        <f ca="1">(tblBaseCF[[#This Row],[PAVAfterWdrlAlloc]]&gt;=tblBaseCF[[#This Row],[pNomDeduct]])
*tblBaseCF[[#This Row],[ContFlag]]</f>
        <v>0</v>
      </c>
      <c r="BT85" s="60">
        <f ca="1">tblBaseCF[[#This Row],[pStandardCOI]]*tblBaseCF[[#This Row],[DeductFlag]]</f>
        <v>0</v>
      </c>
      <c r="BU85" s="60">
        <f ca="1">tblBaseCF[[#This Row],[pEMLoadCOI]]*tblBaseCF[[#This Row],[DeductFlag]]</f>
        <v>0</v>
      </c>
      <c r="BV85" s="60">
        <f ca="1">tblBaseCF[[#This Row],[pPMLoadCOI]]*tblBaseCF[[#This Row],[DeductFlag]]</f>
        <v>0</v>
      </c>
      <c r="BW85" s="60">
        <f ca="1">tblBaseCF[[#This Row],[pAccCOI]]*tblBaseCF[[#This Row],[DeductFlag]]</f>
        <v>0</v>
      </c>
      <c r="BX85" s="60">
        <f ca="1">tblBaseCF[[#This Row],[pCOI]]*tblBaseCF[[#This Row],[DeductFlag]]</f>
        <v>0</v>
      </c>
      <c r="BY85" s="60">
        <f ca="1">tblBaseCF[[#This Row],[pMonthlyAdminChrg]]*tblBaseCF[[#This Row],[DeductFlag]]</f>
        <v>0</v>
      </c>
      <c r="BZ85" s="60">
        <f ca="1">tblBaseCF[[#This Row],[pAdminChrg]]*tblBaseCF[[#This Row],[DeductFlag]]</f>
        <v>0</v>
      </c>
      <c r="CA85" s="60">
        <f ca="1">tblBaseCF[[#This Row],[pNomDeduct]]*tblBaseCF[[#This Row],[DeductFlag]]</f>
        <v>0</v>
      </c>
      <c r="CB85" s="60">
        <f ca="1">tblBaseCF[[#This Row],[pDeduct]]*tblBaseCF[[#This Row],[DeductFlag]]</f>
        <v>0</v>
      </c>
      <c r="CC85" s="60">
        <f ca="1">MIN(tblBaseCF[[#This Row],[TAVAfterWdrlAlloc]],tblBaseCF[[#This Row],[Deduct]])</f>
        <v>0</v>
      </c>
      <c r="CD85" s="60">
        <f ca="1">tblBaseCF[[#This Row],[Deduct]]-tblBaseCF[[#This Row],[TAVDeduct]]</f>
        <v>0</v>
      </c>
      <c r="CE85" s="69">
        <f ca="1">(tblBaseCF[[#This Row],[TAVAfterWdrlAlloc]]-tblBaseCF[[#This Row],[TAVDeduct]])*tblBaseCF[[#This Row],[AnnualIntRate]]
*tblBaseCF[[#This Row],[DeductFlag]]</f>
        <v>0</v>
      </c>
      <c r="CF85" s="69">
        <f ca="1">(tblBaseCF[[#This Row],[EAVAfterWdrlAlloc]]-tblBaseCF[[#This Row],[EAVDeduct]])*tblBaseCF[[#This Row],[AnnualIntRate]]
*tblBaseCF[[#This Row],[DeductFlag]]</f>
        <v>0</v>
      </c>
      <c r="CG85" s="69">
        <f ca="1">tblBaseCF[[#This Row],[TAVInt]]+tblBaseCF[[#This Row],[EAVInt]]</f>
        <v>0</v>
      </c>
      <c r="CH85" s="62">
        <f ca="1">IFERROR(INDEX(tblLBRate[Rate],MATCH(tblBaseCF[[#This Row],[Year]],tblLBRate[Year],0)),0)
*tblBaseCF[[#This Row],[DeductFlag]]</f>
        <v>0</v>
      </c>
      <c r="CI85" s="60">
        <f ca="1">IFERROR(SUM(OFFSET(tblBaseCF[[#This Row],[TAVWithdrawal]],0,0,-lb_review_period,1)),0)
*(tblBaseCF[[#This Row],[LBRate]]&gt;0)</f>
        <v>0</v>
      </c>
      <c r="CJ85" s="60">
        <f ca="1">(tblBaseCF[[#This Row],[LBRate]]&gt;0)*(tblBaseCF[[#This Row],[LBTAVWithdrawal]]=0)</f>
        <v>0</v>
      </c>
      <c r="CK85" s="62" cm="1">
        <f t="array" aca="1" ref="CK85" ca="1">IF(tblBaseCF[[#This Row],[LBFlag]],
_xlfn.SWITCH(base,
"ILP1",AVERAGE(OFFSET(tblBaseCF[TP],0,0,-lb_review_period,1)),tp),0)
*tblBaseCF[[#This Row],[LBFlag]]</f>
        <v>0</v>
      </c>
      <c r="CL85" s="62">
        <f ca="1">tblBaseCF[[#This Row],[LBBasis]]*tblBaseCF[[#This Row],[LBRate]]</f>
        <v>0</v>
      </c>
      <c r="CM85" s="57" cm="1">
        <f t="array" aca="1" ref="CM85" ca="1">_xlfn.SWITCH(base,
"ILP1",0,($AF185&lt;500000000)*1
+($AF185&gt;=500000000)*($AF185&lt;1000000000)*2
+($AF185&gt;=1000000000)*3)
*tblBaseCF[[#This Row],[DeductFlag]]</f>
        <v>0</v>
      </c>
      <c r="CN85" s="2" t="str">
        <f ca="1">IF(tblBaseCF[[#This Row],[DeductFlag]],base&amp;"_"&amp;tblBaseCF[[#This Row],[SBCode]]&amp;"_"&amp;tblBaseCF[[#This Row],[Year]],"")</f>
        <v/>
      </c>
      <c r="CO85" s="3">
        <f ca="1">IFERROR(INDEX(tblSBRate[Index],MATCH(tblBaseCF[[#This Row],[SBIndex]],tblSBRate[Rate],0)),0)</f>
        <v>0</v>
      </c>
      <c r="CP85" s="63">
        <f ca="1">IFERROR(SUM(OFFSET(tblBaseCF[[#This Row],[TAVWithdrawal]],0,0,-sb_review_period,1)),0)
*(tblBaseCF[[#This Row],[SBRate]]&gt;0)</f>
        <v>0</v>
      </c>
      <c r="CQ85" s="63">
        <f ca="1">(tblBaseCF[[#This Row],[SBRate]]&gt;0)*(tblBaseCF[[#This Row],[SBTAVWithdrawal]]=0)</f>
        <v>0</v>
      </c>
      <c r="CR85" s="59" cm="1">
        <f t="array" aca="1" ref="CR85" ca="1">IF(tblBaseCF[[#This Row],[LBFlag]],
_xlfn.SWITCH(base,
"ILP1",0,tp),0)*tblBaseCF[[#This Row],[SBFlag]]</f>
        <v>0</v>
      </c>
      <c r="CS85" s="63">
        <f ca="1">tblBaseCF[[#This Row],[SBBasis]]*tblBaseCF[[#This Row],[SBRate]]</f>
        <v>0</v>
      </c>
      <c r="CT85" s="63">
        <f ca="1">tblBaseCF[[#This Row],[LB]]+tblBaseCF[[#This Row],[SB]]</f>
        <v>0</v>
      </c>
      <c r="CU85" s="59">
        <f ca="1">tblBaseCF[[#This Row],[TAVAfterWdrlAlloc]]-tblBaseCF[[#This Row],[TAVDeduct]]+tblBaseCF[[#This Row],[TAVInt]]+tblBaseCF[[#This Row],[Bonus]]</f>
        <v>0</v>
      </c>
      <c r="CV85" s="59">
        <f ca="1">tblBaseCF[[#This Row],[EAVAfterWdrlAlloc]]-tblBaseCF[[#This Row],[EAVDeduct]]+tblBaseCF[[#This Row],[EAVInt]]</f>
        <v>0</v>
      </c>
      <c r="CW85" s="63">
        <f ca="1">tblBaseCF[[#This Row],[EndTAV]]+tblBaseCF[[#This Row],[EndEAV]]</f>
        <v>0</v>
      </c>
      <c r="CX85" s="59">
        <f ca="1">INDEX(tblPlanPrem[TP],2)
*tblBaseCF[[#This Row],[TPTermFlag]]</f>
        <v>0</v>
      </c>
      <c r="CY85" s="59">
        <f ca="1">INDEX(tblPlanPrem[EP],2)
*tblBaseCF[[#This Row],[TPTermFlag]]</f>
        <v>0</v>
      </c>
      <c r="CZ85" s="63">
        <f ca="1">ROUNDUP(tblBaseCF[[#This Row],[UnroundedEMLoad]]*INDEX(tblPlanPrem[Factor],2),-3)</f>
        <v>0</v>
      </c>
      <c r="DA85" s="63">
        <f ca="1">ROUNDUP(tblBaseCF[[#This Row],[UnroundedPMLoad]]*INDEX(tblPlanPrem[Factor],2),-3)</f>
        <v>0</v>
      </c>
      <c r="DB85" s="63">
        <f ca="1">tblBaseCF[[#This Row],[SemiAnnualEMLoad]]+tblBaseCF[[#This Row],[SemiAnnualPMLoad]]</f>
        <v>0</v>
      </c>
      <c r="DC85" s="63">
        <f ca="1">tblBaseCF[[#This Row],[SemiAnnualTP]]+tblBaseCF[[#This Row],[SemiAnnualEP]]+tblBaseCF[[#This Row],[SemiAnnualLoad]]</f>
        <v>0</v>
      </c>
      <c r="DD85" s="59">
        <f ca="1">INDEX(tblPlanPrem[TP],3)
*tblBaseCF[[#This Row],[TPTermFlag]]</f>
        <v>0</v>
      </c>
      <c r="DE85" s="59">
        <f ca="1">INDEX(tblPlanPrem[EP],3)
*tblBaseCF[[#This Row],[TPTermFlag]]</f>
        <v>0</v>
      </c>
      <c r="DF85" s="63">
        <f ca="1">ROUNDUP(tblBaseCF[[#This Row],[UnroundedEMLoad]]*INDEX(tblPlanPrem[Factor],3),-3)</f>
        <v>0</v>
      </c>
      <c r="DG85" s="63">
        <f ca="1">ROUNDUP(tblBaseCF[[#This Row],[UnroundedPMLoad]]*INDEX(tblPlanPrem[Factor],3),-3)</f>
        <v>0</v>
      </c>
      <c r="DH85" s="60">
        <f ca="1">tblBaseCF[[#This Row],[QuarterlyEMLoad]]+tblBaseCF[[#This Row],[QuarterlyPMLoad]]</f>
        <v>0</v>
      </c>
      <c r="DI85" s="60">
        <f ca="1">tblBaseCF[[#This Row],[QuarterlyTP]]+tblBaseCF[[#This Row],[QuarterlyEP]]+tblBaseCF[[#This Row],[QuarterlyLoad]]</f>
        <v>0</v>
      </c>
      <c r="DJ85" s="59">
        <f ca="1">INDEX(tblPlanPrem[TP],4)
*tblBaseCF[[#This Row],[TPTermFlag]]</f>
        <v>0</v>
      </c>
      <c r="DK85" s="59">
        <f ca="1">INDEX(tblPlanPrem[EP],4)
*tblBaseCF[[#This Row],[TPTermFlag]]</f>
        <v>0</v>
      </c>
      <c r="DL85" s="63">
        <f ca="1">ROUNDUP(tblBaseCF[[#This Row],[UnroundedEMLoad]]*INDEX(tblPlanPrem[Factor],4),-3)</f>
        <v>0</v>
      </c>
      <c r="DM85" s="63">
        <f ca="1">ROUNDUP(tblBaseCF[[#This Row],[UnroundedPMLoad]]*INDEX(tblPlanPrem[Factor],4),-3)</f>
        <v>0</v>
      </c>
      <c r="DN85" s="60">
        <f ca="1">tblBaseCF[[#This Row],[MonthlyEMLoad]]+tblBaseCF[[#This Row],[MonthlyPMLoad]]</f>
        <v>0</v>
      </c>
      <c r="DO85" s="63">
        <f ca="1">tblBaseCF[[#This Row],[MonthlyTP]]+tblBaseCF[[#This Row],[MonthlyEP]]+tblBaseCF[[#This Row],[MonthlyLoad]]</f>
        <v>0</v>
      </c>
      <c r="DP85" s="3"/>
      <c r="DS85">
        <f t="shared" ref="DS85:DS120" si="11">int_rate_scenario</f>
        <v>0</v>
      </c>
      <c r="DT85">
        <f t="shared" ref="DT85:DT120" si="12">risk_scenario</f>
        <v>0</v>
      </c>
      <c r="DU85">
        <f t="shared" ref="DU85:DU120" si="13">prem_term_scenario</f>
        <v>0</v>
      </c>
      <c r="DV85">
        <f ca="1">tblBaseCF[[#This Row],[Year]]</f>
        <v>65</v>
      </c>
      <c r="DW85">
        <f ca="1">tblBaseCF[[#This Row],[Age]]</f>
        <v>64</v>
      </c>
      <c r="DX85">
        <f ca="1">tblBaseCF[[#This Row],[ContFlag]]</f>
        <v>0</v>
      </c>
      <c r="DY85" t="str">
        <f ca="1">tblBaseCF[[#This Row],[ContLog]]</f>
        <v>Insufficient PAV for deduction - Discontinue.</v>
      </c>
      <c r="DZ85">
        <f ca="1">tblBaseCF[[#This Row],[StartTAV]]</f>
        <v>0</v>
      </c>
      <c r="EA85">
        <f ca="1">tblBaseCF[[#This Row],[StartEAV]]</f>
        <v>0</v>
      </c>
      <c r="EB85">
        <f ca="1">tblBaseCF[[#This Row],[StartPAV]]</f>
        <v>0</v>
      </c>
      <c r="EC85">
        <f ca="1">tblBaseCF[[#This Row],[SVChrg]]</f>
        <v>0</v>
      </c>
      <c r="ED85">
        <f ca="1">tblBaseCF[[#This Row],[SV]]</f>
        <v>0</v>
      </c>
      <c r="EE85">
        <f ca="1">tblBaseCF[[#This Row],[Ben]]</f>
        <v>0</v>
      </c>
      <c r="EF85">
        <f ca="1">tblBaseCF[[#This Row],[AccBen]]</f>
        <v>0</v>
      </c>
      <c r="EG85">
        <f ca="1">tblBaseCF[[#This Row],[WithdrawalInput]]</f>
        <v>0</v>
      </c>
      <c r="EH85" t="str">
        <f ca="1">tblBaseCF[[#This Row],[WithdrawalLog]]</f>
        <v>No withdrawal.</v>
      </c>
      <c r="EI85">
        <f ca="1">tblBaseCF[[#This Row],[TAVWithdrawal]]</f>
        <v>0</v>
      </c>
      <c r="EJ85">
        <f ca="1">tblBaseCF[[#This Row],[EAVWithdrawal]]</f>
        <v>0</v>
      </c>
      <c r="EK85">
        <f ca="1">tblBaseCF[[#This Row],[Withdrawal]]</f>
        <v>0</v>
      </c>
      <c r="EL85">
        <f ca="1">tblBaseCF[[#This Row],[TP]]</f>
        <v>0</v>
      </c>
      <c r="EM85">
        <f ca="1">tblBaseCF[[#This Row],[TPAllocChrg]]</f>
        <v>0</v>
      </c>
      <c r="EN85">
        <f ca="1">tblBaseCF[[#This Row],[TPAlloc]]</f>
        <v>0</v>
      </c>
      <c r="EO85">
        <f ca="1">tblBaseCF[[#This Row],[EP]]</f>
        <v>0</v>
      </c>
      <c r="EP85">
        <f ca="1">tblBaseCF[[#This Row],[EPAllocChrg]]</f>
        <v>0</v>
      </c>
      <c r="EQ85">
        <f ca="1">tblBaseCF[[#This Row],[EPAlloc]]</f>
        <v>0</v>
      </c>
      <c r="ER85">
        <f ca="1">tblBaseCF[[#This Row],[EMLoad]]</f>
        <v>0</v>
      </c>
      <c r="ES85">
        <f ca="1">tblBaseCF[[#This Row],[PMLoad]]</f>
        <v>0</v>
      </c>
      <c r="ET85">
        <f ca="1">tblBaseCF[[#This Row],[Load]]</f>
        <v>0</v>
      </c>
      <c r="EU85">
        <f ca="1">tblBaseCF[[#This Row],[LoadAllocChrg]]</f>
        <v>0</v>
      </c>
      <c r="EV85">
        <f ca="1">tblBaseCF[[#This Row],[LoadAlloc]]</f>
        <v>0</v>
      </c>
      <c r="EW85">
        <f ca="1">tblBaseCF[[#This Row],[TotalPrem]]</f>
        <v>0</v>
      </c>
      <c r="EX85">
        <f ca="1">tblBaseCF[[#This Row],[AllocChrg]]</f>
        <v>0</v>
      </c>
      <c r="EY85">
        <f ca="1">tblBaseCF[[#This Row],[Alloc]]</f>
        <v>0</v>
      </c>
      <c r="EZ85">
        <f ca="1">tblBaseCF[[#This Row],[AccumTotalPrem]]</f>
        <v>0</v>
      </c>
      <c r="FA85">
        <f>tblBaseCF[[#This Row],[AnnualIntRate]]</f>
        <v>0</v>
      </c>
      <c r="FB85" s="50">
        <f>tblBaseCF[[#This Row],[Duean1m12]]</f>
        <v>1</v>
      </c>
      <c r="FC85">
        <f ca="1">tblBaseCF[[#This Row],[DeductFlag]]</f>
        <v>0</v>
      </c>
      <c r="FD85">
        <f ca="1">tblBaseCF[[#This Row],[AdminChrg]]</f>
        <v>0</v>
      </c>
      <c r="FE85">
        <f ca="1">tblBaseCF[[#This Row],[StandardCOI]]</f>
        <v>0</v>
      </c>
      <c r="FF85">
        <f ca="1">tblBaseCF[[#This Row],[EMLoadCOI]]</f>
        <v>0</v>
      </c>
      <c r="FG85">
        <f ca="1">tblBaseCF[[#This Row],[PMLoadCOI]]</f>
        <v>0</v>
      </c>
      <c r="FH85">
        <f ca="1">tblBaseCF[[#This Row],[COI]]</f>
        <v>0</v>
      </c>
      <c r="FI85" s="47">
        <f ca="1">tblBaseCF[[#This Row],[NomDeduct]]</f>
        <v>0</v>
      </c>
      <c r="FJ85">
        <f ca="1">tblBaseCF[[#This Row],[Deduct]]</f>
        <v>0</v>
      </c>
      <c r="FK85">
        <f ca="1">tblBaseCF[[#This Row],[TAVDeduct]]</f>
        <v>0</v>
      </c>
      <c r="FL85">
        <f ca="1">tblBaseCF[[#This Row],[EAVDeduct]]</f>
        <v>0</v>
      </c>
      <c r="FM85" s="24">
        <f ca="1">tblBaseCF[[#This Row],[TAVInt]]</f>
        <v>0</v>
      </c>
      <c r="FN85">
        <f ca="1">tblBaseCF[[#This Row],[EAVInt]]</f>
        <v>0</v>
      </c>
      <c r="FO85" s="47">
        <f ca="1">tblBaseCF[[#This Row],[LB]]</f>
        <v>0</v>
      </c>
      <c r="FP85">
        <f ca="1">tblBaseCF[[#This Row],[SB]]</f>
        <v>0</v>
      </c>
      <c r="FQ85">
        <f ca="1">tblBaseCF[[#This Row],[Bonus]]</f>
        <v>0</v>
      </c>
      <c r="FR85">
        <f ca="1">tblBaseCF[[#This Row],[EndTAV]]</f>
        <v>0</v>
      </c>
      <c r="FS85">
        <f ca="1">tblBaseCF[[#This Row],[EndEAV]]</f>
        <v>0</v>
      </c>
      <c r="FT85">
        <f ca="1">tblBaseCF[[#This Row],[EndPAV]]</f>
        <v>0</v>
      </c>
      <c r="FU85">
        <f ca="1">tblBaseCF[[#This Row],[SemiAnnualTP]]</f>
        <v>0</v>
      </c>
      <c r="FV85">
        <f ca="1">tblBaseCF[[#This Row],[SemiAnnualEP]]</f>
        <v>0</v>
      </c>
      <c r="FW85">
        <f ca="1">tblBaseCF[[#This Row],[SemiAnnualEMLoad]]</f>
        <v>0</v>
      </c>
      <c r="FX85">
        <f ca="1">tblBaseCF[[#This Row],[SemiAnnualPMLoad]]</f>
        <v>0</v>
      </c>
      <c r="FY85">
        <f ca="1">tblBaseCF[[#This Row],[SemiAnnualLoad]]</f>
        <v>0</v>
      </c>
      <c r="FZ85">
        <f ca="1">tblBaseCF[[#This Row],[SemiAnnualTotalPrem]]</f>
        <v>0</v>
      </c>
      <c r="GA85">
        <f ca="1">tblBaseCF[[#This Row],[QuarterlyTP]]</f>
        <v>0</v>
      </c>
      <c r="GB85">
        <f ca="1">tblBaseCF[[#This Row],[QuarterlyEP]]</f>
        <v>0</v>
      </c>
      <c r="GC85">
        <f ca="1">tblBaseCF[[#This Row],[QuarterlyEMLoad]]</f>
        <v>0</v>
      </c>
      <c r="GD85">
        <f ca="1">tblBaseCF[[#This Row],[QuarterlyPMLoad]]</f>
        <v>0</v>
      </c>
      <c r="GE85">
        <f ca="1">tblBaseCF[[#This Row],[QuarterlyLoad]]</f>
        <v>0</v>
      </c>
      <c r="GF85">
        <f ca="1">tblBaseCF[[#This Row],[QuarterlyTotalPrem]]</f>
        <v>0</v>
      </c>
      <c r="GG85">
        <f ca="1">tblBaseCF[[#This Row],[MonthlyTP]]</f>
        <v>0</v>
      </c>
      <c r="GH85">
        <f ca="1">tblBaseCF[[#This Row],[MonthlyEP]]</f>
        <v>0</v>
      </c>
      <c r="GI85">
        <f ca="1">tblBaseCF[[#This Row],[MonthlyEMLoad]]</f>
        <v>0</v>
      </c>
      <c r="GJ85">
        <f ca="1">tblBaseCF[[#This Row],[MonthlyPMLoad]]</f>
        <v>0</v>
      </c>
      <c r="GK85">
        <f ca="1">tblBaseCF[[#This Row],[MonthlyLoad]]</f>
        <v>0</v>
      </c>
      <c r="GL85">
        <f ca="1">tblBaseCF[[#This Row],[MonthlyTotalPrem]]</f>
        <v>0</v>
      </c>
      <c r="GO85" t="s">
        <v>134</v>
      </c>
      <c r="GP85" t="s">
        <v>135</v>
      </c>
      <c r="GQ85" t="s">
        <v>502</v>
      </c>
      <c r="GR85">
        <v>65</v>
      </c>
      <c r="GS85">
        <v>64</v>
      </c>
      <c r="GT85">
        <v>1</v>
      </c>
      <c r="GU85" t="s">
        <v>457</v>
      </c>
      <c r="GV85">
        <v>362773609.17487699</v>
      </c>
      <c r="GW85">
        <v>3152843172.1714001</v>
      </c>
      <c r="GX85">
        <v>3515616781.3462801</v>
      </c>
      <c r="GY85">
        <v>0</v>
      </c>
      <c r="GZ85">
        <v>3515616781.3462801</v>
      </c>
      <c r="HA85">
        <v>3515616781.3462801</v>
      </c>
      <c r="HB85">
        <v>303000000</v>
      </c>
      <c r="HC85">
        <v>0</v>
      </c>
      <c r="HD85" t="s">
        <v>137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7.0000000000000007E-2</v>
      </c>
      <c r="HX85">
        <v>0.96964931039809399</v>
      </c>
      <c r="HY85">
        <v>1</v>
      </c>
      <c r="HZ85">
        <v>300000</v>
      </c>
      <c r="IA85">
        <v>0</v>
      </c>
      <c r="IB85">
        <v>0</v>
      </c>
      <c r="IC85">
        <v>0</v>
      </c>
      <c r="ID85">
        <v>272700</v>
      </c>
      <c r="IE85">
        <v>572700</v>
      </c>
      <c r="IF85">
        <v>555318.16006498795</v>
      </c>
      <c r="IG85">
        <v>555318.16006498795</v>
      </c>
      <c r="IH85">
        <v>0</v>
      </c>
      <c r="II85">
        <v>25355280.371036898</v>
      </c>
      <c r="IJ85">
        <v>220699022.05199799</v>
      </c>
      <c r="IK85">
        <v>0</v>
      </c>
      <c r="IL85">
        <v>0</v>
      </c>
      <c r="IM85">
        <v>0</v>
      </c>
      <c r="IN85">
        <v>387573571.385849</v>
      </c>
      <c r="IO85">
        <v>3373542194.2234001</v>
      </c>
      <c r="IP85">
        <v>3761115765.6092501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</row>
    <row r="86" spans="2:268" customFormat="1" x14ac:dyDescent="0.25">
      <c r="B86" s="2">
        <f ca="1">OFFSET(tblBaseCF[[#This Row],[Year]],-1,0)+1</f>
        <v>66</v>
      </c>
      <c r="C86" s="2">
        <f ca="1">(tblBaseCF[[#This Row],[Year]]&lt;=term)*1</f>
        <v>1</v>
      </c>
      <c r="D86" s="57">
        <f ca="1">(YEAR(rcd)+tblBaseCF[[#This Row],[Year]]-1)
*tblBaseCF[[#This Row],[PolTermFlag]]</f>
        <v>2090</v>
      </c>
      <c r="E86" s="57">
        <f ca="1">(mainLI_entry_age+tblBaseCF[[#This Row],[Year]]-1)
*tblBaseCF[[#This Row],[PolTermFlag]]</f>
        <v>65</v>
      </c>
      <c r="F86" s="57">
        <f ca="1">IF(tblBaseCF[[#This Row],[Year]]=1,1,OFFSET(tblBaseCF[[#This Row],[DeductFlag]],-1,0))
*tblBaseCF[[#This Row],[PolTermFlag]]</f>
        <v>0</v>
      </c>
      <c r="G8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6" s="57">
        <f ca="1">(tblBaseCF[[#This Row],[Year]]&lt;=acc_ben_term)
*tblBaseCF[[#This Row],[ContFlag]]</f>
        <v>0</v>
      </c>
      <c r="I86" s="57">
        <f ca="1">(tblBaseCF[[#This Row],[Year]]&lt;=tp_term)
*tblBaseCF[[#This Row],[ContFlag]]</f>
        <v>0</v>
      </c>
      <c r="J86" s="57">
        <f ca="1">(tblBaseCF[[#This Row],[Year]]&lt;=ep_term)
*tblBaseCF[[#This Row],[ContFlag]]</f>
        <v>0</v>
      </c>
      <c r="K86" s="57">
        <f ca="1">(tblBaseCF[[#This Row],[Year]]&lt;=em_load_term)*1</f>
        <v>0</v>
      </c>
      <c r="L86" s="57">
        <f ca="1">(tblBaseCF[[#This Row],[Year]]&lt;=pm_load_term)*1</f>
        <v>0</v>
      </c>
      <c r="M86" s="59">
        <f ca="1">IF(tblBaseCF[[#This Row],[Year]]=1,si,OFFSET(tblBaseCF[[#This Row],[EndSI]],-1,0))
*tblBaseCF[[#This Row],[ContFlag]]</f>
        <v>0</v>
      </c>
      <c r="N86" s="59">
        <f ca="1">OFFSET(tblBaseCF[[#This Row],[EndTAV]],-1,0)
*tblBaseCF[[#This Row],[ContFlag]]</f>
        <v>0</v>
      </c>
      <c r="O86" s="59">
        <f ca="1">OFFSET(tblBaseCF[[#This Row],[EndEAV]],-1,0)
*tblBaseCF[[#This Row],[ContFlag]]</f>
        <v>0</v>
      </c>
      <c r="P86" s="60">
        <f ca="1">tblBaseCF[[#This Row],[StartEAV]]+tblBaseCF[[#This Row],[StartTAV]]</f>
        <v>0</v>
      </c>
      <c r="Q86" s="61">
        <f ca="1">IFERROR(INDEX(tblJuvenileLienRate[Rate],MATCH(tblBaseCF[[#This Row],[Age]],tblJuvenileLienRate[Age],0)),1)
*tblBaseCF[[#This Row],[ContFlag]]</f>
        <v>0</v>
      </c>
      <c r="R8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6" s="62">
        <f ca="1">tblBaseCF[[#This Row],[StartSI]]*acc_ben_coeff*tblBaseCF[[#This Row],[JuvenileLienRate]]
*tblBaseCF[[#This Row],[AccBenTermFlag]]</f>
        <v>0</v>
      </c>
      <c r="T86" s="61">
        <f ca="1">(IFERROR(INDEX(tblSurrChrgRate[Rate],MATCH(tblBaseCF[[#This Row],[Year]],tblSurrChrgRate[Year],0)),0)
*tblBaseCF[[#This Row],[ContFlag]])</f>
        <v>0</v>
      </c>
      <c r="U86" s="60">
        <f ca="1">tp*tblBaseCF[[#This Row],[SrrChrgRate]]</f>
        <v>0</v>
      </c>
      <c r="V86" s="63">
        <f ca="1">MAX(tblBaseCF[[#This Row],[StartTAV]]-tblBaseCF[[#This Row],[SVChrg]],0)+tblBaseCF[[#This Row],[StartEAV]]</f>
        <v>0</v>
      </c>
      <c r="W86" s="59">
        <f ca="1">IFERROR(INDEX(tblWithdrawal_Output[Amount],MATCH(tblBaseCF[[#This Row],[Year]],tblWithdrawal_Output[Year],0)),0)
*tblBaseCF[[#This Row],[ContFlag]]</f>
        <v>0</v>
      </c>
      <c r="X86" s="59" t="b">
        <f ca="1">tblBaseCF[[#This Row],[WithdrawalInput]]&gt;0</f>
        <v>0</v>
      </c>
      <c r="Y86" s="59" t="b">
        <f ca="1">AND(tblBaseCF[[#This Row],[1stCheckProceed]],tblBaseCF[[#This Row],[WithdrawalInput]]&lt;=tblBaseCF[[#This Row],[StartPAV]])</f>
        <v>0</v>
      </c>
      <c r="Z86" s="59" t="b">
        <f ca="1">AND(tblBaseCF[[#This Row],[2ndCheckAmount]],(tblBaseCF[[#This Row],[StartPAV]]-tblBaseCF[[#This Row],[WithdrawalInput]])&gt;=min_pav_after_withdrawal)</f>
        <v>0</v>
      </c>
      <c r="AA8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6" s="59" t="b">
        <f ca="1">AND(tblBaseCF[[#This Row],[3rdCheckPAV]],tblBaseCF[[#This Row],[endSITest]]&gt;=min_base_si)</f>
        <v>0</v>
      </c>
      <c r="AC86" s="60">
        <f ca="1">tblBaseCF[[#This Row],[WithdrawalInput]]*tblBaseCF[[#This Row],[4thCheckSI]]</f>
        <v>0</v>
      </c>
      <c r="AD86" s="60">
        <f ca="1">MIN(tblBaseCF[[#This Row],[Withdrawal]],tblBaseCF[[#This Row],[StartEAV]])</f>
        <v>0</v>
      </c>
      <c r="AE86" s="60">
        <f ca="1">tblBaseCF[[#This Row],[Withdrawal]]-tblBaseCF[[#This Row],[EAVWithdrawal]]</f>
        <v>0</v>
      </c>
      <c r="AF86" s="60">
        <f ca="1">IF(tblBaseCF[[#This Row],[4thCheckSI]],tblBaseCF[[#This Row],[endSITest]],tblBaseCF[[#This Row],[StartSI]])</f>
        <v>0</v>
      </c>
      <c r="AG8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6" s="65">
        <f ca="1">IFERROR(INDEX(tblTPAllocChrgRate[Rate],MATCH(tblBaseCF[[#This Row],[Year]],tblTPAllocChrgRate[Year],0)),0)</f>
        <v>0.02</v>
      </c>
      <c r="AI86" s="62">
        <f ca="1">(tp+big_case_bonus_tp*(tblBaseCF[[#This Row],[Year]]=1))
*tblBaseCF[[#This Row],[TPTermFlag]]</f>
        <v>0</v>
      </c>
      <c r="AJ86" s="63">
        <f ca="1">tblBaseCF[[#This Row],[TP]]*tblBaseCF[[#This Row],[TPAllocChrgRate]]</f>
        <v>0</v>
      </c>
      <c r="AK86" s="60">
        <f ca="1">tblBaseCF[[#This Row],[TP]]-tblBaseCF[[#This Row],[TPAllocChrg]]</f>
        <v>0</v>
      </c>
      <c r="AL86" s="65">
        <f ca="1">IFERROR(INDEX(tblEPAllocChrgRate[Rate],MATCH(tblBaseCF[[#This Row],[Year]],tblEPAllocChrgRate[Year],0)),0)</f>
        <v>0.02</v>
      </c>
      <c r="AM86" s="60">
        <f ca="1">ep*tblBaseCF[[#This Row],[EPTermFlag]]</f>
        <v>0</v>
      </c>
      <c r="AN86" s="60">
        <f ca="1">tblBaseCF[[#This Row],[EP]]*tblBaseCF[[#This Row],[EPAllocChrgRate]]</f>
        <v>0</v>
      </c>
      <c r="AO86" s="63">
        <f ca="1">tblBaseCF[[#This Row],[EP]]-tblBaseCF[[#This Row],[EPAllocChrg]]</f>
        <v>0</v>
      </c>
      <c r="AP86" s="62">
        <f ca="1">tblBaseCF[[#This Row],[Ben]]*extra_prem_rate*em_load/1000/(1-tblBaseCF[[#This Row],[EPAllocChrgRate]])
*tblBaseCF[[#This Row],[EMLoadTermFlag]]</f>
        <v>0</v>
      </c>
      <c r="AQ86" s="62">
        <f ca="1">tblBaseCF[[#This Row],[Ben]]*pm_load/1000/(1-tblBaseCF[[#This Row],[EPAllocChrgRate]])
*tblBaseCF[[#This Row],[PMLoadTermFlag]]</f>
        <v>0</v>
      </c>
      <c r="AR86" s="60">
        <f ca="1">ROUNDUP(tblBaseCF[[#This Row],[UnroundedEMLoad]],-3)</f>
        <v>0</v>
      </c>
      <c r="AS86" s="62">
        <f ca="1">ROUNDUP(tblBaseCF[[#This Row],[Ben]]*pm_load/1000/(1-tblBaseCF[[#This Row],[EPAllocChrgRate]]),-3)
*tblBaseCF[[#This Row],[PMLoadTermFlag]]</f>
        <v>0</v>
      </c>
      <c r="AT86" s="60">
        <f ca="1">tblBaseCF[[#This Row],[EMLoad]]+tblBaseCF[[#This Row],[PMLoad]]</f>
        <v>0</v>
      </c>
      <c r="AU86" s="60">
        <f ca="1">tblBaseCF[[#This Row],[Load]]*tblBaseCF[[#This Row],[EPAllocChrgRate]]</f>
        <v>0</v>
      </c>
      <c r="AV86" s="60">
        <f ca="1">tblBaseCF[[#This Row],[Load]]-tblBaseCF[[#This Row],[LoadAllocChrg]]</f>
        <v>0</v>
      </c>
      <c r="AW86" s="60">
        <f ca="1">tblBaseCF[[#This Row],[TP]]+tblBaseCF[[#This Row],[EP]]+tblBaseCF[[#This Row],[Load]]</f>
        <v>0</v>
      </c>
      <c r="AX86" s="60">
        <f ca="1">tblBaseCF[[#This Row],[TPAllocChrg]]+tblBaseCF[[#This Row],[EPAllocChrg]]+tblBaseCF[[#This Row],[LoadAllocChrg]]</f>
        <v>0</v>
      </c>
      <c r="AY86" s="60">
        <f ca="1">tblBaseCF[[#This Row],[TPAlloc]]+tblBaseCF[[#This Row],[EPAlloc]]+tblBaseCF[[#This Row],[LoadAlloc]]</f>
        <v>0</v>
      </c>
      <c r="AZ86" s="60">
        <f ca="1">(OFFSET(tblBaseCF[[#This Row],[AccumTotalPrem]],-1,0)+tblBaseCF[[#This Row],[TotalPrem]])*tblBaseCF[[#This Row],[TPTermFlag]]</f>
        <v>0</v>
      </c>
      <c r="BA86" s="62">
        <f ca="1">(tblBaseCF[[#This Row],[StartTAV]]-tblBaseCF[[#This Row],[TAVWithdrawal]]+tblBaseCF[[#This Row],[TPAlloc]])
*tblBaseCF[[#This Row],[ContFlag]]</f>
        <v>0</v>
      </c>
      <c r="BB86" s="59">
        <f ca="1">(tblBaseCF[[#This Row],[StartEAV]]-tblBaseCF[[#This Row],[EAVWithdrawal]]+tblBaseCF[[#This Row],[EPAlloc]]+tblBaseCF[[#This Row],[LoadAlloc]])
*tblBaseCF[[#This Row],[ContFlag]]</f>
        <v>0</v>
      </c>
      <c r="BC86" s="59">
        <f ca="1">tblBaseCF[[#This Row],[TAVAfterWdrlAlloc]]+tblBaseCF[[#This Row],[EAVAfterWdrlAlloc]]</f>
        <v>0</v>
      </c>
      <c r="BD86" s="66">
        <f t="shared" si="10"/>
        <v>0</v>
      </c>
      <c r="BE86" s="67">
        <f>(1+tblBaseCF[[#This Row],[AnnualIntRate]])^(1/12)-1</f>
        <v>0</v>
      </c>
      <c r="BF86" s="68">
        <f>IFERROR(((1+tblBaseCF[[#This Row],[MonthlyIntRate]])^12-1)/12/(1-1/(1+tblBaseCF[[#This Row],[MonthlyIntRate]])),1)/(1+tblBaseCF[[#This Row],[AnnualIntRate]])</f>
        <v>1</v>
      </c>
      <c r="BG86" s="69">
        <f>PV(tblBaseCF[[#This Row],[MonthlyIntRate]],12,-1/12,,1)</f>
        <v>1</v>
      </c>
      <c r="BH86" s="60">
        <f ca="1">MAX(IF(death_tpd_option="A",tblBaseCF[[#This Row],[Ben]]-tblBaseCF[[#This Row],[StartPAV]],tblBaseCF[[#This Row],[Ben]]),0)</f>
        <v>0</v>
      </c>
      <c r="BI86" s="70">
        <f ca="1">IFERROR(INDEX(tblBaseCOIRate[Rate],MATCH(tblBaseCF[[#This Row],[Age]],tblBaseCOIRate[Age],0)),0)</f>
        <v>1.529E-2</v>
      </c>
      <c r="BJ86" s="60">
        <f ca="1">tblBaseCF[[#This Row],[SAR]]*tblBaseCF[[#This Row],[COIRate]]</f>
        <v>0</v>
      </c>
      <c r="BK86" s="62">
        <f ca="1">em_load*tblBaseCF[[#This Row],[pStandardCOI]]
*tblBaseCF[[#This Row],[EMLoadTermFlag]]</f>
        <v>0</v>
      </c>
      <c r="BL86" s="62">
        <f ca="1">pm_load/1000*tblBaseCF[[#This Row],[SAR]]
*tblBaseCF[[#This Row],[PMLoadTermFlag]]</f>
        <v>0</v>
      </c>
      <c r="BM86" s="60">
        <f ca="1">tblBaseCF[[#This Row],[AccBen]]*monthly_acc_coi*12</f>
        <v>0</v>
      </c>
      <c r="BN86" s="60">
        <f ca="1">tblBaseCF[[#This Row],[pStandardCOI]]+tblBaseCF[[#This Row],[pEMLoadCOI]]+tblBaseCF[[#This Row],[pPMLoadCOI]]+tblBaseCF[[#This Row],[pAccCOI]]</f>
        <v>0</v>
      </c>
      <c r="BO86" s="62">
        <f ca="1">IFERROR(INDEX(tblAdminChrg[Amount],MATCH(tblBaseCF[[#This Row],[CalYear]],tblAdminChrg[Cal_Year],0)),0)
*tblBaseCF[[#This Row],[ContFlag]]</f>
        <v>0</v>
      </c>
      <c r="BP86" s="60">
        <f ca="1">tblBaseCF[[#This Row],[pMonthlyAdminChrg]]*12</f>
        <v>0</v>
      </c>
      <c r="BQ86" s="60">
        <f ca="1">tblBaseCF[[#This Row],[pCOI]]+tblBaseCF[[#This Row],[pAdminChrg]]</f>
        <v>0</v>
      </c>
      <c r="BR86" s="60">
        <f ca="1">tblBaseCF[[#This Row],[pNomDeduct]]*tblBaseCF[[#This Row],[Duean1m12]]</f>
        <v>0</v>
      </c>
      <c r="BS86" s="57">
        <f ca="1">(tblBaseCF[[#This Row],[PAVAfterWdrlAlloc]]&gt;=tblBaseCF[[#This Row],[pNomDeduct]])
*tblBaseCF[[#This Row],[ContFlag]]</f>
        <v>0</v>
      </c>
      <c r="BT86" s="60">
        <f ca="1">tblBaseCF[[#This Row],[pStandardCOI]]*tblBaseCF[[#This Row],[DeductFlag]]</f>
        <v>0</v>
      </c>
      <c r="BU86" s="60">
        <f ca="1">tblBaseCF[[#This Row],[pEMLoadCOI]]*tblBaseCF[[#This Row],[DeductFlag]]</f>
        <v>0</v>
      </c>
      <c r="BV86" s="60">
        <f ca="1">tblBaseCF[[#This Row],[pPMLoadCOI]]*tblBaseCF[[#This Row],[DeductFlag]]</f>
        <v>0</v>
      </c>
      <c r="BW86" s="60">
        <f ca="1">tblBaseCF[[#This Row],[pAccCOI]]*tblBaseCF[[#This Row],[DeductFlag]]</f>
        <v>0</v>
      </c>
      <c r="BX86" s="60">
        <f ca="1">tblBaseCF[[#This Row],[pCOI]]*tblBaseCF[[#This Row],[DeductFlag]]</f>
        <v>0</v>
      </c>
      <c r="BY86" s="60">
        <f ca="1">tblBaseCF[[#This Row],[pMonthlyAdminChrg]]*tblBaseCF[[#This Row],[DeductFlag]]</f>
        <v>0</v>
      </c>
      <c r="BZ86" s="60">
        <f ca="1">tblBaseCF[[#This Row],[pAdminChrg]]*tblBaseCF[[#This Row],[DeductFlag]]</f>
        <v>0</v>
      </c>
      <c r="CA86" s="60">
        <f ca="1">tblBaseCF[[#This Row],[pNomDeduct]]*tblBaseCF[[#This Row],[DeductFlag]]</f>
        <v>0</v>
      </c>
      <c r="CB86" s="60">
        <f ca="1">tblBaseCF[[#This Row],[pDeduct]]*tblBaseCF[[#This Row],[DeductFlag]]</f>
        <v>0</v>
      </c>
      <c r="CC86" s="60">
        <f ca="1">MIN(tblBaseCF[[#This Row],[TAVAfterWdrlAlloc]],tblBaseCF[[#This Row],[Deduct]])</f>
        <v>0</v>
      </c>
      <c r="CD86" s="60">
        <f ca="1">tblBaseCF[[#This Row],[Deduct]]-tblBaseCF[[#This Row],[TAVDeduct]]</f>
        <v>0</v>
      </c>
      <c r="CE86" s="69">
        <f ca="1">(tblBaseCF[[#This Row],[TAVAfterWdrlAlloc]]-tblBaseCF[[#This Row],[TAVDeduct]])*tblBaseCF[[#This Row],[AnnualIntRate]]
*tblBaseCF[[#This Row],[DeductFlag]]</f>
        <v>0</v>
      </c>
      <c r="CF86" s="69">
        <f ca="1">(tblBaseCF[[#This Row],[EAVAfterWdrlAlloc]]-tblBaseCF[[#This Row],[EAVDeduct]])*tblBaseCF[[#This Row],[AnnualIntRate]]
*tblBaseCF[[#This Row],[DeductFlag]]</f>
        <v>0</v>
      </c>
      <c r="CG86" s="69">
        <f ca="1">tblBaseCF[[#This Row],[TAVInt]]+tblBaseCF[[#This Row],[EAVInt]]</f>
        <v>0</v>
      </c>
      <c r="CH86" s="62">
        <f ca="1">IFERROR(INDEX(tblLBRate[Rate],MATCH(tblBaseCF[[#This Row],[Year]],tblLBRate[Year],0)),0)
*tblBaseCF[[#This Row],[DeductFlag]]</f>
        <v>0</v>
      </c>
      <c r="CI86" s="60">
        <f ca="1">IFERROR(SUM(OFFSET(tblBaseCF[[#This Row],[TAVWithdrawal]],0,0,-lb_review_period,1)),0)
*(tblBaseCF[[#This Row],[LBRate]]&gt;0)</f>
        <v>0</v>
      </c>
      <c r="CJ86" s="60">
        <f ca="1">(tblBaseCF[[#This Row],[LBRate]]&gt;0)*(tblBaseCF[[#This Row],[LBTAVWithdrawal]]=0)</f>
        <v>0</v>
      </c>
      <c r="CK86" s="62" cm="1">
        <f t="array" aca="1" ref="CK86" ca="1">IF(tblBaseCF[[#This Row],[LBFlag]],
_xlfn.SWITCH(base,
"ILP1",AVERAGE(OFFSET(tblBaseCF[TP],0,0,-lb_review_period,1)),tp),0)
*tblBaseCF[[#This Row],[LBFlag]]</f>
        <v>0</v>
      </c>
      <c r="CL86" s="62">
        <f ca="1">tblBaseCF[[#This Row],[LBBasis]]*tblBaseCF[[#This Row],[LBRate]]</f>
        <v>0</v>
      </c>
      <c r="CM86" s="57" cm="1">
        <f t="array" aca="1" ref="CM86" ca="1">_xlfn.SWITCH(base,
"ILP1",0,($AF186&lt;500000000)*1
+($AF186&gt;=500000000)*($AF186&lt;1000000000)*2
+($AF186&gt;=1000000000)*3)
*tblBaseCF[[#This Row],[DeductFlag]]</f>
        <v>0</v>
      </c>
      <c r="CN86" s="2" t="str">
        <f ca="1">IF(tblBaseCF[[#This Row],[DeductFlag]],base&amp;"_"&amp;tblBaseCF[[#This Row],[SBCode]]&amp;"_"&amp;tblBaseCF[[#This Row],[Year]],"")</f>
        <v/>
      </c>
      <c r="CO86" s="3">
        <f ca="1">IFERROR(INDEX(tblSBRate[Index],MATCH(tblBaseCF[[#This Row],[SBIndex]],tblSBRate[Rate],0)),0)</f>
        <v>0</v>
      </c>
      <c r="CP86" s="63">
        <f ca="1">IFERROR(SUM(OFFSET(tblBaseCF[[#This Row],[TAVWithdrawal]],0,0,-sb_review_period,1)),0)
*(tblBaseCF[[#This Row],[SBRate]]&gt;0)</f>
        <v>0</v>
      </c>
      <c r="CQ86" s="63">
        <f ca="1">(tblBaseCF[[#This Row],[SBRate]]&gt;0)*(tblBaseCF[[#This Row],[SBTAVWithdrawal]]=0)</f>
        <v>0</v>
      </c>
      <c r="CR86" s="59" cm="1">
        <f t="array" aca="1" ref="CR86" ca="1">IF(tblBaseCF[[#This Row],[LBFlag]],
_xlfn.SWITCH(base,
"ILP1",0,tp),0)*tblBaseCF[[#This Row],[SBFlag]]</f>
        <v>0</v>
      </c>
      <c r="CS86" s="63">
        <f ca="1">tblBaseCF[[#This Row],[SBBasis]]*tblBaseCF[[#This Row],[SBRate]]</f>
        <v>0</v>
      </c>
      <c r="CT86" s="63">
        <f ca="1">tblBaseCF[[#This Row],[LB]]+tblBaseCF[[#This Row],[SB]]</f>
        <v>0</v>
      </c>
      <c r="CU86" s="59">
        <f ca="1">tblBaseCF[[#This Row],[TAVAfterWdrlAlloc]]-tblBaseCF[[#This Row],[TAVDeduct]]+tblBaseCF[[#This Row],[TAVInt]]+tblBaseCF[[#This Row],[Bonus]]</f>
        <v>0</v>
      </c>
      <c r="CV86" s="59">
        <f ca="1">tblBaseCF[[#This Row],[EAVAfterWdrlAlloc]]-tblBaseCF[[#This Row],[EAVDeduct]]+tblBaseCF[[#This Row],[EAVInt]]</f>
        <v>0</v>
      </c>
      <c r="CW86" s="63">
        <f ca="1">tblBaseCF[[#This Row],[EndTAV]]+tblBaseCF[[#This Row],[EndEAV]]</f>
        <v>0</v>
      </c>
      <c r="CX86" s="59">
        <f ca="1">INDEX(tblPlanPrem[TP],2)
*tblBaseCF[[#This Row],[TPTermFlag]]</f>
        <v>0</v>
      </c>
      <c r="CY86" s="59">
        <f ca="1">INDEX(tblPlanPrem[EP],2)
*tblBaseCF[[#This Row],[TPTermFlag]]</f>
        <v>0</v>
      </c>
      <c r="CZ86" s="63">
        <f ca="1">ROUNDUP(tblBaseCF[[#This Row],[UnroundedEMLoad]]*INDEX(tblPlanPrem[Factor],2),-3)</f>
        <v>0</v>
      </c>
      <c r="DA86" s="63">
        <f ca="1">ROUNDUP(tblBaseCF[[#This Row],[UnroundedPMLoad]]*INDEX(tblPlanPrem[Factor],2),-3)</f>
        <v>0</v>
      </c>
      <c r="DB86" s="63">
        <f ca="1">tblBaseCF[[#This Row],[SemiAnnualEMLoad]]+tblBaseCF[[#This Row],[SemiAnnualPMLoad]]</f>
        <v>0</v>
      </c>
      <c r="DC86" s="63">
        <f ca="1">tblBaseCF[[#This Row],[SemiAnnualTP]]+tblBaseCF[[#This Row],[SemiAnnualEP]]+tblBaseCF[[#This Row],[SemiAnnualLoad]]</f>
        <v>0</v>
      </c>
      <c r="DD86" s="59">
        <f ca="1">INDEX(tblPlanPrem[TP],3)
*tblBaseCF[[#This Row],[TPTermFlag]]</f>
        <v>0</v>
      </c>
      <c r="DE86" s="59">
        <f ca="1">INDEX(tblPlanPrem[EP],3)
*tblBaseCF[[#This Row],[TPTermFlag]]</f>
        <v>0</v>
      </c>
      <c r="DF86" s="63">
        <f ca="1">ROUNDUP(tblBaseCF[[#This Row],[UnroundedEMLoad]]*INDEX(tblPlanPrem[Factor],3),-3)</f>
        <v>0</v>
      </c>
      <c r="DG86" s="63">
        <f ca="1">ROUNDUP(tblBaseCF[[#This Row],[UnroundedPMLoad]]*INDEX(tblPlanPrem[Factor],3),-3)</f>
        <v>0</v>
      </c>
      <c r="DH86" s="60">
        <f ca="1">tblBaseCF[[#This Row],[QuarterlyEMLoad]]+tblBaseCF[[#This Row],[QuarterlyPMLoad]]</f>
        <v>0</v>
      </c>
      <c r="DI86" s="60">
        <f ca="1">tblBaseCF[[#This Row],[QuarterlyTP]]+tblBaseCF[[#This Row],[QuarterlyEP]]+tblBaseCF[[#This Row],[QuarterlyLoad]]</f>
        <v>0</v>
      </c>
      <c r="DJ86" s="59">
        <f ca="1">INDEX(tblPlanPrem[TP],4)
*tblBaseCF[[#This Row],[TPTermFlag]]</f>
        <v>0</v>
      </c>
      <c r="DK86" s="59">
        <f ca="1">INDEX(tblPlanPrem[EP],4)
*tblBaseCF[[#This Row],[TPTermFlag]]</f>
        <v>0</v>
      </c>
      <c r="DL86" s="63">
        <f ca="1">ROUNDUP(tblBaseCF[[#This Row],[UnroundedEMLoad]]*INDEX(tblPlanPrem[Factor],4),-3)</f>
        <v>0</v>
      </c>
      <c r="DM86" s="63">
        <f ca="1">ROUNDUP(tblBaseCF[[#This Row],[UnroundedPMLoad]]*INDEX(tblPlanPrem[Factor],4),-3)</f>
        <v>0</v>
      </c>
      <c r="DN86" s="60">
        <f ca="1">tblBaseCF[[#This Row],[MonthlyEMLoad]]+tblBaseCF[[#This Row],[MonthlyPMLoad]]</f>
        <v>0</v>
      </c>
      <c r="DO86" s="63">
        <f ca="1">tblBaseCF[[#This Row],[MonthlyTP]]+tblBaseCF[[#This Row],[MonthlyEP]]+tblBaseCF[[#This Row],[MonthlyLoad]]</f>
        <v>0</v>
      </c>
      <c r="DP86" s="3"/>
      <c r="DS86">
        <f t="shared" si="11"/>
        <v>0</v>
      </c>
      <c r="DT86">
        <f t="shared" si="12"/>
        <v>0</v>
      </c>
      <c r="DU86">
        <f t="shared" si="13"/>
        <v>0</v>
      </c>
      <c r="DV86">
        <f ca="1">tblBaseCF[[#This Row],[Year]]</f>
        <v>66</v>
      </c>
      <c r="DW86">
        <f ca="1">tblBaseCF[[#This Row],[Age]]</f>
        <v>65</v>
      </c>
      <c r="DX86">
        <f ca="1">tblBaseCF[[#This Row],[ContFlag]]</f>
        <v>0</v>
      </c>
      <c r="DY86" t="str">
        <f ca="1">tblBaseCF[[#This Row],[ContLog]]</f>
        <v>Insufficient PAV for deduction - Discontinue.</v>
      </c>
      <c r="DZ86">
        <f ca="1">tblBaseCF[[#This Row],[StartTAV]]</f>
        <v>0</v>
      </c>
      <c r="EA86">
        <f ca="1">tblBaseCF[[#This Row],[StartEAV]]</f>
        <v>0</v>
      </c>
      <c r="EB86">
        <f ca="1">tblBaseCF[[#This Row],[StartPAV]]</f>
        <v>0</v>
      </c>
      <c r="EC86">
        <f ca="1">tblBaseCF[[#This Row],[SVChrg]]</f>
        <v>0</v>
      </c>
      <c r="ED86">
        <f ca="1">tblBaseCF[[#This Row],[SV]]</f>
        <v>0</v>
      </c>
      <c r="EE86">
        <f ca="1">tblBaseCF[[#This Row],[Ben]]</f>
        <v>0</v>
      </c>
      <c r="EF86">
        <f ca="1">tblBaseCF[[#This Row],[AccBen]]</f>
        <v>0</v>
      </c>
      <c r="EG86">
        <f ca="1">tblBaseCF[[#This Row],[WithdrawalInput]]</f>
        <v>0</v>
      </c>
      <c r="EH86" t="str">
        <f ca="1">tblBaseCF[[#This Row],[WithdrawalLog]]</f>
        <v>No withdrawal.</v>
      </c>
      <c r="EI86">
        <f ca="1">tblBaseCF[[#This Row],[TAVWithdrawal]]</f>
        <v>0</v>
      </c>
      <c r="EJ86">
        <f ca="1">tblBaseCF[[#This Row],[EAVWithdrawal]]</f>
        <v>0</v>
      </c>
      <c r="EK86">
        <f ca="1">tblBaseCF[[#This Row],[Withdrawal]]</f>
        <v>0</v>
      </c>
      <c r="EL86">
        <f ca="1">tblBaseCF[[#This Row],[TP]]</f>
        <v>0</v>
      </c>
      <c r="EM86">
        <f ca="1">tblBaseCF[[#This Row],[TPAllocChrg]]</f>
        <v>0</v>
      </c>
      <c r="EN86">
        <f ca="1">tblBaseCF[[#This Row],[TPAlloc]]</f>
        <v>0</v>
      </c>
      <c r="EO86">
        <f ca="1">tblBaseCF[[#This Row],[EP]]</f>
        <v>0</v>
      </c>
      <c r="EP86">
        <f ca="1">tblBaseCF[[#This Row],[EPAllocChrg]]</f>
        <v>0</v>
      </c>
      <c r="EQ86">
        <f ca="1">tblBaseCF[[#This Row],[EPAlloc]]</f>
        <v>0</v>
      </c>
      <c r="ER86">
        <f ca="1">tblBaseCF[[#This Row],[EMLoad]]</f>
        <v>0</v>
      </c>
      <c r="ES86">
        <f ca="1">tblBaseCF[[#This Row],[PMLoad]]</f>
        <v>0</v>
      </c>
      <c r="ET86">
        <f ca="1">tblBaseCF[[#This Row],[Load]]</f>
        <v>0</v>
      </c>
      <c r="EU86">
        <f ca="1">tblBaseCF[[#This Row],[LoadAllocChrg]]</f>
        <v>0</v>
      </c>
      <c r="EV86">
        <f ca="1">tblBaseCF[[#This Row],[LoadAlloc]]</f>
        <v>0</v>
      </c>
      <c r="EW86">
        <f ca="1">tblBaseCF[[#This Row],[TotalPrem]]</f>
        <v>0</v>
      </c>
      <c r="EX86">
        <f ca="1">tblBaseCF[[#This Row],[AllocChrg]]</f>
        <v>0</v>
      </c>
      <c r="EY86">
        <f ca="1">tblBaseCF[[#This Row],[Alloc]]</f>
        <v>0</v>
      </c>
      <c r="EZ86">
        <f ca="1">tblBaseCF[[#This Row],[AccumTotalPrem]]</f>
        <v>0</v>
      </c>
      <c r="FA86">
        <f>tblBaseCF[[#This Row],[AnnualIntRate]]</f>
        <v>0</v>
      </c>
      <c r="FB86" s="50">
        <f>tblBaseCF[[#This Row],[Duean1m12]]</f>
        <v>1</v>
      </c>
      <c r="FC86">
        <f ca="1">tblBaseCF[[#This Row],[DeductFlag]]</f>
        <v>0</v>
      </c>
      <c r="FD86">
        <f ca="1">tblBaseCF[[#This Row],[AdminChrg]]</f>
        <v>0</v>
      </c>
      <c r="FE86">
        <f ca="1">tblBaseCF[[#This Row],[StandardCOI]]</f>
        <v>0</v>
      </c>
      <c r="FF86">
        <f ca="1">tblBaseCF[[#This Row],[EMLoadCOI]]</f>
        <v>0</v>
      </c>
      <c r="FG86">
        <f ca="1">tblBaseCF[[#This Row],[PMLoadCOI]]</f>
        <v>0</v>
      </c>
      <c r="FH86">
        <f ca="1">tblBaseCF[[#This Row],[COI]]</f>
        <v>0</v>
      </c>
      <c r="FI86" s="47">
        <f ca="1">tblBaseCF[[#This Row],[NomDeduct]]</f>
        <v>0</v>
      </c>
      <c r="FJ86">
        <f ca="1">tblBaseCF[[#This Row],[Deduct]]</f>
        <v>0</v>
      </c>
      <c r="FK86">
        <f ca="1">tblBaseCF[[#This Row],[TAVDeduct]]</f>
        <v>0</v>
      </c>
      <c r="FL86">
        <f ca="1">tblBaseCF[[#This Row],[EAVDeduct]]</f>
        <v>0</v>
      </c>
      <c r="FM86" s="24">
        <f ca="1">tblBaseCF[[#This Row],[TAVInt]]</f>
        <v>0</v>
      </c>
      <c r="FN86">
        <f ca="1">tblBaseCF[[#This Row],[EAVInt]]</f>
        <v>0</v>
      </c>
      <c r="FO86" s="47">
        <f ca="1">tblBaseCF[[#This Row],[LB]]</f>
        <v>0</v>
      </c>
      <c r="FP86">
        <f ca="1">tblBaseCF[[#This Row],[SB]]</f>
        <v>0</v>
      </c>
      <c r="FQ86">
        <f ca="1">tblBaseCF[[#This Row],[Bonus]]</f>
        <v>0</v>
      </c>
      <c r="FR86">
        <f ca="1">tblBaseCF[[#This Row],[EndTAV]]</f>
        <v>0</v>
      </c>
      <c r="FS86">
        <f ca="1">tblBaseCF[[#This Row],[EndEAV]]</f>
        <v>0</v>
      </c>
      <c r="FT86">
        <f ca="1">tblBaseCF[[#This Row],[EndPAV]]</f>
        <v>0</v>
      </c>
      <c r="FU86">
        <f ca="1">tblBaseCF[[#This Row],[SemiAnnualTP]]</f>
        <v>0</v>
      </c>
      <c r="FV86">
        <f ca="1">tblBaseCF[[#This Row],[SemiAnnualEP]]</f>
        <v>0</v>
      </c>
      <c r="FW86">
        <f ca="1">tblBaseCF[[#This Row],[SemiAnnualEMLoad]]</f>
        <v>0</v>
      </c>
      <c r="FX86">
        <f ca="1">tblBaseCF[[#This Row],[SemiAnnualPMLoad]]</f>
        <v>0</v>
      </c>
      <c r="FY86">
        <f ca="1">tblBaseCF[[#This Row],[SemiAnnualLoad]]</f>
        <v>0</v>
      </c>
      <c r="FZ86">
        <f ca="1">tblBaseCF[[#This Row],[SemiAnnualTotalPrem]]</f>
        <v>0</v>
      </c>
      <c r="GA86">
        <f ca="1">tblBaseCF[[#This Row],[QuarterlyTP]]</f>
        <v>0</v>
      </c>
      <c r="GB86">
        <f ca="1">tblBaseCF[[#This Row],[QuarterlyEP]]</f>
        <v>0</v>
      </c>
      <c r="GC86">
        <f ca="1">tblBaseCF[[#This Row],[QuarterlyEMLoad]]</f>
        <v>0</v>
      </c>
      <c r="GD86">
        <f ca="1">tblBaseCF[[#This Row],[QuarterlyPMLoad]]</f>
        <v>0</v>
      </c>
      <c r="GE86">
        <f ca="1">tblBaseCF[[#This Row],[QuarterlyLoad]]</f>
        <v>0</v>
      </c>
      <c r="GF86">
        <f ca="1">tblBaseCF[[#This Row],[QuarterlyTotalPrem]]</f>
        <v>0</v>
      </c>
      <c r="GG86">
        <f ca="1">tblBaseCF[[#This Row],[MonthlyTP]]</f>
        <v>0</v>
      </c>
      <c r="GH86">
        <f ca="1">tblBaseCF[[#This Row],[MonthlyEP]]</f>
        <v>0</v>
      </c>
      <c r="GI86">
        <f ca="1">tblBaseCF[[#This Row],[MonthlyEMLoad]]</f>
        <v>0</v>
      </c>
      <c r="GJ86">
        <f ca="1">tblBaseCF[[#This Row],[MonthlyPMLoad]]</f>
        <v>0</v>
      </c>
      <c r="GK86">
        <f ca="1">tblBaseCF[[#This Row],[MonthlyLoad]]</f>
        <v>0</v>
      </c>
      <c r="GL86">
        <f ca="1">tblBaseCF[[#This Row],[MonthlyTotalPrem]]</f>
        <v>0</v>
      </c>
      <c r="GO86" t="s">
        <v>134</v>
      </c>
      <c r="GP86" t="s">
        <v>135</v>
      </c>
      <c r="GQ86" t="s">
        <v>502</v>
      </c>
      <c r="GR86">
        <v>66</v>
      </c>
      <c r="GS86">
        <v>65</v>
      </c>
      <c r="GT86">
        <v>1</v>
      </c>
      <c r="GU86" t="s">
        <v>457</v>
      </c>
      <c r="GV86">
        <v>387573571.385849</v>
      </c>
      <c r="GW86">
        <v>3373542194.2234001</v>
      </c>
      <c r="GX86">
        <v>3761115765.6092501</v>
      </c>
      <c r="GY86">
        <v>0</v>
      </c>
      <c r="GZ86">
        <v>3761115765.6092501</v>
      </c>
      <c r="HA86">
        <v>3761115765.6092501</v>
      </c>
      <c r="HB86">
        <v>303000000</v>
      </c>
      <c r="HC86">
        <v>0</v>
      </c>
      <c r="HD86" t="s">
        <v>137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7.0000000000000007E-2</v>
      </c>
      <c r="HX86">
        <v>0.96964931039809399</v>
      </c>
      <c r="HY86">
        <v>1</v>
      </c>
      <c r="HZ86">
        <v>300000</v>
      </c>
      <c r="IA86">
        <v>0</v>
      </c>
      <c r="IB86">
        <v>0</v>
      </c>
      <c r="IC86">
        <v>0</v>
      </c>
      <c r="ID86">
        <v>272700</v>
      </c>
      <c r="IE86">
        <v>572700</v>
      </c>
      <c r="IF86">
        <v>555318.16006498795</v>
      </c>
      <c r="IG86">
        <v>555318.16006498795</v>
      </c>
      <c r="IH86">
        <v>0</v>
      </c>
      <c r="II86">
        <v>27091277.725804899</v>
      </c>
      <c r="IJ86">
        <v>236147953.59563801</v>
      </c>
      <c r="IK86">
        <v>0</v>
      </c>
      <c r="IL86">
        <v>0</v>
      </c>
      <c r="IM86">
        <v>0</v>
      </c>
      <c r="IN86">
        <v>414109530.95158899</v>
      </c>
      <c r="IO86">
        <v>3609690147.8190398</v>
      </c>
      <c r="IP86">
        <v>4023799678.7706299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</row>
    <row r="87" spans="2:268" customFormat="1" x14ac:dyDescent="0.25">
      <c r="B87" s="2">
        <f ca="1">OFFSET(tblBaseCF[[#This Row],[Year]],-1,0)+1</f>
        <v>67</v>
      </c>
      <c r="C87" s="2">
        <f ca="1">(tblBaseCF[[#This Row],[Year]]&lt;=term)*1</f>
        <v>1</v>
      </c>
      <c r="D87" s="57">
        <f ca="1">(YEAR(rcd)+tblBaseCF[[#This Row],[Year]]-1)
*tblBaseCF[[#This Row],[PolTermFlag]]</f>
        <v>2091</v>
      </c>
      <c r="E87" s="57">
        <f ca="1">(mainLI_entry_age+tblBaseCF[[#This Row],[Year]]-1)
*tblBaseCF[[#This Row],[PolTermFlag]]</f>
        <v>66</v>
      </c>
      <c r="F87" s="57">
        <f ca="1">IF(tblBaseCF[[#This Row],[Year]]=1,1,OFFSET(tblBaseCF[[#This Row],[DeductFlag]],-1,0))
*tblBaseCF[[#This Row],[PolTermFlag]]</f>
        <v>0</v>
      </c>
      <c r="G8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7" s="57">
        <f ca="1">(tblBaseCF[[#This Row],[Year]]&lt;=acc_ben_term)
*tblBaseCF[[#This Row],[ContFlag]]</f>
        <v>0</v>
      </c>
      <c r="I87" s="57">
        <f ca="1">(tblBaseCF[[#This Row],[Year]]&lt;=tp_term)
*tblBaseCF[[#This Row],[ContFlag]]</f>
        <v>0</v>
      </c>
      <c r="J87" s="57">
        <f ca="1">(tblBaseCF[[#This Row],[Year]]&lt;=ep_term)
*tblBaseCF[[#This Row],[ContFlag]]</f>
        <v>0</v>
      </c>
      <c r="K87" s="57">
        <f ca="1">(tblBaseCF[[#This Row],[Year]]&lt;=em_load_term)*1</f>
        <v>0</v>
      </c>
      <c r="L87" s="57">
        <f ca="1">(tblBaseCF[[#This Row],[Year]]&lt;=pm_load_term)*1</f>
        <v>0</v>
      </c>
      <c r="M87" s="59">
        <f ca="1">IF(tblBaseCF[[#This Row],[Year]]=1,si,OFFSET(tblBaseCF[[#This Row],[EndSI]],-1,0))
*tblBaseCF[[#This Row],[ContFlag]]</f>
        <v>0</v>
      </c>
      <c r="N87" s="59">
        <f ca="1">OFFSET(tblBaseCF[[#This Row],[EndTAV]],-1,0)
*tblBaseCF[[#This Row],[ContFlag]]</f>
        <v>0</v>
      </c>
      <c r="O87" s="59">
        <f ca="1">OFFSET(tblBaseCF[[#This Row],[EndEAV]],-1,0)
*tblBaseCF[[#This Row],[ContFlag]]</f>
        <v>0</v>
      </c>
      <c r="P87" s="60">
        <f ca="1">tblBaseCF[[#This Row],[StartEAV]]+tblBaseCF[[#This Row],[StartTAV]]</f>
        <v>0</v>
      </c>
      <c r="Q87" s="61">
        <f ca="1">IFERROR(INDEX(tblJuvenileLienRate[Rate],MATCH(tblBaseCF[[#This Row],[Age]],tblJuvenileLienRate[Age],0)),1)
*tblBaseCF[[#This Row],[ContFlag]]</f>
        <v>0</v>
      </c>
      <c r="R8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7" s="62">
        <f ca="1">tblBaseCF[[#This Row],[StartSI]]*acc_ben_coeff*tblBaseCF[[#This Row],[JuvenileLienRate]]
*tblBaseCF[[#This Row],[AccBenTermFlag]]</f>
        <v>0</v>
      </c>
      <c r="T87" s="61">
        <f ca="1">(IFERROR(INDEX(tblSurrChrgRate[Rate],MATCH(tblBaseCF[[#This Row],[Year]],tblSurrChrgRate[Year],0)),0)
*tblBaseCF[[#This Row],[ContFlag]])</f>
        <v>0</v>
      </c>
      <c r="U87" s="60">
        <f ca="1">tp*tblBaseCF[[#This Row],[SrrChrgRate]]</f>
        <v>0</v>
      </c>
      <c r="V87" s="63">
        <f ca="1">MAX(tblBaseCF[[#This Row],[StartTAV]]-tblBaseCF[[#This Row],[SVChrg]],0)+tblBaseCF[[#This Row],[StartEAV]]</f>
        <v>0</v>
      </c>
      <c r="W87" s="59">
        <f ca="1">IFERROR(INDEX(tblWithdrawal_Output[Amount],MATCH(tblBaseCF[[#This Row],[Year]],tblWithdrawal_Output[Year],0)),0)
*tblBaseCF[[#This Row],[ContFlag]]</f>
        <v>0</v>
      </c>
      <c r="X87" s="59" t="b">
        <f ca="1">tblBaseCF[[#This Row],[WithdrawalInput]]&gt;0</f>
        <v>0</v>
      </c>
      <c r="Y87" s="59" t="b">
        <f ca="1">AND(tblBaseCF[[#This Row],[1stCheckProceed]],tblBaseCF[[#This Row],[WithdrawalInput]]&lt;=tblBaseCF[[#This Row],[StartPAV]])</f>
        <v>0</v>
      </c>
      <c r="Z87" s="59" t="b">
        <f ca="1">AND(tblBaseCF[[#This Row],[2ndCheckAmount]],(tblBaseCF[[#This Row],[StartPAV]]-tblBaseCF[[#This Row],[WithdrawalInput]])&gt;=min_pav_after_withdrawal)</f>
        <v>0</v>
      </c>
      <c r="AA8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7" s="59" t="b">
        <f ca="1">AND(tblBaseCF[[#This Row],[3rdCheckPAV]],tblBaseCF[[#This Row],[endSITest]]&gt;=min_base_si)</f>
        <v>0</v>
      </c>
      <c r="AC87" s="60">
        <f ca="1">tblBaseCF[[#This Row],[WithdrawalInput]]*tblBaseCF[[#This Row],[4thCheckSI]]</f>
        <v>0</v>
      </c>
      <c r="AD87" s="60">
        <f ca="1">MIN(tblBaseCF[[#This Row],[Withdrawal]],tblBaseCF[[#This Row],[StartEAV]])</f>
        <v>0</v>
      </c>
      <c r="AE87" s="60">
        <f ca="1">tblBaseCF[[#This Row],[Withdrawal]]-tblBaseCF[[#This Row],[EAVWithdrawal]]</f>
        <v>0</v>
      </c>
      <c r="AF87" s="60">
        <f ca="1">IF(tblBaseCF[[#This Row],[4thCheckSI]],tblBaseCF[[#This Row],[endSITest]],tblBaseCF[[#This Row],[StartSI]])</f>
        <v>0</v>
      </c>
      <c r="AG8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7" s="65">
        <f ca="1">IFERROR(INDEX(tblTPAllocChrgRate[Rate],MATCH(tblBaseCF[[#This Row],[Year]],tblTPAllocChrgRate[Year],0)),0)</f>
        <v>0.02</v>
      </c>
      <c r="AI87" s="62">
        <f ca="1">(tp+big_case_bonus_tp*(tblBaseCF[[#This Row],[Year]]=1))
*tblBaseCF[[#This Row],[TPTermFlag]]</f>
        <v>0</v>
      </c>
      <c r="AJ87" s="63">
        <f ca="1">tblBaseCF[[#This Row],[TP]]*tblBaseCF[[#This Row],[TPAllocChrgRate]]</f>
        <v>0</v>
      </c>
      <c r="AK87" s="60">
        <f ca="1">tblBaseCF[[#This Row],[TP]]-tblBaseCF[[#This Row],[TPAllocChrg]]</f>
        <v>0</v>
      </c>
      <c r="AL87" s="65">
        <f ca="1">IFERROR(INDEX(tblEPAllocChrgRate[Rate],MATCH(tblBaseCF[[#This Row],[Year]],tblEPAllocChrgRate[Year],0)),0)</f>
        <v>0.02</v>
      </c>
      <c r="AM87" s="60">
        <f ca="1">ep*tblBaseCF[[#This Row],[EPTermFlag]]</f>
        <v>0</v>
      </c>
      <c r="AN87" s="60">
        <f ca="1">tblBaseCF[[#This Row],[EP]]*tblBaseCF[[#This Row],[EPAllocChrgRate]]</f>
        <v>0</v>
      </c>
      <c r="AO87" s="63">
        <f ca="1">tblBaseCF[[#This Row],[EP]]-tblBaseCF[[#This Row],[EPAllocChrg]]</f>
        <v>0</v>
      </c>
      <c r="AP87" s="62">
        <f ca="1">tblBaseCF[[#This Row],[Ben]]*extra_prem_rate*em_load/1000/(1-tblBaseCF[[#This Row],[EPAllocChrgRate]])
*tblBaseCF[[#This Row],[EMLoadTermFlag]]</f>
        <v>0</v>
      </c>
      <c r="AQ87" s="62">
        <f ca="1">tblBaseCF[[#This Row],[Ben]]*pm_load/1000/(1-tblBaseCF[[#This Row],[EPAllocChrgRate]])
*tblBaseCF[[#This Row],[PMLoadTermFlag]]</f>
        <v>0</v>
      </c>
      <c r="AR87" s="60">
        <f ca="1">ROUNDUP(tblBaseCF[[#This Row],[UnroundedEMLoad]],-3)</f>
        <v>0</v>
      </c>
      <c r="AS87" s="62">
        <f ca="1">ROUNDUP(tblBaseCF[[#This Row],[Ben]]*pm_load/1000/(1-tblBaseCF[[#This Row],[EPAllocChrgRate]]),-3)
*tblBaseCF[[#This Row],[PMLoadTermFlag]]</f>
        <v>0</v>
      </c>
      <c r="AT87" s="60">
        <f ca="1">tblBaseCF[[#This Row],[EMLoad]]+tblBaseCF[[#This Row],[PMLoad]]</f>
        <v>0</v>
      </c>
      <c r="AU87" s="60">
        <f ca="1">tblBaseCF[[#This Row],[Load]]*tblBaseCF[[#This Row],[EPAllocChrgRate]]</f>
        <v>0</v>
      </c>
      <c r="AV87" s="60">
        <f ca="1">tblBaseCF[[#This Row],[Load]]-tblBaseCF[[#This Row],[LoadAllocChrg]]</f>
        <v>0</v>
      </c>
      <c r="AW87" s="60">
        <f ca="1">tblBaseCF[[#This Row],[TP]]+tblBaseCF[[#This Row],[EP]]+tblBaseCF[[#This Row],[Load]]</f>
        <v>0</v>
      </c>
      <c r="AX87" s="60">
        <f ca="1">tblBaseCF[[#This Row],[TPAllocChrg]]+tblBaseCF[[#This Row],[EPAllocChrg]]+tblBaseCF[[#This Row],[LoadAllocChrg]]</f>
        <v>0</v>
      </c>
      <c r="AY87" s="60">
        <f ca="1">tblBaseCF[[#This Row],[TPAlloc]]+tblBaseCF[[#This Row],[EPAlloc]]+tblBaseCF[[#This Row],[LoadAlloc]]</f>
        <v>0</v>
      </c>
      <c r="AZ87" s="60">
        <f ca="1">(OFFSET(tblBaseCF[[#This Row],[AccumTotalPrem]],-1,0)+tblBaseCF[[#This Row],[TotalPrem]])*tblBaseCF[[#This Row],[TPTermFlag]]</f>
        <v>0</v>
      </c>
      <c r="BA87" s="62">
        <f ca="1">(tblBaseCF[[#This Row],[StartTAV]]-tblBaseCF[[#This Row],[TAVWithdrawal]]+tblBaseCF[[#This Row],[TPAlloc]])
*tblBaseCF[[#This Row],[ContFlag]]</f>
        <v>0</v>
      </c>
      <c r="BB87" s="59">
        <f ca="1">(tblBaseCF[[#This Row],[StartEAV]]-tblBaseCF[[#This Row],[EAVWithdrawal]]+tblBaseCF[[#This Row],[EPAlloc]]+tblBaseCF[[#This Row],[LoadAlloc]])
*tblBaseCF[[#This Row],[ContFlag]]</f>
        <v>0</v>
      </c>
      <c r="BC87" s="59">
        <f ca="1">tblBaseCF[[#This Row],[TAVAfterWdrlAlloc]]+tblBaseCF[[#This Row],[EAVAfterWdrlAlloc]]</f>
        <v>0</v>
      </c>
      <c r="BD87" s="66">
        <f t="shared" si="10"/>
        <v>0</v>
      </c>
      <c r="BE87" s="67">
        <f>(1+tblBaseCF[[#This Row],[AnnualIntRate]])^(1/12)-1</f>
        <v>0</v>
      </c>
      <c r="BF87" s="68">
        <f>IFERROR(((1+tblBaseCF[[#This Row],[MonthlyIntRate]])^12-1)/12/(1-1/(1+tblBaseCF[[#This Row],[MonthlyIntRate]])),1)/(1+tblBaseCF[[#This Row],[AnnualIntRate]])</f>
        <v>1</v>
      </c>
      <c r="BG87" s="69">
        <f>PV(tblBaseCF[[#This Row],[MonthlyIntRate]],12,-1/12,,1)</f>
        <v>1</v>
      </c>
      <c r="BH87" s="60">
        <f ca="1">MAX(IF(death_tpd_option="A",tblBaseCF[[#This Row],[Ben]]-tblBaseCF[[#This Row],[StartPAV]],tblBaseCF[[#This Row],[Ben]]),0)</f>
        <v>0</v>
      </c>
      <c r="BI87" s="70">
        <f ca="1">IFERROR(INDEX(tblBaseCOIRate[Rate],MATCH(tblBaseCF[[#This Row],[Age]],tblBaseCOIRate[Age],0)),0)</f>
        <v>1.6709999999999999E-2</v>
      </c>
      <c r="BJ87" s="60">
        <f ca="1">tblBaseCF[[#This Row],[SAR]]*tblBaseCF[[#This Row],[COIRate]]</f>
        <v>0</v>
      </c>
      <c r="BK87" s="62">
        <f ca="1">em_load*tblBaseCF[[#This Row],[pStandardCOI]]
*tblBaseCF[[#This Row],[EMLoadTermFlag]]</f>
        <v>0</v>
      </c>
      <c r="BL87" s="62">
        <f ca="1">pm_load/1000*tblBaseCF[[#This Row],[SAR]]
*tblBaseCF[[#This Row],[PMLoadTermFlag]]</f>
        <v>0</v>
      </c>
      <c r="BM87" s="60">
        <f ca="1">tblBaseCF[[#This Row],[AccBen]]*monthly_acc_coi*12</f>
        <v>0</v>
      </c>
      <c r="BN87" s="60">
        <f ca="1">tblBaseCF[[#This Row],[pStandardCOI]]+tblBaseCF[[#This Row],[pEMLoadCOI]]+tblBaseCF[[#This Row],[pPMLoadCOI]]+tblBaseCF[[#This Row],[pAccCOI]]</f>
        <v>0</v>
      </c>
      <c r="BO87" s="62">
        <f ca="1">IFERROR(INDEX(tblAdminChrg[Amount],MATCH(tblBaseCF[[#This Row],[CalYear]],tblAdminChrg[Cal_Year],0)),0)
*tblBaseCF[[#This Row],[ContFlag]]</f>
        <v>0</v>
      </c>
      <c r="BP87" s="60">
        <f ca="1">tblBaseCF[[#This Row],[pMonthlyAdminChrg]]*12</f>
        <v>0</v>
      </c>
      <c r="BQ87" s="60">
        <f ca="1">tblBaseCF[[#This Row],[pCOI]]+tblBaseCF[[#This Row],[pAdminChrg]]</f>
        <v>0</v>
      </c>
      <c r="BR87" s="60">
        <f ca="1">tblBaseCF[[#This Row],[pNomDeduct]]*tblBaseCF[[#This Row],[Duean1m12]]</f>
        <v>0</v>
      </c>
      <c r="BS87" s="57">
        <f ca="1">(tblBaseCF[[#This Row],[PAVAfterWdrlAlloc]]&gt;=tblBaseCF[[#This Row],[pNomDeduct]])
*tblBaseCF[[#This Row],[ContFlag]]</f>
        <v>0</v>
      </c>
      <c r="BT87" s="60">
        <f ca="1">tblBaseCF[[#This Row],[pStandardCOI]]*tblBaseCF[[#This Row],[DeductFlag]]</f>
        <v>0</v>
      </c>
      <c r="BU87" s="60">
        <f ca="1">tblBaseCF[[#This Row],[pEMLoadCOI]]*tblBaseCF[[#This Row],[DeductFlag]]</f>
        <v>0</v>
      </c>
      <c r="BV87" s="60">
        <f ca="1">tblBaseCF[[#This Row],[pPMLoadCOI]]*tblBaseCF[[#This Row],[DeductFlag]]</f>
        <v>0</v>
      </c>
      <c r="BW87" s="60">
        <f ca="1">tblBaseCF[[#This Row],[pAccCOI]]*tblBaseCF[[#This Row],[DeductFlag]]</f>
        <v>0</v>
      </c>
      <c r="BX87" s="60">
        <f ca="1">tblBaseCF[[#This Row],[pCOI]]*tblBaseCF[[#This Row],[DeductFlag]]</f>
        <v>0</v>
      </c>
      <c r="BY87" s="60">
        <f ca="1">tblBaseCF[[#This Row],[pMonthlyAdminChrg]]*tblBaseCF[[#This Row],[DeductFlag]]</f>
        <v>0</v>
      </c>
      <c r="BZ87" s="60">
        <f ca="1">tblBaseCF[[#This Row],[pAdminChrg]]*tblBaseCF[[#This Row],[DeductFlag]]</f>
        <v>0</v>
      </c>
      <c r="CA87" s="60">
        <f ca="1">tblBaseCF[[#This Row],[pNomDeduct]]*tblBaseCF[[#This Row],[DeductFlag]]</f>
        <v>0</v>
      </c>
      <c r="CB87" s="60">
        <f ca="1">tblBaseCF[[#This Row],[pDeduct]]*tblBaseCF[[#This Row],[DeductFlag]]</f>
        <v>0</v>
      </c>
      <c r="CC87" s="60">
        <f ca="1">MIN(tblBaseCF[[#This Row],[TAVAfterWdrlAlloc]],tblBaseCF[[#This Row],[Deduct]])</f>
        <v>0</v>
      </c>
      <c r="CD87" s="60">
        <f ca="1">tblBaseCF[[#This Row],[Deduct]]-tblBaseCF[[#This Row],[TAVDeduct]]</f>
        <v>0</v>
      </c>
      <c r="CE87" s="69">
        <f ca="1">(tblBaseCF[[#This Row],[TAVAfterWdrlAlloc]]-tblBaseCF[[#This Row],[TAVDeduct]])*tblBaseCF[[#This Row],[AnnualIntRate]]
*tblBaseCF[[#This Row],[DeductFlag]]</f>
        <v>0</v>
      </c>
      <c r="CF87" s="69">
        <f ca="1">(tblBaseCF[[#This Row],[EAVAfterWdrlAlloc]]-tblBaseCF[[#This Row],[EAVDeduct]])*tblBaseCF[[#This Row],[AnnualIntRate]]
*tblBaseCF[[#This Row],[DeductFlag]]</f>
        <v>0</v>
      </c>
      <c r="CG87" s="69">
        <f ca="1">tblBaseCF[[#This Row],[TAVInt]]+tblBaseCF[[#This Row],[EAVInt]]</f>
        <v>0</v>
      </c>
      <c r="CH87" s="62">
        <f ca="1">IFERROR(INDEX(tblLBRate[Rate],MATCH(tblBaseCF[[#This Row],[Year]],tblLBRate[Year],0)),0)
*tblBaseCF[[#This Row],[DeductFlag]]</f>
        <v>0</v>
      </c>
      <c r="CI87" s="60">
        <f ca="1">IFERROR(SUM(OFFSET(tblBaseCF[[#This Row],[TAVWithdrawal]],0,0,-lb_review_period,1)),0)
*(tblBaseCF[[#This Row],[LBRate]]&gt;0)</f>
        <v>0</v>
      </c>
      <c r="CJ87" s="60">
        <f ca="1">(tblBaseCF[[#This Row],[LBRate]]&gt;0)*(tblBaseCF[[#This Row],[LBTAVWithdrawal]]=0)</f>
        <v>0</v>
      </c>
      <c r="CK87" s="62" cm="1">
        <f t="array" aca="1" ref="CK87" ca="1">IF(tblBaseCF[[#This Row],[LBFlag]],
_xlfn.SWITCH(base,
"ILP1",AVERAGE(OFFSET(tblBaseCF[TP],0,0,-lb_review_period,1)),tp),0)
*tblBaseCF[[#This Row],[LBFlag]]</f>
        <v>0</v>
      </c>
      <c r="CL87" s="62">
        <f ca="1">tblBaseCF[[#This Row],[LBBasis]]*tblBaseCF[[#This Row],[LBRate]]</f>
        <v>0</v>
      </c>
      <c r="CM87" s="57" cm="1">
        <f t="array" aca="1" ref="CM87" ca="1">_xlfn.SWITCH(base,
"ILP1",0,($AF187&lt;500000000)*1
+($AF187&gt;=500000000)*($AF187&lt;1000000000)*2
+($AF187&gt;=1000000000)*3)
*tblBaseCF[[#This Row],[DeductFlag]]</f>
        <v>0</v>
      </c>
      <c r="CN87" s="2" t="str">
        <f ca="1">IF(tblBaseCF[[#This Row],[DeductFlag]],base&amp;"_"&amp;tblBaseCF[[#This Row],[SBCode]]&amp;"_"&amp;tblBaseCF[[#This Row],[Year]],"")</f>
        <v/>
      </c>
      <c r="CO87" s="3">
        <f ca="1">IFERROR(INDEX(tblSBRate[Index],MATCH(tblBaseCF[[#This Row],[SBIndex]],tblSBRate[Rate],0)),0)</f>
        <v>0</v>
      </c>
      <c r="CP87" s="63">
        <f ca="1">IFERROR(SUM(OFFSET(tblBaseCF[[#This Row],[TAVWithdrawal]],0,0,-sb_review_period,1)),0)
*(tblBaseCF[[#This Row],[SBRate]]&gt;0)</f>
        <v>0</v>
      </c>
      <c r="CQ87" s="63">
        <f ca="1">(tblBaseCF[[#This Row],[SBRate]]&gt;0)*(tblBaseCF[[#This Row],[SBTAVWithdrawal]]=0)</f>
        <v>0</v>
      </c>
      <c r="CR87" s="59" cm="1">
        <f t="array" aca="1" ref="CR87" ca="1">IF(tblBaseCF[[#This Row],[LBFlag]],
_xlfn.SWITCH(base,
"ILP1",0,tp),0)*tblBaseCF[[#This Row],[SBFlag]]</f>
        <v>0</v>
      </c>
      <c r="CS87" s="63">
        <f ca="1">tblBaseCF[[#This Row],[SBBasis]]*tblBaseCF[[#This Row],[SBRate]]</f>
        <v>0</v>
      </c>
      <c r="CT87" s="63">
        <f ca="1">tblBaseCF[[#This Row],[LB]]+tblBaseCF[[#This Row],[SB]]</f>
        <v>0</v>
      </c>
      <c r="CU87" s="59">
        <f ca="1">tblBaseCF[[#This Row],[TAVAfterWdrlAlloc]]-tblBaseCF[[#This Row],[TAVDeduct]]+tblBaseCF[[#This Row],[TAVInt]]+tblBaseCF[[#This Row],[Bonus]]</f>
        <v>0</v>
      </c>
      <c r="CV87" s="59">
        <f ca="1">tblBaseCF[[#This Row],[EAVAfterWdrlAlloc]]-tblBaseCF[[#This Row],[EAVDeduct]]+tblBaseCF[[#This Row],[EAVInt]]</f>
        <v>0</v>
      </c>
      <c r="CW87" s="63">
        <f ca="1">tblBaseCF[[#This Row],[EndTAV]]+tblBaseCF[[#This Row],[EndEAV]]</f>
        <v>0</v>
      </c>
      <c r="CX87" s="59">
        <f ca="1">INDEX(tblPlanPrem[TP],2)
*tblBaseCF[[#This Row],[TPTermFlag]]</f>
        <v>0</v>
      </c>
      <c r="CY87" s="59">
        <f ca="1">INDEX(tblPlanPrem[EP],2)
*tblBaseCF[[#This Row],[TPTermFlag]]</f>
        <v>0</v>
      </c>
      <c r="CZ87" s="63">
        <f ca="1">ROUNDUP(tblBaseCF[[#This Row],[UnroundedEMLoad]]*INDEX(tblPlanPrem[Factor],2),-3)</f>
        <v>0</v>
      </c>
      <c r="DA87" s="63">
        <f ca="1">ROUNDUP(tblBaseCF[[#This Row],[UnroundedPMLoad]]*INDEX(tblPlanPrem[Factor],2),-3)</f>
        <v>0</v>
      </c>
      <c r="DB87" s="63">
        <f ca="1">tblBaseCF[[#This Row],[SemiAnnualEMLoad]]+tblBaseCF[[#This Row],[SemiAnnualPMLoad]]</f>
        <v>0</v>
      </c>
      <c r="DC87" s="63">
        <f ca="1">tblBaseCF[[#This Row],[SemiAnnualTP]]+tblBaseCF[[#This Row],[SemiAnnualEP]]+tblBaseCF[[#This Row],[SemiAnnualLoad]]</f>
        <v>0</v>
      </c>
      <c r="DD87" s="59">
        <f ca="1">INDEX(tblPlanPrem[TP],3)
*tblBaseCF[[#This Row],[TPTermFlag]]</f>
        <v>0</v>
      </c>
      <c r="DE87" s="59">
        <f ca="1">INDEX(tblPlanPrem[EP],3)
*tblBaseCF[[#This Row],[TPTermFlag]]</f>
        <v>0</v>
      </c>
      <c r="DF87" s="63">
        <f ca="1">ROUNDUP(tblBaseCF[[#This Row],[UnroundedEMLoad]]*INDEX(tblPlanPrem[Factor],3),-3)</f>
        <v>0</v>
      </c>
      <c r="DG87" s="63">
        <f ca="1">ROUNDUP(tblBaseCF[[#This Row],[UnroundedPMLoad]]*INDEX(tblPlanPrem[Factor],3),-3)</f>
        <v>0</v>
      </c>
      <c r="DH87" s="60">
        <f ca="1">tblBaseCF[[#This Row],[QuarterlyEMLoad]]+tblBaseCF[[#This Row],[QuarterlyPMLoad]]</f>
        <v>0</v>
      </c>
      <c r="DI87" s="60">
        <f ca="1">tblBaseCF[[#This Row],[QuarterlyTP]]+tblBaseCF[[#This Row],[QuarterlyEP]]+tblBaseCF[[#This Row],[QuarterlyLoad]]</f>
        <v>0</v>
      </c>
      <c r="DJ87" s="59">
        <f ca="1">INDEX(tblPlanPrem[TP],4)
*tblBaseCF[[#This Row],[TPTermFlag]]</f>
        <v>0</v>
      </c>
      <c r="DK87" s="59">
        <f ca="1">INDEX(tblPlanPrem[EP],4)
*tblBaseCF[[#This Row],[TPTermFlag]]</f>
        <v>0</v>
      </c>
      <c r="DL87" s="63">
        <f ca="1">ROUNDUP(tblBaseCF[[#This Row],[UnroundedEMLoad]]*INDEX(tblPlanPrem[Factor],4),-3)</f>
        <v>0</v>
      </c>
      <c r="DM87" s="63">
        <f ca="1">ROUNDUP(tblBaseCF[[#This Row],[UnroundedPMLoad]]*INDEX(tblPlanPrem[Factor],4),-3)</f>
        <v>0</v>
      </c>
      <c r="DN87" s="60">
        <f ca="1">tblBaseCF[[#This Row],[MonthlyEMLoad]]+tblBaseCF[[#This Row],[MonthlyPMLoad]]</f>
        <v>0</v>
      </c>
      <c r="DO87" s="63">
        <f ca="1">tblBaseCF[[#This Row],[MonthlyTP]]+tblBaseCF[[#This Row],[MonthlyEP]]+tblBaseCF[[#This Row],[MonthlyLoad]]</f>
        <v>0</v>
      </c>
      <c r="DP87" s="3"/>
      <c r="DS87">
        <f t="shared" si="11"/>
        <v>0</v>
      </c>
      <c r="DT87">
        <f t="shared" si="12"/>
        <v>0</v>
      </c>
      <c r="DU87">
        <f t="shared" si="13"/>
        <v>0</v>
      </c>
      <c r="DV87">
        <f ca="1">tblBaseCF[[#This Row],[Year]]</f>
        <v>67</v>
      </c>
      <c r="DW87">
        <f ca="1">tblBaseCF[[#This Row],[Age]]</f>
        <v>66</v>
      </c>
      <c r="DX87">
        <f ca="1">tblBaseCF[[#This Row],[ContFlag]]</f>
        <v>0</v>
      </c>
      <c r="DY87" t="str">
        <f ca="1">tblBaseCF[[#This Row],[ContLog]]</f>
        <v>Insufficient PAV for deduction - Discontinue.</v>
      </c>
      <c r="DZ87">
        <f ca="1">tblBaseCF[[#This Row],[StartTAV]]</f>
        <v>0</v>
      </c>
      <c r="EA87">
        <f ca="1">tblBaseCF[[#This Row],[StartEAV]]</f>
        <v>0</v>
      </c>
      <c r="EB87">
        <f ca="1">tblBaseCF[[#This Row],[StartPAV]]</f>
        <v>0</v>
      </c>
      <c r="EC87">
        <f ca="1">tblBaseCF[[#This Row],[SVChrg]]</f>
        <v>0</v>
      </c>
      <c r="ED87">
        <f ca="1">tblBaseCF[[#This Row],[SV]]</f>
        <v>0</v>
      </c>
      <c r="EE87">
        <f ca="1">tblBaseCF[[#This Row],[Ben]]</f>
        <v>0</v>
      </c>
      <c r="EF87">
        <f ca="1">tblBaseCF[[#This Row],[AccBen]]</f>
        <v>0</v>
      </c>
      <c r="EG87">
        <f ca="1">tblBaseCF[[#This Row],[WithdrawalInput]]</f>
        <v>0</v>
      </c>
      <c r="EH87" t="str">
        <f ca="1">tblBaseCF[[#This Row],[WithdrawalLog]]</f>
        <v>No withdrawal.</v>
      </c>
      <c r="EI87">
        <f ca="1">tblBaseCF[[#This Row],[TAVWithdrawal]]</f>
        <v>0</v>
      </c>
      <c r="EJ87">
        <f ca="1">tblBaseCF[[#This Row],[EAVWithdrawal]]</f>
        <v>0</v>
      </c>
      <c r="EK87">
        <f ca="1">tblBaseCF[[#This Row],[Withdrawal]]</f>
        <v>0</v>
      </c>
      <c r="EL87">
        <f ca="1">tblBaseCF[[#This Row],[TP]]</f>
        <v>0</v>
      </c>
      <c r="EM87">
        <f ca="1">tblBaseCF[[#This Row],[TPAllocChrg]]</f>
        <v>0</v>
      </c>
      <c r="EN87">
        <f ca="1">tblBaseCF[[#This Row],[TPAlloc]]</f>
        <v>0</v>
      </c>
      <c r="EO87">
        <f ca="1">tblBaseCF[[#This Row],[EP]]</f>
        <v>0</v>
      </c>
      <c r="EP87">
        <f ca="1">tblBaseCF[[#This Row],[EPAllocChrg]]</f>
        <v>0</v>
      </c>
      <c r="EQ87">
        <f ca="1">tblBaseCF[[#This Row],[EPAlloc]]</f>
        <v>0</v>
      </c>
      <c r="ER87">
        <f ca="1">tblBaseCF[[#This Row],[EMLoad]]</f>
        <v>0</v>
      </c>
      <c r="ES87">
        <f ca="1">tblBaseCF[[#This Row],[PMLoad]]</f>
        <v>0</v>
      </c>
      <c r="ET87">
        <f ca="1">tblBaseCF[[#This Row],[Load]]</f>
        <v>0</v>
      </c>
      <c r="EU87">
        <f ca="1">tblBaseCF[[#This Row],[LoadAllocChrg]]</f>
        <v>0</v>
      </c>
      <c r="EV87">
        <f ca="1">tblBaseCF[[#This Row],[LoadAlloc]]</f>
        <v>0</v>
      </c>
      <c r="EW87">
        <f ca="1">tblBaseCF[[#This Row],[TotalPrem]]</f>
        <v>0</v>
      </c>
      <c r="EX87">
        <f ca="1">tblBaseCF[[#This Row],[AllocChrg]]</f>
        <v>0</v>
      </c>
      <c r="EY87">
        <f ca="1">tblBaseCF[[#This Row],[Alloc]]</f>
        <v>0</v>
      </c>
      <c r="EZ87">
        <f ca="1">tblBaseCF[[#This Row],[AccumTotalPrem]]</f>
        <v>0</v>
      </c>
      <c r="FA87">
        <f>tblBaseCF[[#This Row],[AnnualIntRate]]</f>
        <v>0</v>
      </c>
      <c r="FB87" s="50">
        <f>tblBaseCF[[#This Row],[Duean1m12]]</f>
        <v>1</v>
      </c>
      <c r="FC87">
        <f ca="1">tblBaseCF[[#This Row],[DeductFlag]]</f>
        <v>0</v>
      </c>
      <c r="FD87">
        <f ca="1">tblBaseCF[[#This Row],[AdminChrg]]</f>
        <v>0</v>
      </c>
      <c r="FE87">
        <f ca="1">tblBaseCF[[#This Row],[StandardCOI]]</f>
        <v>0</v>
      </c>
      <c r="FF87">
        <f ca="1">tblBaseCF[[#This Row],[EMLoadCOI]]</f>
        <v>0</v>
      </c>
      <c r="FG87">
        <f ca="1">tblBaseCF[[#This Row],[PMLoadCOI]]</f>
        <v>0</v>
      </c>
      <c r="FH87">
        <f ca="1">tblBaseCF[[#This Row],[COI]]</f>
        <v>0</v>
      </c>
      <c r="FI87" s="47">
        <f ca="1">tblBaseCF[[#This Row],[NomDeduct]]</f>
        <v>0</v>
      </c>
      <c r="FJ87">
        <f ca="1">tblBaseCF[[#This Row],[Deduct]]</f>
        <v>0</v>
      </c>
      <c r="FK87">
        <f ca="1">tblBaseCF[[#This Row],[TAVDeduct]]</f>
        <v>0</v>
      </c>
      <c r="FL87">
        <f ca="1">tblBaseCF[[#This Row],[EAVDeduct]]</f>
        <v>0</v>
      </c>
      <c r="FM87" s="24">
        <f ca="1">tblBaseCF[[#This Row],[TAVInt]]</f>
        <v>0</v>
      </c>
      <c r="FN87">
        <f ca="1">tblBaseCF[[#This Row],[EAVInt]]</f>
        <v>0</v>
      </c>
      <c r="FO87" s="47">
        <f ca="1">tblBaseCF[[#This Row],[LB]]</f>
        <v>0</v>
      </c>
      <c r="FP87">
        <f ca="1">tblBaseCF[[#This Row],[SB]]</f>
        <v>0</v>
      </c>
      <c r="FQ87">
        <f ca="1">tblBaseCF[[#This Row],[Bonus]]</f>
        <v>0</v>
      </c>
      <c r="FR87">
        <f ca="1">tblBaseCF[[#This Row],[EndTAV]]</f>
        <v>0</v>
      </c>
      <c r="FS87">
        <f ca="1">tblBaseCF[[#This Row],[EndEAV]]</f>
        <v>0</v>
      </c>
      <c r="FT87">
        <f ca="1">tblBaseCF[[#This Row],[EndPAV]]</f>
        <v>0</v>
      </c>
      <c r="FU87">
        <f ca="1">tblBaseCF[[#This Row],[SemiAnnualTP]]</f>
        <v>0</v>
      </c>
      <c r="FV87">
        <f ca="1">tblBaseCF[[#This Row],[SemiAnnualEP]]</f>
        <v>0</v>
      </c>
      <c r="FW87">
        <f ca="1">tblBaseCF[[#This Row],[SemiAnnualEMLoad]]</f>
        <v>0</v>
      </c>
      <c r="FX87">
        <f ca="1">tblBaseCF[[#This Row],[SemiAnnualPMLoad]]</f>
        <v>0</v>
      </c>
      <c r="FY87">
        <f ca="1">tblBaseCF[[#This Row],[SemiAnnualLoad]]</f>
        <v>0</v>
      </c>
      <c r="FZ87">
        <f ca="1">tblBaseCF[[#This Row],[SemiAnnualTotalPrem]]</f>
        <v>0</v>
      </c>
      <c r="GA87">
        <f ca="1">tblBaseCF[[#This Row],[QuarterlyTP]]</f>
        <v>0</v>
      </c>
      <c r="GB87">
        <f ca="1">tblBaseCF[[#This Row],[QuarterlyEP]]</f>
        <v>0</v>
      </c>
      <c r="GC87">
        <f ca="1">tblBaseCF[[#This Row],[QuarterlyEMLoad]]</f>
        <v>0</v>
      </c>
      <c r="GD87">
        <f ca="1">tblBaseCF[[#This Row],[QuarterlyPMLoad]]</f>
        <v>0</v>
      </c>
      <c r="GE87">
        <f ca="1">tblBaseCF[[#This Row],[QuarterlyLoad]]</f>
        <v>0</v>
      </c>
      <c r="GF87">
        <f ca="1">tblBaseCF[[#This Row],[QuarterlyTotalPrem]]</f>
        <v>0</v>
      </c>
      <c r="GG87">
        <f ca="1">tblBaseCF[[#This Row],[MonthlyTP]]</f>
        <v>0</v>
      </c>
      <c r="GH87">
        <f ca="1">tblBaseCF[[#This Row],[MonthlyEP]]</f>
        <v>0</v>
      </c>
      <c r="GI87">
        <f ca="1">tblBaseCF[[#This Row],[MonthlyEMLoad]]</f>
        <v>0</v>
      </c>
      <c r="GJ87">
        <f ca="1">tblBaseCF[[#This Row],[MonthlyPMLoad]]</f>
        <v>0</v>
      </c>
      <c r="GK87">
        <f ca="1">tblBaseCF[[#This Row],[MonthlyLoad]]</f>
        <v>0</v>
      </c>
      <c r="GL87">
        <f ca="1">tblBaseCF[[#This Row],[MonthlyTotalPrem]]</f>
        <v>0</v>
      </c>
      <c r="GO87" t="s">
        <v>134</v>
      </c>
      <c r="GP87" t="s">
        <v>135</v>
      </c>
      <c r="GQ87" t="s">
        <v>502</v>
      </c>
      <c r="GR87">
        <v>67</v>
      </c>
      <c r="GS87">
        <v>66</v>
      </c>
      <c r="GT87">
        <v>1</v>
      </c>
      <c r="GU87" t="s">
        <v>457</v>
      </c>
      <c r="GV87">
        <v>414109530.95158899</v>
      </c>
      <c r="GW87">
        <v>3609690147.8190398</v>
      </c>
      <c r="GX87">
        <v>4023799678.7706299</v>
      </c>
      <c r="GY87">
        <v>0</v>
      </c>
      <c r="GZ87">
        <v>4023799678.7706299</v>
      </c>
      <c r="HA87">
        <v>4023799678.7706299</v>
      </c>
      <c r="HB87">
        <v>0</v>
      </c>
      <c r="HC87">
        <v>0</v>
      </c>
      <c r="HD87" t="s">
        <v>137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7.0000000000000007E-2</v>
      </c>
      <c r="HX87">
        <v>0.96964931039809399</v>
      </c>
      <c r="HY87">
        <v>1</v>
      </c>
      <c r="HZ87">
        <v>300000</v>
      </c>
      <c r="IA87">
        <v>0</v>
      </c>
      <c r="IB87">
        <v>0</v>
      </c>
      <c r="IC87">
        <v>0</v>
      </c>
      <c r="ID87">
        <v>0</v>
      </c>
      <c r="IE87">
        <v>300000</v>
      </c>
      <c r="IF87">
        <v>290894.79311942798</v>
      </c>
      <c r="IG87">
        <v>290894.79311942798</v>
      </c>
      <c r="IH87">
        <v>0</v>
      </c>
      <c r="II87">
        <v>28967304.531092901</v>
      </c>
      <c r="IJ87">
        <v>252678310.34733301</v>
      </c>
      <c r="IK87">
        <v>0</v>
      </c>
      <c r="IL87">
        <v>0</v>
      </c>
      <c r="IM87">
        <v>0</v>
      </c>
      <c r="IN87">
        <v>442785940.68956298</v>
      </c>
      <c r="IO87">
        <v>3862368458.1663699</v>
      </c>
      <c r="IP87">
        <v>4305154398.8559303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</row>
    <row r="88" spans="2:268" customFormat="1" x14ac:dyDescent="0.25">
      <c r="B88" s="2">
        <f ca="1">OFFSET(tblBaseCF[[#This Row],[Year]],-1,0)+1</f>
        <v>68</v>
      </c>
      <c r="C88" s="2">
        <f ca="1">(tblBaseCF[[#This Row],[Year]]&lt;=term)*1</f>
        <v>1</v>
      </c>
      <c r="D88" s="57">
        <f ca="1">(YEAR(rcd)+tblBaseCF[[#This Row],[Year]]-1)
*tblBaseCF[[#This Row],[PolTermFlag]]</f>
        <v>2092</v>
      </c>
      <c r="E88" s="57">
        <f ca="1">(mainLI_entry_age+tblBaseCF[[#This Row],[Year]]-1)
*tblBaseCF[[#This Row],[PolTermFlag]]</f>
        <v>67</v>
      </c>
      <c r="F88" s="57">
        <f ca="1">IF(tblBaseCF[[#This Row],[Year]]=1,1,OFFSET(tblBaseCF[[#This Row],[DeductFlag]],-1,0))
*tblBaseCF[[#This Row],[PolTermFlag]]</f>
        <v>0</v>
      </c>
      <c r="G8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8" s="57">
        <f ca="1">(tblBaseCF[[#This Row],[Year]]&lt;=acc_ben_term)
*tblBaseCF[[#This Row],[ContFlag]]</f>
        <v>0</v>
      </c>
      <c r="I88" s="57">
        <f ca="1">(tblBaseCF[[#This Row],[Year]]&lt;=tp_term)
*tblBaseCF[[#This Row],[ContFlag]]</f>
        <v>0</v>
      </c>
      <c r="J88" s="57">
        <f ca="1">(tblBaseCF[[#This Row],[Year]]&lt;=ep_term)
*tblBaseCF[[#This Row],[ContFlag]]</f>
        <v>0</v>
      </c>
      <c r="K88" s="57">
        <f ca="1">(tblBaseCF[[#This Row],[Year]]&lt;=em_load_term)*1</f>
        <v>0</v>
      </c>
      <c r="L88" s="57">
        <f ca="1">(tblBaseCF[[#This Row],[Year]]&lt;=pm_load_term)*1</f>
        <v>0</v>
      </c>
      <c r="M88" s="59">
        <f ca="1">IF(tblBaseCF[[#This Row],[Year]]=1,si,OFFSET(tblBaseCF[[#This Row],[EndSI]],-1,0))
*tblBaseCF[[#This Row],[ContFlag]]</f>
        <v>0</v>
      </c>
      <c r="N88" s="59">
        <f ca="1">OFFSET(tblBaseCF[[#This Row],[EndTAV]],-1,0)
*tblBaseCF[[#This Row],[ContFlag]]</f>
        <v>0</v>
      </c>
      <c r="O88" s="59">
        <f ca="1">OFFSET(tblBaseCF[[#This Row],[EndEAV]],-1,0)
*tblBaseCF[[#This Row],[ContFlag]]</f>
        <v>0</v>
      </c>
      <c r="P88" s="60">
        <f ca="1">tblBaseCF[[#This Row],[StartEAV]]+tblBaseCF[[#This Row],[StartTAV]]</f>
        <v>0</v>
      </c>
      <c r="Q88" s="61">
        <f ca="1">IFERROR(INDEX(tblJuvenileLienRate[Rate],MATCH(tblBaseCF[[#This Row],[Age]],tblJuvenileLienRate[Age],0)),1)
*tblBaseCF[[#This Row],[ContFlag]]</f>
        <v>0</v>
      </c>
      <c r="R8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8" s="62">
        <f ca="1">tblBaseCF[[#This Row],[StartSI]]*acc_ben_coeff*tblBaseCF[[#This Row],[JuvenileLienRate]]
*tblBaseCF[[#This Row],[AccBenTermFlag]]</f>
        <v>0</v>
      </c>
      <c r="T88" s="61">
        <f ca="1">(IFERROR(INDEX(tblSurrChrgRate[Rate],MATCH(tblBaseCF[[#This Row],[Year]],tblSurrChrgRate[Year],0)),0)
*tblBaseCF[[#This Row],[ContFlag]])</f>
        <v>0</v>
      </c>
      <c r="U88" s="60">
        <f ca="1">tp*tblBaseCF[[#This Row],[SrrChrgRate]]</f>
        <v>0</v>
      </c>
      <c r="V88" s="63">
        <f ca="1">MAX(tblBaseCF[[#This Row],[StartTAV]]-tblBaseCF[[#This Row],[SVChrg]],0)+tblBaseCF[[#This Row],[StartEAV]]</f>
        <v>0</v>
      </c>
      <c r="W88" s="59">
        <f ca="1">IFERROR(INDEX(tblWithdrawal_Output[Amount],MATCH(tblBaseCF[[#This Row],[Year]],tblWithdrawal_Output[Year],0)),0)
*tblBaseCF[[#This Row],[ContFlag]]</f>
        <v>0</v>
      </c>
      <c r="X88" s="59" t="b">
        <f ca="1">tblBaseCF[[#This Row],[WithdrawalInput]]&gt;0</f>
        <v>0</v>
      </c>
      <c r="Y88" s="59" t="b">
        <f ca="1">AND(tblBaseCF[[#This Row],[1stCheckProceed]],tblBaseCF[[#This Row],[WithdrawalInput]]&lt;=tblBaseCF[[#This Row],[StartPAV]])</f>
        <v>0</v>
      </c>
      <c r="Z88" s="59" t="b">
        <f ca="1">AND(tblBaseCF[[#This Row],[2ndCheckAmount]],(tblBaseCF[[#This Row],[StartPAV]]-tblBaseCF[[#This Row],[WithdrawalInput]])&gt;=min_pav_after_withdrawal)</f>
        <v>0</v>
      </c>
      <c r="AA8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8" s="59" t="b">
        <f ca="1">AND(tblBaseCF[[#This Row],[3rdCheckPAV]],tblBaseCF[[#This Row],[endSITest]]&gt;=min_base_si)</f>
        <v>0</v>
      </c>
      <c r="AC88" s="60">
        <f ca="1">tblBaseCF[[#This Row],[WithdrawalInput]]*tblBaseCF[[#This Row],[4thCheckSI]]</f>
        <v>0</v>
      </c>
      <c r="AD88" s="60">
        <f ca="1">MIN(tblBaseCF[[#This Row],[Withdrawal]],tblBaseCF[[#This Row],[StartEAV]])</f>
        <v>0</v>
      </c>
      <c r="AE88" s="60">
        <f ca="1">tblBaseCF[[#This Row],[Withdrawal]]-tblBaseCF[[#This Row],[EAVWithdrawal]]</f>
        <v>0</v>
      </c>
      <c r="AF88" s="60">
        <f ca="1">IF(tblBaseCF[[#This Row],[4thCheckSI]],tblBaseCF[[#This Row],[endSITest]],tblBaseCF[[#This Row],[StartSI]])</f>
        <v>0</v>
      </c>
      <c r="AG8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8" s="65">
        <f ca="1">IFERROR(INDEX(tblTPAllocChrgRate[Rate],MATCH(tblBaseCF[[#This Row],[Year]],tblTPAllocChrgRate[Year],0)),0)</f>
        <v>0.02</v>
      </c>
      <c r="AI88" s="62">
        <f ca="1">(tp+big_case_bonus_tp*(tblBaseCF[[#This Row],[Year]]=1))
*tblBaseCF[[#This Row],[TPTermFlag]]</f>
        <v>0</v>
      </c>
      <c r="AJ88" s="63">
        <f ca="1">tblBaseCF[[#This Row],[TP]]*tblBaseCF[[#This Row],[TPAllocChrgRate]]</f>
        <v>0</v>
      </c>
      <c r="AK88" s="60">
        <f ca="1">tblBaseCF[[#This Row],[TP]]-tblBaseCF[[#This Row],[TPAllocChrg]]</f>
        <v>0</v>
      </c>
      <c r="AL88" s="65">
        <f ca="1">IFERROR(INDEX(tblEPAllocChrgRate[Rate],MATCH(tblBaseCF[[#This Row],[Year]],tblEPAllocChrgRate[Year],0)),0)</f>
        <v>0.02</v>
      </c>
      <c r="AM88" s="60">
        <f ca="1">ep*tblBaseCF[[#This Row],[EPTermFlag]]</f>
        <v>0</v>
      </c>
      <c r="AN88" s="60">
        <f ca="1">tblBaseCF[[#This Row],[EP]]*tblBaseCF[[#This Row],[EPAllocChrgRate]]</f>
        <v>0</v>
      </c>
      <c r="AO88" s="63">
        <f ca="1">tblBaseCF[[#This Row],[EP]]-tblBaseCF[[#This Row],[EPAllocChrg]]</f>
        <v>0</v>
      </c>
      <c r="AP88" s="62">
        <f ca="1">tblBaseCF[[#This Row],[Ben]]*extra_prem_rate*em_load/1000/(1-tblBaseCF[[#This Row],[EPAllocChrgRate]])
*tblBaseCF[[#This Row],[EMLoadTermFlag]]</f>
        <v>0</v>
      </c>
      <c r="AQ88" s="62">
        <f ca="1">tblBaseCF[[#This Row],[Ben]]*pm_load/1000/(1-tblBaseCF[[#This Row],[EPAllocChrgRate]])
*tblBaseCF[[#This Row],[PMLoadTermFlag]]</f>
        <v>0</v>
      </c>
      <c r="AR88" s="60">
        <f ca="1">ROUNDUP(tblBaseCF[[#This Row],[UnroundedEMLoad]],-3)</f>
        <v>0</v>
      </c>
      <c r="AS88" s="62">
        <f ca="1">ROUNDUP(tblBaseCF[[#This Row],[Ben]]*pm_load/1000/(1-tblBaseCF[[#This Row],[EPAllocChrgRate]]),-3)
*tblBaseCF[[#This Row],[PMLoadTermFlag]]</f>
        <v>0</v>
      </c>
      <c r="AT88" s="60">
        <f ca="1">tblBaseCF[[#This Row],[EMLoad]]+tblBaseCF[[#This Row],[PMLoad]]</f>
        <v>0</v>
      </c>
      <c r="AU88" s="60">
        <f ca="1">tblBaseCF[[#This Row],[Load]]*tblBaseCF[[#This Row],[EPAllocChrgRate]]</f>
        <v>0</v>
      </c>
      <c r="AV88" s="60">
        <f ca="1">tblBaseCF[[#This Row],[Load]]-tblBaseCF[[#This Row],[LoadAllocChrg]]</f>
        <v>0</v>
      </c>
      <c r="AW88" s="60">
        <f ca="1">tblBaseCF[[#This Row],[TP]]+tblBaseCF[[#This Row],[EP]]+tblBaseCF[[#This Row],[Load]]</f>
        <v>0</v>
      </c>
      <c r="AX88" s="60">
        <f ca="1">tblBaseCF[[#This Row],[TPAllocChrg]]+tblBaseCF[[#This Row],[EPAllocChrg]]+tblBaseCF[[#This Row],[LoadAllocChrg]]</f>
        <v>0</v>
      </c>
      <c r="AY88" s="60">
        <f ca="1">tblBaseCF[[#This Row],[TPAlloc]]+tblBaseCF[[#This Row],[EPAlloc]]+tblBaseCF[[#This Row],[LoadAlloc]]</f>
        <v>0</v>
      </c>
      <c r="AZ88" s="60">
        <f ca="1">(OFFSET(tblBaseCF[[#This Row],[AccumTotalPrem]],-1,0)+tblBaseCF[[#This Row],[TotalPrem]])*tblBaseCF[[#This Row],[TPTermFlag]]</f>
        <v>0</v>
      </c>
      <c r="BA88" s="62">
        <f ca="1">(tblBaseCF[[#This Row],[StartTAV]]-tblBaseCF[[#This Row],[TAVWithdrawal]]+tblBaseCF[[#This Row],[TPAlloc]])
*tblBaseCF[[#This Row],[ContFlag]]</f>
        <v>0</v>
      </c>
      <c r="BB88" s="59">
        <f ca="1">(tblBaseCF[[#This Row],[StartEAV]]-tblBaseCF[[#This Row],[EAVWithdrawal]]+tblBaseCF[[#This Row],[EPAlloc]]+tblBaseCF[[#This Row],[LoadAlloc]])
*tblBaseCF[[#This Row],[ContFlag]]</f>
        <v>0</v>
      </c>
      <c r="BC88" s="59">
        <f ca="1">tblBaseCF[[#This Row],[TAVAfterWdrlAlloc]]+tblBaseCF[[#This Row],[EAVAfterWdrlAlloc]]</f>
        <v>0</v>
      </c>
      <c r="BD88" s="66">
        <f t="shared" si="10"/>
        <v>0</v>
      </c>
      <c r="BE88" s="67">
        <f>(1+tblBaseCF[[#This Row],[AnnualIntRate]])^(1/12)-1</f>
        <v>0</v>
      </c>
      <c r="BF88" s="68">
        <f>IFERROR(((1+tblBaseCF[[#This Row],[MonthlyIntRate]])^12-1)/12/(1-1/(1+tblBaseCF[[#This Row],[MonthlyIntRate]])),1)/(1+tblBaseCF[[#This Row],[AnnualIntRate]])</f>
        <v>1</v>
      </c>
      <c r="BG88" s="69">
        <f>PV(tblBaseCF[[#This Row],[MonthlyIntRate]],12,-1/12,,1)</f>
        <v>1</v>
      </c>
      <c r="BH88" s="60">
        <f ca="1">MAX(IF(death_tpd_option="A",tblBaseCF[[#This Row],[Ben]]-tblBaseCF[[#This Row],[StartPAV]],tblBaseCF[[#This Row],[Ben]]),0)</f>
        <v>0</v>
      </c>
      <c r="BI88" s="70">
        <f ca="1">IFERROR(INDEX(tblBaseCOIRate[Rate],MATCH(tblBaseCF[[#This Row],[Age]],tblBaseCOIRate[Age],0)),0)</f>
        <v>1.813E-2</v>
      </c>
      <c r="BJ88" s="60">
        <f ca="1">tblBaseCF[[#This Row],[SAR]]*tblBaseCF[[#This Row],[COIRate]]</f>
        <v>0</v>
      </c>
      <c r="BK88" s="62">
        <f ca="1">em_load*tblBaseCF[[#This Row],[pStandardCOI]]
*tblBaseCF[[#This Row],[EMLoadTermFlag]]</f>
        <v>0</v>
      </c>
      <c r="BL88" s="62">
        <f ca="1">pm_load/1000*tblBaseCF[[#This Row],[SAR]]
*tblBaseCF[[#This Row],[PMLoadTermFlag]]</f>
        <v>0</v>
      </c>
      <c r="BM88" s="60">
        <f ca="1">tblBaseCF[[#This Row],[AccBen]]*monthly_acc_coi*12</f>
        <v>0</v>
      </c>
      <c r="BN88" s="60">
        <f ca="1">tblBaseCF[[#This Row],[pStandardCOI]]+tblBaseCF[[#This Row],[pEMLoadCOI]]+tblBaseCF[[#This Row],[pPMLoadCOI]]+tblBaseCF[[#This Row],[pAccCOI]]</f>
        <v>0</v>
      </c>
      <c r="BO88" s="62">
        <f ca="1">IFERROR(INDEX(tblAdminChrg[Amount],MATCH(tblBaseCF[[#This Row],[CalYear]],tblAdminChrg[Cal_Year],0)),0)
*tblBaseCF[[#This Row],[ContFlag]]</f>
        <v>0</v>
      </c>
      <c r="BP88" s="60">
        <f ca="1">tblBaseCF[[#This Row],[pMonthlyAdminChrg]]*12</f>
        <v>0</v>
      </c>
      <c r="BQ88" s="60">
        <f ca="1">tblBaseCF[[#This Row],[pCOI]]+tblBaseCF[[#This Row],[pAdminChrg]]</f>
        <v>0</v>
      </c>
      <c r="BR88" s="60">
        <f ca="1">tblBaseCF[[#This Row],[pNomDeduct]]*tblBaseCF[[#This Row],[Duean1m12]]</f>
        <v>0</v>
      </c>
      <c r="BS88" s="57">
        <f ca="1">(tblBaseCF[[#This Row],[PAVAfterWdrlAlloc]]&gt;=tblBaseCF[[#This Row],[pNomDeduct]])
*tblBaseCF[[#This Row],[ContFlag]]</f>
        <v>0</v>
      </c>
      <c r="BT88" s="60">
        <f ca="1">tblBaseCF[[#This Row],[pStandardCOI]]*tblBaseCF[[#This Row],[DeductFlag]]</f>
        <v>0</v>
      </c>
      <c r="BU88" s="60">
        <f ca="1">tblBaseCF[[#This Row],[pEMLoadCOI]]*tblBaseCF[[#This Row],[DeductFlag]]</f>
        <v>0</v>
      </c>
      <c r="BV88" s="60">
        <f ca="1">tblBaseCF[[#This Row],[pPMLoadCOI]]*tblBaseCF[[#This Row],[DeductFlag]]</f>
        <v>0</v>
      </c>
      <c r="BW88" s="60">
        <f ca="1">tblBaseCF[[#This Row],[pAccCOI]]*tblBaseCF[[#This Row],[DeductFlag]]</f>
        <v>0</v>
      </c>
      <c r="BX88" s="60">
        <f ca="1">tblBaseCF[[#This Row],[pCOI]]*tblBaseCF[[#This Row],[DeductFlag]]</f>
        <v>0</v>
      </c>
      <c r="BY88" s="60">
        <f ca="1">tblBaseCF[[#This Row],[pMonthlyAdminChrg]]*tblBaseCF[[#This Row],[DeductFlag]]</f>
        <v>0</v>
      </c>
      <c r="BZ88" s="60">
        <f ca="1">tblBaseCF[[#This Row],[pAdminChrg]]*tblBaseCF[[#This Row],[DeductFlag]]</f>
        <v>0</v>
      </c>
      <c r="CA88" s="60">
        <f ca="1">tblBaseCF[[#This Row],[pNomDeduct]]*tblBaseCF[[#This Row],[DeductFlag]]</f>
        <v>0</v>
      </c>
      <c r="CB88" s="60">
        <f ca="1">tblBaseCF[[#This Row],[pDeduct]]*tblBaseCF[[#This Row],[DeductFlag]]</f>
        <v>0</v>
      </c>
      <c r="CC88" s="60">
        <f ca="1">MIN(tblBaseCF[[#This Row],[TAVAfterWdrlAlloc]],tblBaseCF[[#This Row],[Deduct]])</f>
        <v>0</v>
      </c>
      <c r="CD88" s="60">
        <f ca="1">tblBaseCF[[#This Row],[Deduct]]-tblBaseCF[[#This Row],[TAVDeduct]]</f>
        <v>0</v>
      </c>
      <c r="CE88" s="69">
        <f ca="1">(tblBaseCF[[#This Row],[TAVAfterWdrlAlloc]]-tblBaseCF[[#This Row],[TAVDeduct]])*tblBaseCF[[#This Row],[AnnualIntRate]]
*tblBaseCF[[#This Row],[DeductFlag]]</f>
        <v>0</v>
      </c>
      <c r="CF88" s="69">
        <f ca="1">(tblBaseCF[[#This Row],[EAVAfterWdrlAlloc]]-tblBaseCF[[#This Row],[EAVDeduct]])*tblBaseCF[[#This Row],[AnnualIntRate]]
*tblBaseCF[[#This Row],[DeductFlag]]</f>
        <v>0</v>
      </c>
      <c r="CG88" s="69">
        <f ca="1">tblBaseCF[[#This Row],[TAVInt]]+tblBaseCF[[#This Row],[EAVInt]]</f>
        <v>0</v>
      </c>
      <c r="CH88" s="62">
        <f ca="1">IFERROR(INDEX(tblLBRate[Rate],MATCH(tblBaseCF[[#This Row],[Year]],tblLBRate[Year],0)),0)
*tblBaseCF[[#This Row],[DeductFlag]]</f>
        <v>0</v>
      </c>
      <c r="CI88" s="60">
        <f ca="1">IFERROR(SUM(OFFSET(tblBaseCF[[#This Row],[TAVWithdrawal]],0,0,-lb_review_period,1)),0)
*(tblBaseCF[[#This Row],[LBRate]]&gt;0)</f>
        <v>0</v>
      </c>
      <c r="CJ88" s="60">
        <f ca="1">(tblBaseCF[[#This Row],[LBRate]]&gt;0)*(tblBaseCF[[#This Row],[LBTAVWithdrawal]]=0)</f>
        <v>0</v>
      </c>
      <c r="CK88" s="62" cm="1">
        <f t="array" aca="1" ref="CK88" ca="1">IF(tblBaseCF[[#This Row],[LBFlag]],
_xlfn.SWITCH(base,
"ILP1",AVERAGE(OFFSET(tblBaseCF[TP],0,0,-lb_review_period,1)),tp),0)
*tblBaseCF[[#This Row],[LBFlag]]</f>
        <v>0</v>
      </c>
      <c r="CL88" s="62">
        <f ca="1">tblBaseCF[[#This Row],[LBBasis]]*tblBaseCF[[#This Row],[LBRate]]</f>
        <v>0</v>
      </c>
      <c r="CM88" s="57" cm="1">
        <f t="array" aca="1" ref="CM88" ca="1">_xlfn.SWITCH(base,
"ILP1",0,($AF188&lt;500000000)*1
+($AF188&gt;=500000000)*($AF188&lt;1000000000)*2
+($AF188&gt;=1000000000)*3)
*tblBaseCF[[#This Row],[DeductFlag]]</f>
        <v>0</v>
      </c>
      <c r="CN88" s="2" t="str">
        <f ca="1">IF(tblBaseCF[[#This Row],[DeductFlag]],base&amp;"_"&amp;tblBaseCF[[#This Row],[SBCode]]&amp;"_"&amp;tblBaseCF[[#This Row],[Year]],"")</f>
        <v/>
      </c>
      <c r="CO88" s="3">
        <f ca="1">IFERROR(INDEX(tblSBRate[Index],MATCH(tblBaseCF[[#This Row],[SBIndex]],tblSBRate[Rate],0)),0)</f>
        <v>0</v>
      </c>
      <c r="CP88" s="63">
        <f ca="1">IFERROR(SUM(OFFSET(tblBaseCF[[#This Row],[TAVWithdrawal]],0,0,-sb_review_period,1)),0)
*(tblBaseCF[[#This Row],[SBRate]]&gt;0)</f>
        <v>0</v>
      </c>
      <c r="CQ88" s="63">
        <f ca="1">(tblBaseCF[[#This Row],[SBRate]]&gt;0)*(tblBaseCF[[#This Row],[SBTAVWithdrawal]]=0)</f>
        <v>0</v>
      </c>
      <c r="CR88" s="59" cm="1">
        <f t="array" aca="1" ref="CR88" ca="1">IF(tblBaseCF[[#This Row],[LBFlag]],
_xlfn.SWITCH(base,
"ILP1",0,tp),0)*tblBaseCF[[#This Row],[SBFlag]]</f>
        <v>0</v>
      </c>
      <c r="CS88" s="63">
        <f ca="1">tblBaseCF[[#This Row],[SBBasis]]*tblBaseCF[[#This Row],[SBRate]]</f>
        <v>0</v>
      </c>
      <c r="CT88" s="63">
        <f ca="1">tblBaseCF[[#This Row],[LB]]+tblBaseCF[[#This Row],[SB]]</f>
        <v>0</v>
      </c>
      <c r="CU88" s="59">
        <f ca="1">tblBaseCF[[#This Row],[TAVAfterWdrlAlloc]]-tblBaseCF[[#This Row],[TAVDeduct]]+tblBaseCF[[#This Row],[TAVInt]]+tblBaseCF[[#This Row],[Bonus]]</f>
        <v>0</v>
      </c>
      <c r="CV88" s="59">
        <f ca="1">tblBaseCF[[#This Row],[EAVAfterWdrlAlloc]]-tblBaseCF[[#This Row],[EAVDeduct]]+tblBaseCF[[#This Row],[EAVInt]]</f>
        <v>0</v>
      </c>
      <c r="CW88" s="63">
        <f ca="1">tblBaseCF[[#This Row],[EndTAV]]+tblBaseCF[[#This Row],[EndEAV]]</f>
        <v>0</v>
      </c>
      <c r="CX88" s="59">
        <f ca="1">INDEX(tblPlanPrem[TP],2)
*tblBaseCF[[#This Row],[TPTermFlag]]</f>
        <v>0</v>
      </c>
      <c r="CY88" s="59">
        <f ca="1">INDEX(tblPlanPrem[EP],2)
*tblBaseCF[[#This Row],[TPTermFlag]]</f>
        <v>0</v>
      </c>
      <c r="CZ88" s="63">
        <f ca="1">ROUNDUP(tblBaseCF[[#This Row],[UnroundedEMLoad]]*INDEX(tblPlanPrem[Factor],2),-3)</f>
        <v>0</v>
      </c>
      <c r="DA88" s="63">
        <f ca="1">ROUNDUP(tblBaseCF[[#This Row],[UnroundedPMLoad]]*INDEX(tblPlanPrem[Factor],2),-3)</f>
        <v>0</v>
      </c>
      <c r="DB88" s="63">
        <f ca="1">tblBaseCF[[#This Row],[SemiAnnualEMLoad]]+tblBaseCF[[#This Row],[SemiAnnualPMLoad]]</f>
        <v>0</v>
      </c>
      <c r="DC88" s="63">
        <f ca="1">tblBaseCF[[#This Row],[SemiAnnualTP]]+tblBaseCF[[#This Row],[SemiAnnualEP]]+tblBaseCF[[#This Row],[SemiAnnualLoad]]</f>
        <v>0</v>
      </c>
      <c r="DD88" s="59">
        <f ca="1">INDEX(tblPlanPrem[TP],3)
*tblBaseCF[[#This Row],[TPTermFlag]]</f>
        <v>0</v>
      </c>
      <c r="DE88" s="59">
        <f ca="1">INDEX(tblPlanPrem[EP],3)
*tblBaseCF[[#This Row],[TPTermFlag]]</f>
        <v>0</v>
      </c>
      <c r="DF88" s="63">
        <f ca="1">ROUNDUP(tblBaseCF[[#This Row],[UnroundedEMLoad]]*INDEX(tblPlanPrem[Factor],3),-3)</f>
        <v>0</v>
      </c>
      <c r="DG88" s="63">
        <f ca="1">ROUNDUP(tblBaseCF[[#This Row],[UnroundedPMLoad]]*INDEX(tblPlanPrem[Factor],3),-3)</f>
        <v>0</v>
      </c>
      <c r="DH88" s="60">
        <f ca="1">tblBaseCF[[#This Row],[QuarterlyEMLoad]]+tblBaseCF[[#This Row],[QuarterlyPMLoad]]</f>
        <v>0</v>
      </c>
      <c r="DI88" s="60">
        <f ca="1">tblBaseCF[[#This Row],[QuarterlyTP]]+tblBaseCF[[#This Row],[QuarterlyEP]]+tblBaseCF[[#This Row],[QuarterlyLoad]]</f>
        <v>0</v>
      </c>
      <c r="DJ88" s="59">
        <f ca="1">INDEX(tblPlanPrem[TP],4)
*tblBaseCF[[#This Row],[TPTermFlag]]</f>
        <v>0</v>
      </c>
      <c r="DK88" s="59">
        <f ca="1">INDEX(tblPlanPrem[EP],4)
*tblBaseCF[[#This Row],[TPTermFlag]]</f>
        <v>0</v>
      </c>
      <c r="DL88" s="63">
        <f ca="1">ROUNDUP(tblBaseCF[[#This Row],[UnroundedEMLoad]]*INDEX(tblPlanPrem[Factor],4),-3)</f>
        <v>0</v>
      </c>
      <c r="DM88" s="63">
        <f ca="1">ROUNDUP(tblBaseCF[[#This Row],[UnroundedPMLoad]]*INDEX(tblPlanPrem[Factor],4),-3)</f>
        <v>0</v>
      </c>
      <c r="DN88" s="60">
        <f ca="1">tblBaseCF[[#This Row],[MonthlyEMLoad]]+tblBaseCF[[#This Row],[MonthlyPMLoad]]</f>
        <v>0</v>
      </c>
      <c r="DO88" s="63">
        <f ca="1">tblBaseCF[[#This Row],[MonthlyTP]]+tblBaseCF[[#This Row],[MonthlyEP]]+tblBaseCF[[#This Row],[MonthlyLoad]]</f>
        <v>0</v>
      </c>
      <c r="DP88" s="3"/>
      <c r="DS88">
        <f t="shared" si="11"/>
        <v>0</v>
      </c>
      <c r="DT88">
        <f t="shared" si="12"/>
        <v>0</v>
      </c>
      <c r="DU88">
        <f t="shared" si="13"/>
        <v>0</v>
      </c>
      <c r="DV88">
        <f ca="1">tblBaseCF[[#This Row],[Year]]</f>
        <v>68</v>
      </c>
      <c r="DW88">
        <f ca="1">tblBaseCF[[#This Row],[Age]]</f>
        <v>67</v>
      </c>
      <c r="DX88">
        <f ca="1">tblBaseCF[[#This Row],[ContFlag]]</f>
        <v>0</v>
      </c>
      <c r="DY88" t="str">
        <f ca="1">tblBaseCF[[#This Row],[ContLog]]</f>
        <v>Insufficient PAV for deduction - Discontinue.</v>
      </c>
      <c r="DZ88">
        <f ca="1">tblBaseCF[[#This Row],[StartTAV]]</f>
        <v>0</v>
      </c>
      <c r="EA88">
        <f ca="1">tblBaseCF[[#This Row],[StartEAV]]</f>
        <v>0</v>
      </c>
      <c r="EB88">
        <f ca="1">tblBaseCF[[#This Row],[StartPAV]]</f>
        <v>0</v>
      </c>
      <c r="EC88">
        <f ca="1">tblBaseCF[[#This Row],[SVChrg]]</f>
        <v>0</v>
      </c>
      <c r="ED88">
        <f ca="1">tblBaseCF[[#This Row],[SV]]</f>
        <v>0</v>
      </c>
      <c r="EE88">
        <f ca="1">tblBaseCF[[#This Row],[Ben]]</f>
        <v>0</v>
      </c>
      <c r="EF88">
        <f ca="1">tblBaseCF[[#This Row],[AccBen]]</f>
        <v>0</v>
      </c>
      <c r="EG88">
        <f ca="1">tblBaseCF[[#This Row],[WithdrawalInput]]</f>
        <v>0</v>
      </c>
      <c r="EH88" t="str">
        <f ca="1">tblBaseCF[[#This Row],[WithdrawalLog]]</f>
        <v>No withdrawal.</v>
      </c>
      <c r="EI88">
        <f ca="1">tblBaseCF[[#This Row],[TAVWithdrawal]]</f>
        <v>0</v>
      </c>
      <c r="EJ88">
        <f ca="1">tblBaseCF[[#This Row],[EAVWithdrawal]]</f>
        <v>0</v>
      </c>
      <c r="EK88">
        <f ca="1">tblBaseCF[[#This Row],[Withdrawal]]</f>
        <v>0</v>
      </c>
      <c r="EL88">
        <f ca="1">tblBaseCF[[#This Row],[TP]]</f>
        <v>0</v>
      </c>
      <c r="EM88">
        <f ca="1">tblBaseCF[[#This Row],[TPAllocChrg]]</f>
        <v>0</v>
      </c>
      <c r="EN88">
        <f ca="1">tblBaseCF[[#This Row],[TPAlloc]]</f>
        <v>0</v>
      </c>
      <c r="EO88">
        <f ca="1">tblBaseCF[[#This Row],[EP]]</f>
        <v>0</v>
      </c>
      <c r="EP88">
        <f ca="1">tblBaseCF[[#This Row],[EPAllocChrg]]</f>
        <v>0</v>
      </c>
      <c r="EQ88">
        <f ca="1">tblBaseCF[[#This Row],[EPAlloc]]</f>
        <v>0</v>
      </c>
      <c r="ER88">
        <f ca="1">tblBaseCF[[#This Row],[EMLoad]]</f>
        <v>0</v>
      </c>
      <c r="ES88">
        <f ca="1">tblBaseCF[[#This Row],[PMLoad]]</f>
        <v>0</v>
      </c>
      <c r="ET88">
        <f ca="1">tblBaseCF[[#This Row],[Load]]</f>
        <v>0</v>
      </c>
      <c r="EU88">
        <f ca="1">tblBaseCF[[#This Row],[LoadAllocChrg]]</f>
        <v>0</v>
      </c>
      <c r="EV88">
        <f ca="1">tblBaseCF[[#This Row],[LoadAlloc]]</f>
        <v>0</v>
      </c>
      <c r="EW88">
        <f ca="1">tblBaseCF[[#This Row],[TotalPrem]]</f>
        <v>0</v>
      </c>
      <c r="EX88">
        <f ca="1">tblBaseCF[[#This Row],[AllocChrg]]</f>
        <v>0</v>
      </c>
      <c r="EY88">
        <f ca="1">tblBaseCF[[#This Row],[Alloc]]</f>
        <v>0</v>
      </c>
      <c r="EZ88">
        <f ca="1">tblBaseCF[[#This Row],[AccumTotalPrem]]</f>
        <v>0</v>
      </c>
      <c r="FA88">
        <f>tblBaseCF[[#This Row],[AnnualIntRate]]</f>
        <v>0</v>
      </c>
      <c r="FB88" s="50">
        <f>tblBaseCF[[#This Row],[Duean1m12]]</f>
        <v>1</v>
      </c>
      <c r="FC88">
        <f ca="1">tblBaseCF[[#This Row],[DeductFlag]]</f>
        <v>0</v>
      </c>
      <c r="FD88">
        <f ca="1">tblBaseCF[[#This Row],[AdminChrg]]</f>
        <v>0</v>
      </c>
      <c r="FE88">
        <f ca="1">tblBaseCF[[#This Row],[StandardCOI]]</f>
        <v>0</v>
      </c>
      <c r="FF88">
        <f ca="1">tblBaseCF[[#This Row],[EMLoadCOI]]</f>
        <v>0</v>
      </c>
      <c r="FG88">
        <f ca="1">tblBaseCF[[#This Row],[PMLoadCOI]]</f>
        <v>0</v>
      </c>
      <c r="FH88">
        <f ca="1">tblBaseCF[[#This Row],[COI]]</f>
        <v>0</v>
      </c>
      <c r="FI88" s="47">
        <f ca="1">tblBaseCF[[#This Row],[NomDeduct]]</f>
        <v>0</v>
      </c>
      <c r="FJ88">
        <f ca="1">tblBaseCF[[#This Row],[Deduct]]</f>
        <v>0</v>
      </c>
      <c r="FK88">
        <f ca="1">tblBaseCF[[#This Row],[TAVDeduct]]</f>
        <v>0</v>
      </c>
      <c r="FL88">
        <f ca="1">tblBaseCF[[#This Row],[EAVDeduct]]</f>
        <v>0</v>
      </c>
      <c r="FM88" s="24">
        <f ca="1">tblBaseCF[[#This Row],[TAVInt]]</f>
        <v>0</v>
      </c>
      <c r="FN88">
        <f ca="1">tblBaseCF[[#This Row],[EAVInt]]</f>
        <v>0</v>
      </c>
      <c r="FO88" s="47">
        <f ca="1">tblBaseCF[[#This Row],[LB]]</f>
        <v>0</v>
      </c>
      <c r="FP88">
        <f ca="1">tblBaseCF[[#This Row],[SB]]</f>
        <v>0</v>
      </c>
      <c r="FQ88">
        <f ca="1">tblBaseCF[[#This Row],[Bonus]]</f>
        <v>0</v>
      </c>
      <c r="FR88">
        <f ca="1">tblBaseCF[[#This Row],[EndTAV]]</f>
        <v>0</v>
      </c>
      <c r="FS88">
        <f ca="1">tblBaseCF[[#This Row],[EndEAV]]</f>
        <v>0</v>
      </c>
      <c r="FT88">
        <f ca="1">tblBaseCF[[#This Row],[EndPAV]]</f>
        <v>0</v>
      </c>
      <c r="FU88">
        <f ca="1">tblBaseCF[[#This Row],[SemiAnnualTP]]</f>
        <v>0</v>
      </c>
      <c r="FV88">
        <f ca="1">tblBaseCF[[#This Row],[SemiAnnualEP]]</f>
        <v>0</v>
      </c>
      <c r="FW88">
        <f ca="1">tblBaseCF[[#This Row],[SemiAnnualEMLoad]]</f>
        <v>0</v>
      </c>
      <c r="FX88">
        <f ca="1">tblBaseCF[[#This Row],[SemiAnnualPMLoad]]</f>
        <v>0</v>
      </c>
      <c r="FY88">
        <f ca="1">tblBaseCF[[#This Row],[SemiAnnualLoad]]</f>
        <v>0</v>
      </c>
      <c r="FZ88">
        <f ca="1">tblBaseCF[[#This Row],[SemiAnnualTotalPrem]]</f>
        <v>0</v>
      </c>
      <c r="GA88">
        <f ca="1">tblBaseCF[[#This Row],[QuarterlyTP]]</f>
        <v>0</v>
      </c>
      <c r="GB88">
        <f ca="1">tblBaseCF[[#This Row],[QuarterlyEP]]</f>
        <v>0</v>
      </c>
      <c r="GC88">
        <f ca="1">tblBaseCF[[#This Row],[QuarterlyEMLoad]]</f>
        <v>0</v>
      </c>
      <c r="GD88">
        <f ca="1">tblBaseCF[[#This Row],[QuarterlyPMLoad]]</f>
        <v>0</v>
      </c>
      <c r="GE88">
        <f ca="1">tblBaseCF[[#This Row],[QuarterlyLoad]]</f>
        <v>0</v>
      </c>
      <c r="GF88">
        <f ca="1">tblBaseCF[[#This Row],[QuarterlyTotalPrem]]</f>
        <v>0</v>
      </c>
      <c r="GG88">
        <f ca="1">tblBaseCF[[#This Row],[MonthlyTP]]</f>
        <v>0</v>
      </c>
      <c r="GH88">
        <f ca="1">tblBaseCF[[#This Row],[MonthlyEP]]</f>
        <v>0</v>
      </c>
      <c r="GI88">
        <f ca="1">tblBaseCF[[#This Row],[MonthlyEMLoad]]</f>
        <v>0</v>
      </c>
      <c r="GJ88">
        <f ca="1">tblBaseCF[[#This Row],[MonthlyPMLoad]]</f>
        <v>0</v>
      </c>
      <c r="GK88">
        <f ca="1">tblBaseCF[[#This Row],[MonthlyLoad]]</f>
        <v>0</v>
      </c>
      <c r="GL88">
        <f ca="1">tblBaseCF[[#This Row],[MonthlyTotalPrem]]</f>
        <v>0</v>
      </c>
      <c r="GO88" t="s">
        <v>134</v>
      </c>
      <c r="GP88" t="s">
        <v>135</v>
      </c>
      <c r="GQ88" t="s">
        <v>502</v>
      </c>
      <c r="GR88">
        <v>68</v>
      </c>
      <c r="GS88">
        <v>67</v>
      </c>
      <c r="GT88">
        <v>1</v>
      </c>
      <c r="GU88" t="s">
        <v>457</v>
      </c>
      <c r="GV88">
        <v>442785940.68956298</v>
      </c>
      <c r="GW88">
        <v>3862368458.1663699</v>
      </c>
      <c r="GX88">
        <v>4305154398.8559303</v>
      </c>
      <c r="GY88">
        <v>0</v>
      </c>
      <c r="GZ88">
        <v>4305154398.8559303</v>
      </c>
      <c r="HA88">
        <v>4305154398.8559303</v>
      </c>
      <c r="HB88">
        <v>0</v>
      </c>
      <c r="HC88">
        <v>0</v>
      </c>
      <c r="HD88" t="s">
        <v>137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7.0000000000000007E-2</v>
      </c>
      <c r="HX88">
        <v>0.96964931039809399</v>
      </c>
      <c r="HY88">
        <v>1</v>
      </c>
      <c r="HZ88">
        <v>300000</v>
      </c>
      <c r="IA88">
        <v>0</v>
      </c>
      <c r="IB88">
        <v>0</v>
      </c>
      <c r="IC88">
        <v>0</v>
      </c>
      <c r="ID88">
        <v>0</v>
      </c>
      <c r="IE88">
        <v>300000</v>
      </c>
      <c r="IF88">
        <v>290894.79311942798</v>
      </c>
      <c r="IG88">
        <v>290894.79311942798</v>
      </c>
      <c r="IH88">
        <v>0</v>
      </c>
      <c r="II88">
        <v>30974653.212751001</v>
      </c>
      <c r="IJ88">
        <v>270365792.07164598</v>
      </c>
      <c r="IK88">
        <v>0</v>
      </c>
      <c r="IL88">
        <v>0</v>
      </c>
      <c r="IM88">
        <v>0</v>
      </c>
      <c r="IN88">
        <v>473469699.10919398</v>
      </c>
      <c r="IO88">
        <v>4132734250.2380199</v>
      </c>
      <c r="IP88">
        <v>4606203949.3472099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</row>
    <row r="89" spans="2:268" customFormat="1" x14ac:dyDescent="0.25">
      <c r="B89" s="2">
        <f ca="1">OFFSET(tblBaseCF[[#This Row],[Year]],-1,0)+1</f>
        <v>69</v>
      </c>
      <c r="C89" s="2">
        <f ca="1">(tblBaseCF[[#This Row],[Year]]&lt;=term)*1</f>
        <v>1</v>
      </c>
      <c r="D89" s="57">
        <f ca="1">(YEAR(rcd)+tblBaseCF[[#This Row],[Year]]-1)
*tblBaseCF[[#This Row],[PolTermFlag]]</f>
        <v>2093</v>
      </c>
      <c r="E89" s="57">
        <f ca="1">(mainLI_entry_age+tblBaseCF[[#This Row],[Year]]-1)
*tblBaseCF[[#This Row],[PolTermFlag]]</f>
        <v>68</v>
      </c>
      <c r="F89" s="57">
        <f ca="1">IF(tblBaseCF[[#This Row],[Year]]=1,1,OFFSET(tblBaseCF[[#This Row],[DeductFlag]],-1,0))
*tblBaseCF[[#This Row],[PolTermFlag]]</f>
        <v>0</v>
      </c>
      <c r="G8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89" s="57">
        <f ca="1">(tblBaseCF[[#This Row],[Year]]&lt;=acc_ben_term)
*tblBaseCF[[#This Row],[ContFlag]]</f>
        <v>0</v>
      </c>
      <c r="I89" s="57">
        <f ca="1">(tblBaseCF[[#This Row],[Year]]&lt;=tp_term)
*tblBaseCF[[#This Row],[ContFlag]]</f>
        <v>0</v>
      </c>
      <c r="J89" s="57">
        <f ca="1">(tblBaseCF[[#This Row],[Year]]&lt;=ep_term)
*tblBaseCF[[#This Row],[ContFlag]]</f>
        <v>0</v>
      </c>
      <c r="K89" s="57">
        <f ca="1">(tblBaseCF[[#This Row],[Year]]&lt;=em_load_term)*1</f>
        <v>0</v>
      </c>
      <c r="L89" s="57">
        <f ca="1">(tblBaseCF[[#This Row],[Year]]&lt;=pm_load_term)*1</f>
        <v>0</v>
      </c>
      <c r="M89" s="59">
        <f ca="1">IF(tblBaseCF[[#This Row],[Year]]=1,si,OFFSET(tblBaseCF[[#This Row],[EndSI]],-1,0))
*tblBaseCF[[#This Row],[ContFlag]]</f>
        <v>0</v>
      </c>
      <c r="N89" s="59">
        <f ca="1">OFFSET(tblBaseCF[[#This Row],[EndTAV]],-1,0)
*tblBaseCF[[#This Row],[ContFlag]]</f>
        <v>0</v>
      </c>
      <c r="O89" s="59">
        <f ca="1">OFFSET(tblBaseCF[[#This Row],[EndEAV]],-1,0)
*tblBaseCF[[#This Row],[ContFlag]]</f>
        <v>0</v>
      </c>
      <c r="P89" s="60">
        <f ca="1">tblBaseCF[[#This Row],[StartEAV]]+tblBaseCF[[#This Row],[StartTAV]]</f>
        <v>0</v>
      </c>
      <c r="Q89" s="61">
        <f ca="1">IFERROR(INDEX(tblJuvenileLienRate[Rate],MATCH(tblBaseCF[[#This Row],[Age]],tblJuvenileLienRate[Age],0)),1)
*tblBaseCF[[#This Row],[ContFlag]]</f>
        <v>0</v>
      </c>
      <c r="R8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89" s="62">
        <f ca="1">tblBaseCF[[#This Row],[StartSI]]*acc_ben_coeff*tblBaseCF[[#This Row],[JuvenileLienRate]]
*tblBaseCF[[#This Row],[AccBenTermFlag]]</f>
        <v>0</v>
      </c>
      <c r="T89" s="61">
        <f ca="1">(IFERROR(INDEX(tblSurrChrgRate[Rate],MATCH(tblBaseCF[[#This Row],[Year]],tblSurrChrgRate[Year],0)),0)
*tblBaseCF[[#This Row],[ContFlag]])</f>
        <v>0</v>
      </c>
      <c r="U89" s="60">
        <f ca="1">tp*tblBaseCF[[#This Row],[SrrChrgRate]]</f>
        <v>0</v>
      </c>
      <c r="V89" s="63">
        <f ca="1">MAX(tblBaseCF[[#This Row],[StartTAV]]-tblBaseCF[[#This Row],[SVChrg]],0)+tblBaseCF[[#This Row],[StartEAV]]</f>
        <v>0</v>
      </c>
      <c r="W89" s="59">
        <f ca="1">IFERROR(INDEX(tblWithdrawal_Output[Amount],MATCH(tblBaseCF[[#This Row],[Year]],tblWithdrawal_Output[Year],0)),0)
*tblBaseCF[[#This Row],[ContFlag]]</f>
        <v>0</v>
      </c>
      <c r="X89" s="59" t="b">
        <f ca="1">tblBaseCF[[#This Row],[WithdrawalInput]]&gt;0</f>
        <v>0</v>
      </c>
      <c r="Y89" s="59" t="b">
        <f ca="1">AND(tblBaseCF[[#This Row],[1stCheckProceed]],tblBaseCF[[#This Row],[WithdrawalInput]]&lt;=tblBaseCF[[#This Row],[StartPAV]])</f>
        <v>0</v>
      </c>
      <c r="Z89" s="59" t="b">
        <f ca="1">AND(tblBaseCF[[#This Row],[2ndCheckAmount]],(tblBaseCF[[#This Row],[StartPAV]]-tblBaseCF[[#This Row],[WithdrawalInput]])&gt;=min_pav_after_withdrawal)</f>
        <v>0</v>
      </c>
      <c r="AA8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89" s="59" t="b">
        <f ca="1">AND(tblBaseCF[[#This Row],[3rdCheckPAV]],tblBaseCF[[#This Row],[endSITest]]&gt;=min_base_si)</f>
        <v>0</v>
      </c>
      <c r="AC89" s="60">
        <f ca="1">tblBaseCF[[#This Row],[WithdrawalInput]]*tblBaseCF[[#This Row],[4thCheckSI]]</f>
        <v>0</v>
      </c>
      <c r="AD89" s="60">
        <f ca="1">MIN(tblBaseCF[[#This Row],[Withdrawal]],tblBaseCF[[#This Row],[StartEAV]])</f>
        <v>0</v>
      </c>
      <c r="AE89" s="60">
        <f ca="1">tblBaseCF[[#This Row],[Withdrawal]]-tblBaseCF[[#This Row],[EAVWithdrawal]]</f>
        <v>0</v>
      </c>
      <c r="AF89" s="60">
        <f ca="1">IF(tblBaseCF[[#This Row],[4thCheckSI]],tblBaseCF[[#This Row],[endSITest]],tblBaseCF[[#This Row],[StartSI]])</f>
        <v>0</v>
      </c>
      <c r="AG8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89" s="65">
        <f ca="1">IFERROR(INDEX(tblTPAllocChrgRate[Rate],MATCH(tblBaseCF[[#This Row],[Year]],tblTPAllocChrgRate[Year],0)),0)</f>
        <v>0.02</v>
      </c>
      <c r="AI89" s="62">
        <f ca="1">(tp+big_case_bonus_tp*(tblBaseCF[[#This Row],[Year]]=1))
*tblBaseCF[[#This Row],[TPTermFlag]]</f>
        <v>0</v>
      </c>
      <c r="AJ89" s="63">
        <f ca="1">tblBaseCF[[#This Row],[TP]]*tblBaseCF[[#This Row],[TPAllocChrgRate]]</f>
        <v>0</v>
      </c>
      <c r="AK89" s="60">
        <f ca="1">tblBaseCF[[#This Row],[TP]]-tblBaseCF[[#This Row],[TPAllocChrg]]</f>
        <v>0</v>
      </c>
      <c r="AL89" s="65">
        <f ca="1">IFERROR(INDEX(tblEPAllocChrgRate[Rate],MATCH(tblBaseCF[[#This Row],[Year]],tblEPAllocChrgRate[Year],0)),0)</f>
        <v>0.02</v>
      </c>
      <c r="AM89" s="60">
        <f ca="1">ep*tblBaseCF[[#This Row],[EPTermFlag]]</f>
        <v>0</v>
      </c>
      <c r="AN89" s="60">
        <f ca="1">tblBaseCF[[#This Row],[EP]]*tblBaseCF[[#This Row],[EPAllocChrgRate]]</f>
        <v>0</v>
      </c>
      <c r="AO89" s="63">
        <f ca="1">tblBaseCF[[#This Row],[EP]]-tblBaseCF[[#This Row],[EPAllocChrg]]</f>
        <v>0</v>
      </c>
      <c r="AP89" s="62">
        <f ca="1">tblBaseCF[[#This Row],[Ben]]*extra_prem_rate*em_load/1000/(1-tblBaseCF[[#This Row],[EPAllocChrgRate]])
*tblBaseCF[[#This Row],[EMLoadTermFlag]]</f>
        <v>0</v>
      </c>
      <c r="AQ89" s="62">
        <f ca="1">tblBaseCF[[#This Row],[Ben]]*pm_load/1000/(1-tblBaseCF[[#This Row],[EPAllocChrgRate]])
*tblBaseCF[[#This Row],[PMLoadTermFlag]]</f>
        <v>0</v>
      </c>
      <c r="AR89" s="60">
        <f ca="1">ROUNDUP(tblBaseCF[[#This Row],[UnroundedEMLoad]],-3)</f>
        <v>0</v>
      </c>
      <c r="AS89" s="62">
        <f ca="1">ROUNDUP(tblBaseCF[[#This Row],[Ben]]*pm_load/1000/(1-tblBaseCF[[#This Row],[EPAllocChrgRate]]),-3)
*tblBaseCF[[#This Row],[PMLoadTermFlag]]</f>
        <v>0</v>
      </c>
      <c r="AT89" s="60">
        <f ca="1">tblBaseCF[[#This Row],[EMLoad]]+tblBaseCF[[#This Row],[PMLoad]]</f>
        <v>0</v>
      </c>
      <c r="AU89" s="60">
        <f ca="1">tblBaseCF[[#This Row],[Load]]*tblBaseCF[[#This Row],[EPAllocChrgRate]]</f>
        <v>0</v>
      </c>
      <c r="AV89" s="60">
        <f ca="1">tblBaseCF[[#This Row],[Load]]-tblBaseCF[[#This Row],[LoadAllocChrg]]</f>
        <v>0</v>
      </c>
      <c r="AW89" s="60">
        <f ca="1">tblBaseCF[[#This Row],[TP]]+tblBaseCF[[#This Row],[EP]]+tblBaseCF[[#This Row],[Load]]</f>
        <v>0</v>
      </c>
      <c r="AX89" s="60">
        <f ca="1">tblBaseCF[[#This Row],[TPAllocChrg]]+tblBaseCF[[#This Row],[EPAllocChrg]]+tblBaseCF[[#This Row],[LoadAllocChrg]]</f>
        <v>0</v>
      </c>
      <c r="AY89" s="60">
        <f ca="1">tblBaseCF[[#This Row],[TPAlloc]]+tblBaseCF[[#This Row],[EPAlloc]]+tblBaseCF[[#This Row],[LoadAlloc]]</f>
        <v>0</v>
      </c>
      <c r="AZ89" s="60">
        <f ca="1">(OFFSET(tblBaseCF[[#This Row],[AccumTotalPrem]],-1,0)+tblBaseCF[[#This Row],[TotalPrem]])*tblBaseCF[[#This Row],[TPTermFlag]]</f>
        <v>0</v>
      </c>
      <c r="BA89" s="62">
        <f ca="1">(tblBaseCF[[#This Row],[StartTAV]]-tblBaseCF[[#This Row],[TAVWithdrawal]]+tblBaseCF[[#This Row],[TPAlloc]])
*tblBaseCF[[#This Row],[ContFlag]]</f>
        <v>0</v>
      </c>
      <c r="BB89" s="59">
        <f ca="1">(tblBaseCF[[#This Row],[StartEAV]]-tblBaseCF[[#This Row],[EAVWithdrawal]]+tblBaseCF[[#This Row],[EPAlloc]]+tblBaseCF[[#This Row],[LoadAlloc]])
*tblBaseCF[[#This Row],[ContFlag]]</f>
        <v>0</v>
      </c>
      <c r="BC89" s="59">
        <f ca="1">tblBaseCF[[#This Row],[TAVAfterWdrlAlloc]]+tblBaseCF[[#This Row],[EAVAfterWdrlAlloc]]</f>
        <v>0</v>
      </c>
      <c r="BD89" s="66">
        <f t="shared" si="10"/>
        <v>0</v>
      </c>
      <c r="BE89" s="67">
        <f>(1+tblBaseCF[[#This Row],[AnnualIntRate]])^(1/12)-1</f>
        <v>0</v>
      </c>
      <c r="BF89" s="68">
        <f>IFERROR(((1+tblBaseCF[[#This Row],[MonthlyIntRate]])^12-1)/12/(1-1/(1+tblBaseCF[[#This Row],[MonthlyIntRate]])),1)/(1+tblBaseCF[[#This Row],[AnnualIntRate]])</f>
        <v>1</v>
      </c>
      <c r="BG89" s="69">
        <f>PV(tblBaseCF[[#This Row],[MonthlyIntRate]],12,-1/12,,1)</f>
        <v>1</v>
      </c>
      <c r="BH89" s="60">
        <f ca="1">MAX(IF(death_tpd_option="A",tblBaseCF[[#This Row],[Ben]]-tblBaseCF[[#This Row],[StartPAV]],tblBaseCF[[#This Row],[Ben]]),0)</f>
        <v>0</v>
      </c>
      <c r="BI89" s="70">
        <f ca="1">IFERROR(INDEX(tblBaseCOIRate[Rate],MATCH(tblBaseCF[[#This Row],[Age]],tblBaseCOIRate[Age],0)),0)</f>
        <v>1.959E-2</v>
      </c>
      <c r="BJ89" s="60">
        <f ca="1">tblBaseCF[[#This Row],[SAR]]*tblBaseCF[[#This Row],[COIRate]]</f>
        <v>0</v>
      </c>
      <c r="BK89" s="62">
        <f ca="1">em_load*tblBaseCF[[#This Row],[pStandardCOI]]
*tblBaseCF[[#This Row],[EMLoadTermFlag]]</f>
        <v>0</v>
      </c>
      <c r="BL89" s="62">
        <f ca="1">pm_load/1000*tblBaseCF[[#This Row],[SAR]]
*tblBaseCF[[#This Row],[PMLoadTermFlag]]</f>
        <v>0</v>
      </c>
      <c r="BM89" s="60">
        <f ca="1">tblBaseCF[[#This Row],[AccBen]]*monthly_acc_coi*12</f>
        <v>0</v>
      </c>
      <c r="BN89" s="60">
        <f ca="1">tblBaseCF[[#This Row],[pStandardCOI]]+tblBaseCF[[#This Row],[pEMLoadCOI]]+tblBaseCF[[#This Row],[pPMLoadCOI]]+tblBaseCF[[#This Row],[pAccCOI]]</f>
        <v>0</v>
      </c>
      <c r="BO89" s="62">
        <f ca="1">IFERROR(INDEX(tblAdminChrg[Amount],MATCH(tblBaseCF[[#This Row],[CalYear]],tblAdminChrg[Cal_Year],0)),0)
*tblBaseCF[[#This Row],[ContFlag]]</f>
        <v>0</v>
      </c>
      <c r="BP89" s="60">
        <f ca="1">tblBaseCF[[#This Row],[pMonthlyAdminChrg]]*12</f>
        <v>0</v>
      </c>
      <c r="BQ89" s="60">
        <f ca="1">tblBaseCF[[#This Row],[pCOI]]+tblBaseCF[[#This Row],[pAdminChrg]]</f>
        <v>0</v>
      </c>
      <c r="BR89" s="60">
        <f ca="1">tblBaseCF[[#This Row],[pNomDeduct]]*tblBaseCF[[#This Row],[Duean1m12]]</f>
        <v>0</v>
      </c>
      <c r="BS89" s="57">
        <f ca="1">(tblBaseCF[[#This Row],[PAVAfterWdrlAlloc]]&gt;=tblBaseCF[[#This Row],[pNomDeduct]])
*tblBaseCF[[#This Row],[ContFlag]]</f>
        <v>0</v>
      </c>
      <c r="BT89" s="60">
        <f ca="1">tblBaseCF[[#This Row],[pStandardCOI]]*tblBaseCF[[#This Row],[DeductFlag]]</f>
        <v>0</v>
      </c>
      <c r="BU89" s="60">
        <f ca="1">tblBaseCF[[#This Row],[pEMLoadCOI]]*tblBaseCF[[#This Row],[DeductFlag]]</f>
        <v>0</v>
      </c>
      <c r="BV89" s="60">
        <f ca="1">tblBaseCF[[#This Row],[pPMLoadCOI]]*tblBaseCF[[#This Row],[DeductFlag]]</f>
        <v>0</v>
      </c>
      <c r="BW89" s="60">
        <f ca="1">tblBaseCF[[#This Row],[pAccCOI]]*tblBaseCF[[#This Row],[DeductFlag]]</f>
        <v>0</v>
      </c>
      <c r="BX89" s="60">
        <f ca="1">tblBaseCF[[#This Row],[pCOI]]*tblBaseCF[[#This Row],[DeductFlag]]</f>
        <v>0</v>
      </c>
      <c r="BY89" s="60">
        <f ca="1">tblBaseCF[[#This Row],[pMonthlyAdminChrg]]*tblBaseCF[[#This Row],[DeductFlag]]</f>
        <v>0</v>
      </c>
      <c r="BZ89" s="60">
        <f ca="1">tblBaseCF[[#This Row],[pAdminChrg]]*tblBaseCF[[#This Row],[DeductFlag]]</f>
        <v>0</v>
      </c>
      <c r="CA89" s="60">
        <f ca="1">tblBaseCF[[#This Row],[pNomDeduct]]*tblBaseCF[[#This Row],[DeductFlag]]</f>
        <v>0</v>
      </c>
      <c r="CB89" s="60">
        <f ca="1">tblBaseCF[[#This Row],[pDeduct]]*tblBaseCF[[#This Row],[DeductFlag]]</f>
        <v>0</v>
      </c>
      <c r="CC89" s="60">
        <f ca="1">MIN(tblBaseCF[[#This Row],[TAVAfterWdrlAlloc]],tblBaseCF[[#This Row],[Deduct]])</f>
        <v>0</v>
      </c>
      <c r="CD89" s="60">
        <f ca="1">tblBaseCF[[#This Row],[Deduct]]-tblBaseCF[[#This Row],[TAVDeduct]]</f>
        <v>0</v>
      </c>
      <c r="CE89" s="69">
        <f ca="1">(tblBaseCF[[#This Row],[TAVAfterWdrlAlloc]]-tblBaseCF[[#This Row],[TAVDeduct]])*tblBaseCF[[#This Row],[AnnualIntRate]]
*tblBaseCF[[#This Row],[DeductFlag]]</f>
        <v>0</v>
      </c>
      <c r="CF89" s="69">
        <f ca="1">(tblBaseCF[[#This Row],[EAVAfterWdrlAlloc]]-tblBaseCF[[#This Row],[EAVDeduct]])*tblBaseCF[[#This Row],[AnnualIntRate]]
*tblBaseCF[[#This Row],[DeductFlag]]</f>
        <v>0</v>
      </c>
      <c r="CG89" s="69">
        <f ca="1">tblBaseCF[[#This Row],[TAVInt]]+tblBaseCF[[#This Row],[EAVInt]]</f>
        <v>0</v>
      </c>
      <c r="CH89" s="62">
        <f ca="1">IFERROR(INDEX(tblLBRate[Rate],MATCH(tblBaseCF[[#This Row],[Year]],tblLBRate[Year],0)),0)
*tblBaseCF[[#This Row],[DeductFlag]]</f>
        <v>0</v>
      </c>
      <c r="CI89" s="60">
        <f ca="1">IFERROR(SUM(OFFSET(tblBaseCF[[#This Row],[TAVWithdrawal]],0,0,-lb_review_period,1)),0)
*(tblBaseCF[[#This Row],[LBRate]]&gt;0)</f>
        <v>0</v>
      </c>
      <c r="CJ89" s="60">
        <f ca="1">(tblBaseCF[[#This Row],[LBRate]]&gt;0)*(tblBaseCF[[#This Row],[LBTAVWithdrawal]]=0)</f>
        <v>0</v>
      </c>
      <c r="CK89" s="62" cm="1">
        <f t="array" aca="1" ref="CK89" ca="1">IF(tblBaseCF[[#This Row],[LBFlag]],
_xlfn.SWITCH(base,
"ILP1",AVERAGE(OFFSET(tblBaseCF[TP],0,0,-lb_review_period,1)),tp),0)
*tblBaseCF[[#This Row],[LBFlag]]</f>
        <v>0</v>
      </c>
      <c r="CL89" s="62">
        <f ca="1">tblBaseCF[[#This Row],[LBBasis]]*tblBaseCF[[#This Row],[LBRate]]</f>
        <v>0</v>
      </c>
      <c r="CM89" s="57" cm="1">
        <f t="array" aca="1" ref="CM89" ca="1">_xlfn.SWITCH(base,
"ILP1",0,($AF189&lt;500000000)*1
+($AF189&gt;=500000000)*($AF189&lt;1000000000)*2
+($AF189&gt;=1000000000)*3)
*tblBaseCF[[#This Row],[DeductFlag]]</f>
        <v>0</v>
      </c>
      <c r="CN89" s="2" t="str">
        <f ca="1">IF(tblBaseCF[[#This Row],[DeductFlag]],base&amp;"_"&amp;tblBaseCF[[#This Row],[SBCode]]&amp;"_"&amp;tblBaseCF[[#This Row],[Year]],"")</f>
        <v/>
      </c>
      <c r="CO89" s="3">
        <f ca="1">IFERROR(INDEX(tblSBRate[Index],MATCH(tblBaseCF[[#This Row],[SBIndex]],tblSBRate[Rate],0)),0)</f>
        <v>0</v>
      </c>
      <c r="CP89" s="63">
        <f ca="1">IFERROR(SUM(OFFSET(tblBaseCF[[#This Row],[TAVWithdrawal]],0,0,-sb_review_period,1)),0)
*(tblBaseCF[[#This Row],[SBRate]]&gt;0)</f>
        <v>0</v>
      </c>
      <c r="CQ89" s="63">
        <f ca="1">(tblBaseCF[[#This Row],[SBRate]]&gt;0)*(tblBaseCF[[#This Row],[SBTAVWithdrawal]]=0)</f>
        <v>0</v>
      </c>
      <c r="CR89" s="59" cm="1">
        <f t="array" aca="1" ref="CR89" ca="1">IF(tblBaseCF[[#This Row],[LBFlag]],
_xlfn.SWITCH(base,
"ILP1",0,tp),0)*tblBaseCF[[#This Row],[SBFlag]]</f>
        <v>0</v>
      </c>
      <c r="CS89" s="63">
        <f ca="1">tblBaseCF[[#This Row],[SBBasis]]*tblBaseCF[[#This Row],[SBRate]]</f>
        <v>0</v>
      </c>
      <c r="CT89" s="63">
        <f ca="1">tblBaseCF[[#This Row],[LB]]+tblBaseCF[[#This Row],[SB]]</f>
        <v>0</v>
      </c>
      <c r="CU89" s="59">
        <f ca="1">tblBaseCF[[#This Row],[TAVAfterWdrlAlloc]]-tblBaseCF[[#This Row],[TAVDeduct]]+tblBaseCF[[#This Row],[TAVInt]]+tblBaseCF[[#This Row],[Bonus]]</f>
        <v>0</v>
      </c>
      <c r="CV89" s="59">
        <f ca="1">tblBaseCF[[#This Row],[EAVAfterWdrlAlloc]]-tblBaseCF[[#This Row],[EAVDeduct]]+tblBaseCF[[#This Row],[EAVInt]]</f>
        <v>0</v>
      </c>
      <c r="CW89" s="63">
        <f ca="1">tblBaseCF[[#This Row],[EndTAV]]+tblBaseCF[[#This Row],[EndEAV]]</f>
        <v>0</v>
      </c>
      <c r="CX89" s="59">
        <f ca="1">INDEX(tblPlanPrem[TP],2)
*tblBaseCF[[#This Row],[TPTermFlag]]</f>
        <v>0</v>
      </c>
      <c r="CY89" s="59">
        <f ca="1">INDEX(tblPlanPrem[EP],2)
*tblBaseCF[[#This Row],[TPTermFlag]]</f>
        <v>0</v>
      </c>
      <c r="CZ89" s="63">
        <f ca="1">ROUNDUP(tblBaseCF[[#This Row],[UnroundedEMLoad]]*INDEX(tblPlanPrem[Factor],2),-3)</f>
        <v>0</v>
      </c>
      <c r="DA89" s="63">
        <f ca="1">ROUNDUP(tblBaseCF[[#This Row],[UnroundedPMLoad]]*INDEX(tblPlanPrem[Factor],2),-3)</f>
        <v>0</v>
      </c>
      <c r="DB89" s="63">
        <f ca="1">tblBaseCF[[#This Row],[SemiAnnualEMLoad]]+tblBaseCF[[#This Row],[SemiAnnualPMLoad]]</f>
        <v>0</v>
      </c>
      <c r="DC89" s="63">
        <f ca="1">tblBaseCF[[#This Row],[SemiAnnualTP]]+tblBaseCF[[#This Row],[SemiAnnualEP]]+tblBaseCF[[#This Row],[SemiAnnualLoad]]</f>
        <v>0</v>
      </c>
      <c r="DD89" s="59">
        <f ca="1">INDEX(tblPlanPrem[TP],3)
*tblBaseCF[[#This Row],[TPTermFlag]]</f>
        <v>0</v>
      </c>
      <c r="DE89" s="59">
        <f ca="1">INDEX(tblPlanPrem[EP],3)
*tblBaseCF[[#This Row],[TPTermFlag]]</f>
        <v>0</v>
      </c>
      <c r="DF89" s="63">
        <f ca="1">ROUNDUP(tblBaseCF[[#This Row],[UnroundedEMLoad]]*INDEX(tblPlanPrem[Factor],3),-3)</f>
        <v>0</v>
      </c>
      <c r="DG89" s="63">
        <f ca="1">ROUNDUP(tblBaseCF[[#This Row],[UnroundedPMLoad]]*INDEX(tblPlanPrem[Factor],3),-3)</f>
        <v>0</v>
      </c>
      <c r="DH89" s="60">
        <f ca="1">tblBaseCF[[#This Row],[QuarterlyEMLoad]]+tblBaseCF[[#This Row],[QuarterlyPMLoad]]</f>
        <v>0</v>
      </c>
      <c r="DI89" s="60">
        <f ca="1">tblBaseCF[[#This Row],[QuarterlyTP]]+tblBaseCF[[#This Row],[QuarterlyEP]]+tblBaseCF[[#This Row],[QuarterlyLoad]]</f>
        <v>0</v>
      </c>
      <c r="DJ89" s="59">
        <f ca="1">INDEX(tblPlanPrem[TP],4)
*tblBaseCF[[#This Row],[TPTermFlag]]</f>
        <v>0</v>
      </c>
      <c r="DK89" s="59">
        <f ca="1">INDEX(tblPlanPrem[EP],4)
*tblBaseCF[[#This Row],[TPTermFlag]]</f>
        <v>0</v>
      </c>
      <c r="DL89" s="63">
        <f ca="1">ROUNDUP(tblBaseCF[[#This Row],[UnroundedEMLoad]]*INDEX(tblPlanPrem[Factor],4),-3)</f>
        <v>0</v>
      </c>
      <c r="DM89" s="63">
        <f ca="1">ROUNDUP(tblBaseCF[[#This Row],[UnroundedPMLoad]]*INDEX(tblPlanPrem[Factor],4),-3)</f>
        <v>0</v>
      </c>
      <c r="DN89" s="60">
        <f ca="1">tblBaseCF[[#This Row],[MonthlyEMLoad]]+tblBaseCF[[#This Row],[MonthlyPMLoad]]</f>
        <v>0</v>
      </c>
      <c r="DO89" s="63">
        <f ca="1">tblBaseCF[[#This Row],[MonthlyTP]]+tblBaseCF[[#This Row],[MonthlyEP]]+tblBaseCF[[#This Row],[MonthlyLoad]]</f>
        <v>0</v>
      </c>
      <c r="DP89" s="3"/>
      <c r="DS89">
        <f t="shared" si="11"/>
        <v>0</v>
      </c>
      <c r="DT89">
        <f t="shared" si="12"/>
        <v>0</v>
      </c>
      <c r="DU89">
        <f t="shared" si="13"/>
        <v>0</v>
      </c>
      <c r="DV89">
        <f ca="1">tblBaseCF[[#This Row],[Year]]</f>
        <v>69</v>
      </c>
      <c r="DW89">
        <f ca="1">tblBaseCF[[#This Row],[Age]]</f>
        <v>68</v>
      </c>
      <c r="DX89">
        <f ca="1">tblBaseCF[[#This Row],[ContFlag]]</f>
        <v>0</v>
      </c>
      <c r="DY89" t="str">
        <f ca="1">tblBaseCF[[#This Row],[ContLog]]</f>
        <v>Insufficient PAV for deduction - Discontinue.</v>
      </c>
      <c r="DZ89">
        <f ca="1">tblBaseCF[[#This Row],[StartTAV]]</f>
        <v>0</v>
      </c>
      <c r="EA89">
        <f ca="1">tblBaseCF[[#This Row],[StartEAV]]</f>
        <v>0</v>
      </c>
      <c r="EB89">
        <f ca="1">tblBaseCF[[#This Row],[StartPAV]]</f>
        <v>0</v>
      </c>
      <c r="EC89">
        <f ca="1">tblBaseCF[[#This Row],[SVChrg]]</f>
        <v>0</v>
      </c>
      <c r="ED89">
        <f ca="1">tblBaseCF[[#This Row],[SV]]</f>
        <v>0</v>
      </c>
      <c r="EE89">
        <f ca="1">tblBaseCF[[#This Row],[Ben]]</f>
        <v>0</v>
      </c>
      <c r="EF89">
        <f ca="1">tblBaseCF[[#This Row],[AccBen]]</f>
        <v>0</v>
      </c>
      <c r="EG89">
        <f ca="1">tblBaseCF[[#This Row],[WithdrawalInput]]</f>
        <v>0</v>
      </c>
      <c r="EH89" t="str">
        <f ca="1">tblBaseCF[[#This Row],[WithdrawalLog]]</f>
        <v>No withdrawal.</v>
      </c>
      <c r="EI89">
        <f ca="1">tblBaseCF[[#This Row],[TAVWithdrawal]]</f>
        <v>0</v>
      </c>
      <c r="EJ89">
        <f ca="1">tblBaseCF[[#This Row],[EAVWithdrawal]]</f>
        <v>0</v>
      </c>
      <c r="EK89">
        <f ca="1">tblBaseCF[[#This Row],[Withdrawal]]</f>
        <v>0</v>
      </c>
      <c r="EL89">
        <f ca="1">tblBaseCF[[#This Row],[TP]]</f>
        <v>0</v>
      </c>
      <c r="EM89">
        <f ca="1">tblBaseCF[[#This Row],[TPAllocChrg]]</f>
        <v>0</v>
      </c>
      <c r="EN89">
        <f ca="1">tblBaseCF[[#This Row],[TPAlloc]]</f>
        <v>0</v>
      </c>
      <c r="EO89">
        <f ca="1">tblBaseCF[[#This Row],[EP]]</f>
        <v>0</v>
      </c>
      <c r="EP89">
        <f ca="1">tblBaseCF[[#This Row],[EPAllocChrg]]</f>
        <v>0</v>
      </c>
      <c r="EQ89">
        <f ca="1">tblBaseCF[[#This Row],[EPAlloc]]</f>
        <v>0</v>
      </c>
      <c r="ER89">
        <f ca="1">tblBaseCF[[#This Row],[EMLoad]]</f>
        <v>0</v>
      </c>
      <c r="ES89">
        <f ca="1">tblBaseCF[[#This Row],[PMLoad]]</f>
        <v>0</v>
      </c>
      <c r="ET89">
        <f ca="1">tblBaseCF[[#This Row],[Load]]</f>
        <v>0</v>
      </c>
      <c r="EU89">
        <f ca="1">tblBaseCF[[#This Row],[LoadAllocChrg]]</f>
        <v>0</v>
      </c>
      <c r="EV89">
        <f ca="1">tblBaseCF[[#This Row],[LoadAlloc]]</f>
        <v>0</v>
      </c>
      <c r="EW89">
        <f ca="1">tblBaseCF[[#This Row],[TotalPrem]]</f>
        <v>0</v>
      </c>
      <c r="EX89">
        <f ca="1">tblBaseCF[[#This Row],[AllocChrg]]</f>
        <v>0</v>
      </c>
      <c r="EY89">
        <f ca="1">tblBaseCF[[#This Row],[Alloc]]</f>
        <v>0</v>
      </c>
      <c r="EZ89">
        <f ca="1">tblBaseCF[[#This Row],[AccumTotalPrem]]</f>
        <v>0</v>
      </c>
      <c r="FA89">
        <f>tblBaseCF[[#This Row],[AnnualIntRate]]</f>
        <v>0</v>
      </c>
      <c r="FB89" s="50">
        <f>tblBaseCF[[#This Row],[Duean1m12]]</f>
        <v>1</v>
      </c>
      <c r="FC89">
        <f ca="1">tblBaseCF[[#This Row],[DeductFlag]]</f>
        <v>0</v>
      </c>
      <c r="FD89">
        <f ca="1">tblBaseCF[[#This Row],[AdminChrg]]</f>
        <v>0</v>
      </c>
      <c r="FE89">
        <f ca="1">tblBaseCF[[#This Row],[StandardCOI]]</f>
        <v>0</v>
      </c>
      <c r="FF89">
        <f ca="1">tblBaseCF[[#This Row],[EMLoadCOI]]</f>
        <v>0</v>
      </c>
      <c r="FG89">
        <f ca="1">tblBaseCF[[#This Row],[PMLoadCOI]]</f>
        <v>0</v>
      </c>
      <c r="FH89">
        <f ca="1">tblBaseCF[[#This Row],[COI]]</f>
        <v>0</v>
      </c>
      <c r="FI89" s="47">
        <f ca="1">tblBaseCF[[#This Row],[NomDeduct]]</f>
        <v>0</v>
      </c>
      <c r="FJ89">
        <f ca="1">tblBaseCF[[#This Row],[Deduct]]</f>
        <v>0</v>
      </c>
      <c r="FK89">
        <f ca="1">tblBaseCF[[#This Row],[TAVDeduct]]</f>
        <v>0</v>
      </c>
      <c r="FL89">
        <f ca="1">tblBaseCF[[#This Row],[EAVDeduct]]</f>
        <v>0</v>
      </c>
      <c r="FM89" s="24">
        <f ca="1">tblBaseCF[[#This Row],[TAVInt]]</f>
        <v>0</v>
      </c>
      <c r="FN89">
        <f ca="1">tblBaseCF[[#This Row],[EAVInt]]</f>
        <v>0</v>
      </c>
      <c r="FO89" s="47">
        <f ca="1">tblBaseCF[[#This Row],[LB]]</f>
        <v>0</v>
      </c>
      <c r="FP89">
        <f ca="1">tblBaseCF[[#This Row],[SB]]</f>
        <v>0</v>
      </c>
      <c r="FQ89">
        <f ca="1">tblBaseCF[[#This Row],[Bonus]]</f>
        <v>0</v>
      </c>
      <c r="FR89">
        <f ca="1">tblBaseCF[[#This Row],[EndTAV]]</f>
        <v>0</v>
      </c>
      <c r="FS89">
        <f ca="1">tblBaseCF[[#This Row],[EndEAV]]</f>
        <v>0</v>
      </c>
      <c r="FT89">
        <f ca="1">tblBaseCF[[#This Row],[EndPAV]]</f>
        <v>0</v>
      </c>
      <c r="FU89">
        <f ca="1">tblBaseCF[[#This Row],[SemiAnnualTP]]</f>
        <v>0</v>
      </c>
      <c r="FV89">
        <f ca="1">tblBaseCF[[#This Row],[SemiAnnualEP]]</f>
        <v>0</v>
      </c>
      <c r="FW89">
        <f ca="1">tblBaseCF[[#This Row],[SemiAnnualEMLoad]]</f>
        <v>0</v>
      </c>
      <c r="FX89">
        <f ca="1">tblBaseCF[[#This Row],[SemiAnnualPMLoad]]</f>
        <v>0</v>
      </c>
      <c r="FY89">
        <f ca="1">tblBaseCF[[#This Row],[SemiAnnualLoad]]</f>
        <v>0</v>
      </c>
      <c r="FZ89">
        <f ca="1">tblBaseCF[[#This Row],[SemiAnnualTotalPrem]]</f>
        <v>0</v>
      </c>
      <c r="GA89">
        <f ca="1">tblBaseCF[[#This Row],[QuarterlyTP]]</f>
        <v>0</v>
      </c>
      <c r="GB89">
        <f ca="1">tblBaseCF[[#This Row],[QuarterlyEP]]</f>
        <v>0</v>
      </c>
      <c r="GC89">
        <f ca="1">tblBaseCF[[#This Row],[QuarterlyEMLoad]]</f>
        <v>0</v>
      </c>
      <c r="GD89">
        <f ca="1">tblBaseCF[[#This Row],[QuarterlyPMLoad]]</f>
        <v>0</v>
      </c>
      <c r="GE89">
        <f ca="1">tblBaseCF[[#This Row],[QuarterlyLoad]]</f>
        <v>0</v>
      </c>
      <c r="GF89">
        <f ca="1">tblBaseCF[[#This Row],[QuarterlyTotalPrem]]</f>
        <v>0</v>
      </c>
      <c r="GG89">
        <f ca="1">tblBaseCF[[#This Row],[MonthlyTP]]</f>
        <v>0</v>
      </c>
      <c r="GH89">
        <f ca="1">tblBaseCF[[#This Row],[MonthlyEP]]</f>
        <v>0</v>
      </c>
      <c r="GI89">
        <f ca="1">tblBaseCF[[#This Row],[MonthlyEMLoad]]</f>
        <v>0</v>
      </c>
      <c r="GJ89">
        <f ca="1">tblBaseCF[[#This Row],[MonthlyPMLoad]]</f>
        <v>0</v>
      </c>
      <c r="GK89">
        <f ca="1">tblBaseCF[[#This Row],[MonthlyLoad]]</f>
        <v>0</v>
      </c>
      <c r="GL89">
        <f ca="1">tblBaseCF[[#This Row],[MonthlyTotalPrem]]</f>
        <v>0</v>
      </c>
      <c r="GO89" t="s">
        <v>134</v>
      </c>
      <c r="GP89" t="s">
        <v>135</v>
      </c>
      <c r="GQ89" t="s">
        <v>502</v>
      </c>
      <c r="GR89">
        <v>69</v>
      </c>
      <c r="GS89">
        <v>68</v>
      </c>
      <c r="GT89">
        <v>1</v>
      </c>
      <c r="GU89" t="s">
        <v>457</v>
      </c>
      <c r="GV89">
        <v>473469699.10919398</v>
      </c>
      <c r="GW89">
        <v>4132734250.2380199</v>
      </c>
      <c r="GX89">
        <v>4606203949.3472099</v>
      </c>
      <c r="GY89">
        <v>0</v>
      </c>
      <c r="GZ89">
        <v>4606203949.3472099</v>
      </c>
      <c r="HA89">
        <v>4606203949.3472099</v>
      </c>
      <c r="HB89">
        <v>0</v>
      </c>
      <c r="HC89">
        <v>0</v>
      </c>
      <c r="HD89" t="s">
        <v>137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7.0000000000000007E-2</v>
      </c>
      <c r="HX89">
        <v>0.96964931039809399</v>
      </c>
      <c r="HY89">
        <v>1</v>
      </c>
      <c r="HZ89">
        <v>300000</v>
      </c>
      <c r="IA89">
        <v>0</v>
      </c>
      <c r="IB89">
        <v>0</v>
      </c>
      <c r="IC89">
        <v>0</v>
      </c>
      <c r="ID89">
        <v>0</v>
      </c>
      <c r="IE89">
        <v>300000</v>
      </c>
      <c r="IF89">
        <v>290894.79311942798</v>
      </c>
      <c r="IG89">
        <v>290894.79311942798</v>
      </c>
      <c r="IH89">
        <v>0</v>
      </c>
      <c r="II89">
        <v>33122516.302125201</v>
      </c>
      <c r="IJ89">
        <v>289291397.51666099</v>
      </c>
      <c r="IK89">
        <v>0</v>
      </c>
      <c r="IL89">
        <v>0</v>
      </c>
      <c r="IM89">
        <v>0</v>
      </c>
      <c r="IN89">
        <v>506301320.6182</v>
      </c>
      <c r="IO89">
        <v>4422025647.7546797</v>
      </c>
      <c r="IP89">
        <v>4928326968.37288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</row>
    <row r="90" spans="2:268" customFormat="1" x14ac:dyDescent="0.25">
      <c r="B90" s="2">
        <f ca="1">OFFSET(tblBaseCF[[#This Row],[Year]],-1,0)+1</f>
        <v>70</v>
      </c>
      <c r="C90" s="2">
        <f ca="1">(tblBaseCF[[#This Row],[Year]]&lt;=term)*1</f>
        <v>1</v>
      </c>
      <c r="D90" s="57">
        <f ca="1">(YEAR(rcd)+tblBaseCF[[#This Row],[Year]]-1)
*tblBaseCF[[#This Row],[PolTermFlag]]</f>
        <v>2094</v>
      </c>
      <c r="E90" s="57">
        <f ca="1">(mainLI_entry_age+tblBaseCF[[#This Row],[Year]]-1)
*tblBaseCF[[#This Row],[PolTermFlag]]</f>
        <v>69</v>
      </c>
      <c r="F90" s="57">
        <f ca="1">IF(tblBaseCF[[#This Row],[Year]]=1,1,OFFSET(tblBaseCF[[#This Row],[DeductFlag]],-1,0))
*tblBaseCF[[#This Row],[PolTermFlag]]</f>
        <v>0</v>
      </c>
      <c r="G9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0" s="57">
        <f ca="1">(tblBaseCF[[#This Row],[Year]]&lt;=acc_ben_term)
*tblBaseCF[[#This Row],[ContFlag]]</f>
        <v>0</v>
      </c>
      <c r="I90" s="57">
        <f ca="1">(tblBaseCF[[#This Row],[Year]]&lt;=tp_term)
*tblBaseCF[[#This Row],[ContFlag]]</f>
        <v>0</v>
      </c>
      <c r="J90" s="57">
        <f ca="1">(tblBaseCF[[#This Row],[Year]]&lt;=ep_term)
*tblBaseCF[[#This Row],[ContFlag]]</f>
        <v>0</v>
      </c>
      <c r="K90" s="57">
        <f ca="1">(tblBaseCF[[#This Row],[Year]]&lt;=em_load_term)*1</f>
        <v>0</v>
      </c>
      <c r="L90" s="57">
        <f ca="1">(tblBaseCF[[#This Row],[Year]]&lt;=pm_load_term)*1</f>
        <v>0</v>
      </c>
      <c r="M90" s="59">
        <f ca="1">IF(tblBaseCF[[#This Row],[Year]]=1,si,OFFSET(tblBaseCF[[#This Row],[EndSI]],-1,0))
*tblBaseCF[[#This Row],[ContFlag]]</f>
        <v>0</v>
      </c>
      <c r="N90" s="59">
        <f ca="1">OFFSET(tblBaseCF[[#This Row],[EndTAV]],-1,0)
*tblBaseCF[[#This Row],[ContFlag]]</f>
        <v>0</v>
      </c>
      <c r="O90" s="59">
        <f ca="1">OFFSET(tblBaseCF[[#This Row],[EndEAV]],-1,0)
*tblBaseCF[[#This Row],[ContFlag]]</f>
        <v>0</v>
      </c>
      <c r="P90" s="60">
        <f ca="1">tblBaseCF[[#This Row],[StartEAV]]+tblBaseCF[[#This Row],[StartTAV]]</f>
        <v>0</v>
      </c>
      <c r="Q90" s="61">
        <f ca="1">IFERROR(INDEX(tblJuvenileLienRate[Rate],MATCH(tblBaseCF[[#This Row],[Age]],tblJuvenileLienRate[Age],0)),1)
*tblBaseCF[[#This Row],[ContFlag]]</f>
        <v>0</v>
      </c>
      <c r="R9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0" s="62">
        <f ca="1">tblBaseCF[[#This Row],[StartSI]]*acc_ben_coeff*tblBaseCF[[#This Row],[JuvenileLienRate]]
*tblBaseCF[[#This Row],[AccBenTermFlag]]</f>
        <v>0</v>
      </c>
      <c r="T90" s="61">
        <f ca="1">(IFERROR(INDEX(tblSurrChrgRate[Rate],MATCH(tblBaseCF[[#This Row],[Year]],tblSurrChrgRate[Year],0)),0)
*tblBaseCF[[#This Row],[ContFlag]])</f>
        <v>0</v>
      </c>
      <c r="U90" s="60">
        <f ca="1">tp*tblBaseCF[[#This Row],[SrrChrgRate]]</f>
        <v>0</v>
      </c>
      <c r="V90" s="63">
        <f ca="1">MAX(tblBaseCF[[#This Row],[StartTAV]]-tblBaseCF[[#This Row],[SVChrg]],0)+tblBaseCF[[#This Row],[StartEAV]]</f>
        <v>0</v>
      </c>
      <c r="W90" s="59">
        <f ca="1">IFERROR(INDEX(tblWithdrawal_Output[Amount],MATCH(tblBaseCF[[#This Row],[Year]],tblWithdrawal_Output[Year],0)),0)
*tblBaseCF[[#This Row],[ContFlag]]</f>
        <v>0</v>
      </c>
      <c r="X90" s="59" t="b">
        <f ca="1">tblBaseCF[[#This Row],[WithdrawalInput]]&gt;0</f>
        <v>0</v>
      </c>
      <c r="Y90" s="59" t="b">
        <f ca="1">AND(tblBaseCF[[#This Row],[1stCheckProceed]],tblBaseCF[[#This Row],[WithdrawalInput]]&lt;=tblBaseCF[[#This Row],[StartPAV]])</f>
        <v>0</v>
      </c>
      <c r="Z90" s="59" t="b">
        <f ca="1">AND(tblBaseCF[[#This Row],[2ndCheckAmount]],(tblBaseCF[[#This Row],[StartPAV]]-tblBaseCF[[#This Row],[WithdrawalInput]])&gt;=min_pav_after_withdrawal)</f>
        <v>0</v>
      </c>
      <c r="AA9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0" s="59" t="b">
        <f ca="1">AND(tblBaseCF[[#This Row],[3rdCheckPAV]],tblBaseCF[[#This Row],[endSITest]]&gt;=min_base_si)</f>
        <v>0</v>
      </c>
      <c r="AC90" s="60">
        <f ca="1">tblBaseCF[[#This Row],[WithdrawalInput]]*tblBaseCF[[#This Row],[4thCheckSI]]</f>
        <v>0</v>
      </c>
      <c r="AD90" s="60">
        <f ca="1">MIN(tblBaseCF[[#This Row],[Withdrawal]],tblBaseCF[[#This Row],[StartEAV]])</f>
        <v>0</v>
      </c>
      <c r="AE90" s="60">
        <f ca="1">tblBaseCF[[#This Row],[Withdrawal]]-tblBaseCF[[#This Row],[EAVWithdrawal]]</f>
        <v>0</v>
      </c>
      <c r="AF90" s="60">
        <f ca="1">IF(tblBaseCF[[#This Row],[4thCheckSI]],tblBaseCF[[#This Row],[endSITest]],tblBaseCF[[#This Row],[StartSI]])</f>
        <v>0</v>
      </c>
      <c r="AG9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0" s="65">
        <f ca="1">IFERROR(INDEX(tblTPAllocChrgRate[Rate],MATCH(tblBaseCF[[#This Row],[Year]],tblTPAllocChrgRate[Year],0)),0)</f>
        <v>0.02</v>
      </c>
      <c r="AI90" s="62">
        <f ca="1">(tp+big_case_bonus_tp*(tblBaseCF[[#This Row],[Year]]=1))
*tblBaseCF[[#This Row],[TPTermFlag]]</f>
        <v>0</v>
      </c>
      <c r="AJ90" s="63">
        <f ca="1">tblBaseCF[[#This Row],[TP]]*tblBaseCF[[#This Row],[TPAllocChrgRate]]</f>
        <v>0</v>
      </c>
      <c r="AK90" s="60">
        <f ca="1">tblBaseCF[[#This Row],[TP]]-tblBaseCF[[#This Row],[TPAllocChrg]]</f>
        <v>0</v>
      </c>
      <c r="AL90" s="65">
        <f ca="1">IFERROR(INDEX(tblEPAllocChrgRate[Rate],MATCH(tblBaseCF[[#This Row],[Year]],tblEPAllocChrgRate[Year],0)),0)</f>
        <v>0.02</v>
      </c>
      <c r="AM90" s="60">
        <f ca="1">ep*tblBaseCF[[#This Row],[EPTermFlag]]</f>
        <v>0</v>
      </c>
      <c r="AN90" s="60">
        <f ca="1">tblBaseCF[[#This Row],[EP]]*tblBaseCF[[#This Row],[EPAllocChrgRate]]</f>
        <v>0</v>
      </c>
      <c r="AO90" s="63">
        <f ca="1">tblBaseCF[[#This Row],[EP]]-tblBaseCF[[#This Row],[EPAllocChrg]]</f>
        <v>0</v>
      </c>
      <c r="AP90" s="62">
        <f ca="1">tblBaseCF[[#This Row],[Ben]]*extra_prem_rate*em_load/1000/(1-tblBaseCF[[#This Row],[EPAllocChrgRate]])
*tblBaseCF[[#This Row],[EMLoadTermFlag]]</f>
        <v>0</v>
      </c>
      <c r="AQ90" s="62">
        <f ca="1">tblBaseCF[[#This Row],[Ben]]*pm_load/1000/(1-tblBaseCF[[#This Row],[EPAllocChrgRate]])
*tblBaseCF[[#This Row],[PMLoadTermFlag]]</f>
        <v>0</v>
      </c>
      <c r="AR90" s="60">
        <f ca="1">ROUNDUP(tblBaseCF[[#This Row],[UnroundedEMLoad]],-3)</f>
        <v>0</v>
      </c>
      <c r="AS90" s="62">
        <f ca="1">ROUNDUP(tblBaseCF[[#This Row],[Ben]]*pm_load/1000/(1-tblBaseCF[[#This Row],[EPAllocChrgRate]]),-3)
*tblBaseCF[[#This Row],[PMLoadTermFlag]]</f>
        <v>0</v>
      </c>
      <c r="AT90" s="60">
        <f ca="1">tblBaseCF[[#This Row],[EMLoad]]+tblBaseCF[[#This Row],[PMLoad]]</f>
        <v>0</v>
      </c>
      <c r="AU90" s="60">
        <f ca="1">tblBaseCF[[#This Row],[Load]]*tblBaseCF[[#This Row],[EPAllocChrgRate]]</f>
        <v>0</v>
      </c>
      <c r="AV90" s="60">
        <f ca="1">tblBaseCF[[#This Row],[Load]]-tblBaseCF[[#This Row],[LoadAllocChrg]]</f>
        <v>0</v>
      </c>
      <c r="AW90" s="60">
        <f ca="1">tblBaseCF[[#This Row],[TP]]+tblBaseCF[[#This Row],[EP]]+tblBaseCF[[#This Row],[Load]]</f>
        <v>0</v>
      </c>
      <c r="AX90" s="60">
        <f ca="1">tblBaseCF[[#This Row],[TPAllocChrg]]+tblBaseCF[[#This Row],[EPAllocChrg]]+tblBaseCF[[#This Row],[LoadAllocChrg]]</f>
        <v>0</v>
      </c>
      <c r="AY90" s="60">
        <f ca="1">tblBaseCF[[#This Row],[TPAlloc]]+tblBaseCF[[#This Row],[EPAlloc]]+tblBaseCF[[#This Row],[LoadAlloc]]</f>
        <v>0</v>
      </c>
      <c r="AZ90" s="60">
        <f ca="1">(OFFSET(tblBaseCF[[#This Row],[AccumTotalPrem]],-1,0)+tblBaseCF[[#This Row],[TotalPrem]])*tblBaseCF[[#This Row],[TPTermFlag]]</f>
        <v>0</v>
      </c>
      <c r="BA90" s="62">
        <f ca="1">(tblBaseCF[[#This Row],[StartTAV]]-tblBaseCF[[#This Row],[TAVWithdrawal]]+tblBaseCF[[#This Row],[TPAlloc]])
*tblBaseCF[[#This Row],[ContFlag]]</f>
        <v>0</v>
      </c>
      <c r="BB90" s="59">
        <f ca="1">(tblBaseCF[[#This Row],[StartEAV]]-tblBaseCF[[#This Row],[EAVWithdrawal]]+tblBaseCF[[#This Row],[EPAlloc]]+tblBaseCF[[#This Row],[LoadAlloc]])
*tblBaseCF[[#This Row],[ContFlag]]</f>
        <v>0</v>
      </c>
      <c r="BC90" s="59">
        <f ca="1">tblBaseCF[[#This Row],[TAVAfterWdrlAlloc]]+tblBaseCF[[#This Row],[EAVAfterWdrlAlloc]]</f>
        <v>0</v>
      </c>
      <c r="BD90" s="66">
        <f t="shared" si="10"/>
        <v>0</v>
      </c>
      <c r="BE90" s="67">
        <f>(1+tblBaseCF[[#This Row],[AnnualIntRate]])^(1/12)-1</f>
        <v>0</v>
      </c>
      <c r="BF90" s="68">
        <f>IFERROR(((1+tblBaseCF[[#This Row],[MonthlyIntRate]])^12-1)/12/(1-1/(1+tblBaseCF[[#This Row],[MonthlyIntRate]])),1)/(1+tblBaseCF[[#This Row],[AnnualIntRate]])</f>
        <v>1</v>
      </c>
      <c r="BG90" s="69">
        <f>PV(tblBaseCF[[#This Row],[MonthlyIntRate]],12,-1/12,,1)</f>
        <v>1</v>
      </c>
      <c r="BH90" s="60">
        <f ca="1">MAX(IF(death_tpd_option="A",tblBaseCF[[#This Row],[Ben]]-tblBaseCF[[#This Row],[StartPAV]],tblBaseCF[[#This Row],[Ben]]),0)</f>
        <v>0</v>
      </c>
      <c r="BI90" s="70">
        <f ca="1">IFERROR(INDEX(tblBaseCOIRate[Rate],MATCH(tblBaseCF[[#This Row],[Age]],tblBaseCOIRate[Age],0)),0)</f>
        <v>2.1229999999999999E-2</v>
      </c>
      <c r="BJ90" s="60">
        <f ca="1">tblBaseCF[[#This Row],[SAR]]*tblBaseCF[[#This Row],[COIRate]]</f>
        <v>0</v>
      </c>
      <c r="BK90" s="62">
        <f ca="1">em_load*tblBaseCF[[#This Row],[pStandardCOI]]
*tblBaseCF[[#This Row],[EMLoadTermFlag]]</f>
        <v>0</v>
      </c>
      <c r="BL90" s="62">
        <f ca="1">pm_load/1000*tblBaseCF[[#This Row],[SAR]]
*tblBaseCF[[#This Row],[PMLoadTermFlag]]</f>
        <v>0</v>
      </c>
      <c r="BM90" s="60">
        <f ca="1">tblBaseCF[[#This Row],[AccBen]]*monthly_acc_coi*12</f>
        <v>0</v>
      </c>
      <c r="BN90" s="60">
        <f ca="1">tblBaseCF[[#This Row],[pStandardCOI]]+tblBaseCF[[#This Row],[pEMLoadCOI]]+tblBaseCF[[#This Row],[pPMLoadCOI]]+tblBaseCF[[#This Row],[pAccCOI]]</f>
        <v>0</v>
      </c>
      <c r="BO90" s="62">
        <f ca="1">IFERROR(INDEX(tblAdminChrg[Amount],MATCH(tblBaseCF[[#This Row],[CalYear]],tblAdminChrg[Cal_Year],0)),0)
*tblBaseCF[[#This Row],[ContFlag]]</f>
        <v>0</v>
      </c>
      <c r="BP90" s="60">
        <f ca="1">tblBaseCF[[#This Row],[pMonthlyAdminChrg]]*12</f>
        <v>0</v>
      </c>
      <c r="BQ90" s="60">
        <f ca="1">tblBaseCF[[#This Row],[pCOI]]+tblBaseCF[[#This Row],[pAdminChrg]]</f>
        <v>0</v>
      </c>
      <c r="BR90" s="60">
        <f ca="1">tblBaseCF[[#This Row],[pNomDeduct]]*tblBaseCF[[#This Row],[Duean1m12]]</f>
        <v>0</v>
      </c>
      <c r="BS90" s="57">
        <f ca="1">(tblBaseCF[[#This Row],[PAVAfterWdrlAlloc]]&gt;=tblBaseCF[[#This Row],[pNomDeduct]])
*tblBaseCF[[#This Row],[ContFlag]]</f>
        <v>0</v>
      </c>
      <c r="BT90" s="60">
        <f ca="1">tblBaseCF[[#This Row],[pStandardCOI]]*tblBaseCF[[#This Row],[DeductFlag]]</f>
        <v>0</v>
      </c>
      <c r="BU90" s="60">
        <f ca="1">tblBaseCF[[#This Row],[pEMLoadCOI]]*tblBaseCF[[#This Row],[DeductFlag]]</f>
        <v>0</v>
      </c>
      <c r="BV90" s="60">
        <f ca="1">tblBaseCF[[#This Row],[pPMLoadCOI]]*tblBaseCF[[#This Row],[DeductFlag]]</f>
        <v>0</v>
      </c>
      <c r="BW90" s="60">
        <f ca="1">tblBaseCF[[#This Row],[pAccCOI]]*tblBaseCF[[#This Row],[DeductFlag]]</f>
        <v>0</v>
      </c>
      <c r="BX90" s="60">
        <f ca="1">tblBaseCF[[#This Row],[pCOI]]*tblBaseCF[[#This Row],[DeductFlag]]</f>
        <v>0</v>
      </c>
      <c r="BY90" s="60">
        <f ca="1">tblBaseCF[[#This Row],[pMonthlyAdminChrg]]*tblBaseCF[[#This Row],[DeductFlag]]</f>
        <v>0</v>
      </c>
      <c r="BZ90" s="60">
        <f ca="1">tblBaseCF[[#This Row],[pAdminChrg]]*tblBaseCF[[#This Row],[DeductFlag]]</f>
        <v>0</v>
      </c>
      <c r="CA90" s="60">
        <f ca="1">tblBaseCF[[#This Row],[pNomDeduct]]*tblBaseCF[[#This Row],[DeductFlag]]</f>
        <v>0</v>
      </c>
      <c r="CB90" s="60">
        <f ca="1">tblBaseCF[[#This Row],[pDeduct]]*tblBaseCF[[#This Row],[DeductFlag]]</f>
        <v>0</v>
      </c>
      <c r="CC90" s="60">
        <f ca="1">MIN(tblBaseCF[[#This Row],[TAVAfterWdrlAlloc]],tblBaseCF[[#This Row],[Deduct]])</f>
        <v>0</v>
      </c>
      <c r="CD90" s="60">
        <f ca="1">tblBaseCF[[#This Row],[Deduct]]-tblBaseCF[[#This Row],[TAVDeduct]]</f>
        <v>0</v>
      </c>
      <c r="CE90" s="69">
        <f ca="1">(tblBaseCF[[#This Row],[TAVAfterWdrlAlloc]]-tblBaseCF[[#This Row],[TAVDeduct]])*tblBaseCF[[#This Row],[AnnualIntRate]]
*tblBaseCF[[#This Row],[DeductFlag]]</f>
        <v>0</v>
      </c>
      <c r="CF90" s="69">
        <f ca="1">(tblBaseCF[[#This Row],[EAVAfterWdrlAlloc]]-tblBaseCF[[#This Row],[EAVDeduct]])*tblBaseCF[[#This Row],[AnnualIntRate]]
*tblBaseCF[[#This Row],[DeductFlag]]</f>
        <v>0</v>
      </c>
      <c r="CG90" s="69">
        <f ca="1">tblBaseCF[[#This Row],[TAVInt]]+tblBaseCF[[#This Row],[EAVInt]]</f>
        <v>0</v>
      </c>
      <c r="CH90" s="62">
        <f ca="1">IFERROR(INDEX(tblLBRate[Rate],MATCH(tblBaseCF[[#This Row],[Year]],tblLBRate[Year],0)),0)
*tblBaseCF[[#This Row],[DeductFlag]]</f>
        <v>0</v>
      </c>
      <c r="CI90" s="60">
        <f ca="1">IFERROR(SUM(OFFSET(tblBaseCF[[#This Row],[TAVWithdrawal]],0,0,-lb_review_period,1)),0)
*(tblBaseCF[[#This Row],[LBRate]]&gt;0)</f>
        <v>0</v>
      </c>
      <c r="CJ90" s="60">
        <f ca="1">(tblBaseCF[[#This Row],[LBRate]]&gt;0)*(tblBaseCF[[#This Row],[LBTAVWithdrawal]]=0)</f>
        <v>0</v>
      </c>
      <c r="CK90" s="62" cm="1">
        <f t="array" aca="1" ref="CK90" ca="1">IF(tblBaseCF[[#This Row],[LBFlag]],
_xlfn.SWITCH(base,
"ILP1",AVERAGE(OFFSET(tblBaseCF[TP],0,0,-lb_review_period,1)),tp),0)
*tblBaseCF[[#This Row],[LBFlag]]</f>
        <v>0</v>
      </c>
      <c r="CL90" s="62">
        <f ca="1">tblBaseCF[[#This Row],[LBBasis]]*tblBaseCF[[#This Row],[LBRate]]</f>
        <v>0</v>
      </c>
      <c r="CM90" s="57" cm="1">
        <f t="array" aca="1" ref="CM90" ca="1">_xlfn.SWITCH(base,
"ILP1",0,($AF190&lt;500000000)*1
+($AF190&gt;=500000000)*($AF190&lt;1000000000)*2
+($AF190&gt;=1000000000)*3)
*tblBaseCF[[#This Row],[DeductFlag]]</f>
        <v>0</v>
      </c>
      <c r="CN90" s="2" t="str">
        <f ca="1">IF(tblBaseCF[[#This Row],[DeductFlag]],base&amp;"_"&amp;tblBaseCF[[#This Row],[SBCode]]&amp;"_"&amp;tblBaseCF[[#This Row],[Year]],"")</f>
        <v/>
      </c>
      <c r="CO90" s="3">
        <f ca="1">IFERROR(INDEX(tblSBRate[Index],MATCH(tblBaseCF[[#This Row],[SBIndex]],tblSBRate[Rate],0)),0)</f>
        <v>0</v>
      </c>
      <c r="CP90" s="63">
        <f ca="1">IFERROR(SUM(OFFSET(tblBaseCF[[#This Row],[TAVWithdrawal]],0,0,-sb_review_period,1)),0)
*(tblBaseCF[[#This Row],[SBRate]]&gt;0)</f>
        <v>0</v>
      </c>
      <c r="CQ90" s="63">
        <f ca="1">(tblBaseCF[[#This Row],[SBRate]]&gt;0)*(tblBaseCF[[#This Row],[SBTAVWithdrawal]]=0)</f>
        <v>0</v>
      </c>
      <c r="CR90" s="59" cm="1">
        <f t="array" aca="1" ref="CR90" ca="1">IF(tblBaseCF[[#This Row],[LBFlag]],
_xlfn.SWITCH(base,
"ILP1",0,tp),0)*tblBaseCF[[#This Row],[SBFlag]]</f>
        <v>0</v>
      </c>
      <c r="CS90" s="63">
        <f ca="1">tblBaseCF[[#This Row],[SBBasis]]*tblBaseCF[[#This Row],[SBRate]]</f>
        <v>0</v>
      </c>
      <c r="CT90" s="63">
        <f ca="1">tblBaseCF[[#This Row],[LB]]+tblBaseCF[[#This Row],[SB]]</f>
        <v>0</v>
      </c>
      <c r="CU90" s="59">
        <f ca="1">tblBaseCF[[#This Row],[TAVAfterWdrlAlloc]]-tblBaseCF[[#This Row],[TAVDeduct]]+tblBaseCF[[#This Row],[TAVInt]]+tblBaseCF[[#This Row],[Bonus]]</f>
        <v>0</v>
      </c>
      <c r="CV90" s="59">
        <f ca="1">tblBaseCF[[#This Row],[EAVAfterWdrlAlloc]]-tblBaseCF[[#This Row],[EAVDeduct]]+tblBaseCF[[#This Row],[EAVInt]]</f>
        <v>0</v>
      </c>
      <c r="CW90" s="63">
        <f ca="1">tblBaseCF[[#This Row],[EndTAV]]+tblBaseCF[[#This Row],[EndEAV]]</f>
        <v>0</v>
      </c>
      <c r="CX90" s="59">
        <f ca="1">INDEX(tblPlanPrem[TP],2)
*tblBaseCF[[#This Row],[TPTermFlag]]</f>
        <v>0</v>
      </c>
      <c r="CY90" s="59">
        <f ca="1">INDEX(tblPlanPrem[EP],2)
*tblBaseCF[[#This Row],[TPTermFlag]]</f>
        <v>0</v>
      </c>
      <c r="CZ90" s="63">
        <f ca="1">ROUNDUP(tblBaseCF[[#This Row],[UnroundedEMLoad]]*INDEX(tblPlanPrem[Factor],2),-3)</f>
        <v>0</v>
      </c>
      <c r="DA90" s="63">
        <f ca="1">ROUNDUP(tblBaseCF[[#This Row],[UnroundedPMLoad]]*INDEX(tblPlanPrem[Factor],2),-3)</f>
        <v>0</v>
      </c>
      <c r="DB90" s="63">
        <f ca="1">tblBaseCF[[#This Row],[SemiAnnualEMLoad]]+tblBaseCF[[#This Row],[SemiAnnualPMLoad]]</f>
        <v>0</v>
      </c>
      <c r="DC90" s="63">
        <f ca="1">tblBaseCF[[#This Row],[SemiAnnualTP]]+tblBaseCF[[#This Row],[SemiAnnualEP]]+tblBaseCF[[#This Row],[SemiAnnualLoad]]</f>
        <v>0</v>
      </c>
      <c r="DD90" s="59">
        <f ca="1">INDEX(tblPlanPrem[TP],3)
*tblBaseCF[[#This Row],[TPTermFlag]]</f>
        <v>0</v>
      </c>
      <c r="DE90" s="59">
        <f ca="1">INDEX(tblPlanPrem[EP],3)
*tblBaseCF[[#This Row],[TPTermFlag]]</f>
        <v>0</v>
      </c>
      <c r="DF90" s="63">
        <f ca="1">ROUNDUP(tblBaseCF[[#This Row],[UnroundedEMLoad]]*INDEX(tblPlanPrem[Factor],3),-3)</f>
        <v>0</v>
      </c>
      <c r="DG90" s="63">
        <f ca="1">ROUNDUP(tblBaseCF[[#This Row],[UnroundedPMLoad]]*INDEX(tblPlanPrem[Factor],3),-3)</f>
        <v>0</v>
      </c>
      <c r="DH90" s="60">
        <f ca="1">tblBaseCF[[#This Row],[QuarterlyEMLoad]]+tblBaseCF[[#This Row],[QuarterlyPMLoad]]</f>
        <v>0</v>
      </c>
      <c r="DI90" s="60">
        <f ca="1">tblBaseCF[[#This Row],[QuarterlyTP]]+tblBaseCF[[#This Row],[QuarterlyEP]]+tblBaseCF[[#This Row],[QuarterlyLoad]]</f>
        <v>0</v>
      </c>
      <c r="DJ90" s="59">
        <f ca="1">INDEX(tblPlanPrem[TP],4)
*tblBaseCF[[#This Row],[TPTermFlag]]</f>
        <v>0</v>
      </c>
      <c r="DK90" s="59">
        <f ca="1">INDEX(tblPlanPrem[EP],4)
*tblBaseCF[[#This Row],[TPTermFlag]]</f>
        <v>0</v>
      </c>
      <c r="DL90" s="63">
        <f ca="1">ROUNDUP(tblBaseCF[[#This Row],[UnroundedEMLoad]]*INDEX(tblPlanPrem[Factor],4),-3)</f>
        <v>0</v>
      </c>
      <c r="DM90" s="63">
        <f ca="1">ROUNDUP(tblBaseCF[[#This Row],[UnroundedPMLoad]]*INDEX(tblPlanPrem[Factor],4),-3)</f>
        <v>0</v>
      </c>
      <c r="DN90" s="60">
        <f ca="1">tblBaseCF[[#This Row],[MonthlyEMLoad]]+tblBaseCF[[#This Row],[MonthlyPMLoad]]</f>
        <v>0</v>
      </c>
      <c r="DO90" s="63">
        <f ca="1">tblBaseCF[[#This Row],[MonthlyTP]]+tblBaseCF[[#This Row],[MonthlyEP]]+tblBaseCF[[#This Row],[MonthlyLoad]]</f>
        <v>0</v>
      </c>
      <c r="DP90" s="3"/>
      <c r="DS90">
        <f t="shared" si="11"/>
        <v>0</v>
      </c>
      <c r="DT90">
        <f t="shared" si="12"/>
        <v>0</v>
      </c>
      <c r="DU90">
        <f t="shared" si="13"/>
        <v>0</v>
      </c>
      <c r="DV90">
        <f ca="1">tblBaseCF[[#This Row],[Year]]</f>
        <v>70</v>
      </c>
      <c r="DW90">
        <f ca="1">tblBaseCF[[#This Row],[Age]]</f>
        <v>69</v>
      </c>
      <c r="DX90">
        <f ca="1">tblBaseCF[[#This Row],[ContFlag]]</f>
        <v>0</v>
      </c>
      <c r="DY90" t="str">
        <f ca="1">tblBaseCF[[#This Row],[ContLog]]</f>
        <v>Insufficient PAV for deduction - Discontinue.</v>
      </c>
      <c r="DZ90">
        <f ca="1">tblBaseCF[[#This Row],[StartTAV]]</f>
        <v>0</v>
      </c>
      <c r="EA90">
        <f ca="1">tblBaseCF[[#This Row],[StartEAV]]</f>
        <v>0</v>
      </c>
      <c r="EB90">
        <f ca="1">tblBaseCF[[#This Row],[StartPAV]]</f>
        <v>0</v>
      </c>
      <c r="EC90">
        <f ca="1">tblBaseCF[[#This Row],[SVChrg]]</f>
        <v>0</v>
      </c>
      <c r="ED90">
        <f ca="1">tblBaseCF[[#This Row],[SV]]</f>
        <v>0</v>
      </c>
      <c r="EE90">
        <f ca="1">tblBaseCF[[#This Row],[Ben]]</f>
        <v>0</v>
      </c>
      <c r="EF90">
        <f ca="1">tblBaseCF[[#This Row],[AccBen]]</f>
        <v>0</v>
      </c>
      <c r="EG90">
        <f ca="1">tblBaseCF[[#This Row],[WithdrawalInput]]</f>
        <v>0</v>
      </c>
      <c r="EH90" t="str">
        <f ca="1">tblBaseCF[[#This Row],[WithdrawalLog]]</f>
        <v>No withdrawal.</v>
      </c>
      <c r="EI90">
        <f ca="1">tblBaseCF[[#This Row],[TAVWithdrawal]]</f>
        <v>0</v>
      </c>
      <c r="EJ90">
        <f ca="1">tblBaseCF[[#This Row],[EAVWithdrawal]]</f>
        <v>0</v>
      </c>
      <c r="EK90">
        <f ca="1">tblBaseCF[[#This Row],[Withdrawal]]</f>
        <v>0</v>
      </c>
      <c r="EL90">
        <f ca="1">tblBaseCF[[#This Row],[TP]]</f>
        <v>0</v>
      </c>
      <c r="EM90">
        <f ca="1">tblBaseCF[[#This Row],[TPAllocChrg]]</f>
        <v>0</v>
      </c>
      <c r="EN90">
        <f ca="1">tblBaseCF[[#This Row],[TPAlloc]]</f>
        <v>0</v>
      </c>
      <c r="EO90">
        <f ca="1">tblBaseCF[[#This Row],[EP]]</f>
        <v>0</v>
      </c>
      <c r="EP90">
        <f ca="1">tblBaseCF[[#This Row],[EPAllocChrg]]</f>
        <v>0</v>
      </c>
      <c r="EQ90">
        <f ca="1">tblBaseCF[[#This Row],[EPAlloc]]</f>
        <v>0</v>
      </c>
      <c r="ER90">
        <f ca="1">tblBaseCF[[#This Row],[EMLoad]]</f>
        <v>0</v>
      </c>
      <c r="ES90">
        <f ca="1">tblBaseCF[[#This Row],[PMLoad]]</f>
        <v>0</v>
      </c>
      <c r="ET90">
        <f ca="1">tblBaseCF[[#This Row],[Load]]</f>
        <v>0</v>
      </c>
      <c r="EU90">
        <f ca="1">tblBaseCF[[#This Row],[LoadAllocChrg]]</f>
        <v>0</v>
      </c>
      <c r="EV90">
        <f ca="1">tblBaseCF[[#This Row],[LoadAlloc]]</f>
        <v>0</v>
      </c>
      <c r="EW90">
        <f ca="1">tblBaseCF[[#This Row],[TotalPrem]]</f>
        <v>0</v>
      </c>
      <c r="EX90">
        <f ca="1">tblBaseCF[[#This Row],[AllocChrg]]</f>
        <v>0</v>
      </c>
      <c r="EY90">
        <f ca="1">tblBaseCF[[#This Row],[Alloc]]</f>
        <v>0</v>
      </c>
      <c r="EZ90">
        <f ca="1">tblBaseCF[[#This Row],[AccumTotalPrem]]</f>
        <v>0</v>
      </c>
      <c r="FA90">
        <f>tblBaseCF[[#This Row],[AnnualIntRate]]</f>
        <v>0</v>
      </c>
      <c r="FB90" s="50">
        <f>tblBaseCF[[#This Row],[Duean1m12]]</f>
        <v>1</v>
      </c>
      <c r="FC90">
        <f ca="1">tblBaseCF[[#This Row],[DeductFlag]]</f>
        <v>0</v>
      </c>
      <c r="FD90">
        <f ca="1">tblBaseCF[[#This Row],[AdminChrg]]</f>
        <v>0</v>
      </c>
      <c r="FE90">
        <f ca="1">tblBaseCF[[#This Row],[StandardCOI]]</f>
        <v>0</v>
      </c>
      <c r="FF90">
        <f ca="1">tblBaseCF[[#This Row],[EMLoadCOI]]</f>
        <v>0</v>
      </c>
      <c r="FG90">
        <f ca="1">tblBaseCF[[#This Row],[PMLoadCOI]]</f>
        <v>0</v>
      </c>
      <c r="FH90">
        <f ca="1">tblBaseCF[[#This Row],[COI]]</f>
        <v>0</v>
      </c>
      <c r="FI90" s="47">
        <f ca="1">tblBaseCF[[#This Row],[NomDeduct]]</f>
        <v>0</v>
      </c>
      <c r="FJ90">
        <f ca="1">tblBaseCF[[#This Row],[Deduct]]</f>
        <v>0</v>
      </c>
      <c r="FK90">
        <f ca="1">tblBaseCF[[#This Row],[TAVDeduct]]</f>
        <v>0</v>
      </c>
      <c r="FL90">
        <f ca="1">tblBaseCF[[#This Row],[EAVDeduct]]</f>
        <v>0</v>
      </c>
      <c r="FM90" s="24">
        <f ca="1">tblBaseCF[[#This Row],[TAVInt]]</f>
        <v>0</v>
      </c>
      <c r="FN90">
        <f ca="1">tblBaseCF[[#This Row],[EAVInt]]</f>
        <v>0</v>
      </c>
      <c r="FO90" s="47">
        <f ca="1">tblBaseCF[[#This Row],[LB]]</f>
        <v>0</v>
      </c>
      <c r="FP90">
        <f ca="1">tblBaseCF[[#This Row],[SB]]</f>
        <v>0</v>
      </c>
      <c r="FQ90">
        <f ca="1">tblBaseCF[[#This Row],[Bonus]]</f>
        <v>0</v>
      </c>
      <c r="FR90">
        <f ca="1">tblBaseCF[[#This Row],[EndTAV]]</f>
        <v>0</v>
      </c>
      <c r="FS90">
        <f ca="1">tblBaseCF[[#This Row],[EndEAV]]</f>
        <v>0</v>
      </c>
      <c r="FT90">
        <f ca="1">tblBaseCF[[#This Row],[EndPAV]]</f>
        <v>0</v>
      </c>
      <c r="FU90">
        <f ca="1">tblBaseCF[[#This Row],[SemiAnnualTP]]</f>
        <v>0</v>
      </c>
      <c r="FV90">
        <f ca="1">tblBaseCF[[#This Row],[SemiAnnualEP]]</f>
        <v>0</v>
      </c>
      <c r="FW90">
        <f ca="1">tblBaseCF[[#This Row],[SemiAnnualEMLoad]]</f>
        <v>0</v>
      </c>
      <c r="FX90">
        <f ca="1">tblBaseCF[[#This Row],[SemiAnnualPMLoad]]</f>
        <v>0</v>
      </c>
      <c r="FY90">
        <f ca="1">tblBaseCF[[#This Row],[SemiAnnualLoad]]</f>
        <v>0</v>
      </c>
      <c r="FZ90">
        <f ca="1">tblBaseCF[[#This Row],[SemiAnnualTotalPrem]]</f>
        <v>0</v>
      </c>
      <c r="GA90">
        <f ca="1">tblBaseCF[[#This Row],[QuarterlyTP]]</f>
        <v>0</v>
      </c>
      <c r="GB90">
        <f ca="1">tblBaseCF[[#This Row],[QuarterlyEP]]</f>
        <v>0</v>
      </c>
      <c r="GC90">
        <f ca="1">tblBaseCF[[#This Row],[QuarterlyEMLoad]]</f>
        <v>0</v>
      </c>
      <c r="GD90">
        <f ca="1">tblBaseCF[[#This Row],[QuarterlyPMLoad]]</f>
        <v>0</v>
      </c>
      <c r="GE90">
        <f ca="1">tblBaseCF[[#This Row],[QuarterlyLoad]]</f>
        <v>0</v>
      </c>
      <c r="GF90">
        <f ca="1">tblBaseCF[[#This Row],[QuarterlyTotalPrem]]</f>
        <v>0</v>
      </c>
      <c r="GG90">
        <f ca="1">tblBaseCF[[#This Row],[MonthlyTP]]</f>
        <v>0</v>
      </c>
      <c r="GH90">
        <f ca="1">tblBaseCF[[#This Row],[MonthlyEP]]</f>
        <v>0</v>
      </c>
      <c r="GI90">
        <f ca="1">tblBaseCF[[#This Row],[MonthlyEMLoad]]</f>
        <v>0</v>
      </c>
      <c r="GJ90">
        <f ca="1">tblBaseCF[[#This Row],[MonthlyPMLoad]]</f>
        <v>0</v>
      </c>
      <c r="GK90">
        <f ca="1">tblBaseCF[[#This Row],[MonthlyLoad]]</f>
        <v>0</v>
      </c>
      <c r="GL90">
        <f ca="1">tblBaseCF[[#This Row],[MonthlyTotalPrem]]</f>
        <v>0</v>
      </c>
      <c r="GO90" t="s">
        <v>134</v>
      </c>
      <c r="GP90" t="s">
        <v>135</v>
      </c>
      <c r="GQ90" t="s">
        <v>502</v>
      </c>
      <c r="GR90">
        <v>70</v>
      </c>
      <c r="GS90">
        <v>69</v>
      </c>
      <c r="GT90">
        <v>1</v>
      </c>
      <c r="GU90" t="s">
        <v>457</v>
      </c>
      <c r="GV90">
        <v>506301320.6182</v>
      </c>
      <c r="GW90">
        <v>4422025647.7546797</v>
      </c>
      <c r="GX90">
        <v>4928326968.37288</v>
      </c>
      <c r="GY90">
        <v>0</v>
      </c>
      <c r="GZ90">
        <v>4928326968.37288</v>
      </c>
      <c r="HA90">
        <v>4928326968.37288</v>
      </c>
      <c r="HB90">
        <v>0</v>
      </c>
      <c r="HC90">
        <v>0</v>
      </c>
      <c r="HD90" t="s">
        <v>137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7.0000000000000007E-2</v>
      </c>
      <c r="HX90">
        <v>0.96964931039809399</v>
      </c>
      <c r="HY90">
        <v>1</v>
      </c>
      <c r="HZ90">
        <v>300000</v>
      </c>
      <c r="IA90">
        <v>0</v>
      </c>
      <c r="IB90">
        <v>0</v>
      </c>
      <c r="IC90">
        <v>0</v>
      </c>
      <c r="ID90">
        <v>0</v>
      </c>
      <c r="IE90">
        <v>300000</v>
      </c>
      <c r="IF90">
        <v>290894.79311942798</v>
      </c>
      <c r="IG90">
        <v>290894.79311942798</v>
      </c>
      <c r="IH90">
        <v>0</v>
      </c>
      <c r="II90">
        <v>35420729.807755701</v>
      </c>
      <c r="IJ90">
        <v>309541795.34282798</v>
      </c>
      <c r="IK90">
        <v>0</v>
      </c>
      <c r="IL90">
        <v>0</v>
      </c>
      <c r="IM90">
        <v>0</v>
      </c>
      <c r="IN90">
        <v>541431155.63283598</v>
      </c>
      <c r="IO90">
        <v>4731567443.0975103</v>
      </c>
      <c r="IP90">
        <v>5272998598.73034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</row>
    <row r="91" spans="2:268" customFormat="1" x14ac:dyDescent="0.25">
      <c r="B91" s="2">
        <f ca="1">OFFSET(tblBaseCF[[#This Row],[Year]],-1,0)+1</f>
        <v>71</v>
      </c>
      <c r="C91" s="2">
        <f ca="1">(tblBaseCF[[#This Row],[Year]]&lt;=term)*1</f>
        <v>1</v>
      </c>
      <c r="D91" s="57">
        <f ca="1">(YEAR(rcd)+tblBaseCF[[#This Row],[Year]]-1)
*tblBaseCF[[#This Row],[PolTermFlag]]</f>
        <v>2095</v>
      </c>
      <c r="E91" s="57">
        <f ca="1">(mainLI_entry_age+tblBaseCF[[#This Row],[Year]]-1)
*tblBaseCF[[#This Row],[PolTermFlag]]</f>
        <v>70</v>
      </c>
      <c r="F91" s="57">
        <f ca="1">IF(tblBaseCF[[#This Row],[Year]]=1,1,OFFSET(tblBaseCF[[#This Row],[DeductFlag]],-1,0))
*tblBaseCF[[#This Row],[PolTermFlag]]</f>
        <v>0</v>
      </c>
      <c r="G9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1" s="57">
        <f ca="1">(tblBaseCF[[#This Row],[Year]]&lt;=acc_ben_term)
*tblBaseCF[[#This Row],[ContFlag]]</f>
        <v>0</v>
      </c>
      <c r="I91" s="57">
        <f ca="1">(tblBaseCF[[#This Row],[Year]]&lt;=tp_term)
*tblBaseCF[[#This Row],[ContFlag]]</f>
        <v>0</v>
      </c>
      <c r="J91" s="57">
        <f ca="1">(tblBaseCF[[#This Row],[Year]]&lt;=ep_term)
*tblBaseCF[[#This Row],[ContFlag]]</f>
        <v>0</v>
      </c>
      <c r="K91" s="57">
        <f ca="1">(tblBaseCF[[#This Row],[Year]]&lt;=em_load_term)*1</f>
        <v>0</v>
      </c>
      <c r="L91" s="57">
        <f ca="1">(tblBaseCF[[#This Row],[Year]]&lt;=pm_load_term)*1</f>
        <v>0</v>
      </c>
      <c r="M91" s="59">
        <f ca="1">IF(tblBaseCF[[#This Row],[Year]]=1,si,OFFSET(tblBaseCF[[#This Row],[EndSI]],-1,0))
*tblBaseCF[[#This Row],[ContFlag]]</f>
        <v>0</v>
      </c>
      <c r="N91" s="59">
        <f ca="1">OFFSET(tblBaseCF[[#This Row],[EndTAV]],-1,0)
*tblBaseCF[[#This Row],[ContFlag]]</f>
        <v>0</v>
      </c>
      <c r="O91" s="59">
        <f ca="1">OFFSET(tblBaseCF[[#This Row],[EndEAV]],-1,0)
*tblBaseCF[[#This Row],[ContFlag]]</f>
        <v>0</v>
      </c>
      <c r="P91" s="60">
        <f ca="1">tblBaseCF[[#This Row],[StartEAV]]+tblBaseCF[[#This Row],[StartTAV]]</f>
        <v>0</v>
      </c>
      <c r="Q91" s="61">
        <f ca="1">IFERROR(INDEX(tblJuvenileLienRate[Rate],MATCH(tblBaseCF[[#This Row],[Age]],tblJuvenileLienRate[Age],0)),1)
*tblBaseCF[[#This Row],[ContFlag]]</f>
        <v>0</v>
      </c>
      <c r="R9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1" s="62">
        <f ca="1">tblBaseCF[[#This Row],[StartSI]]*acc_ben_coeff*tblBaseCF[[#This Row],[JuvenileLienRate]]
*tblBaseCF[[#This Row],[AccBenTermFlag]]</f>
        <v>0</v>
      </c>
      <c r="T91" s="61">
        <f ca="1">(IFERROR(INDEX(tblSurrChrgRate[Rate],MATCH(tblBaseCF[[#This Row],[Year]],tblSurrChrgRate[Year],0)),0)
*tblBaseCF[[#This Row],[ContFlag]])</f>
        <v>0</v>
      </c>
      <c r="U91" s="60">
        <f ca="1">tp*tblBaseCF[[#This Row],[SrrChrgRate]]</f>
        <v>0</v>
      </c>
      <c r="V91" s="63">
        <f ca="1">MAX(tblBaseCF[[#This Row],[StartTAV]]-tblBaseCF[[#This Row],[SVChrg]],0)+tblBaseCF[[#This Row],[StartEAV]]</f>
        <v>0</v>
      </c>
      <c r="W91" s="59">
        <f ca="1">IFERROR(INDEX(tblWithdrawal_Output[Amount],MATCH(tblBaseCF[[#This Row],[Year]],tblWithdrawal_Output[Year],0)),0)
*tblBaseCF[[#This Row],[ContFlag]]</f>
        <v>0</v>
      </c>
      <c r="X91" s="59" t="b">
        <f ca="1">tblBaseCF[[#This Row],[WithdrawalInput]]&gt;0</f>
        <v>0</v>
      </c>
      <c r="Y91" s="59" t="b">
        <f ca="1">AND(tblBaseCF[[#This Row],[1stCheckProceed]],tblBaseCF[[#This Row],[WithdrawalInput]]&lt;=tblBaseCF[[#This Row],[StartPAV]])</f>
        <v>0</v>
      </c>
      <c r="Z91" s="59" t="b">
        <f ca="1">AND(tblBaseCF[[#This Row],[2ndCheckAmount]],(tblBaseCF[[#This Row],[StartPAV]]-tblBaseCF[[#This Row],[WithdrawalInput]])&gt;=min_pav_after_withdrawal)</f>
        <v>0</v>
      </c>
      <c r="AA9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1" s="59" t="b">
        <f ca="1">AND(tblBaseCF[[#This Row],[3rdCheckPAV]],tblBaseCF[[#This Row],[endSITest]]&gt;=min_base_si)</f>
        <v>0</v>
      </c>
      <c r="AC91" s="60">
        <f ca="1">tblBaseCF[[#This Row],[WithdrawalInput]]*tblBaseCF[[#This Row],[4thCheckSI]]</f>
        <v>0</v>
      </c>
      <c r="AD91" s="60">
        <f ca="1">MIN(tblBaseCF[[#This Row],[Withdrawal]],tblBaseCF[[#This Row],[StartEAV]])</f>
        <v>0</v>
      </c>
      <c r="AE91" s="60">
        <f ca="1">tblBaseCF[[#This Row],[Withdrawal]]-tblBaseCF[[#This Row],[EAVWithdrawal]]</f>
        <v>0</v>
      </c>
      <c r="AF91" s="60">
        <f ca="1">IF(tblBaseCF[[#This Row],[4thCheckSI]],tblBaseCF[[#This Row],[endSITest]],tblBaseCF[[#This Row],[StartSI]])</f>
        <v>0</v>
      </c>
      <c r="AG9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1" s="65">
        <f ca="1">IFERROR(INDEX(tblTPAllocChrgRate[Rate],MATCH(tblBaseCF[[#This Row],[Year]],tblTPAllocChrgRate[Year],0)),0)</f>
        <v>0.02</v>
      </c>
      <c r="AI91" s="62">
        <f ca="1">(tp+big_case_bonus_tp*(tblBaseCF[[#This Row],[Year]]=1))
*tblBaseCF[[#This Row],[TPTermFlag]]</f>
        <v>0</v>
      </c>
      <c r="AJ91" s="63">
        <f ca="1">tblBaseCF[[#This Row],[TP]]*tblBaseCF[[#This Row],[TPAllocChrgRate]]</f>
        <v>0</v>
      </c>
      <c r="AK91" s="60">
        <f ca="1">tblBaseCF[[#This Row],[TP]]-tblBaseCF[[#This Row],[TPAllocChrg]]</f>
        <v>0</v>
      </c>
      <c r="AL91" s="65">
        <f ca="1">IFERROR(INDEX(tblEPAllocChrgRate[Rate],MATCH(tblBaseCF[[#This Row],[Year]],tblEPAllocChrgRate[Year],0)),0)</f>
        <v>0.02</v>
      </c>
      <c r="AM91" s="60">
        <f ca="1">ep*tblBaseCF[[#This Row],[EPTermFlag]]</f>
        <v>0</v>
      </c>
      <c r="AN91" s="60">
        <f ca="1">tblBaseCF[[#This Row],[EP]]*tblBaseCF[[#This Row],[EPAllocChrgRate]]</f>
        <v>0</v>
      </c>
      <c r="AO91" s="63">
        <f ca="1">tblBaseCF[[#This Row],[EP]]-tblBaseCF[[#This Row],[EPAllocChrg]]</f>
        <v>0</v>
      </c>
      <c r="AP91" s="62">
        <f ca="1">tblBaseCF[[#This Row],[Ben]]*extra_prem_rate*em_load/1000/(1-tblBaseCF[[#This Row],[EPAllocChrgRate]])
*tblBaseCF[[#This Row],[EMLoadTermFlag]]</f>
        <v>0</v>
      </c>
      <c r="AQ91" s="62">
        <f ca="1">tblBaseCF[[#This Row],[Ben]]*pm_load/1000/(1-tblBaseCF[[#This Row],[EPAllocChrgRate]])
*tblBaseCF[[#This Row],[PMLoadTermFlag]]</f>
        <v>0</v>
      </c>
      <c r="AR91" s="60">
        <f ca="1">ROUNDUP(tblBaseCF[[#This Row],[UnroundedEMLoad]],-3)</f>
        <v>0</v>
      </c>
      <c r="AS91" s="62">
        <f ca="1">ROUNDUP(tblBaseCF[[#This Row],[Ben]]*pm_load/1000/(1-tblBaseCF[[#This Row],[EPAllocChrgRate]]),-3)
*tblBaseCF[[#This Row],[PMLoadTermFlag]]</f>
        <v>0</v>
      </c>
      <c r="AT91" s="60">
        <f ca="1">tblBaseCF[[#This Row],[EMLoad]]+tblBaseCF[[#This Row],[PMLoad]]</f>
        <v>0</v>
      </c>
      <c r="AU91" s="60">
        <f ca="1">tblBaseCF[[#This Row],[Load]]*tblBaseCF[[#This Row],[EPAllocChrgRate]]</f>
        <v>0</v>
      </c>
      <c r="AV91" s="60">
        <f ca="1">tblBaseCF[[#This Row],[Load]]-tblBaseCF[[#This Row],[LoadAllocChrg]]</f>
        <v>0</v>
      </c>
      <c r="AW91" s="60">
        <f ca="1">tblBaseCF[[#This Row],[TP]]+tblBaseCF[[#This Row],[EP]]+tblBaseCF[[#This Row],[Load]]</f>
        <v>0</v>
      </c>
      <c r="AX91" s="60">
        <f ca="1">tblBaseCF[[#This Row],[TPAllocChrg]]+tblBaseCF[[#This Row],[EPAllocChrg]]+tblBaseCF[[#This Row],[LoadAllocChrg]]</f>
        <v>0</v>
      </c>
      <c r="AY91" s="60">
        <f ca="1">tblBaseCF[[#This Row],[TPAlloc]]+tblBaseCF[[#This Row],[EPAlloc]]+tblBaseCF[[#This Row],[LoadAlloc]]</f>
        <v>0</v>
      </c>
      <c r="AZ91" s="60">
        <f ca="1">(OFFSET(tblBaseCF[[#This Row],[AccumTotalPrem]],-1,0)+tblBaseCF[[#This Row],[TotalPrem]])*tblBaseCF[[#This Row],[TPTermFlag]]</f>
        <v>0</v>
      </c>
      <c r="BA91" s="62">
        <f ca="1">(tblBaseCF[[#This Row],[StartTAV]]-tblBaseCF[[#This Row],[TAVWithdrawal]]+tblBaseCF[[#This Row],[TPAlloc]])
*tblBaseCF[[#This Row],[ContFlag]]</f>
        <v>0</v>
      </c>
      <c r="BB91" s="59">
        <f ca="1">(tblBaseCF[[#This Row],[StartEAV]]-tblBaseCF[[#This Row],[EAVWithdrawal]]+tblBaseCF[[#This Row],[EPAlloc]]+tblBaseCF[[#This Row],[LoadAlloc]])
*tblBaseCF[[#This Row],[ContFlag]]</f>
        <v>0</v>
      </c>
      <c r="BC91" s="59">
        <f ca="1">tblBaseCF[[#This Row],[TAVAfterWdrlAlloc]]+tblBaseCF[[#This Row],[EAVAfterWdrlAlloc]]</f>
        <v>0</v>
      </c>
      <c r="BD91" s="66">
        <f t="shared" si="10"/>
        <v>0</v>
      </c>
      <c r="BE91" s="67">
        <f>(1+tblBaseCF[[#This Row],[AnnualIntRate]])^(1/12)-1</f>
        <v>0</v>
      </c>
      <c r="BF91" s="68">
        <f>IFERROR(((1+tblBaseCF[[#This Row],[MonthlyIntRate]])^12-1)/12/(1-1/(1+tblBaseCF[[#This Row],[MonthlyIntRate]])),1)/(1+tblBaseCF[[#This Row],[AnnualIntRate]])</f>
        <v>1</v>
      </c>
      <c r="BG91" s="69">
        <f>PV(tblBaseCF[[#This Row],[MonthlyIntRate]],12,-1/12,,1)</f>
        <v>1</v>
      </c>
      <c r="BH91" s="60">
        <f ca="1">MAX(IF(death_tpd_option="A",tblBaseCF[[#This Row],[Ben]]-tblBaseCF[[#This Row],[StartPAV]],tblBaseCF[[#This Row],[Ben]]),0)</f>
        <v>0</v>
      </c>
      <c r="BI91" s="70">
        <f ca="1">IFERROR(INDEX(tblBaseCOIRate[Rate],MATCH(tblBaseCF[[#This Row],[Age]],tblBaseCOIRate[Age],0)),0)</f>
        <v>2.316E-2</v>
      </c>
      <c r="BJ91" s="60">
        <f ca="1">tblBaseCF[[#This Row],[SAR]]*tblBaseCF[[#This Row],[COIRate]]</f>
        <v>0</v>
      </c>
      <c r="BK91" s="62">
        <f ca="1">em_load*tblBaseCF[[#This Row],[pStandardCOI]]
*tblBaseCF[[#This Row],[EMLoadTermFlag]]</f>
        <v>0</v>
      </c>
      <c r="BL91" s="62">
        <f ca="1">pm_load/1000*tblBaseCF[[#This Row],[SAR]]
*tblBaseCF[[#This Row],[PMLoadTermFlag]]</f>
        <v>0</v>
      </c>
      <c r="BM91" s="60">
        <f ca="1">tblBaseCF[[#This Row],[AccBen]]*monthly_acc_coi*12</f>
        <v>0</v>
      </c>
      <c r="BN91" s="60">
        <f ca="1">tblBaseCF[[#This Row],[pStandardCOI]]+tblBaseCF[[#This Row],[pEMLoadCOI]]+tblBaseCF[[#This Row],[pPMLoadCOI]]+tblBaseCF[[#This Row],[pAccCOI]]</f>
        <v>0</v>
      </c>
      <c r="BO91" s="62">
        <f ca="1">IFERROR(INDEX(tblAdminChrg[Amount],MATCH(tblBaseCF[[#This Row],[CalYear]],tblAdminChrg[Cal_Year],0)),0)
*tblBaseCF[[#This Row],[ContFlag]]</f>
        <v>0</v>
      </c>
      <c r="BP91" s="60">
        <f ca="1">tblBaseCF[[#This Row],[pMonthlyAdminChrg]]*12</f>
        <v>0</v>
      </c>
      <c r="BQ91" s="60">
        <f ca="1">tblBaseCF[[#This Row],[pCOI]]+tblBaseCF[[#This Row],[pAdminChrg]]</f>
        <v>0</v>
      </c>
      <c r="BR91" s="60">
        <f ca="1">tblBaseCF[[#This Row],[pNomDeduct]]*tblBaseCF[[#This Row],[Duean1m12]]</f>
        <v>0</v>
      </c>
      <c r="BS91" s="57">
        <f ca="1">(tblBaseCF[[#This Row],[PAVAfterWdrlAlloc]]&gt;=tblBaseCF[[#This Row],[pNomDeduct]])
*tblBaseCF[[#This Row],[ContFlag]]</f>
        <v>0</v>
      </c>
      <c r="BT91" s="60">
        <f ca="1">tblBaseCF[[#This Row],[pStandardCOI]]*tblBaseCF[[#This Row],[DeductFlag]]</f>
        <v>0</v>
      </c>
      <c r="BU91" s="60">
        <f ca="1">tblBaseCF[[#This Row],[pEMLoadCOI]]*tblBaseCF[[#This Row],[DeductFlag]]</f>
        <v>0</v>
      </c>
      <c r="BV91" s="60">
        <f ca="1">tblBaseCF[[#This Row],[pPMLoadCOI]]*tblBaseCF[[#This Row],[DeductFlag]]</f>
        <v>0</v>
      </c>
      <c r="BW91" s="60">
        <f ca="1">tblBaseCF[[#This Row],[pAccCOI]]*tblBaseCF[[#This Row],[DeductFlag]]</f>
        <v>0</v>
      </c>
      <c r="BX91" s="60">
        <f ca="1">tblBaseCF[[#This Row],[pCOI]]*tblBaseCF[[#This Row],[DeductFlag]]</f>
        <v>0</v>
      </c>
      <c r="BY91" s="60">
        <f ca="1">tblBaseCF[[#This Row],[pMonthlyAdminChrg]]*tblBaseCF[[#This Row],[DeductFlag]]</f>
        <v>0</v>
      </c>
      <c r="BZ91" s="60">
        <f ca="1">tblBaseCF[[#This Row],[pAdminChrg]]*tblBaseCF[[#This Row],[DeductFlag]]</f>
        <v>0</v>
      </c>
      <c r="CA91" s="60">
        <f ca="1">tblBaseCF[[#This Row],[pNomDeduct]]*tblBaseCF[[#This Row],[DeductFlag]]</f>
        <v>0</v>
      </c>
      <c r="CB91" s="60">
        <f ca="1">tblBaseCF[[#This Row],[pDeduct]]*tblBaseCF[[#This Row],[DeductFlag]]</f>
        <v>0</v>
      </c>
      <c r="CC91" s="60">
        <f ca="1">MIN(tblBaseCF[[#This Row],[TAVAfterWdrlAlloc]],tblBaseCF[[#This Row],[Deduct]])</f>
        <v>0</v>
      </c>
      <c r="CD91" s="60">
        <f ca="1">tblBaseCF[[#This Row],[Deduct]]-tblBaseCF[[#This Row],[TAVDeduct]]</f>
        <v>0</v>
      </c>
      <c r="CE91" s="69">
        <f ca="1">(tblBaseCF[[#This Row],[TAVAfterWdrlAlloc]]-tblBaseCF[[#This Row],[TAVDeduct]])*tblBaseCF[[#This Row],[AnnualIntRate]]
*tblBaseCF[[#This Row],[DeductFlag]]</f>
        <v>0</v>
      </c>
      <c r="CF91" s="69">
        <f ca="1">(tblBaseCF[[#This Row],[EAVAfterWdrlAlloc]]-tblBaseCF[[#This Row],[EAVDeduct]])*tblBaseCF[[#This Row],[AnnualIntRate]]
*tblBaseCF[[#This Row],[DeductFlag]]</f>
        <v>0</v>
      </c>
      <c r="CG91" s="69">
        <f ca="1">tblBaseCF[[#This Row],[TAVInt]]+tblBaseCF[[#This Row],[EAVInt]]</f>
        <v>0</v>
      </c>
      <c r="CH91" s="62">
        <f ca="1">IFERROR(INDEX(tblLBRate[Rate],MATCH(tblBaseCF[[#This Row],[Year]],tblLBRate[Year],0)),0)
*tblBaseCF[[#This Row],[DeductFlag]]</f>
        <v>0</v>
      </c>
      <c r="CI91" s="60">
        <f ca="1">IFERROR(SUM(OFFSET(tblBaseCF[[#This Row],[TAVWithdrawal]],0,0,-lb_review_period,1)),0)
*(tblBaseCF[[#This Row],[LBRate]]&gt;0)</f>
        <v>0</v>
      </c>
      <c r="CJ91" s="60">
        <f ca="1">(tblBaseCF[[#This Row],[LBRate]]&gt;0)*(tblBaseCF[[#This Row],[LBTAVWithdrawal]]=0)</f>
        <v>0</v>
      </c>
      <c r="CK91" s="62" cm="1">
        <f t="array" aca="1" ref="CK91" ca="1">IF(tblBaseCF[[#This Row],[LBFlag]],
_xlfn.SWITCH(base,
"ILP1",AVERAGE(OFFSET(tblBaseCF[TP],0,0,-lb_review_period,1)),tp),0)
*tblBaseCF[[#This Row],[LBFlag]]</f>
        <v>0</v>
      </c>
      <c r="CL91" s="62">
        <f ca="1">tblBaseCF[[#This Row],[LBBasis]]*tblBaseCF[[#This Row],[LBRate]]</f>
        <v>0</v>
      </c>
      <c r="CM91" s="57" cm="1">
        <f t="array" aca="1" ref="CM91" ca="1">_xlfn.SWITCH(base,
"ILP1",0,($AF191&lt;500000000)*1
+($AF191&gt;=500000000)*($AF191&lt;1000000000)*2
+($AF191&gt;=1000000000)*3)
*tblBaseCF[[#This Row],[DeductFlag]]</f>
        <v>0</v>
      </c>
      <c r="CN91" s="2" t="str">
        <f ca="1">IF(tblBaseCF[[#This Row],[DeductFlag]],base&amp;"_"&amp;tblBaseCF[[#This Row],[SBCode]]&amp;"_"&amp;tblBaseCF[[#This Row],[Year]],"")</f>
        <v/>
      </c>
      <c r="CO91" s="3">
        <f ca="1">IFERROR(INDEX(tblSBRate[Index],MATCH(tblBaseCF[[#This Row],[SBIndex]],tblSBRate[Rate],0)),0)</f>
        <v>0</v>
      </c>
      <c r="CP91" s="63">
        <f ca="1">IFERROR(SUM(OFFSET(tblBaseCF[[#This Row],[TAVWithdrawal]],0,0,-sb_review_period,1)),0)
*(tblBaseCF[[#This Row],[SBRate]]&gt;0)</f>
        <v>0</v>
      </c>
      <c r="CQ91" s="63">
        <f ca="1">(tblBaseCF[[#This Row],[SBRate]]&gt;0)*(tblBaseCF[[#This Row],[SBTAVWithdrawal]]=0)</f>
        <v>0</v>
      </c>
      <c r="CR91" s="59" cm="1">
        <f t="array" aca="1" ref="CR91" ca="1">IF(tblBaseCF[[#This Row],[LBFlag]],
_xlfn.SWITCH(base,
"ILP1",0,tp),0)*tblBaseCF[[#This Row],[SBFlag]]</f>
        <v>0</v>
      </c>
      <c r="CS91" s="63">
        <f ca="1">tblBaseCF[[#This Row],[SBBasis]]*tblBaseCF[[#This Row],[SBRate]]</f>
        <v>0</v>
      </c>
      <c r="CT91" s="63">
        <f ca="1">tblBaseCF[[#This Row],[LB]]+tblBaseCF[[#This Row],[SB]]</f>
        <v>0</v>
      </c>
      <c r="CU91" s="59">
        <f ca="1">tblBaseCF[[#This Row],[TAVAfterWdrlAlloc]]-tblBaseCF[[#This Row],[TAVDeduct]]+tblBaseCF[[#This Row],[TAVInt]]+tblBaseCF[[#This Row],[Bonus]]</f>
        <v>0</v>
      </c>
      <c r="CV91" s="59">
        <f ca="1">tblBaseCF[[#This Row],[EAVAfterWdrlAlloc]]-tblBaseCF[[#This Row],[EAVDeduct]]+tblBaseCF[[#This Row],[EAVInt]]</f>
        <v>0</v>
      </c>
      <c r="CW91" s="63">
        <f ca="1">tblBaseCF[[#This Row],[EndTAV]]+tblBaseCF[[#This Row],[EndEAV]]</f>
        <v>0</v>
      </c>
      <c r="CX91" s="59">
        <f ca="1">INDEX(tblPlanPrem[TP],2)
*tblBaseCF[[#This Row],[TPTermFlag]]</f>
        <v>0</v>
      </c>
      <c r="CY91" s="59">
        <f ca="1">INDEX(tblPlanPrem[EP],2)
*tblBaseCF[[#This Row],[TPTermFlag]]</f>
        <v>0</v>
      </c>
      <c r="CZ91" s="63">
        <f ca="1">ROUNDUP(tblBaseCF[[#This Row],[UnroundedEMLoad]]*INDEX(tblPlanPrem[Factor],2),-3)</f>
        <v>0</v>
      </c>
      <c r="DA91" s="63">
        <f ca="1">ROUNDUP(tblBaseCF[[#This Row],[UnroundedPMLoad]]*INDEX(tblPlanPrem[Factor],2),-3)</f>
        <v>0</v>
      </c>
      <c r="DB91" s="63">
        <f ca="1">tblBaseCF[[#This Row],[SemiAnnualEMLoad]]+tblBaseCF[[#This Row],[SemiAnnualPMLoad]]</f>
        <v>0</v>
      </c>
      <c r="DC91" s="63">
        <f ca="1">tblBaseCF[[#This Row],[SemiAnnualTP]]+tblBaseCF[[#This Row],[SemiAnnualEP]]+tblBaseCF[[#This Row],[SemiAnnualLoad]]</f>
        <v>0</v>
      </c>
      <c r="DD91" s="59">
        <f ca="1">INDEX(tblPlanPrem[TP],3)
*tblBaseCF[[#This Row],[TPTermFlag]]</f>
        <v>0</v>
      </c>
      <c r="DE91" s="59">
        <f ca="1">INDEX(tblPlanPrem[EP],3)
*tblBaseCF[[#This Row],[TPTermFlag]]</f>
        <v>0</v>
      </c>
      <c r="DF91" s="63">
        <f ca="1">ROUNDUP(tblBaseCF[[#This Row],[UnroundedEMLoad]]*INDEX(tblPlanPrem[Factor],3),-3)</f>
        <v>0</v>
      </c>
      <c r="DG91" s="63">
        <f ca="1">ROUNDUP(tblBaseCF[[#This Row],[UnroundedPMLoad]]*INDEX(tblPlanPrem[Factor],3),-3)</f>
        <v>0</v>
      </c>
      <c r="DH91" s="60">
        <f ca="1">tblBaseCF[[#This Row],[QuarterlyEMLoad]]+tblBaseCF[[#This Row],[QuarterlyPMLoad]]</f>
        <v>0</v>
      </c>
      <c r="DI91" s="60">
        <f ca="1">tblBaseCF[[#This Row],[QuarterlyTP]]+tblBaseCF[[#This Row],[QuarterlyEP]]+tblBaseCF[[#This Row],[QuarterlyLoad]]</f>
        <v>0</v>
      </c>
      <c r="DJ91" s="59">
        <f ca="1">INDEX(tblPlanPrem[TP],4)
*tblBaseCF[[#This Row],[TPTermFlag]]</f>
        <v>0</v>
      </c>
      <c r="DK91" s="59">
        <f ca="1">INDEX(tblPlanPrem[EP],4)
*tblBaseCF[[#This Row],[TPTermFlag]]</f>
        <v>0</v>
      </c>
      <c r="DL91" s="63">
        <f ca="1">ROUNDUP(tblBaseCF[[#This Row],[UnroundedEMLoad]]*INDEX(tblPlanPrem[Factor],4),-3)</f>
        <v>0</v>
      </c>
      <c r="DM91" s="63">
        <f ca="1">ROUNDUP(tblBaseCF[[#This Row],[UnroundedPMLoad]]*INDEX(tblPlanPrem[Factor],4),-3)</f>
        <v>0</v>
      </c>
      <c r="DN91" s="60">
        <f ca="1">tblBaseCF[[#This Row],[MonthlyEMLoad]]+tblBaseCF[[#This Row],[MonthlyPMLoad]]</f>
        <v>0</v>
      </c>
      <c r="DO91" s="63">
        <f ca="1">tblBaseCF[[#This Row],[MonthlyTP]]+tblBaseCF[[#This Row],[MonthlyEP]]+tblBaseCF[[#This Row],[MonthlyLoad]]</f>
        <v>0</v>
      </c>
      <c r="DP91" s="3"/>
      <c r="DS91">
        <f t="shared" si="11"/>
        <v>0</v>
      </c>
      <c r="DT91">
        <f t="shared" si="12"/>
        <v>0</v>
      </c>
      <c r="DU91">
        <f t="shared" si="13"/>
        <v>0</v>
      </c>
      <c r="DV91">
        <f ca="1">tblBaseCF[[#This Row],[Year]]</f>
        <v>71</v>
      </c>
      <c r="DW91">
        <f ca="1">tblBaseCF[[#This Row],[Age]]</f>
        <v>70</v>
      </c>
      <c r="DX91">
        <f ca="1">tblBaseCF[[#This Row],[ContFlag]]</f>
        <v>0</v>
      </c>
      <c r="DY91" t="str">
        <f ca="1">tblBaseCF[[#This Row],[ContLog]]</f>
        <v>Insufficient PAV for deduction - Discontinue.</v>
      </c>
      <c r="DZ91">
        <f ca="1">tblBaseCF[[#This Row],[StartTAV]]</f>
        <v>0</v>
      </c>
      <c r="EA91">
        <f ca="1">tblBaseCF[[#This Row],[StartEAV]]</f>
        <v>0</v>
      </c>
      <c r="EB91">
        <f ca="1">tblBaseCF[[#This Row],[StartPAV]]</f>
        <v>0</v>
      </c>
      <c r="EC91">
        <f ca="1">tblBaseCF[[#This Row],[SVChrg]]</f>
        <v>0</v>
      </c>
      <c r="ED91">
        <f ca="1">tblBaseCF[[#This Row],[SV]]</f>
        <v>0</v>
      </c>
      <c r="EE91">
        <f ca="1">tblBaseCF[[#This Row],[Ben]]</f>
        <v>0</v>
      </c>
      <c r="EF91">
        <f ca="1">tblBaseCF[[#This Row],[AccBen]]</f>
        <v>0</v>
      </c>
      <c r="EG91">
        <f ca="1">tblBaseCF[[#This Row],[WithdrawalInput]]</f>
        <v>0</v>
      </c>
      <c r="EH91" t="str">
        <f ca="1">tblBaseCF[[#This Row],[WithdrawalLog]]</f>
        <v>No withdrawal.</v>
      </c>
      <c r="EI91">
        <f ca="1">tblBaseCF[[#This Row],[TAVWithdrawal]]</f>
        <v>0</v>
      </c>
      <c r="EJ91">
        <f ca="1">tblBaseCF[[#This Row],[EAVWithdrawal]]</f>
        <v>0</v>
      </c>
      <c r="EK91">
        <f ca="1">tblBaseCF[[#This Row],[Withdrawal]]</f>
        <v>0</v>
      </c>
      <c r="EL91">
        <f ca="1">tblBaseCF[[#This Row],[TP]]</f>
        <v>0</v>
      </c>
      <c r="EM91">
        <f ca="1">tblBaseCF[[#This Row],[TPAllocChrg]]</f>
        <v>0</v>
      </c>
      <c r="EN91">
        <f ca="1">tblBaseCF[[#This Row],[TPAlloc]]</f>
        <v>0</v>
      </c>
      <c r="EO91">
        <f ca="1">tblBaseCF[[#This Row],[EP]]</f>
        <v>0</v>
      </c>
      <c r="EP91">
        <f ca="1">tblBaseCF[[#This Row],[EPAllocChrg]]</f>
        <v>0</v>
      </c>
      <c r="EQ91">
        <f ca="1">tblBaseCF[[#This Row],[EPAlloc]]</f>
        <v>0</v>
      </c>
      <c r="ER91">
        <f ca="1">tblBaseCF[[#This Row],[EMLoad]]</f>
        <v>0</v>
      </c>
      <c r="ES91">
        <f ca="1">tblBaseCF[[#This Row],[PMLoad]]</f>
        <v>0</v>
      </c>
      <c r="ET91">
        <f ca="1">tblBaseCF[[#This Row],[Load]]</f>
        <v>0</v>
      </c>
      <c r="EU91">
        <f ca="1">tblBaseCF[[#This Row],[LoadAllocChrg]]</f>
        <v>0</v>
      </c>
      <c r="EV91">
        <f ca="1">tblBaseCF[[#This Row],[LoadAlloc]]</f>
        <v>0</v>
      </c>
      <c r="EW91">
        <f ca="1">tblBaseCF[[#This Row],[TotalPrem]]</f>
        <v>0</v>
      </c>
      <c r="EX91">
        <f ca="1">tblBaseCF[[#This Row],[AllocChrg]]</f>
        <v>0</v>
      </c>
      <c r="EY91">
        <f ca="1">tblBaseCF[[#This Row],[Alloc]]</f>
        <v>0</v>
      </c>
      <c r="EZ91">
        <f ca="1">tblBaseCF[[#This Row],[AccumTotalPrem]]</f>
        <v>0</v>
      </c>
      <c r="FA91">
        <f>tblBaseCF[[#This Row],[AnnualIntRate]]</f>
        <v>0</v>
      </c>
      <c r="FB91" s="50">
        <f>tblBaseCF[[#This Row],[Duean1m12]]</f>
        <v>1</v>
      </c>
      <c r="FC91">
        <f ca="1">tblBaseCF[[#This Row],[DeductFlag]]</f>
        <v>0</v>
      </c>
      <c r="FD91">
        <f ca="1">tblBaseCF[[#This Row],[AdminChrg]]</f>
        <v>0</v>
      </c>
      <c r="FE91">
        <f ca="1">tblBaseCF[[#This Row],[StandardCOI]]</f>
        <v>0</v>
      </c>
      <c r="FF91">
        <f ca="1">tblBaseCF[[#This Row],[EMLoadCOI]]</f>
        <v>0</v>
      </c>
      <c r="FG91">
        <f ca="1">tblBaseCF[[#This Row],[PMLoadCOI]]</f>
        <v>0</v>
      </c>
      <c r="FH91">
        <f ca="1">tblBaseCF[[#This Row],[COI]]</f>
        <v>0</v>
      </c>
      <c r="FI91" s="47">
        <f ca="1">tblBaseCF[[#This Row],[NomDeduct]]</f>
        <v>0</v>
      </c>
      <c r="FJ91">
        <f ca="1">tblBaseCF[[#This Row],[Deduct]]</f>
        <v>0</v>
      </c>
      <c r="FK91">
        <f ca="1">tblBaseCF[[#This Row],[TAVDeduct]]</f>
        <v>0</v>
      </c>
      <c r="FL91">
        <f ca="1">tblBaseCF[[#This Row],[EAVDeduct]]</f>
        <v>0</v>
      </c>
      <c r="FM91" s="24">
        <f ca="1">tblBaseCF[[#This Row],[TAVInt]]</f>
        <v>0</v>
      </c>
      <c r="FN91">
        <f ca="1">tblBaseCF[[#This Row],[EAVInt]]</f>
        <v>0</v>
      </c>
      <c r="FO91" s="47">
        <f ca="1">tblBaseCF[[#This Row],[LB]]</f>
        <v>0</v>
      </c>
      <c r="FP91">
        <f ca="1">tblBaseCF[[#This Row],[SB]]</f>
        <v>0</v>
      </c>
      <c r="FQ91">
        <f ca="1">tblBaseCF[[#This Row],[Bonus]]</f>
        <v>0</v>
      </c>
      <c r="FR91">
        <f ca="1">tblBaseCF[[#This Row],[EndTAV]]</f>
        <v>0</v>
      </c>
      <c r="FS91">
        <f ca="1">tblBaseCF[[#This Row],[EndEAV]]</f>
        <v>0</v>
      </c>
      <c r="FT91">
        <f ca="1">tblBaseCF[[#This Row],[EndPAV]]</f>
        <v>0</v>
      </c>
      <c r="FU91">
        <f ca="1">tblBaseCF[[#This Row],[SemiAnnualTP]]</f>
        <v>0</v>
      </c>
      <c r="FV91">
        <f ca="1">tblBaseCF[[#This Row],[SemiAnnualEP]]</f>
        <v>0</v>
      </c>
      <c r="FW91">
        <f ca="1">tblBaseCF[[#This Row],[SemiAnnualEMLoad]]</f>
        <v>0</v>
      </c>
      <c r="FX91">
        <f ca="1">tblBaseCF[[#This Row],[SemiAnnualPMLoad]]</f>
        <v>0</v>
      </c>
      <c r="FY91">
        <f ca="1">tblBaseCF[[#This Row],[SemiAnnualLoad]]</f>
        <v>0</v>
      </c>
      <c r="FZ91">
        <f ca="1">tblBaseCF[[#This Row],[SemiAnnualTotalPrem]]</f>
        <v>0</v>
      </c>
      <c r="GA91">
        <f ca="1">tblBaseCF[[#This Row],[QuarterlyTP]]</f>
        <v>0</v>
      </c>
      <c r="GB91">
        <f ca="1">tblBaseCF[[#This Row],[QuarterlyEP]]</f>
        <v>0</v>
      </c>
      <c r="GC91">
        <f ca="1">tblBaseCF[[#This Row],[QuarterlyEMLoad]]</f>
        <v>0</v>
      </c>
      <c r="GD91">
        <f ca="1">tblBaseCF[[#This Row],[QuarterlyPMLoad]]</f>
        <v>0</v>
      </c>
      <c r="GE91">
        <f ca="1">tblBaseCF[[#This Row],[QuarterlyLoad]]</f>
        <v>0</v>
      </c>
      <c r="GF91">
        <f ca="1">tblBaseCF[[#This Row],[QuarterlyTotalPrem]]</f>
        <v>0</v>
      </c>
      <c r="GG91">
        <f ca="1">tblBaseCF[[#This Row],[MonthlyTP]]</f>
        <v>0</v>
      </c>
      <c r="GH91">
        <f ca="1">tblBaseCF[[#This Row],[MonthlyEP]]</f>
        <v>0</v>
      </c>
      <c r="GI91">
        <f ca="1">tblBaseCF[[#This Row],[MonthlyEMLoad]]</f>
        <v>0</v>
      </c>
      <c r="GJ91">
        <f ca="1">tblBaseCF[[#This Row],[MonthlyPMLoad]]</f>
        <v>0</v>
      </c>
      <c r="GK91">
        <f ca="1">tblBaseCF[[#This Row],[MonthlyLoad]]</f>
        <v>0</v>
      </c>
      <c r="GL91">
        <f ca="1">tblBaseCF[[#This Row],[MonthlyTotalPrem]]</f>
        <v>0</v>
      </c>
      <c r="GO91" t="s">
        <v>134</v>
      </c>
      <c r="GP91" t="s">
        <v>135</v>
      </c>
      <c r="GQ91" t="s">
        <v>502</v>
      </c>
      <c r="GR91">
        <v>71</v>
      </c>
      <c r="GS91">
        <v>70</v>
      </c>
      <c r="GT91">
        <v>1</v>
      </c>
      <c r="GU91" t="s">
        <v>457</v>
      </c>
      <c r="GV91">
        <v>541431155.63283598</v>
      </c>
      <c r="GW91">
        <v>4731567443.0975103</v>
      </c>
      <c r="GX91">
        <v>5272998598.73034</v>
      </c>
      <c r="GY91">
        <v>0</v>
      </c>
      <c r="GZ91">
        <v>5272998598.73034</v>
      </c>
      <c r="HA91">
        <v>5272998598.73034</v>
      </c>
      <c r="HB91">
        <v>0</v>
      </c>
      <c r="HC91">
        <v>0</v>
      </c>
      <c r="HD91" t="s">
        <v>137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7.0000000000000007E-2</v>
      </c>
      <c r="HX91">
        <v>0.96964931039809399</v>
      </c>
      <c r="HY91">
        <v>1</v>
      </c>
      <c r="HZ91">
        <v>300000</v>
      </c>
      <c r="IA91">
        <v>0</v>
      </c>
      <c r="IB91">
        <v>0</v>
      </c>
      <c r="IC91">
        <v>0</v>
      </c>
      <c r="ID91">
        <v>0</v>
      </c>
      <c r="IE91">
        <v>300000</v>
      </c>
      <c r="IF91">
        <v>290894.79311942798</v>
      </c>
      <c r="IG91">
        <v>290894.79311942798</v>
      </c>
      <c r="IH91">
        <v>0</v>
      </c>
      <c r="II91">
        <v>37879818.258780196</v>
      </c>
      <c r="IJ91">
        <v>331209721.01682597</v>
      </c>
      <c r="IK91">
        <v>0</v>
      </c>
      <c r="IL91">
        <v>0</v>
      </c>
      <c r="IM91">
        <v>0</v>
      </c>
      <c r="IN91">
        <v>579020079.09849703</v>
      </c>
      <c r="IO91">
        <v>5062777164.1143303</v>
      </c>
      <c r="IP91">
        <v>5641797243.2128296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</row>
    <row r="92" spans="2:268" customFormat="1" x14ac:dyDescent="0.25">
      <c r="B92" s="2">
        <f ca="1">OFFSET(tblBaseCF[[#This Row],[Year]],-1,0)+1</f>
        <v>72</v>
      </c>
      <c r="C92" s="2">
        <f ca="1">(tblBaseCF[[#This Row],[Year]]&lt;=term)*1</f>
        <v>1</v>
      </c>
      <c r="D92" s="57">
        <f ca="1">(YEAR(rcd)+tblBaseCF[[#This Row],[Year]]-1)
*tblBaseCF[[#This Row],[PolTermFlag]]</f>
        <v>2096</v>
      </c>
      <c r="E92" s="57">
        <f ca="1">(mainLI_entry_age+tblBaseCF[[#This Row],[Year]]-1)
*tblBaseCF[[#This Row],[PolTermFlag]]</f>
        <v>71</v>
      </c>
      <c r="F92" s="57">
        <f ca="1">IF(tblBaseCF[[#This Row],[Year]]=1,1,OFFSET(tblBaseCF[[#This Row],[DeductFlag]],-1,0))
*tblBaseCF[[#This Row],[PolTermFlag]]</f>
        <v>0</v>
      </c>
      <c r="G9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2" s="57">
        <f ca="1">(tblBaseCF[[#This Row],[Year]]&lt;=acc_ben_term)
*tblBaseCF[[#This Row],[ContFlag]]</f>
        <v>0</v>
      </c>
      <c r="I92" s="57">
        <f ca="1">(tblBaseCF[[#This Row],[Year]]&lt;=tp_term)
*tblBaseCF[[#This Row],[ContFlag]]</f>
        <v>0</v>
      </c>
      <c r="J92" s="57">
        <f ca="1">(tblBaseCF[[#This Row],[Year]]&lt;=ep_term)
*tblBaseCF[[#This Row],[ContFlag]]</f>
        <v>0</v>
      </c>
      <c r="K92" s="57">
        <f ca="1">(tblBaseCF[[#This Row],[Year]]&lt;=em_load_term)*1</f>
        <v>0</v>
      </c>
      <c r="L92" s="57">
        <f ca="1">(tblBaseCF[[#This Row],[Year]]&lt;=pm_load_term)*1</f>
        <v>0</v>
      </c>
      <c r="M92" s="59">
        <f ca="1">IF(tblBaseCF[[#This Row],[Year]]=1,si,OFFSET(tblBaseCF[[#This Row],[EndSI]],-1,0))
*tblBaseCF[[#This Row],[ContFlag]]</f>
        <v>0</v>
      </c>
      <c r="N92" s="59">
        <f ca="1">OFFSET(tblBaseCF[[#This Row],[EndTAV]],-1,0)
*tblBaseCF[[#This Row],[ContFlag]]</f>
        <v>0</v>
      </c>
      <c r="O92" s="59">
        <f ca="1">OFFSET(tblBaseCF[[#This Row],[EndEAV]],-1,0)
*tblBaseCF[[#This Row],[ContFlag]]</f>
        <v>0</v>
      </c>
      <c r="P92" s="60">
        <f ca="1">tblBaseCF[[#This Row],[StartEAV]]+tblBaseCF[[#This Row],[StartTAV]]</f>
        <v>0</v>
      </c>
      <c r="Q92" s="61">
        <f ca="1">IFERROR(INDEX(tblJuvenileLienRate[Rate],MATCH(tblBaseCF[[#This Row],[Age]],tblJuvenileLienRate[Age],0)),1)
*tblBaseCF[[#This Row],[ContFlag]]</f>
        <v>0</v>
      </c>
      <c r="R9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2" s="62">
        <f ca="1">tblBaseCF[[#This Row],[StartSI]]*acc_ben_coeff*tblBaseCF[[#This Row],[JuvenileLienRate]]
*tblBaseCF[[#This Row],[AccBenTermFlag]]</f>
        <v>0</v>
      </c>
      <c r="T92" s="61">
        <f ca="1">(IFERROR(INDEX(tblSurrChrgRate[Rate],MATCH(tblBaseCF[[#This Row],[Year]],tblSurrChrgRate[Year],0)),0)
*tblBaseCF[[#This Row],[ContFlag]])</f>
        <v>0</v>
      </c>
      <c r="U92" s="60">
        <f ca="1">tp*tblBaseCF[[#This Row],[SrrChrgRate]]</f>
        <v>0</v>
      </c>
      <c r="V92" s="63">
        <f ca="1">MAX(tblBaseCF[[#This Row],[StartTAV]]-tblBaseCF[[#This Row],[SVChrg]],0)+tblBaseCF[[#This Row],[StartEAV]]</f>
        <v>0</v>
      </c>
      <c r="W92" s="59">
        <f ca="1">IFERROR(INDEX(tblWithdrawal_Output[Amount],MATCH(tblBaseCF[[#This Row],[Year]],tblWithdrawal_Output[Year],0)),0)
*tblBaseCF[[#This Row],[ContFlag]]</f>
        <v>0</v>
      </c>
      <c r="X92" s="59" t="b">
        <f ca="1">tblBaseCF[[#This Row],[WithdrawalInput]]&gt;0</f>
        <v>0</v>
      </c>
      <c r="Y92" s="59" t="b">
        <f ca="1">AND(tblBaseCF[[#This Row],[1stCheckProceed]],tblBaseCF[[#This Row],[WithdrawalInput]]&lt;=tblBaseCF[[#This Row],[StartPAV]])</f>
        <v>0</v>
      </c>
      <c r="Z92" s="59" t="b">
        <f ca="1">AND(tblBaseCF[[#This Row],[2ndCheckAmount]],(tblBaseCF[[#This Row],[StartPAV]]-tblBaseCF[[#This Row],[WithdrawalInput]])&gt;=min_pav_after_withdrawal)</f>
        <v>0</v>
      </c>
      <c r="AA9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2" s="59" t="b">
        <f ca="1">AND(tblBaseCF[[#This Row],[3rdCheckPAV]],tblBaseCF[[#This Row],[endSITest]]&gt;=min_base_si)</f>
        <v>0</v>
      </c>
      <c r="AC92" s="60">
        <f ca="1">tblBaseCF[[#This Row],[WithdrawalInput]]*tblBaseCF[[#This Row],[4thCheckSI]]</f>
        <v>0</v>
      </c>
      <c r="AD92" s="60">
        <f ca="1">MIN(tblBaseCF[[#This Row],[Withdrawal]],tblBaseCF[[#This Row],[StartEAV]])</f>
        <v>0</v>
      </c>
      <c r="AE92" s="60">
        <f ca="1">tblBaseCF[[#This Row],[Withdrawal]]-tblBaseCF[[#This Row],[EAVWithdrawal]]</f>
        <v>0</v>
      </c>
      <c r="AF92" s="60">
        <f ca="1">IF(tblBaseCF[[#This Row],[4thCheckSI]],tblBaseCF[[#This Row],[endSITest]],tblBaseCF[[#This Row],[StartSI]])</f>
        <v>0</v>
      </c>
      <c r="AG9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2" s="65">
        <f ca="1">IFERROR(INDEX(tblTPAllocChrgRate[Rate],MATCH(tblBaseCF[[#This Row],[Year]],tblTPAllocChrgRate[Year],0)),0)</f>
        <v>0.02</v>
      </c>
      <c r="AI92" s="62">
        <f ca="1">(tp+big_case_bonus_tp*(tblBaseCF[[#This Row],[Year]]=1))
*tblBaseCF[[#This Row],[TPTermFlag]]</f>
        <v>0</v>
      </c>
      <c r="AJ92" s="63">
        <f ca="1">tblBaseCF[[#This Row],[TP]]*tblBaseCF[[#This Row],[TPAllocChrgRate]]</f>
        <v>0</v>
      </c>
      <c r="AK92" s="60">
        <f ca="1">tblBaseCF[[#This Row],[TP]]-tblBaseCF[[#This Row],[TPAllocChrg]]</f>
        <v>0</v>
      </c>
      <c r="AL92" s="65">
        <f ca="1">IFERROR(INDEX(tblEPAllocChrgRate[Rate],MATCH(tblBaseCF[[#This Row],[Year]],tblEPAllocChrgRate[Year],0)),0)</f>
        <v>0.02</v>
      </c>
      <c r="AM92" s="60">
        <f ca="1">ep*tblBaseCF[[#This Row],[EPTermFlag]]</f>
        <v>0</v>
      </c>
      <c r="AN92" s="60">
        <f ca="1">tblBaseCF[[#This Row],[EP]]*tblBaseCF[[#This Row],[EPAllocChrgRate]]</f>
        <v>0</v>
      </c>
      <c r="AO92" s="63">
        <f ca="1">tblBaseCF[[#This Row],[EP]]-tblBaseCF[[#This Row],[EPAllocChrg]]</f>
        <v>0</v>
      </c>
      <c r="AP92" s="62">
        <f ca="1">tblBaseCF[[#This Row],[Ben]]*extra_prem_rate*em_load/1000/(1-tblBaseCF[[#This Row],[EPAllocChrgRate]])
*tblBaseCF[[#This Row],[EMLoadTermFlag]]</f>
        <v>0</v>
      </c>
      <c r="AQ92" s="62">
        <f ca="1">tblBaseCF[[#This Row],[Ben]]*pm_load/1000/(1-tblBaseCF[[#This Row],[EPAllocChrgRate]])
*tblBaseCF[[#This Row],[PMLoadTermFlag]]</f>
        <v>0</v>
      </c>
      <c r="AR92" s="60">
        <f ca="1">ROUNDUP(tblBaseCF[[#This Row],[UnroundedEMLoad]],-3)</f>
        <v>0</v>
      </c>
      <c r="AS92" s="62">
        <f ca="1">ROUNDUP(tblBaseCF[[#This Row],[Ben]]*pm_load/1000/(1-tblBaseCF[[#This Row],[EPAllocChrgRate]]),-3)
*tblBaseCF[[#This Row],[PMLoadTermFlag]]</f>
        <v>0</v>
      </c>
      <c r="AT92" s="60">
        <f ca="1">tblBaseCF[[#This Row],[EMLoad]]+tblBaseCF[[#This Row],[PMLoad]]</f>
        <v>0</v>
      </c>
      <c r="AU92" s="60">
        <f ca="1">tblBaseCF[[#This Row],[Load]]*tblBaseCF[[#This Row],[EPAllocChrgRate]]</f>
        <v>0</v>
      </c>
      <c r="AV92" s="60">
        <f ca="1">tblBaseCF[[#This Row],[Load]]-tblBaseCF[[#This Row],[LoadAllocChrg]]</f>
        <v>0</v>
      </c>
      <c r="AW92" s="60">
        <f ca="1">tblBaseCF[[#This Row],[TP]]+tblBaseCF[[#This Row],[EP]]+tblBaseCF[[#This Row],[Load]]</f>
        <v>0</v>
      </c>
      <c r="AX92" s="60">
        <f ca="1">tblBaseCF[[#This Row],[TPAllocChrg]]+tblBaseCF[[#This Row],[EPAllocChrg]]+tblBaseCF[[#This Row],[LoadAllocChrg]]</f>
        <v>0</v>
      </c>
      <c r="AY92" s="60">
        <f ca="1">tblBaseCF[[#This Row],[TPAlloc]]+tblBaseCF[[#This Row],[EPAlloc]]+tblBaseCF[[#This Row],[LoadAlloc]]</f>
        <v>0</v>
      </c>
      <c r="AZ92" s="60">
        <f ca="1">(OFFSET(tblBaseCF[[#This Row],[AccumTotalPrem]],-1,0)+tblBaseCF[[#This Row],[TotalPrem]])*tblBaseCF[[#This Row],[TPTermFlag]]</f>
        <v>0</v>
      </c>
      <c r="BA92" s="62">
        <f ca="1">(tblBaseCF[[#This Row],[StartTAV]]-tblBaseCF[[#This Row],[TAVWithdrawal]]+tblBaseCF[[#This Row],[TPAlloc]])
*tblBaseCF[[#This Row],[ContFlag]]</f>
        <v>0</v>
      </c>
      <c r="BB92" s="59">
        <f ca="1">(tblBaseCF[[#This Row],[StartEAV]]-tblBaseCF[[#This Row],[EAVWithdrawal]]+tblBaseCF[[#This Row],[EPAlloc]]+tblBaseCF[[#This Row],[LoadAlloc]])
*tblBaseCF[[#This Row],[ContFlag]]</f>
        <v>0</v>
      </c>
      <c r="BC92" s="59">
        <f ca="1">tblBaseCF[[#This Row],[TAVAfterWdrlAlloc]]+tblBaseCF[[#This Row],[EAVAfterWdrlAlloc]]</f>
        <v>0</v>
      </c>
      <c r="BD92" s="66">
        <f t="shared" si="10"/>
        <v>0</v>
      </c>
      <c r="BE92" s="67">
        <f>(1+tblBaseCF[[#This Row],[AnnualIntRate]])^(1/12)-1</f>
        <v>0</v>
      </c>
      <c r="BF92" s="68">
        <f>IFERROR(((1+tblBaseCF[[#This Row],[MonthlyIntRate]])^12-1)/12/(1-1/(1+tblBaseCF[[#This Row],[MonthlyIntRate]])),1)/(1+tblBaseCF[[#This Row],[AnnualIntRate]])</f>
        <v>1</v>
      </c>
      <c r="BG92" s="69">
        <f>PV(tblBaseCF[[#This Row],[MonthlyIntRate]],12,-1/12,,1)</f>
        <v>1</v>
      </c>
      <c r="BH92" s="60">
        <f ca="1">MAX(IF(death_tpd_option="A",tblBaseCF[[#This Row],[Ben]]-tblBaseCF[[#This Row],[StartPAV]],tblBaseCF[[#This Row],[Ben]]),0)</f>
        <v>0</v>
      </c>
      <c r="BI92" s="70">
        <f ca="1">IFERROR(INDEX(tblBaseCOIRate[Rate],MATCH(tblBaseCF[[#This Row],[Age]],tblBaseCOIRate[Age],0)),0)</f>
        <v>2.5530000000000101E-2</v>
      </c>
      <c r="BJ92" s="60">
        <f ca="1">tblBaseCF[[#This Row],[SAR]]*tblBaseCF[[#This Row],[COIRate]]</f>
        <v>0</v>
      </c>
      <c r="BK92" s="62">
        <f ca="1">em_load*tblBaseCF[[#This Row],[pStandardCOI]]
*tblBaseCF[[#This Row],[EMLoadTermFlag]]</f>
        <v>0</v>
      </c>
      <c r="BL92" s="62">
        <f ca="1">pm_load/1000*tblBaseCF[[#This Row],[SAR]]
*tblBaseCF[[#This Row],[PMLoadTermFlag]]</f>
        <v>0</v>
      </c>
      <c r="BM92" s="60">
        <f ca="1">tblBaseCF[[#This Row],[AccBen]]*monthly_acc_coi*12</f>
        <v>0</v>
      </c>
      <c r="BN92" s="60">
        <f ca="1">tblBaseCF[[#This Row],[pStandardCOI]]+tblBaseCF[[#This Row],[pEMLoadCOI]]+tblBaseCF[[#This Row],[pPMLoadCOI]]+tblBaseCF[[#This Row],[pAccCOI]]</f>
        <v>0</v>
      </c>
      <c r="BO92" s="62">
        <f ca="1">IFERROR(INDEX(tblAdminChrg[Amount],MATCH(tblBaseCF[[#This Row],[CalYear]],tblAdminChrg[Cal_Year],0)),0)
*tblBaseCF[[#This Row],[ContFlag]]</f>
        <v>0</v>
      </c>
      <c r="BP92" s="60">
        <f ca="1">tblBaseCF[[#This Row],[pMonthlyAdminChrg]]*12</f>
        <v>0</v>
      </c>
      <c r="BQ92" s="60">
        <f ca="1">tblBaseCF[[#This Row],[pCOI]]+tblBaseCF[[#This Row],[pAdminChrg]]</f>
        <v>0</v>
      </c>
      <c r="BR92" s="60">
        <f ca="1">tblBaseCF[[#This Row],[pNomDeduct]]*tblBaseCF[[#This Row],[Duean1m12]]</f>
        <v>0</v>
      </c>
      <c r="BS92" s="57">
        <f ca="1">(tblBaseCF[[#This Row],[PAVAfterWdrlAlloc]]&gt;=tblBaseCF[[#This Row],[pNomDeduct]])
*tblBaseCF[[#This Row],[ContFlag]]</f>
        <v>0</v>
      </c>
      <c r="BT92" s="60">
        <f ca="1">tblBaseCF[[#This Row],[pStandardCOI]]*tblBaseCF[[#This Row],[DeductFlag]]</f>
        <v>0</v>
      </c>
      <c r="BU92" s="60">
        <f ca="1">tblBaseCF[[#This Row],[pEMLoadCOI]]*tblBaseCF[[#This Row],[DeductFlag]]</f>
        <v>0</v>
      </c>
      <c r="BV92" s="60">
        <f ca="1">tblBaseCF[[#This Row],[pPMLoadCOI]]*tblBaseCF[[#This Row],[DeductFlag]]</f>
        <v>0</v>
      </c>
      <c r="BW92" s="60">
        <f ca="1">tblBaseCF[[#This Row],[pAccCOI]]*tblBaseCF[[#This Row],[DeductFlag]]</f>
        <v>0</v>
      </c>
      <c r="BX92" s="60">
        <f ca="1">tblBaseCF[[#This Row],[pCOI]]*tblBaseCF[[#This Row],[DeductFlag]]</f>
        <v>0</v>
      </c>
      <c r="BY92" s="60">
        <f ca="1">tblBaseCF[[#This Row],[pMonthlyAdminChrg]]*tblBaseCF[[#This Row],[DeductFlag]]</f>
        <v>0</v>
      </c>
      <c r="BZ92" s="60">
        <f ca="1">tblBaseCF[[#This Row],[pAdminChrg]]*tblBaseCF[[#This Row],[DeductFlag]]</f>
        <v>0</v>
      </c>
      <c r="CA92" s="60">
        <f ca="1">tblBaseCF[[#This Row],[pNomDeduct]]*tblBaseCF[[#This Row],[DeductFlag]]</f>
        <v>0</v>
      </c>
      <c r="CB92" s="60">
        <f ca="1">tblBaseCF[[#This Row],[pDeduct]]*tblBaseCF[[#This Row],[DeductFlag]]</f>
        <v>0</v>
      </c>
      <c r="CC92" s="60">
        <f ca="1">MIN(tblBaseCF[[#This Row],[TAVAfterWdrlAlloc]],tblBaseCF[[#This Row],[Deduct]])</f>
        <v>0</v>
      </c>
      <c r="CD92" s="60">
        <f ca="1">tblBaseCF[[#This Row],[Deduct]]-tblBaseCF[[#This Row],[TAVDeduct]]</f>
        <v>0</v>
      </c>
      <c r="CE92" s="69">
        <f ca="1">(tblBaseCF[[#This Row],[TAVAfterWdrlAlloc]]-tblBaseCF[[#This Row],[TAVDeduct]])*tblBaseCF[[#This Row],[AnnualIntRate]]
*tblBaseCF[[#This Row],[DeductFlag]]</f>
        <v>0</v>
      </c>
      <c r="CF92" s="69">
        <f ca="1">(tblBaseCF[[#This Row],[EAVAfterWdrlAlloc]]-tblBaseCF[[#This Row],[EAVDeduct]])*tblBaseCF[[#This Row],[AnnualIntRate]]
*tblBaseCF[[#This Row],[DeductFlag]]</f>
        <v>0</v>
      </c>
      <c r="CG92" s="69">
        <f ca="1">tblBaseCF[[#This Row],[TAVInt]]+tblBaseCF[[#This Row],[EAVInt]]</f>
        <v>0</v>
      </c>
      <c r="CH92" s="62">
        <f ca="1">IFERROR(INDEX(tblLBRate[Rate],MATCH(tblBaseCF[[#This Row],[Year]],tblLBRate[Year],0)),0)
*tblBaseCF[[#This Row],[DeductFlag]]</f>
        <v>0</v>
      </c>
      <c r="CI92" s="60">
        <f ca="1">IFERROR(SUM(OFFSET(tblBaseCF[[#This Row],[TAVWithdrawal]],0,0,-lb_review_period,1)),0)
*(tblBaseCF[[#This Row],[LBRate]]&gt;0)</f>
        <v>0</v>
      </c>
      <c r="CJ92" s="60">
        <f ca="1">(tblBaseCF[[#This Row],[LBRate]]&gt;0)*(tblBaseCF[[#This Row],[LBTAVWithdrawal]]=0)</f>
        <v>0</v>
      </c>
      <c r="CK92" s="62" cm="1">
        <f t="array" aca="1" ref="CK92" ca="1">IF(tblBaseCF[[#This Row],[LBFlag]],
_xlfn.SWITCH(base,
"ILP1",AVERAGE(OFFSET(tblBaseCF[TP],0,0,-lb_review_period,1)),tp),0)
*tblBaseCF[[#This Row],[LBFlag]]</f>
        <v>0</v>
      </c>
      <c r="CL92" s="62">
        <f ca="1">tblBaseCF[[#This Row],[LBBasis]]*tblBaseCF[[#This Row],[LBRate]]</f>
        <v>0</v>
      </c>
      <c r="CM92" s="57" cm="1">
        <f t="array" aca="1" ref="CM92" ca="1">_xlfn.SWITCH(base,
"ILP1",0,($AF192&lt;500000000)*1
+($AF192&gt;=500000000)*($AF192&lt;1000000000)*2
+($AF192&gt;=1000000000)*3)
*tblBaseCF[[#This Row],[DeductFlag]]</f>
        <v>0</v>
      </c>
      <c r="CN92" s="2" t="str">
        <f ca="1">IF(tblBaseCF[[#This Row],[DeductFlag]],base&amp;"_"&amp;tblBaseCF[[#This Row],[SBCode]]&amp;"_"&amp;tblBaseCF[[#This Row],[Year]],"")</f>
        <v/>
      </c>
      <c r="CO92" s="3">
        <f ca="1">IFERROR(INDEX(tblSBRate[Index],MATCH(tblBaseCF[[#This Row],[SBIndex]],tblSBRate[Rate],0)),0)</f>
        <v>0</v>
      </c>
      <c r="CP92" s="63">
        <f ca="1">IFERROR(SUM(OFFSET(tblBaseCF[[#This Row],[TAVWithdrawal]],0,0,-sb_review_period,1)),0)
*(tblBaseCF[[#This Row],[SBRate]]&gt;0)</f>
        <v>0</v>
      </c>
      <c r="CQ92" s="63">
        <f ca="1">(tblBaseCF[[#This Row],[SBRate]]&gt;0)*(tblBaseCF[[#This Row],[SBTAVWithdrawal]]=0)</f>
        <v>0</v>
      </c>
      <c r="CR92" s="59" cm="1">
        <f t="array" aca="1" ref="CR92" ca="1">IF(tblBaseCF[[#This Row],[LBFlag]],
_xlfn.SWITCH(base,
"ILP1",0,tp),0)*tblBaseCF[[#This Row],[SBFlag]]</f>
        <v>0</v>
      </c>
      <c r="CS92" s="63">
        <f ca="1">tblBaseCF[[#This Row],[SBBasis]]*tblBaseCF[[#This Row],[SBRate]]</f>
        <v>0</v>
      </c>
      <c r="CT92" s="63">
        <f ca="1">tblBaseCF[[#This Row],[LB]]+tblBaseCF[[#This Row],[SB]]</f>
        <v>0</v>
      </c>
      <c r="CU92" s="59">
        <f ca="1">tblBaseCF[[#This Row],[TAVAfterWdrlAlloc]]-tblBaseCF[[#This Row],[TAVDeduct]]+tblBaseCF[[#This Row],[TAVInt]]+tblBaseCF[[#This Row],[Bonus]]</f>
        <v>0</v>
      </c>
      <c r="CV92" s="59">
        <f ca="1">tblBaseCF[[#This Row],[EAVAfterWdrlAlloc]]-tblBaseCF[[#This Row],[EAVDeduct]]+tblBaseCF[[#This Row],[EAVInt]]</f>
        <v>0</v>
      </c>
      <c r="CW92" s="63">
        <f ca="1">tblBaseCF[[#This Row],[EndTAV]]+tblBaseCF[[#This Row],[EndEAV]]</f>
        <v>0</v>
      </c>
      <c r="CX92" s="59">
        <f ca="1">INDEX(tblPlanPrem[TP],2)
*tblBaseCF[[#This Row],[TPTermFlag]]</f>
        <v>0</v>
      </c>
      <c r="CY92" s="59">
        <f ca="1">INDEX(tblPlanPrem[EP],2)
*tblBaseCF[[#This Row],[TPTermFlag]]</f>
        <v>0</v>
      </c>
      <c r="CZ92" s="63">
        <f ca="1">ROUNDUP(tblBaseCF[[#This Row],[UnroundedEMLoad]]*INDEX(tblPlanPrem[Factor],2),-3)</f>
        <v>0</v>
      </c>
      <c r="DA92" s="63">
        <f ca="1">ROUNDUP(tblBaseCF[[#This Row],[UnroundedPMLoad]]*INDEX(tblPlanPrem[Factor],2),-3)</f>
        <v>0</v>
      </c>
      <c r="DB92" s="63">
        <f ca="1">tblBaseCF[[#This Row],[SemiAnnualEMLoad]]+tblBaseCF[[#This Row],[SemiAnnualPMLoad]]</f>
        <v>0</v>
      </c>
      <c r="DC92" s="63">
        <f ca="1">tblBaseCF[[#This Row],[SemiAnnualTP]]+tblBaseCF[[#This Row],[SemiAnnualEP]]+tblBaseCF[[#This Row],[SemiAnnualLoad]]</f>
        <v>0</v>
      </c>
      <c r="DD92" s="59">
        <f ca="1">INDEX(tblPlanPrem[TP],3)
*tblBaseCF[[#This Row],[TPTermFlag]]</f>
        <v>0</v>
      </c>
      <c r="DE92" s="59">
        <f ca="1">INDEX(tblPlanPrem[EP],3)
*tblBaseCF[[#This Row],[TPTermFlag]]</f>
        <v>0</v>
      </c>
      <c r="DF92" s="63">
        <f ca="1">ROUNDUP(tblBaseCF[[#This Row],[UnroundedEMLoad]]*INDEX(tblPlanPrem[Factor],3),-3)</f>
        <v>0</v>
      </c>
      <c r="DG92" s="63">
        <f ca="1">ROUNDUP(tblBaseCF[[#This Row],[UnroundedPMLoad]]*INDEX(tblPlanPrem[Factor],3),-3)</f>
        <v>0</v>
      </c>
      <c r="DH92" s="60">
        <f ca="1">tblBaseCF[[#This Row],[QuarterlyEMLoad]]+tblBaseCF[[#This Row],[QuarterlyPMLoad]]</f>
        <v>0</v>
      </c>
      <c r="DI92" s="60">
        <f ca="1">tblBaseCF[[#This Row],[QuarterlyTP]]+tblBaseCF[[#This Row],[QuarterlyEP]]+tblBaseCF[[#This Row],[QuarterlyLoad]]</f>
        <v>0</v>
      </c>
      <c r="DJ92" s="59">
        <f ca="1">INDEX(tblPlanPrem[TP],4)
*tblBaseCF[[#This Row],[TPTermFlag]]</f>
        <v>0</v>
      </c>
      <c r="DK92" s="59">
        <f ca="1">INDEX(tblPlanPrem[EP],4)
*tblBaseCF[[#This Row],[TPTermFlag]]</f>
        <v>0</v>
      </c>
      <c r="DL92" s="63">
        <f ca="1">ROUNDUP(tblBaseCF[[#This Row],[UnroundedEMLoad]]*INDEX(tblPlanPrem[Factor],4),-3)</f>
        <v>0</v>
      </c>
      <c r="DM92" s="63">
        <f ca="1">ROUNDUP(tblBaseCF[[#This Row],[UnroundedPMLoad]]*INDEX(tblPlanPrem[Factor],4),-3)</f>
        <v>0</v>
      </c>
      <c r="DN92" s="60">
        <f ca="1">tblBaseCF[[#This Row],[MonthlyEMLoad]]+tblBaseCF[[#This Row],[MonthlyPMLoad]]</f>
        <v>0</v>
      </c>
      <c r="DO92" s="63">
        <f ca="1">tblBaseCF[[#This Row],[MonthlyTP]]+tblBaseCF[[#This Row],[MonthlyEP]]+tblBaseCF[[#This Row],[MonthlyLoad]]</f>
        <v>0</v>
      </c>
      <c r="DP92" s="3"/>
      <c r="DS92">
        <f t="shared" si="11"/>
        <v>0</v>
      </c>
      <c r="DT92">
        <f t="shared" si="12"/>
        <v>0</v>
      </c>
      <c r="DU92">
        <f t="shared" si="13"/>
        <v>0</v>
      </c>
      <c r="DV92">
        <f ca="1">tblBaseCF[[#This Row],[Year]]</f>
        <v>72</v>
      </c>
      <c r="DW92">
        <f ca="1">tblBaseCF[[#This Row],[Age]]</f>
        <v>71</v>
      </c>
      <c r="DX92">
        <f ca="1">tblBaseCF[[#This Row],[ContFlag]]</f>
        <v>0</v>
      </c>
      <c r="DY92" t="str">
        <f ca="1">tblBaseCF[[#This Row],[ContLog]]</f>
        <v>Insufficient PAV for deduction - Discontinue.</v>
      </c>
      <c r="DZ92">
        <f ca="1">tblBaseCF[[#This Row],[StartTAV]]</f>
        <v>0</v>
      </c>
      <c r="EA92">
        <f ca="1">tblBaseCF[[#This Row],[StartEAV]]</f>
        <v>0</v>
      </c>
      <c r="EB92">
        <f ca="1">tblBaseCF[[#This Row],[StartPAV]]</f>
        <v>0</v>
      </c>
      <c r="EC92">
        <f ca="1">tblBaseCF[[#This Row],[SVChrg]]</f>
        <v>0</v>
      </c>
      <c r="ED92">
        <f ca="1">tblBaseCF[[#This Row],[SV]]</f>
        <v>0</v>
      </c>
      <c r="EE92">
        <f ca="1">tblBaseCF[[#This Row],[Ben]]</f>
        <v>0</v>
      </c>
      <c r="EF92">
        <f ca="1">tblBaseCF[[#This Row],[AccBen]]</f>
        <v>0</v>
      </c>
      <c r="EG92">
        <f ca="1">tblBaseCF[[#This Row],[WithdrawalInput]]</f>
        <v>0</v>
      </c>
      <c r="EH92" t="str">
        <f ca="1">tblBaseCF[[#This Row],[WithdrawalLog]]</f>
        <v>No withdrawal.</v>
      </c>
      <c r="EI92">
        <f ca="1">tblBaseCF[[#This Row],[TAVWithdrawal]]</f>
        <v>0</v>
      </c>
      <c r="EJ92">
        <f ca="1">tblBaseCF[[#This Row],[EAVWithdrawal]]</f>
        <v>0</v>
      </c>
      <c r="EK92">
        <f ca="1">tblBaseCF[[#This Row],[Withdrawal]]</f>
        <v>0</v>
      </c>
      <c r="EL92">
        <f ca="1">tblBaseCF[[#This Row],[TP]]</f>
        <v>0</v>
      </c>
      <c r="EM92">
        <f ca="1">tblBaseCF[[#This Row],[TPAllocChrg]]</f>
        <v>0</v>
      </c>
      <c r="EN92">
        <f ca="1">tblBaseCF[[#This Row],[TPAlloc]]</f>
        <v>0</v>
      </c>
      <c r="EO92">
        <f ca="1">tblBaseCF[[#This Row],[EP]]</f>
        <v>0</v>
      </c>
      <c r="EP92">
        <f ca="1">tblBaseCF[[#This Row],[EPAllocChrg]]</f>
        <v>0</v>
      </c>
      <c r="EQ92">
        <f ca="1">tblBaseCF[[#This Row],[EPAlloc]]</f>
        <v>0</v>
      </c>
      <c r="ER92">
        <f ca="1">tblBaseCF[[#This Row],[EMLoad]]</f>
        <v>0</v>
      </c>
      <c r="ES92">
        <f ca="1">tblBaseCF[[#This Row],[PMLoad]]</f>
        <v>0</v>
      </c>
      <c r="ET92">
        <f ca="1">tblBaseCF[[#This Row],[Load]]</f>
        <v>0</v>
      </c>
      <c r="EU92">
        <f ca="1">tblBaseCF[[#This Row],[LoadAllocChrg]]</f>
        <v>0</v>
      </c>
      <c r="EV92">
        <f ca="1">tblBaseCF[[#This Row],[LoadAlloc]]</f>
        <v>0</v>
      </c>
      <c r="EW92">
        <f ca="1">tblBaseCF[[#This Row],[TotalPrem]]</f>
        <v>0</v>
      </c>
      <c r="EX92">
        <f ca="1">tblBaseCF[[#This Row],[AllocChrg]]</f>
        <v>0</v>
      </c>
      <c r="EY92">
        <f ca="1">tblBaseCF[[#This Row],[Alloc]]</f>
        <v>0</v>
      </c>
      <c r="EZ92">
        <f ca="1">tblBaseCF[[#This Row],[AccumTotalPrem]]</f>
        <v>0</v>
      </c>
      <c r="FA92">
        <f>tblBaseCF[[#This Row],[AnnualIntRate]]</f>
        <v>0</v>
      </c>
      <c r="FB92" s="50">
        <f>tblBaseCF[[#This Row],[Duean1m12]]</f>
        <v>1</v>
      </c>
      <c r="FC92">
        <f ca="1">tblBaseCF[[#This Row],[DeductFlag]]</f>
        <v>0</v>
      </c>
      <c r="FD92">
        <f ca="1">tblBaseCF[[#This Row],[AdminChrg]]</f>
        <v>0</v>
      </c>
      <c r="FE92">
        <f ca="1">tblBaseCF[[#This Row],[StandardCOI]]</f>
        <v>0</v>
      </c>
      <c r="FF92">
        <f ca="1">tblBaseCF[[#This Row],[EMLoadCOI]]</f>
        <v>0</v>
      </c>
      <c r="FG92">
        <f ca="1">tblBaseCF[[#This Row],[PMLoadCOI]]</f>
        <v>0</v>
      </c>
      <c r="FH92">
        <f ca="1">tblBaseCF[[#This Row],[COI]]</f>
        <v>0</v>
      </c>
      <c r="FI92" s="47">
        <f ca="1">tblBaseCF[[#This Row],[NomDeduct]]</f>
        <v>0</v>
      </c>
      <c r="FJ92">
        <f ca="1">tblBaseCF[[#This Row],[Deduct]]</f>
        <v>0</v>
      </c>
      <c r="FK92">
        <f ca="1">tblBaseCF[[#This Row],[TAVDeduct]]</f>
        <v>0</v>
      </c>
      <c r="FL92">
        <f ca="1">tblBaseCF[[#This Row],[EAVDeduct]]</f>
        <v>0</v>
      </c>
      <c r="FM92" s="24">
        <f ca="1">tblBaseCF[[#This Row],[TAVInt]]</f>
        <v>0</v>
      </c>
      <c r="FN92">
        <f ca="1">tblBaseCF[[#This Row],[EAVInt]]</f>
        <v>0</v>
      </c>
      <c r="FO92" s="47">
        <f ca="1">tblBaseCF[[#This Row],[LB]]</f>
        <v>0</v>
      </c>
      <c r="FP92">
        <f ca="1">tblBaseCF[[#This Row],[SB]]</f>
        <v>0</v>
      </c>
      <c r="FQ92">
        <f ca="1">tblBaseCF[[#This Row],[Bonus]]</f>
        <v>0</v>
      </c>
      <c r="FR92">
        <f ca="1">tblBaseCF[[#This Row],[EndTAV]]</f>
        <v>0</v>
      </c>
      <c r="FS92">
        <f ca="1">tblBaseCF[[#This Row],[EndEAV]]</f>
        <v>0</v>
      </c>
      <c r="FT92">
        <f ca="1">tblBaseCF[[#This Row],[EndPAV]]</f>
        <v>0</v>
      </c>
      <c r="FU92">
        <f ca="1">tblBaseCF[[#This Row],[SemiAnnualTP]]</f>
        <v>0</v>
      </c>
      <c r="FV92">
        <f ca="1">tblBaseCF[[#This Row],[SemiAnnualEP]]</f>
        <v>0</v>
      </c>
      <c r="FW92">
        <f ca="1">tblBaseCF[[#This Row],[SemiAnnualEMLoad]]</f>
        <v>0</v>
      </c>
      <c r="FX92">
        <f ca="1">tblBaseCF[[#This Row],[SemiAnnualPMLoad]]</f>
        <v>0</v>
      </c>
      <c r="FY92">
        <f ca="1">tblBaseCF[[#This Row],[SemiAnnualLoad]]</f>
        <v>0</v>
      </c>
      <c r="FZ92">
        <f ca="1">tblBaseCF[[#This Row],[SemiAnnualTotalPrem]]</f>
        <v>0</v>
      </c>
      <c r="GA92">
        <f ca="1">tblBaseCF[[#This Row],[QuarterlyTP]]</f>
        <v>0</v>
      </c>
      <c r="GB92">
        <f ca="1">tblBaseCF[[#This Row],[QuarterlyEP]]</f>
        <v>0</v>
      </c>
      <c r="GC92">
        <f ca="1">tblBaseCF[[#This Row],[QuarterlyEMLoad]]</f>
        <v>0</v>
      </c>
      <c r="GD92">
        <f ca="1">tblBaseCF[[#This Row],[QuarterlyPMLoad]]</f>
        <v>0</v>
      </c>
      <c r="GE92">
        <f ca="1">tblBaseCF[[#This Row],[QuarterlyLoad]]</f>
        <v>0</v>
      </c>
      <c r="GF92">
        <f ca="1">tblBaseCF[[#This Row],[QuarterlyTotalPrem]]</f>
        <v>0</v>
      </c>
      <c r="GG92">
        <f ca="1">tblBaseCF[[#This Row],[MonthlyTP]]</f>
        <v>0</v>
      </c>
      <c r="GH92">
        <f ca="1">tblBaseCF[[#This Row],[MonthlyEP]]</f>
        <v>0</v>
      </c>
      <c r="GI92">
        <f ca="1">tblBaseCF[[#This Row],[MonthlyEMLoad]]</f>
        <v>0</v>
      </c>
      <c r="GJ92">
        <f ca="1">tblBaseCF[[#This Row],[MonthlyPMLoad]]</f>
        <v>0</v>
      </c>
      <c r="GK92">
        <f ca="1">tblBaseCF[[#This Row],[MonthlyLoad]]</f>
        <v>0</v>
      </c>
      <c r="GL92">
        <f ca="1">tblBaseCF[[#This Row],[MonthlyTotalPrem]]</f>
        <v>0</v>
      </c>
      <c r="GO92" t="s">
        <v>134</v>
      </c>
      <c r="GP92" t="s">
        <v>135</v>
      </c>
      <c r="GQ92" t="s">
        <v>502</v>
      </c>
      <c r="GR92">
        <v>72</v>
      </c>
      <c r="GS92">
        <v>71</v>
      </c>
      <c r="GT92">
        <v>1</v>
      </c>
      <c r="GU92" t="s">
        <v>457</v>
      </c>
      <c r="GV92">
        <v>579020079.09849703</v>
      </c>
      <c r="GW92">
        <v>5062777164.1143303</v>
      </c>
      <c r="GX92">
        <v>5641797243.2128296</v>
      </c>
      <c r="GY92">
        <v>0</v>
      </c>
      <c r="GZ92">
        <v>5641797243.2128296</v>
      </c>
      <c r="HA92">
        <v>5641797243.2128296</v>
      </c>
      <c r="HB92">
        <v>0</v>
      </c>
      <c r="HC92">
        <v>0</v>
      </c>
      <c r="HD92" t="s">
        <v>137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7.0000000000000007E-2</v>
      </c>
      <c r="HX92">
        <v>0.96964931039809399</v>
      </c>
      <c r="HY92">
        <v>1</v>
      </c>
      <c r="HZ92">
        <v>300000</v>
      </c>
      <c r="IA92">
        <v>0</v>
      </c>
      <c r="IB92">
        <v>0</v>
      </c>
      <c r="IC92">
        <v>0</v>
      </c>
      <c r="ID92">
        <v>0</v>
      </c>
      <c r="IE92">
        <v>300000</v>
      </c>
      <c r="IF92">
        <v>290894.79311942798</v>
      </c>
      <c r="IG92">
        <v>290894.79311942798</v>
      </c>
      <c r="IH92">
        <v>0</v>
      </c>
      <c r="II92">
        <v>40511042.901376501</v>
      </c>
      <c r="IJ92">
        <v>354394401.48800302</v>
      </c>
      <c r="IK92">
        <v>0</v>
      </c>
      <c r="IL92">
        <v>0</v>
      </c>
      <c r="IM92">
        <v>0</v>
      </c>
      <c r="IN92">
        <v>619240227.20675397</v>
      </c>
      <c r="IO92">
        <v>5417171565.6023397</v>
      </c>
      <c r="IP92">
        <v>6036411792.8090897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</row>
    <row r="93" spans="2:268" customFormat="1" x14ac:dyDescent="0.25">
      <c r="B93" s="2">
        <f ca="1">OFFSET(tblBaseCF[[#This Row],[Year]],-1,0)+1</f>
        <v>73</v>
      </c>
      <c r="C93" s="2">
        <f ca="1">(tblBaseCF[[#This Row],[Year]]&lt;=term)*1</f>
        <v>1</v>
      </c>
      <c r="D93" s="57">
        <f ca="1">(YEAR(rcd)+tblBaseCF[[#This Row],[Year]]-1)
*tblBaseCF[[#This Row],[PolTermFlag]]</f>
        <v>2097</v>
      </c>
      <c r="E93" s="57">
        <f ca="1">(mainLI_entry_age+tblBaseCF[[#This Row],[Year]]-1)
*tblBaseCF[[#This Row],[PolTermFlag]]</f>
        <v>72</v>
      </c>
      <c r="F93" s="57">
        <f ca="1">IF(tblBaseCF[[#This Row],[Year]]=1,1,OFFSET(tblBaseCF[[#This Row],[DeductFlag]],-1,0))
*tblBaseCF[[#This Row],[PolTermFlag]]</f>
        <v>0</v>
      </c>
      <c r="G9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3" s="57">
        <f ca="1">(tblBaseCF[[#This Row],[Year]]&lt;=acc_ben_term)
*tblBaseCF[[#This Row],[ContFlag]]</f>
        <v>0</v>
      </c>
      <c r="I93" s="57">
        <f ca="1">(tblBaseCF[[#This Row],[Year]]&lt;=tp_term)
*tblBaseCF[[#This Row],[ContFlag]]</f>
        <v>0</v>
      </c>
      <c r="J93" s="57">
        <f ca="1">(tblBaseCF[[#This Row],[Year]]&lt;=ep_term)
*tblBaseCF[[#This Row],[ContFlag]]</f>
        <v>0</v>
      </c>
      <c r="K93" s="57">
        <f ca="1">(tblBaseCF[[#This Row],[Year]]&lt;=em_load_term)*1</f>
        <v>0</v>
      </c>
      <c r="L93" s="57">
        <f ca="1">(tblBaseCF[[#This Row],[Year]]&lt;=pm_load_term)*1</f>
        <v>0</v>
      </c>
      <c r="M93" s="59">
        <f ca="1">IF(tblBaseCF[[#This Row],[Year]]=1,si,OFFSET(tblBaseCF[[#This Row],[EndSI]],-1,0))
*tblBaseCF[[#This Row],[ContFlag]]</f>
        <v>0</v>
      </c>
      <c r="N93" s="59">
        <f ca="1">OFFSET(tblBaseCF[[#This Row],[EndTAV]],-1,0)
*tblBaseCF[[#This Row],[ContFlag]]</f>
        <v>0</v>
      </c>
      <c r="O93" s="59">
        <f ca="1">OFFSET(tblBaseCF[[#This Row],[EndEAV]],-1,0)
*tblBaseCF[[#This Row],[ContFlag]]</f>
        <v>0</v>
      </c>
      <c r="P93" s="60">
        <f ca="1">tblBaseCF[[#This Row],[StartEAV]]+tblBaseCF[[#This Row],[StartTAV]]</f>
        <v>0</v>
      </c>
      <c r="Q93" s="61">
        <f ca="1">IFERROR(INDEX(tblJuvenileLienRate[Rate],MATCH(tblBaseCF[[#This Row],[Age]],tblJuvenileLienRate[Age],0)),1)
*tblBaseCF[[#This Row],[ContFlag]]</f>
        <v>0</v>
      </c>
      <c r="R9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3" s="62">
        <f ca="1">tblBaseCF[[#This Row],[StartSI]]*acc_ben_coeff*tblBaseCF[[#This Row],[JuvenileLienRate]]
*tblBaseCF[[#This Row],[AccBenTermFlag]]</f>
        <v>0</v>
      </c>
      <c r="T93" s="61">
        <f ca="1">(IFERROR(INDEX(tblSurrChrgRate[Rate],MATCH(tblBaseCF[[#This Row],[Year]],tblSurrChrgRate[Year],0)),0)
*tblBaseCF[[#This Row],[ContFlag]])</f>
        <v>0</v>
      </c>
      <c r="U93" s="60">
        <f ca="1">tp*tblBaseCF[[#This Row],[SrrChrgRate]]</f>
        <v>0</v>
      </c>
      <c r="V93" s="63">
        <f ca="1">MAX(tblBaseCF[[#This Row],[StartTAV]]-tblBaseCF[[#This Row],[SVChrg]],0)+tblBaseCF[[#This Row],[StartEAV]]</f>
        <v>0</v>
      </c>
      <c r="W93" s="59">
        <f ca="1">IFERROR(INDEX(tblWithdrawal_Output[Amount],MATCH(tblBaseCF[[#This Row],[Year]],tblWithdrawal_Output[Year],0)),0)
*tblBaseCF[[#This Row],[ContFlag]]</f>
        <v>0</v>
      </c>
      <c r="X93" s="59" t="b">
        <f ca="1">tblBaseCF[[#This Row],[WithdrawalInput]]&gt;0</f>
        <v>0</v>
      </c>
      <c r="Y93" s="59" t="b">
        <f ca="1">AND(tblBaseCF[[#This Row],[1stCheckProceed]],tblBaseCF[[#This Row],[WithdrawalInput]]&lt;=tblBaseCF[[#This Row],[StartPAV]])</f>
        <v>0</v>
      </c>
      <c r="Z93" s="59" t="b">
        <f ca="1">AND(tblBaseCF[[#This Row],[2ndCheckAmount]],(tblBaseCF[[#This Row],[StartPAV]]-tblBaseCF[[#This Row],[WithdrawalInput]])&gt;=min_pav_after_withdrawal)</f>
        <v>0</v>
      </c>
      <c r="AA9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3" s="59" t="b">
        <f ca="1">AND(tblBaseCF[[#This Row],[3rdCheckPAV]],tblBaseCF[[#This Row],[endSITest]]&gt;=min_base_si)</f>
        <v>0</v>
      </c>
      <c r="AC93" s="60">
        <f ca="1">tblBaseCF[[#This Row],[WithdrawalInput]]*tblBaseCF[[#This Row],[4thCheckSI]]</f>
        <v>0</v>
      </c>
      <c r="AD93" s="60">
        <f ca="1">MIN(tblBaseCF[[#This Row],[Withdrawal]],tblBaseCF[[#This Row],[StartEAV]])</f>
        <v>0</v>
      </c>
      <c r="AE93" s="60">
        <f ca="1">tblBaseCF[[#This Row],[Withdrawal]]-tblBaseCF[[#This Row],[EAVWithdrawal]]</f>
        <v>0</v>
      </c>
      <c r="AF93" s="60">
        <f ca="1">IF(tblBaseCF[[#This Row],[4thCheckSI]],tblBaseCF[[#This Row],[endSITest]],tblBaseCF[[#This Row],[StartSI]])</f>
        <v>0</v>
      </c>
      <c r="AG9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3" s="65">
        <f ca="1">IFERROR(INDEX(tblTPAllocChrgRate[Rate],MATCH(tblBaseCF[[#This Row],[Year]],tblTPAllocChrgRate[Year],0)),0)</f>
        <v>0.02</v>
      </c>
      <c r="AI93" s="62">
        <f ca="1">(tp+big_case_bonus_tp*(tblBaseCF[[#This Row],[Year]]=1))
*tblBaseCF[[#This Row],[TPTermFlag]]</f>
        <v>0</v>
      </c>
      <c r="AJ93" s="63">
        <f ca="1">tblBaseCF[[#This Row],[TP]]*tblBaseCF[[#This Row],[TPAllocChrgRate]]</f>
        <v>0</v>
      </c>
      <c r="AK93" s="60">
        <f ca="1">tblBaseCF[[#This Row],[TP]]-tblBaseCF[[#This Row],[TPAllocChrg]]</f>
        <v>0</v>
      </c>
      <c r="AL93" s="65">
        <f ca="1">IFERROR(INDEX(tblEPAllocChrgRate[Rate],MATCH(tblBaseCF[[#This Row],[Year]],tblEPAllocChrgRate[Year],0)),0)</f>
        <v>0.02</v>
      </c>
      <c r="AM93" s="60">
        <f ca="1">ep*tblBaseCF[[#This Row],[EPTermFlag]]</f>
        <v>0</v>
      </c>
      <c r="AN93" s="60">
        <f ca="1">tblBaseCF[[#This Row],[EP]]*tblBaseCF[[#This Row],[EPAllocChrgRate]]</f>
        <v>0</v>
      </c>
      <c r="AO93" s="63">
        <f ca="1">tblBaseCF[[#This Row],[EP]]-tblBaseCF[[#This Row],[EPAllocChrg]]</f>
        <v>0</v>
      </c>
      <c r="AP93" s="62">
        <f ca="1">tblBaseCF[[#This Row],[Ben]]*extra_prem_rate*em_load/1000/(1-tblBaseCF[[#This Row],[EPAllocChrgRate]])
*tblBaseCF[[#This Row],[EMLoadTermFlag]]</f>
        <v>0</v>
      </c>
      <c r="AQ93" s="62">
        <f ca="1">tblBaseCF[[#This Row],[Ben]]*pm_load/1000/(1-tblBaseCF[[#This Row],[EPAllocChrgRate]])
*tblBaseCF[[#This Row],[PMLoadTermFlag]]</f>
        <v>0</v>
      </c>
      <c r="AR93" s="60">
        <f ca="1">ROUNDUP(tblBaseCF[[#This Row],[UnroundedEMLoad]],-3)</f>
        <v>0</v>
      </c>
      <c r="AS93" s="62">
        <f ca="1">ROUNDUP(tblBaseCF[[#This Row],[Ben]]*pm_load/1000/(1-tblBaseCF[[#This Row],[EPAllocChrgRate]]),-3)
*tblBaseCF[[#This Row],[PMLoadTermFlag]]</f>
        <v>0</v>
      </c>
      <c r="AT93" s="60">
        <f ca="1">tblBaseCF[[#This Row],[EMLoad]]+tblBaseCF[[#This Row],[PMLoad]]</f>
        <v>0</v>
      </c>
      <c r="AU93" s="60">
        <f ca="1">tblBaseCF[[#This Row],[Load]]*tblBaseCF[[#This Row],[EPAllocChrgRate]]</f>
        <v>0</v>
      </c>
      <c r="AV93" s="60">
        <f ca="1">tblBaseCF[[#This Row],[Load]]-tblBaseCF[[#This Row],[LoadAllocChrg]]</f>
        <v>0</v>
      </c>
      <c r="AW93" s="60">
        <f ca="1">tblBaseCF[[#This Row],[TP]]+tblBaseCF[[#This Row],[EP]]+tblBaseCF[[#This Row],[Load]]</f>
        <v>0</v>
      </c>
      <c r="AX93" s="60">
        <f ca="1">tblBaseCF[[#This Row],[TPAllocChrg]]+tblBaseCF[[#This Row],[EPAllocChrg]]+tblBaseCF[[#This Row],[LoadAllocChrg]]</f>
        <v>0</v>
      </c>
      <c r="AY93" s="60">
        <f ca="1">tblBaseCF[[#This Row],[TPAlloc]]+tblBaseCF[[#This Row],[EPAlloc]]+tblBaseCF[[#This Row],[LoadAlloc]]</f>
        <v>0</v>
      </c>
      <c r="AZ93" s="60">
        <f ca="1">(OFFSET(tblBaseCF[[#This Row],[AccumTotalPrem]],-1,0)+tblBaseCF[[#This Row],[TotalPrem]])*tblBaseCF[[#This Row],[TPTermFlag]]</f>
        <v>0</v>
      </c>
      <c r="BA93" s="62">
        <f ca="1">(tblBaseCF[[#This Row],[StartTAV]]-tblBaseCF[[#This Row],[TAVWithdrawal]]+tblBaseCF[[#This Row],[TPAlloc]])
*tblBaseCF[[#This Row],[ContFlag]]</f>
        <v>0</v>
      </c>
      <c r="BB93" s="59">
        <f ca="1">(tblBaseCF[[#This Row],[StartEAV]]-tblBaseCF[[#This Row],[EAVWithdrawal]]+tblBaseCF[[#This Row],[EPAlloc]]+tblBaseCF[[#This Row],[LoadAlloc]])
*tblBaseCF[[#This Row],[ContFlag]]</f>
        <v>0</v>
      </c>
      <c r="BC93" s="59">
        <f ca="1">tblBaseCF[[#This Row],[TAVAfterWdrlAlloc]]+tblBaseCF[[#This Row],[EAVAfterWdrlAlloc]]</f>
        <v>0</v>
      </c>
      <c r="BD93" s="66">
        <f t="shared" si="10"/>
        <v>0</v>
      </c>
      <c r="BE93" s="67">
        <f>(1+tblBaseCF[[#This Row],[AnnualIntRate]])^(1/12)-1</f>
        <v>0</v>
      </c>
      <c r="BF93" s="68">
        <f>IFERROR(((1+tblBaseCF[[#This Row],[MonthlyIntRate]])^12-1)/12/(1-1/(1+tblBaseCF[[#This Row],[MonthlyIntRate]])),1)/(1+tblBaseCF[[#This Row],[AnnualIntRate]])</f>
        <v>1</v>
      </c>
      <c r="BG93" s="69">
        <f>PV(tblBaseCF[[#This Row],[MonthlyIntRate]],12,-1/12,,1)</f>
        <v>1</v>
      </c>
      <c r="BH93" s="60">
        <f ca="1">MAX(IF(death_tpd_option="A",tblBaseCF[[#This Row],[Ben]]-tblBaseCF[[#This Row],[StartPAV]],tblBaseCF[[#This Row],[Ben]]),0)</f>
        <v>0</v>
      </c>
      <c r="BI93" s="70">
        <f ca="1">IFERROR(INDEX(tblBaseCOIRate[Rate],MATCH(tblBaseCF[[#This Row],[Age]],tblBaseCOIRate[Age],0)),0)</f>
        <v>2.8469999999999999E-2</v>
      </c>
      <c r="BJ93" s="60">
        <f ca="1">tblBaseCF[[#This Row],[SAR]]*tblBaseCF[[#This Row],[COIRate]]</f>
        <v>0</v>
      </c>
      <c r="BK93" s="62">
        <f ca="1">em_load*tblBaseCF[[#This Row],[pStandardCOI]]
*tblBaseCF[[#This Row],[EMLoadTermFlag]]</f>
        <v>0</v>
      </c>
      <c r="BL93" s="62">
        <f ca="1">pm_load/1000*tblBaseCF[[#This Row],[SAR]]
*tblBaseCF[[#This Row],[PMLoadTermFlag]]</f>
        <v>0</v>
      </c>
      <c r="BM93" s="60">
        <f ca="1">tblBaseCF[[#This Row],[AccBen]]*monthly_acc_coi*12</f>
        <v>0</v>
      </c>
      <c r="BN93" s="60">
        <f ca="1">tblBaseCF[[#This Row],[pStandardCOI]]+tblBaseCF[[#This Row],[pEMLoadCOI]]+tblBaseCF[[#This Row],[pPMLoadCOI]]+tblBaseCF[[#This Row],[pAccCOI]]</f>
        <v>0</v>
      </c>
      <c r="BO93" s="62">
        <f ca="1">IFERROR(INDEX(tblAdminChrg[Amount],MATCH(tblBaseCF[[#This Row],[CalYear]],tblAdminChrg[Cal_Year],0)),0)
*tblBaseCF[[#This Row],[ContFlag]]</f>
        <v>0</v>
      </c>
      <c r="BP93" s="60">
        <f ca="1">tblBaseCF[[#This Row],[pMonthlyAdminChrg]]*12</f>
        <v>0</v>
      </c>
      <c r="BQ93" s="60">
        <f ca="1">tblBaseCF[[#This Row],[pCOI]]+tblBaseCF[[#This Row],[pAdminChrg]]</f>
        <v>0</v>
      </c>
      <c r="BR93" s="60">
        <f ca="1">tblBaseCF[[#This Row],[pNomDeduct]]*tblBaseCF[[#This Row],[Duean1m12]]</f>
        <v>0</v>
      </c>
      <c r="BS93" s="57">
        <f ca="1">(tblBaseCF[[#This Row],[PAVAfterWdrlAlloc]]&gt;=tblBaseCF[[#This Row],[pNomDeduct]])
*tblBaseCF[[#This Row],[ContFlag]]</f>
        <v>0</v>
      </c>
      <c r="BT93" s="60">
        <f ca="1">tblBaseCF[[#This Row],[pStandardCOI]]*tblBaseCF[[#This Row],[DeductFlag]]</f>
        <v>0</v>
      </c>
      <c r="BU93" s="60">
        <f ca="1">tblBaseCF[[#This Row],[pEMLoadCOI]]*tblBaseCF[[#This Row],[DeductFlag]]</f>
        <v>0</v>
      </c>
      <c r="BV93" s="60">
        <f ca="1">tblBaseCF[[#This Row],[pPMLoadCOI]]*tblBaseCF[[#This Row],[DeductFlag]]</f>
        <v>0</v>
      </c>
      <c r="BW93" s="60">
        <f ca="1">tblBaseCF[[#This Row],[pAccCOI]]*tblBaseCF[[#This Row],[DeductFlag]]</f>
        <v>0</v>
      </c>
      <c r="BX93" s="60">
        <f ca="1">tblBaseCF[[#This Row],[pCOI]]*tblBaseCF[[#This Row],[DeductFlag]]</f>
        <v>0</v>
      </c>
      <c r="BY93" s="60">
        <f ca="1">tblBaseCF[[#This Row],[pMonthlyAdminChrg]]*tblBaseCF[[#This Row],[DeductFlag]]</f>
        <v>0</v>
      </c>
      <c r="BZ93" s="60">
        <f ca="1">tblBaseCF[[#This Row],[pAdminChrg]]*tblBaseCF[[#This Row],[DeductFlag]]</f>
        <v>0</v>
      </c>
      <c r="CA93" s="60">
        <f ca="1">tblBaseCF[[#This Row],[pNomDeduct]]*tblBaseCF[[#This Row],[DeductFlag]]</f>
        <v>0</v>
      </c>
      <c r="CB93" s="60">
        <f ca="1">tblBaseCF[[#This Row],[pDeduct]]*tblBaseCF[[#This Row],[DeductFlag]]</f>
        <v>0</v>
      </c>
      <c r="CC93" s="60">
        <f ca="1">MIN(tblBaseCF[[#This Row],[TAVAfterWdrlAlloc]],tblBaseCF[[#This Row],[Deduct]])</f>
        <v>0</v>
      </c>
      <c r="CD93" s="60">
        <f ca="1">tblBaseCF[[#This Row],[Deduct]]-tblBaseCF[[#This Row],[TAVDeduct]]</f>
        <v>0</v>
      </c>
      <c r="CE93" s="69">
        <f ca="1">(tblBaseCF[[#This Row],[TAVAfterWdrlAlloc]]-tblBaseCF[[#This Row],[TAVDeduct]])*tblBaseCF[[#This Row],[AnnualIntRate]]
*tblBaseCF[[#This Row],[DeductFlag]]</f>
        <v>0</v>
      </c>
      <c r="CF93" s="69">
        <f ca="1">(tblBaseCF[[#This Row],[EAVAfterWdrlAlloc]]-tblBaseCF[[#This Row],[EAVDeduct]])*tblBaseCF[[#This Row],[AnnualIntRate]]
*tblBaseCF[[#This Row],[DeductFlag]]</f>
        <v>0</v>
      </c>
      <c r="CG93" s="69">
        <f ca="1">tblBaseCF[[#This Row],[TAVInt]]+tblBaseCF[[#This Row],[EAVInt]]</f>
        <v>0</v>
      </c>
      <c r="CH93" s="62">
        <f ca="1">IFERROR(INDEX(tblLBRate[Rate],MATCH(tblBaseCF[[#This Row],[Year]],tblLBRate[Year],0)),0)
*tblBaseCF[[#This Row],[DeductFlag]]</f>
        <v>0</v>
      </c>
      <c r="CI93" s="60">
        <f ca="1">IFERROR(SUM(OFFSET(tblBaseCF[[#This Row],[TAVWithdrawal]],0,0,-lb_review_period,1)),0)
*(tblBaseCF[[#This Row],[LBRate]]&gt;0)</f>
        <v>0</v>
      </c>
      <c r="CJ93" s="60">
        <f ca="1">(tblBaseCF[[#This Row],[LBRate]]&gt;0)*(tblBaseCF[[#This Row],[LBTAVWithdrawal]]=0)</f>
        <v>0</v>
      </c>
      <c r="CK93" s="62" cm="1">
        <f t="array" aca="1" ref="CK93" ca="1">IF(tblBaseCF[[#This Row],[LBFlag]],
_xlfn.SWITCH(base,
"ILP1",AVERAGE(OFFSET(tblBaseCF[TP],0,0,-lb_review_period,1)),tp),0)
*tblBaseCF[[#This Row],[LBFlag]]</f>
        <v>0</v>
      </c>
      <c r="CL93" s="62">
        <f ca="1">tblBaseCF[[#This Row],[LBBasis]]*tblBaseCF[[#This Row],[LBRate]]</f>
        <v>0</v>
      </c>
      <c r="CM93" s="57" cm="1">
        <f t="array" aca="1" ref="CM93" ca="1">_xlfn.SWITCH(base,
"ILP1",0,($AF193&lt;500000000)*1
+($AF193&gt;=500000000)*($AF193&lt;1000000000)*2
+($AF193&gt;=1000000000)*3)
*tblBaseCF[[#This Row],[DeductFlag]]</f>
        <v>0</v>
      </c>
      <c r="CN93" s="2" t="str">
        <f ca="1">IF(tblBaseCF[[#This Row],[DeductFlag]],base&amp;"_"&amp;tblBaseCF[[#This Row],[SBCode]]&amp;"_"&amp;tblBaseCF[[#This Row],[Year]],"")</f>
        <v/>
      </c>
      <c r="CO93" s="3">
        <f ca="1">IFERROR(INDEX(tblSBRate[Index],MATCH(tblBaseCF[[#This Row],[SBIndex]],tblSBRate[Rate],0)),0)</f>
        <v>0</v>
      </c>
      <c r="CP93" s="63">
        <f ca="1">IFERROR(SUM(OFFSET(tblBaseCF[[#This Row],[TAVWithdrawal]],0,0,-sb_review_period,1)),0)
*(tblBaseCF[[#This Row],[SBRate]]&gt;0)</f>
        <v>0</v>
      </c>
      <c r="CQ93" s="63">
        <f ca="1">(tblBaseCF[[#This Row],[SBRate]]&gt;0)*(tblBaseCF[[#This Row],[SBTAVWithdrawal]]=0)</f>
        <v>0</v>
      </c>
      <c r="CR93" s="59" cm="1">
        <f t="array" aca="1" ref="CR93" ca="1">IF(tblBaseCF[[#This Row],[LBFlag]],
_xlfn.SWITCH(base,
"ILP1",0,tp),0)*tblBaseCF[[#This Row],[SBFlag]]</f>
        <v>0</v>
      </c>
      <c r="CS93" s="63">
        <f ca="1">tblBaseCF[[#This Row],[SBBasis]]*tblBaseCF[[#This Row],[SBRate]]</f>
        <v>0</v>
      </c>
      <c r="CT93" s="63">
        <f ca="1">tblBaseCF[[#This Row],[LB]]+tblBaseCF[[#This Row],[SB]]</f>
        <v>0</v>
      </c>
      <c r="CU93" s="59">
        <f ca="1">tblBaseCF[[#This Row],[TAVAfterWdrlAlloc]]-tblBaseCF[[#This Row],[TAVDeduct]]+tblBaseCF[[#This Row],[TAVInt]]+tblBaseCF[[#This Row],[Bonus]]</f>
        <v>0</v>
      </c>
      <c r="CV93" s="59">
        <f ca="1">tblBaseCF[[#This Row],[EAVAfterWdrlAlloc]]-tblBaseCF[[#This Row],[EAVDeduct]]+tblBaseCF[[#This Row],[EAVInt]]</f>
        <v>0</v>
      </c>
      <c r="CW93" s="63">
        <f ca="1">tblBaseCF[[#This Row],[EndTAV]]+tblBaseCF[[#This Row],[EndEAV]]</f>
        <v>0</v>
      </c>
      <c r="CX93" s="59">
        <f ca="1">INDEX(tblPlanPrem[TP],2)
*tblBaseCF[[#This Row],[TPTermFlag]]</f>
        <v>0</v>
      </c>
      <c r="CY93" s="59">
        <f ca="1">INDEX(tblPlanPrem[EP],2)
*tblBaseCF[[#This Row],[TPTermFlag]]</f>
        <v>0</v>
      </c>
      <c r="CZ93" s="63">
        <f ca="1">ROUNDUP(tblBaseCF[[#This Row],[UnroundedEMLoad]]*INDEX(tblPlanPrem[Factor],2),-3)</f>
        <v>0</v>
      </c>
      <c r="DA93" s="63">
        <f ca="1">ROUNDUP(tblBaseCF[[#This Row],[UnroundedPMLoad]]*INDEX(tblPlanPrem[Factor],2),-3)</f>
        <v>0</v>
      </c>
      <c r="DB93" s="63">
        <f ca="1">tblBaseCF[[#This Row],[SemiAnnualEMLoad]]+tblBaseCF[[#This Row],[SemiAnnualPMLoad]]</f>
        <v>0</v>
      </c>
      <c r="DC93" s="63">
        <f ca="1">tblBaseCF[[#This Row],[SemiAnnualTP]]+tblBaseCF[[#This Row],[SemiAnnualEP]]+tblBaseCF[[#This Row],[SemiAnnualLoad]]</f>
        <v>0</v>
      </c>
      <c r="DD93" s="59">
        <f ca="1">INDEX(tblPlanPrem[TP],3)
*tblBaseCF[[#This Row],[TPTermFlag]]</f>
        <v>0</v>
      </c>
      <c r="DE93" s="59">
        <f ca="1">INDEX(tblPlanPrem[EP],3)
*tblBaseCF[[#This Row],[TPTermFlag]]</f>
        <v>0</v>
      </c>
      <c r="DF93" s="63">
        <f ca="1">ROUNDUP(tblBaseCF[[#This Row],[UnroundedEMLoad]]*INDEX(tblPlanPrem[Factor],3),-3)</f>
        <v>0</v>
      </c>
      <c r="DG93" s="63">
        <f ca="1">ROUNDUP(tblBaseCF[[#This Row],[UnroundedPMLoad]]*INDEX(tblPlanPrem[Factor],3),-3)</f>
        <v>0</v>
      </c>
      <c r="DH93" s="60">
        <f ca="1">tblBaseCF[[#This Row],[QuarterlyEMLoad]]+tblBaseCF[[#This Row],[QuarterlyPMLoad]]</f>
        <v>0</v>
      </c>
      <c r="DI93" s="60">
        <f ca="1">tblBaseCF[[#This Row],[QuarterlyTP]]+tblBaseCF[[#This Row],[QuarterlyEP]]+tblBaseCF[[#This Row],[QuarterlyLoad]]</f>
        <v>0</v>
      </c>
      <c r="DJ93" s="59">
        <f ca="1">INDEX(tblPlanPrem[TP],4)
*tblBaseCF[[#This Row],[TPTermFlag]]</f>
        <v>0</v>
      </c>
      <c r="DK93" s="59">
        <f ca="1">INDEX(tblPlanPrem[EP],4)
*tblBaseCF[[#This Row],[TPTermFlag]]</f>
        <v>0</v>
      </c>
      <c r="DL93" s="63">
        <f ca="1">ROUNDUP(tblBaseCF[[#This Row],[UnroundedEMLoad]]*INDEX(tblPlanPrem[Factor],4),-3)</f>
        <v>0</v>
      </c>
      <c r="DM93" s="63">
        <f ca="1">ROUNDUP(tblBaseCF[[#This Row],[UnroundedPMLoad]]*INDEX(tblPlanPrem[Factor],4),-3)</f>
        <v>0</v>
      </c>
      <c r="DN93" s="60">
        <f ca="1">tblBaseCF[[#This Row],[MonthlyEMLoad]]+tblBaseCF[[#This Row],[MonthlyPMLoad]]</f>
        <v>0</v>
      </c>
      <c r="DO93" s="63">
        <f ca="1">tblBaseCF[[#This Row],[MonthlyTP]]+tblBaseCF[[#This Row],[MonthlyEP]]+tblBaseCF[[#This Row],[MonthlyLoad]]</f>
        <v>0</v>
      </c>
      <c r="DP93" s="3"/>
      <c r="DS93">
        <f t="shared" si="11"/>
        <v>0</v>
      </c>
      <c r="DT93">
        <f t="shared" si="12"/>
        <v>0</v>
      </c>
      <c r="DU93">
        <f t="shared" si="13"/>
        <v>0</v>
      </c>
      <c r="DV93">
        <f ca="1">tblBaseCF[[#This Row],[Year]]</f>
        <v>73</v>
      </c>
      <c r="DW93">
        <f ca="1">tblBaseCF[[#This Row],[Age]]</f>
        <v>72</v>
      </c>
      <c r="DX93">
        <f ca="1">tblBaseCF[[#This Row],[ContFlag]]</f>
        <v>0</v>
      </c>
      <c r="DY93" t="str">
        <f ca="1">tblBaseCF[[#This Row],[ContLog]]</f>
        <v>Insufficient PAV for deduction - Discontinue.</v>
      </c>
      <c r="DZ93">
        <f ca="1">tblBaseCF[[#This Row],[StartTAV]]</f>
        <v>0</v>
      </c>
      <c r="EA93">
        <f ca="1">tblBaseCF[[#This Row],[StartEAV]]</f>
        <v>0</v>
      </c>
      <c r="EB93">
        <f ca="1">tblBaseCF[[#This Row],[StartPAV]]</f>
        <v>0</v>
      </c>
      <c r="EC93">
        <f ca="1">tblBaseCF[[#This Row],[SVChrg]]</f>
        <v>0</v>
      </c>
      <c r="ED93">
        <f ca="1">tblBaseCF[[#This Row],[SV]]</f>
        <v>0</v>
      </c>
      <c r="EE93">
        <f ca="1">tblBaseCF[[#This Row],[Ben]]</f>
        <v>0</v>
      </c>
      <c r="EF93">
        <f ca="1">tblBaseCF[[#This Row],[AccBen]]</f>
        <v>0</v>
      </c>
      <c r="EG93">
        <f ca="1">tblBaseCF[[#This Row],[WithdrawalInput]]</f>
        <v>0</v>
      </c>
      <c r="EH93" t="str">
        <f ca="1">tblBaseCF[[#This Row],[WithdrawalLog]]</f>
        <v>No withdrawal.</v>
      </c>
      <c r="EI93">
        <f ca="1">tblBaseCF[[#This Row],[TAVWithdrawal]]</f>
        <v>0</v>
      </c>
      <c r="EJ93">
        <f ca="1">tblBaseCF[[#This Row],[EAVWithdrawal]]</f>
        <v>0</v>
      </c>
      <c r="EK93">
        <f ca="1">tblBaseCF[[#This Row],[Withdrawal]]</f>
        <v>0</v>
      </c>
      <c r="EL93">
        <f ca="1">tblBaseCF[[#This Row],[TP]]</f>
        <v>0</v>
      </c>
      <c r="EM93">
        <f ca="1">tblBaseCF[[#This Row],[TPAllocChrg]]</f>
        <v>0</v>
      </c>
      <c r="EN93">
        <f ca="1">tblBaseCF[[#This Row],[TPAlloc]]</f>
        <v>0</v>
      </c>
      <c r="EO93">
        <f ca="1">tblBaseCF[[#This Row],[EP]]</f>
        <v>0</v>
      </c>
      <c r="EP93">
        <f ca="1">tblBaseCF[[#This Row],[EPAllocChrg]]</f>
        <v>0</v>
      </c>
      <c r="EQ93">
        <f ca="1">tblBaseCF[[#This Row],[EPAlloc]]</f>
        <v>0</v>
      </c>
      <c r="ER93">
        <f ca="1">tblBaseCF[[#This Row],[EMLoad]]</f>
        <v>0</v>
      </c>
      <c r="ES93">
        <f ca="1">tblBaseCF[[#This Row],[PMLoad]]</f>
        <v>0</v>
      </c>
      <c r="ET93">
        <f ca="1">tblBaseCF[[#This Row],[Load]]</f>
        <v>0</v>
      </c>
      <c r="EU93">
        <f ca="1">tblBaseCF[[#This Row],[LoadAllocChrg]]</f>
        <v>0</v>
      </c>
      <c r="EV93">
        <f ca="1">tblBaseCF[[#This Row],[LoadAlloc]]</f>
        <v>0</v>
      </c>
      <c r="EW93">
        <f ca="1">tblBaseCF[[#This Row],[TotalPrem]]</f>
        <v>0</v>
      </c>
      <c r="EX93">
        <f ca="1">tblBaseCF[[#This Row],[AllocChrg]]</f>
        <v>0</v>
      </c>
      <c r="EY93">
        <f ca="1">tblBaseCF[[#This Row],[Alloc]]</f>
        <v>0</v>
      </c>
      <c r="EZ93">
        <f ca="1">tblBaseCF[[#This Row],[AccumTotalPrem]]</f>
        <v>0</v>
      </c>
      <c r="FA93">
        <f>tblBaseCF[[#This Row],[AnnualIntRate]]</f>
        <v>0</v>
      </c>
      <c r="FB93" s="50">
        <f>tblBaseCF[[#This Row],[Duean1m12]]</f>
        <v>1</v>
      </c>
      <c r="FC93">
        <f ca="1">tblBaseCF[[#This Row],[DeductFlag]]</f>
        <v>0</v>
      </c>
      <c r="FD93">
        <f ca="1">tblBaseCF[[#This Row],[AdminChrg]]</f>
        <v>0</v>
      </c>
      <c r="FE93">
        <f ca="1">tblBaseCF[[#This Row],[StandardCOI]]</f>
        <v>0</v>
      </c>
      <c r="FF93">
        <f ca="1">tblBaseCF[[#This Row],[EMLoadCOI]]</f>
        <v>0</v>
      </c>
      <c r="FG93">
        <f ca="1">tblBaseCF[[#This Row],[PMLoadCOI]]</f>
        <v>0</v>
      </c>
      <c r="FH93">
        <f ca="1">tblBaseCF[[#This Row],[COI]]</f>
        <v>0</v>
      </c>
      <c r="FI93" s="47">
        <f ca="1">tblBaseCF[[#This Row],[NomDeduct]]</f>
        <v>0</v>
      </c>
      <c r="FJ93">
        <f ca="1">tblBaseCF[[#This Row],[Deduct]]</f>
        <v>0</v>
      </c>
      <c r="FK93">
        <f ca="1">tblBaseCF[[#This Row],[TAVDeduct]]</f>
        <v>0</v>
      </c>
      <c r="FL93">
        <f ca="1">tblBaseCF[[#This Row],[EAVDeduct]]</f>
        <v>0</v>
      </c>
      <c r="FM93" s="24">
        <f ca="1">tblBaseCF[[#This Row],[TAVInt]]</f>
        <v>0</v>
      </c>
      <c r="FN93">
        <f ca="1">tblBaseCF[[#This Row],[EAVInt]]</f>
        <v>0</v>
      </c>
      <c r="FO93" s="47">
        <f ca="1">tblBaseCF[[#This Row],[LB]]</f>
        <v>0</v>
      </c>
      <c r="FP93">
        <f ca="1">tblBaseCF[[#This Row],[SB]]</f>
        <v>0</v>
      </c>
      <c r="FQ93">
        <f ca="1">tblBaseCF[[#This Row],[Bonus]]</f>
        <v>0</v>
      </c>
      <c r="FR93">
        <f ca="1">tblBaseCF[[#This Row],[EndTAV]]</f>
        <v>0</v>
      </c>
      <c r="FS93">
        <f ca="1">tblBaseCF[[#This Row],[EndEAV]]</f>
        <v>0</v>
      </c>
      <c r="FT93">
        <f ca="1">tblBaseCF[[#This Row],[EndPAV]]</f>
        <v>0</v>
      </c>
      <c r="FU93">
        <f ca="1">tblBaseCF[[#This Row],[SemiAnnualTP]]</f>
        <v>0</v>
      </c>
      <c r="FV93">
        <f ca="1">tblBaseCF[[#This Row],[SemiAnnualEP]]</f>
        <v>0</v>
      </c>
      <c r="FW93">
        <f ca="1">tblBaseCF[[#This Row],[SemiAnnualEMLoad]]</f>
        <v>0</v>
      </c>
      <c r="FX93">
        <f ca="1">tblBaseCF[[#This Row],[SemiAnnualPMLoad]]</f>
        <v>0</v>
      </c>
      <c r="FY93">
        <f ca="1">tblBaseCF[[#This Row],[SemiAnnualLoad]]</f>
        <v>0</v>
      </c>
      <c r="FZ93">
        <f ca="1">tblBaseCF[[#This Row],[SemiAnnualTotalPrem]]</f>
        <v>0</v>
      </c>
      <c r="GA93">
        <f ca="1">tblBaseCF[[#This Row],[QuarterlyTP]]</f>
        <v>0</v>
      </c>
      <c r="GB93">
        <f ca="1">tblBaseCF[[#This Row],[QuarterlyEP]]</f>
        <v>0</v>
      </c>
      <c r="GC93">
        <f ca="1">tblBaseCF[[#This Row],[QuarterlyEMLoad]]</f>
        <v>0</v>
      </c>
      <c r="GD93">
        <f ca="1">tblBaseCF[[#This Row],[QuarterlyPMLoad]]</f>
        <v>0</v>
      </c>
      <c r="GE93">
        <f ca="1">tblBaseCF[[#This Row],[QuarterlyLoad]]</f>
        <v>0</v>
      </c>
      <c r="GF93">
        <f ca="1">tblBaseCF[[#This Row],[QuarterlyTotalPrem]]</f>
        <v>0</v>
      </c>
      <c r="GG93">
        <f ca="1">tblBaseCF[[#This Row],[MonthlyTP]]</f>
        <v>0</v>
      </c>
      <c r="GH93">
        <f ca="1">tblBaseCF[[#This Row],[MonthlyEP]]</f>
        <v>0</v>
      </c>
      <c r="GI93">
        <f ca="1">tblBaseCF[[#This Row],[MonthlyEMLoad]]</f>
        <v>0</v>
      </c>
      <c r="GJ93">
        <f ca="1">tblBaseCF[[#This Row],[MonthlyPMLoad]]</f>
        <v>0</v>
      </c>
      <c r="GK93">
        <f ca="1">tblBaseCF[[#This Row],[MonthlyLoad]]</f>
        <v>0</v>
      </c>
      <c r="GL93">
        <f ca="1">tblBaseCF[[#This Row],[MonthlyTotalPrem]]</f>
        <v>0</v>
      </c>
      <c r="GO93" t="s">
        <v>134</v>
      </c>
      <c r="GP93" t="s">
        <v>135</v>
      </c>
      <c r="GQ93" t="s">
        <v>502</v>
      </c>
      <c r="GR93">
        <v>73</v>
      </c>
      <c r="GS93">
        <v>72</v>
      </c>
      <c r="GT93">
        <v>1</v>
      </c>
      <c r="GU93" t="s">
        <v>457</v>
      </c>
      <c r="GV93">
        <v>619240227.20675397</v>
      </c>
      <c r="GW93">
        <v>5417171565.6023397</v>
      </c>
      <c r="GX93">
        <v>6036411792.8090897</v>
      </c>
      <c r="GY93">
        <v>0</v>
      </c>
      <c r="GZ93">
        <v>6036411792.8090897</v>
      </c>
      <c r="HA93">
        <v>6036411792.8090897</v>
      </c>
      <c r="HB93">
        <v>0</v>
      </c>
      <c r="HC93">
        <v>0</v>
      </c>
      <c r="HD93" t="s">
        <v>137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7.0000000000000007E-2</v>
      </c>
      <c r="HX93">
        <v>0.96964931039809399</v>
      </c>
      <c r="HY93">
        <v>1</v>
      </c>
      <c r="HZ93">
        <v>300000</v>
      </c>
      <c r="IA93">
        <v>0</v>
      </c>
      <c r="IB93">
        <v>0</v>
      </c>
      <c r="IC93">
        <v>0</v>
      </c>
      <c r="ID93">
        <v>0</v>
      </c>
      <c r="IE93">
        <v>300000</v>
      </c>
      <c r="IF93">
        <v>290894.79311942798</v>
      </c>
      <c r="IG93">
        <v>290894.79311942798</v>
      </c>
      <c r="IH93">
        <v>0</v>
      </c>
      <c r="II93">
        <v>43326453.268954404</v>
      </c>
      <c r="IJ93">
        <v>379202009.59216398</v>
      </c>
      <c r="IK93">
        <v>0</v>
      </c>
      <c r="IL93">
        <v>0</v>
      </c>
      <c r="IM93">
        <v>0</v>
      </c>
      <c r="IN93">
        <v>662275785.68258905</v>
      </c>
      <c r="IO93">
        <v>5796373575.1945</v>
      </c>
      <c r="IP93">
        <v>6458649360.8770905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</row>
    <row r="94" spans="2:268" customFormat="1" x14ac:dyDescent="0.25">
      <c r="B94" s="2">
        <f ca="1">OFFSET(tblBaseCF[[#This Row],[Year]],-1,0)+1</f>
        <v>74</v>
      </c>
      <c r="C94" s="2">
        <f ca="1">(tblBaseCF[[#This Row],[Year]]&lt;=term)*1</f>
        <v>1</v>
      </c>
      <c r="D94" s="57">
        <f ca="1">(YEAR(rcd)+tblBaseCF[[#This Row],[Year]]-1)
*tblBaseCF[[#This Row],[PolTermFlag]]</f>
        <v>2098</v>
      </c>
      <c r="E94" s="57">
        <f ca="1">(mainLI_entry_age+tblBaseCF[[#This Row],[Year]]-1)
*tblBaseCF[[#This Row],[PolTermFlag]]</f>
        <v>73</v>
      </c>
      <c r="F94" s="57">
        <f ca="1">IF(tblBaseCF[[#This Row],[Year]]=1,1,OFFSET(tblBaseCF[[#This Row],[DeductFlag]],-1,0))
*tblBaseCF[[#This Row],[PolTermFlag]]</f>
        <v>0</v>
      </c>
      <c r="G9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4" s="57">
        <f ca="1">(tblBaseCF[[#This Row],[Year]]&lt;=acc_ben_term)
*tblBaseCF[[#This Row],[ContFlag]]</f>
        <v>0</v>
      </c>
      <c r="I94" s="57">
        <f ca="1">(tblBaseCF[[#This Row],[Year]]&lt;=tp_term)
*tblBaseCF[[#This Row],[ContFlag]]</f>
        <v>0</v>
      </c>
      <c r="J94" s="57">
        <f ca="1">(tblBaseCF[[#This Row],[Year]]&lt;=ep_term)
*tblBaseCF[[#This Row],[ContFlag]]</f>
        <v>0</v>
      </c>
      <c r="K94" s="57">
        <f ca="1">(tblBaseCF[[#This Row],[Year]]&lt;=em_load_term)*1</f>
        <v>0</v>
      </c>
      <c r="L94" s="57">
        <f ca="1">(tblBaseCF[[#This Row],[Year]]&lt;=pm_load_term)*1</f>
        <v>0</v>
      </c>
      <c r="M94" s="59">
        <f ca="1">IF(tblBaseCF[[#This Row],[Year]]=1,si,OFFSET(tblBaseCF[[#This Row],[EndSI]],-1,0))
*tblBaseCF[[#This Row],[ContFlag]]</f>
        <v>0</v>
      </c>
      <c r="N94" s="59">
        <f ca="1">OFFSET(tblBaseCF[[#This Row],[EndTAV]],-1,0)
*tblBaseCF[[#This Row],[ContFlag]]</f>
        <v>0</v>
      </c>
      <c r="O94" s="59">
        <f ca="1">OFFSET(tblBaseCF[[#This Row],[EndEAV]],-1,0)
*tblBaseCF[[#This Row],[ContFlag]]</f>
        <v>0</v>
      </c>
      <c r="P94" s="60">
        <f ca="1">tblBaseCF[[#This Row],[StartEAV]]+tblBaseCF[[#This Row],[StartTAV]]</f>
        <v>0</v>
      </c>
      <c r="Q94" s="61">
        <f ca="1">IFERROR(INDEX(tblJuvenileLienRate[Rate],MATCH(tblBaseCF[[#This Row],[Age]],tblJuvenileLienRate[Age],0)),1)
*tblBaseCF[[#This Row],[ContFlag]]</f>
        <v>0</v>
      </c>
      <c r="R9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4" s="62">
        <f ca="1">tblBaseCF[[#This Row],[StartSI]]*acc_ben_coeff*tblBaseCF[[#This Row],[JuvenileLienRate]]
*tblBaseCF[[#This Row],[AccBenTermFlag]]</f>
        <v>0</v>
      </c>
      <c r="T94" s="61">
        <f ca="1">(IFERROR(INDEX(tblSurrChrgRate[Rate],MATCH(tblBaseCF[[#This Row],[Year]],tblSurrChrgRate[Year],0)),0)
*tblBaseCF[[#This Row],[ContFlag]])</f>
        <v>0</v>
      </c>
      <c r="U94" s="60">
        <f ca="1">tp*tblBaseCF[[#This Row],[SrrChrgRate]]</f>
        <v>0</v>
      </c>
      <c r="V94" s="63">
        <f ca="1">MAX(tblBaseCF[[#This Row],[StartTAV]]-tblBaseCF[[#This Row],[SVChrg]],0)+tblBaseCF[[#This Row],[StartEAV]]</f>
        <v>0</v>
      </c>
      <c r="W94" s="59">
        <f ca="1">IFERROR(INDEX(tblWithdrawal_Output[Amount],MATCH(tblBaseCF[[#This Row],[Year]],tblWithdrawal_Output[Year],0)),0)
*tblBaseCF[[#This Row],[ContFlag]]</f>
        <v>0</v>
      </c>
      <c r="X94" s="59" t="b">
        <f ca="1">tblBaseCF[[#This Row],[WithdrawalInput]]&gt;0</f>
        <v>0</v>
      </c>
      <c r="Y94" s="59" t="b">
        <f ca="1">AND(tblBaseCF[[#This Row],[1stCheckProceed]],tblBaseCF[[#This Row],[WithdrawalInput]]&lt;=tblBaseCF[[#This Row],[StartPAV]])</f>
        <v>0</v>
      </c>
      <c r="Z94" s="59" t="b">
        <f ca="1">AND(tblBaseCF[[#This Row],[2ndCheckAmount]],(tblBaseCF[[#This Row],[StartPAV]]-tblBaseCF[[#This Row],[WithdrawalInput]])&gt;=min_pav_after_withdrawal)</f>
        <v>0</v>
      </c>
      <c r="AA9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4" s="59" t="b">
        <f ca="1">AND(tblBaseCF[[#This Row],[3rdCheckPAV]],tblBaseCF[[#This Row],[endSITest]]&gt;=min_base_si)</f>
        <v>0</v>
      </c>
      <c r="AC94" s="60">
        <f ca="1">tblBaseCF[[#This Row],[WithdrawalInput]]*tblBaseCF[[#This Row],[4thCheckSI]]</f>
        <v>0</v>
      </c>
      <c r="AD94" s="60">
        <f ca="1">MIN(tblBaseCF[[#This Row],[Withdrawal]],tblBaseCF[[#This Row],[StartEAV]])</f>
        <v>0</v>
      </c>
      <c r="AE94" s="60">
        <f ca="1">tblBaseCF[[#This Row],[Withdrawal]]-tblBaseCF[[#This Row],[EAVWithdrawal]]</f>
        <v>0</v>
      </c>
      <c r="AF94" s="60">
        <f ca="1">IF(tblBaseCF[[#This Row],[4thCheckSI]],tblBaseCF[[#This Row],[endSITest]],tblBaseCF[[#This Row],[StartSI]])</f>
        <v>0</v>
      </c>
      <c r="AG9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4" s="65">
        <f ca="1">IFERROR(INDEX(tblTPAllocChrgRate[Rate],MATCH(tblBaseCF[[#This Row],[Year]],tblTPAllocChrgRate[Year],0)),0)</f>
        <v>0.02</v>
      </c>
      <c r="AI94" s="62">
        <f ca="1">(tp+big_case_bonus_tp*(tblBaseCF[[#This Row],[Year]]=1))
*tblBaseCF[[#This Row],[TPTermFlag]]</f>
        <v>0</v>
      </c>
      <c r="AJ94" s="63">
        <f ca="1">tblBaseCF[[#This Row],[TP]]*tblBaseCF[[#This Row],[TPAllocChrgRate]]</f>
        <v>0</v>
      </c>
      <c r="AK94" s="60">
        <f ca="1">tblBaseCF[[#This Row],[TP]]-tblBaseCF[[#This Row],[TPAllocChrg]]</f>
        <v>0</v>
      </c>
      <c r="AL94" s="65">
        <f ca="1">IFERROR(INDEX(tblEPAllocChrgRate[Rate],MATCH(tblBaseCF[[#This Row],[Year]],tblEPAllocChrgRate[Year],0)),0)</f>
        <v>0.02</v>
      </c>
      <c r="AM94" s="60">
        <f ca="1">ep*tblBaseCF[[#This Row],[EPTermFlag]]</f>
        <v>0</v>
      </c>
      <c r="AN94" s="60">
        <f ca="1">tblBaseCF[[#This Row],[EP]]*tblBaseCF[[#This Row],[EPAllocChrgRate]]</f>
        <v>0</v>
      </c>
      <c r="AO94" s="63">
        <f ca="1">tblBaseCF[[#This Row],[EP]]-tblBaseCF[[#This Row],[EPAllocChrg]]</f>
        <v>0</v>
      </c>
      <c r="AP94" s="62">
        <f ca="1">tblBaseCF[[#This Row],[Ben]]*extra_prem_rate*em_load/1000/(1-tblBaseCF[[#This Row],[EPAllocChrgRate]])
*tblBaseCF[[#This Row],[EMLoadTermFlag]]</f>
        <v>0</v>
      </c>
      <c r="AQ94" s="62">
        <f ca="1">tblBaseCF[[#This Row],[Ben]]*pm_load/1000/(1-tblBaseCF[[#This Row],[EPAllocChrgRate]])
*tblBaseCF[[#This Row],[PMLoadTermFlag]]</f>
        <v>0</v>
      </c>
      <c r="AR94" s="60">
        <f ca="1">ROUNDUP(tblBaseCF[[#This Row],[UnroundedEMLoad]],-3)</f>
        <v>0</v>
      </c>
      <c r="AS94" s="62">
        <f ca="1">ROUNDUP(tblBaseCF[[#This Row],[Ben]]*pm_load/1000/(1-tblBaseCF[[#This Row],[EPAllocChrgRate]]),-3)
*tblBaseCF[[#This Row],[PMLoadTermFlag]]</f>
        <v>0</v>
      </c>
      <c r="AT94" s="60">
        <f ca="1">tblBaseCF[[#This Row],[EMLoad]]+tblBaseCF[[#This Row],[PMLoad]]</f>
        <v>0</v>
      </c>
      <c r="AU94" s="60">
        <f ca="1">tblBaseCF[[#This Row],[Load]]*tblBaseCF[[#This Row],[EPAllocChrgRate]]</f>
        <v>0</v>
      </c>
      <c r="AV94" s="60">
        <f ca="1">tblBaseCF[[#This Row],[Load]]-tblBaseCF[[#This Row],[LoadAllocChrg]]</f>
        <v>0</v>
      </c>
      <c r="AW94" s="60">
        <f ca="1">tblBaseCF[[#This Row],[TP]]+tblBaseCF[[#This Row],[EP]]+tblBaseCF[[#This Row],[Load]]</f>
        <v>0</v>
      </c>
      <c r="AX94" s="60">
        <f ca="1">tblBaseCF[[#This Row],[TPAllocChrg]]+tblBaseCF[[#This Row],[EPAllocChrg]]+tblBaseCF[[#This Row],[LoadAllocChrg]]</f>
        <v>0</v>
      </c>
      <c r="AY94" s="60">
        <f ca="1">tblBaseCF[[#This Row],[TPAlloc]]+tblBaseCF[[#This Row],[EPAlloc]]+tblBaseCF[[#This Row],[LoadAlloc]]</f>
        <v>0</v>
      </c>
      <c r="AZ94" s="60">
        <f ca="1">(OFFSET(tblBaseCF[[#This Row],[AccumTotalPrem]],-1,0)+tblBaseCF[[#This Row],[TotalPrem]])*tblBaseCF[[#This Row],[TPTermFlag]]</f>
        <v>0</v>
      </c>
      <c r="BA94" s="62">
        <f ca="1">(tblBaseCF[[#This Row],[StartTAV]]-tblBaseCF[[#This Row],[TAVWithdrawal]]+tblBaseCF[[#This Row],[TPAlloc]])
*tblBaseCF[[#This Row],[ContFlag]]</f>
        <v>0</v>
      </c>
      <c r="BB94" s="59">
        <f ca="1">(tblBaseCF[[#This Row],[StartEAV]]-tblBaseCF[[#This Row],[EAVWithdrawal]]+tblBaseCF[[#This Row],[EPAlloc]]+tblBaseCF[[#This Row],[LoadAlloc]])
*tblBaseCF[[#This Row],[ContFlag]]</f>
        <v>0</v>
      </c>
      <c r="BC94" s="59">
        <f ca="1">tblBaseCF[[#This Row],[TAVAfterWdrlAlloc]]+tblBaseCF[[#This Row],[EAVAfterWdrlAlloc]]</f>
        <v>0</v>
      </c>
      <c r="BD94" s="66">
        <f t="shared" si="10"/>
        <v>0</v>
      </c>
      <c r="BE94" s="67">
        <f>(1+tblBaseCF[[#This Row],[AnnualIntRate]])^(1/12)-1</f>
        <v>0</v>
      </c>
      <c r="BF94" s="68">
        <f>IFERROR(((1+tblBaseCF[[#This Row],[MonthlyIntRate]])^12-1)/12/(1-1/(1+tblBaseCF[[#This Row],[MonthlyIntRate]])),1)/(1+tblBaseCF[[#This Row],[AnnualIntRate]])</f>
        <v>1</v>
      </c>
      <c r="BG94" s="69">
        <f>PV(tblBaseCF[[#This Row],[MonthlyIntRate]],12,-1/12,,1)</f>
        <v>1</v>
      </c>
      <c r="BH94" s="60">
        <f ca="1">MAX(IF(death_tpd_option="A",tblBaseCF[[#This Row],[Ben]]-tblBaseCF[[#This Row],[StartPAV]],tblBaseCF[[#This Row],[Ben]]),0)</f>
        <v>0</v>
      </c>
      <c r="BI94" s="70">
        <f ca="1">IFERROR(INDEX(tblBaseCOIRate[Rate],MATCH(tblBaseCF[[#This Row],[Age]],tblBaseCOIRate[Age],0)),0)</f>
        <v>3.1989999999999998E-2</v>
      </c>
      <c r="BJ94" s="60">
        <f ca="1">tblBaseCF[[#This Row],[SAR]]*tblBaseCF[[#This Row],[COIRate]]</f>
        <v>0</v>
      </c>
      <c r="BK94" s="62">
        <f ca="1">em_load*tblBaseCF[[#This Row],[pStandardCOI]]
*tblBaseCF[[#This Row],[EMLoadTermFlag]]</f>
        <v>0</v>
      </c>
      <c r="BL94" s="62">
        <f ca="1">pm_load/1000*tblBaseCF[[#This Row],[SAR]]
*tblBaseCF[[#This Row],[PMLoadTermFlag]]</f>
        <v>0</v>
      </c>
      <c r="BM94" s="60">
        <f ca="1">tblBaseCF[[#This Row],[AccBen]]*monthly_acc_coi*12</f>
        <v>0</v>
      </c>
      <c r="BN94" s="60">
        <f ca="1">tblBaseCF[[#This Row],[pStandardCOI]]+tblBaseCF[[#This Row],[pEMLoadCOI]]+tblBaseCF[[#This Row],[pPMLoadCOI]]+tblBaseCF[[#This Row],[pAccCOI]]</f>
        <v>0</v>
      </c>
      <c r="BO94" s="62">
        <f ca="1">IFERROR(INDEX(tblAdminChrg[Amount],MATCH(tblBaseCF[[#This Row],[CalYear]],tblAdminChrg[Cal_Year],0)),0)
*tblBaseCF[[#This Row],[ContFlag]]</f>
        <v>0</v>
      </c>
      <c r="BP94" s="60">
        <f ca="1">tblBaseCF[[#This Row],[pMonthlyAdminChrg]]*12</f>
        <v>0</v>
      </c>
      <c r="BQ94" s="60">
        <f ca="1">tblBaseCF[[#This Row],[pCOI]]+tblBaseCF[[#This Row],[pAdminChrg]]</f>
        <v>0</v>
      </c>
      <c r="BR94" s="60">
        <f ca="1">tblBaseCF[[#This Row],[pNomDeduct]]*tblBaseCF[[#This Row],[Duean1m12]]</f>
        <v>0</v>
      </c>
      <c r="BS94" s="57">
        <f ca="1">(tblBaseCF[[#This Row],[PAVAfterWdrlAlloc]]&gt;=tblBaseCF[[#This Row],[pNomDeduct]])
*tblBaseCF[[#This Row],[ContFlag]]</f>
        <v>0</v>
      </c>
      <c r="BT94" s="60">
        <f ca="1">tblBaseCF[[#This Row],[pStandardCOI]]*tblBaseCF[[#This Row],[DeductFlag]]</f>
        <v>0</v>
      </c>
      <c r="BU94" s="60">
        <f ca="1">tblBaseCF[[#This Row],[pEMLoadCOI]]*tblBaseCF[[#This Row],[DeductFlag]]</f>
        <v>0</v>
      </c>
      <c r="BV94" s="60">
        <f ca="1">tblBaseCF[[#This Row],[pPMLoadCOI]]*tblBaseCF[[#This Row],[DeductFlag]]</f>
        <v>0</v>
      </c>
      <c r="BW94" s="60">
        <f ca="1">tblBaseCF[[#This Row],[pAccCOI]]*tblBaseCF[[#This Row],[DeductFlag]]</f>
        <v>0</v>
      </c>
      <c r="BX94" s="60">
        <f ca="1">tblBaseCF[[#This Row],[pCOI]]*tblBaseCF[[#This Row],[DeductFlag]]</f>
        <v>0</v>
      </c>
      <c r="BY94" s="60">
        <f ca="1">tblBaseCF[[#This Row],[pMonthlyAdminChrg]]*tblBaseCF[[#This Row],[DeductFlag]]</f>
        <v>0</v>
      </c>
      <c r="BZ94" s="60">
        <f ca="1">tblBaseCF[[#This Row],[pAdminChrg]]*tblBaseCF[[#This Row],[DeductFlag]]</f>
        <v>0</v>
      </c>
      <c r="CA94" s="60">
        <f ca="1">tblBaseCF[[#This Row],[pNomDeduct]]*tblBaseCF[[#This Row],[DeductFlag]]</f>
        <v>0</v>
      </c>
      <c r="CB94" s="60">
        <f ca="1">tblBaseCF[[#This Row],[pDeduct]]*tblBaseCF[[#This Row],[DeductFlag]]</f>
        <v>0</v>
      </c>
      <c r="CC94" s="60">
        <f ca="1">MIN(tblBaseCF[[#This Row],[TAVAfterWdrlAlloc]],tblBaseCF[[#This Row],[Deduct]])</f>
        <v>0</v>
      </c>
      <c r="CD94" s="60">
        <f ca="1">tblBaseCF[[#This Row],[Deduct]]-tblBaseCF[[#This Row],[TAVDeduct]]</f>
        <v>0</v>
      </c>
      <c r="CE94" s="69">
        <f ca="1">(tblBaseCF[[#This Row],[TAVAfterWdrlAlloc]]-tblBaseCF[[#This Row],[TAVDeduct]])*tblBaseCF[[#This Row],[AnnualIntRate]]
*tblBaseCF[[#This Row],[DeductFlag]]</f>
        <v>0</v>
      </c>
      <c r="CF94" s="69">
        <f ca="1">(tblBaseCF[[#This Row],[EAVAfterWdrlAlloc]]-tblBaseCF[[#This Row],[EAVDeduct]])*tblBaseCF[[#This Row],[AnnualIntRate]]
*tblBaseCF[[#This Row],[DeductFlag]]</f>
        <v>0</v>
      </c>
      <c r="CG94" s="69">
        <f ca="1">tblBaseCF[[#This Row],[TAVInt]]+tblBaseCF[[#This Row],[EAVInt]]</f>
        <v>0</v>
      </c>
      <c r="CH94" s="62">
        <f ca="1">IFERROR(INDEX(tblLBRate[Rate],MATCH(tblBaseCF[[#This Row],[Year]],tblLBRate[Year],0)),0)
*tblBaseCF[[#This Row],[DeductFlag]]</f>
        <v>0</v>
      </c>
      <c r="CI94" s="60">
        <f ca="1">IFERROR(SUM(OFFSET(tblBaseCF[[#This Row],[TAVWithdrawal]],0,0,-lb_review_period,1)),0)
*(tblBaseCF[[#This Row],[LBRate]]&gt;0)</f>
        <v>0</v>
      </c>
      <c r="CJ94" s="60">
        <f ca="1">(tblBaseCF[[#This Row],[LBRate]]&gt;0)*(tblBaseCF[[#This Row],[LBTAVWithdrawal]]=0)</f>
        <v>0</v>
      </c>
      <c r="CK94" s="62" cm="1">
        <f t="array" aca="1" ref="CK94" ca="1">IF(tblBaseCF[[#This Row],[LBFlag]],
_xlfn.SWITCH(base,
"ILP1",AVERAGE(OFFSET(tblBaseCF[TP],0,0,-lb_review_period,1)),tp),0)
*tblBaseCF[[#This Row],[LBFlag]]</f>
        <v>0</v>
      </c>
      <c r="CL94" s="62">
        <f ca="1">tblBaseCF[[#This Row],[LBBasis]]*tblBaseCF[[#This Row],[LBRate]]</f>
        <v>0</v>
      </c>
      <c r="CM94" s="57" cm="1">
        <f t="array" aca="1" ref="CM94" ca="1">_xlfn.SWITCH(base,
"ILP1",0,($AF194&lt;500000000)*1
+($AF194&gt;=500000000)*($AF194&lt;1000000000)*2
+($AF194&gt;=1000000000)*3)
*tblBaseCF[[#This Row],[DeductFlag]]</f>
        <v>0</v>
      </c>
      <c r="CN94" s="2" t="str">
        <f ca="1">IF(tblBaseCF[[#This Row],[DeductFlag]],base&amp;"_"&amp;tblBaseCF[[#This Row],[SBCode]]&amp;"_"&amp;tblBaseCF[[#This Row],[Year]],"")</f>
        <v/>
      </c>
      <c r="CO94" s="3">
        <f ca="1">IFERROR(INDEX(tblSBRate[Index],MATCH(tblBaseCF[[#This Row],[SBIndex]],tblSBRate[Rate],0)),0)</f>
        <v>0</v>
      </c>
      <c r="CP94" s="63">
        <f ca="1">IFERROR(SUM(OFFSET(tblBaseCF[[#This Row],[TAVWithdrawal]],0,0,-sb_review_period,1)),0)
*(tblBaseCF[[#This Row],[SBRate]]&gt;0)</f>
        <v>0</v>
      </c>
      <c r="CQ94" s="63">
        <f ca="1">(tblBaseCF[[#This Row],[SBRate]]&gt;0)*(tblBaseCF[[#This Row],[SBTAVWithdrawal]]=0)</f>
        <v>0</v>
      </c>
      <c r="CR94" s="59" cm="1">
        <f t="array" aca="1" ref="CR94" ca="1">IF(tblBaseCF[[#This Row],[LBFlag]],
_xlfn.SWITCH(base,
"ILP1",0,tp),0)*tblBaseCF[[#This Row],[SBFlag]]</f>
        <v>0</v>
      </c>
      <c r="CS94" s="63">
        <f ca="1">tblBaseCF[[#This Row],[SBBasis]]*tblBaseCF[[#This Row],[SBRate]]</f>
        <v>0</v>
      </c>
      <c r="CT94" s="63">
        <f ca="1">tblBaseCF[[#This Row],[LB]]+tblBaseCF[[#This Row],[SB]]</f>
        <v>0</v>
      </c>
      <c r="CU94" s="59">
        <f ca="1">tblBaseCF[[#This Row],[TAVAfterWdrlAlloc]]-tblBaseCF[[#This Row],[TAVDeduct]]+tblBaseCF[[#This Row],[TAVInt]]+tblBaseCF[[#This Row],[Bonus]]</f>
        <v>0</v>
      </c>
      <c r="CV94" s="59">
        <f ca="1">tblBaseCF[[#This Row],[EAVAfterWdrlAlloc]]-tblBaseCF[[#This Row],[EAVDeduct]]+tblBaseCF[[#This Row],[EAVInt]]</f>
        <v>0</v>
      </c>
      <c r="CW94" s="63">
        <f ca="1">tblBaseCF[[#This Row],[EndTAV]]+tblBaseCF[[#This Row],[EndEAV]]</f>
        <v>0</v>
      </c>
      <c r="CX94" s="59">
        <f ca="1">INDEX(tblPlanPrem[TP],2)
*tblBaseCF[[#This Row],[TPTermFlag]]</f>
        <v>0</v>
      </c>
      <c r="CY94" s="59">
        <f ca="1">INDEX(tblPlanPrem[EP],2)
*tblBaseCF[[#This Row],[TPTermFlag]]</f>
        <v>0</v>
      </c>
      <c r="CZ94" s="63">
        <f ca="1">ROUNDUP(tblBaseCF[[#This Row],[UnroundedEMLoad]]*INDEX(tblPlanPrem[Factor],2),-3)</f>
        <v>0</v>
      </c>
      <c r="DA94" s="63">
        <f ca="1">ROUNDUP(tblBaseCF[[#This Row],[UnroundedPMLoad]]*INDEX(tblPlanPrem[Factor],2),-3)</f>
        <v>0</v>
      </c>
      <c r="DB94" s="63">
        <f ca="1">tblBaseCF[[#This Row],[SemiAnnualEMLoad]]+tblBaseCF[[#This Row],[SemiAnnualPMLoad]]</f>
        <v>0</v>
      </c>
      <c r="DC94" s="63">
        <f ca="1">tblBaseCF[[#This Row],[SemiAnnualTP]]+tblBaseCF[[#This Row],[SemiAnnualEP]]+tblBaseCF[[#This Row],[SemiAnnualLoad]]</f>
        <v>0</v>
      </c>
      <c r="DD94" s="59">
        <f ca="1">INDEX(tblPlanPrem[TP],3)
*tblBaseCF[[#This Row],[TPTermFlag]]</f>
        <v>0</v>
      </c>
      <c r="DE94" s="59">
        <f ca="1">INDEX(tblPlanPrem[EP],3)
*tblBaseCF[[#This Row],[TPTermFlag]]</f>
        <v>0</v>
      </c>
      <c r="DF94" s="63">
        <f ca="1">ROUNDUP(tblBaseCF[[#This Row],[UnroundedEMLoad]]*INDEX(tblPlanPrem[Factor],3),-3)</f>
        <v>0</v>
      </c>
      <c r="DG94" s="63">
        <f ca="1">ROUNDUP(tblBaseCF[[#This Row],[UnroundedPMLoad]]*INDEX(tblPlanPrem[Factor],3),-3)</f>
        <v>0</v>
      </c>
      <c r="DH94" s="60">
        <f ca="1">tblBaseCF[[#This Row],[QuarterlyEMLoad]]+tblBaseCF[[#This Row],[QuarterlyPMLoad]]</f>
        <v>0</v>
      </c>
      <c r="DI94" s="60">
        <f ca="1">tblBaseCF[[#This Row],[QuarterlyTP]]+tblBaseCF[[#This Row],[QuarterlyEP]]+tblBaseCF[[#This Row],[QuarterlyLoad]]</f>
        <v>0</v>
      </c>
      <c r="DJ94" s="59">
        <f ca="1">INDEX(tblPlanPrem[TP],4)
*tblBaseCF[[#This Row],[TPTermFlag]]</f>
        <v>0</v>
      </c>
      <c r="DK94" s="59">
        <f ca="1">INDEX(tblPlanPrem[EP],4)
*tblBaseCF[[#This Row],[TPTermFlag]]</f>
        <v>0</v>
      </c>
      <c r="DL94" s="63">
        <f ca="1">ROUNDUP(tblBaseCF[[#This Row],[UnroundedEMLoad]]*INDEX(tblPlanPrem[Factor],4),-3)</f>
        <v>0</v>
      </c>
      <c r="DM94" s="63">
        <f ca="1">ROUNDUP(tblBaseCF[[#This Row],[UnroundedPMLoad]]*INDEX(tblPlanPrem[Factor],4),-3)</f>
        <v>0</v>
      </c>
      <c r="DN94" s="60">
        <f ca="1">tblBaseCF[[#This Row],[MonthlyEMLoad]]+tblBaseCF[[#This Row],[MonthlyPMLoad]]</f>
        <v>0</v>
      </c>
      <c r="DO94" s="63">
        <f ca="1">tblBaseCF[[#This Row],[MonthlyTP]]+tblBaseCF[[#This Row],[MonthlyEP]]+tblBaseCF[[#This Row],[MonthlyLoad]]</f>
        <v>0</v>
      </c>
      <c r="DP94" s="3"/>
      <c r="DS94">
        <f t="shared" si="11"/>
        <v>0</v>
      </c>
      <c r="DT94">
        <f t="shared" si="12"/>
        <v>0</v>
      </c>
      <c r="DU94">
        <f t="shared" si="13"/>
        <v>0</v>
      </c>
      <c r="DV94">
        <f ca="1">tblBaseCF[[#This Row],[Year]]</f>
        <v>74</v>
      </c>
      <c r="DW94">
        <f ca="1">tblBaseCF[[#This Row],[Age]]</f>
        <v>73</v>
      </c>
      <c r="DX94">
        <f ca="1">tblBaseCF[[#This Row],[ContFlag]]</f>
        <v>0</v>
      </c>
      <c r="DY94" t="str">
        <f ca="1">tblBaseCF[[#This Row],[ContLog]]</f>
        <v>Insufficient PAV for deduction - Discontinue.</v>
      </c>
      <c r="DZ94">
        <f ca="1">tblBaseCF[[#This Row],[StartTAV]]</f>
        <v>0</v>
      </c>
      <c r="EA94">
        <f ca="1">tblBaseCF[[#This Row],[StartEAV]]</f>
        <v>0</v>
      </c>
      <c r="EB94">
        <f ca="1">tblBaseCF[[#This Row],[StartPAV]]</f>
        <v>0</v>
      </c>
      <c r="EC94">
        <f ca="1">tblBaseCF[[#This Row],[SVChrg]]</f>
        <v>0</v>
      </c>
      <c r="ED94">
        <f ca="1">tblBaseCF[[#This Row],[SV]]</f>
        <v>0</v>
      </c>
      <c r="EE94">
        <f ca="1">tblBaseCF[[#This Row],[Ben]]</f>
        <v>0</v>
      </c>
      <c r="EF94">
        <f ca="1">tblBaseCF[[#This Row],[AccBen]]</f>
        <v>0</v>
      </c>
      <c r="EG94">
        <f ca="1">tblBaseCF[[#This Row],[WithdrawalInput]]</f>
        <v>0</v>
      </c>
      <c r="EH94" t="str">
        <f ca="1">tblBaseCF[[#This Row],[WithdrawalLog]]</f>
        <v>No withdrawal.</v>
      </c>
      <c r="EI94">
        <f ca="1">tblBaseCF[[#This Row],[TAVWithdrawal]]</f>
        <v>0</v>
      </c>
      <c r="EJ94">
        <f ca="1">tblBaseCF[[#This Row],[EAVWithdrawal]]</f>
        <v>0</v>
      </c>
      <c r="EK94">
        <f ca="1">tblBaseCF[[#This Row],[Withdrawal]]</f>
        <v>0</v>
      </c>
      <c r="EL94">
        <f ca="1">tblBaseCF[[#This Row],[TP]]</f>
        <v>0</v>
      </c>
      <c r="EM94">
        <f ca="1">tblBaseCF[[#This Row],[TPAllocChrg]]</f>
        <v>0</v>
      </c>
      <c r="EN94">
        <f ca="1">tblBaseCF[[#This Row],[TPAlloc]]</f>
        <v>0</v>
      </c>
      <c r="EO94">
        <f ca="1">tblBaseCF[[#This Row],[EP]]</f>
        <v>0</v>
      </c>
      <c r="EP94">
        <f ca="1">tblBaseCF[[#This Row],[EPAllocChrg]]</f>
        <v>0</v>
      </c>
      <c r="EQ94">
        <f ca="1">tblBaseCF[[#This Row],[EPAlloc]]</f>
        <v>0</v>
      </c>
      <c r="ER94">
        <f ca="1">tblBaseCF[[#This Row],[EMLoad]]</f>
        <v>0</v>
      </c>
      <c r="ES94">
        <f ca="1">tblBaseCF[[#This Row],[PMLoad]]</f>
        <v>0</v>
      </c>
      <c r="ET94">
        <f ca="1">tblBaseCF[[#This Row],[Load]]</f>
        <v>0</v>
      </c>
      <c r="EU94">
        <f ca="1">tblBaseCF[[#This Row],[LoadAllocChrg]]</f>
        <v>0</v>
      </c>
      <c r="EV94">
        <f ca="1">tblBaseCF[[#This Row],[LoadAlloc]]</f>
        <v>0</v>
      </c>
      <c r="EW94">
        <f ca="1">tblBaseCF[[#This Row],[TotalPrem]]</f>
        <v>0</v>
      </c>
      <c r="EX94">
        <f ca="1">tblBaseCF[[#This Row],[AllocChrg]]</f>
        <v>0</v>
      </c>
      <c r="EY94">
        <f ca="1">tblBaseCF[[#This Row],[Alloc]]</f>
        <v>0</v>
      </c>
      <c r="EZ94">
        <f ca="1">tblBaseCF[[#This Row],[AccumTotalPrem]]</f>
        <v>0</v>
      </c>
      <c r="FA94">
        <f>tblBaseCF[[#This Row],[AnnualIntRate]]</f>
        <v>0</v>
      </c>
      <c r="FB94" s="50">
        <f>tblBaseCF[[#This Row],[Duean1m12]]</f>
        <v>1</v>
      </c>
      <c r="FC94">
        <f ca="1">tblBaseCF[[#This Row],[DeductFlag]]</f>
        <v>0</v>
      </c>
      <c r="FD94">
        <f ca="1">tblBaseCF[[#This Row],[AdminChrg]]</f>
        <v>0</v>
      </c>
      <c r="FE94">
        <f ca="1">tblBaseCF[[#This Row],[StandardCOI]]</f>
        <v>0</v>
      </c>
      <c r="FF94">
        <f ca="1">tblBaseCF[[#This Row],[EMLoadCOI]]</f>
        <v>0</v>
      </c>
      <c r="FG94">
        <f ca="1">tblBaseCF[[#This Row],[PMLoadCOI]]</f>
        <v>0</v>
      </c>
      <c r="FH94">
        <f ca="1">tblBaseCF[[#This Row],[COI]]</f>
        <v>0</v>
      </c>
      <c r="FI94" s="47">
        <f ca="1">tblBaseCF[[#This Row],[NomDeduct]]</f>
        <v>0</v>
      </c>
      <c r="FJ94">
        <f ca="1">tblBaseCF[[#This Row],[Deduct]]</f>
        <v>0</v>
      </c>
      <c r="FK94">
        <f ca="1">tblBaseCF[[#This Row],[TAVDeduct]]</f>
        <v>0</v>
      </c>
      <c r="FL94">
        <f ca="1">tblBaseCF[[#This Row],[EAVDeduct]]</f>
        <v>0</v>
      </c>
      <c r="FM94" s="24">
        <f ca="1">tblBaseCF[[#This Row],[TAVInt]]</f>
        <v>0</v>
      </c>
      <c r="FN94">
        <f ca="1">tblBaseCF[[#This Row],[EAVInt]]</f>
        <v>0</v>
      </c>
      <c r="FO94" s="47">
        <f ca="1">tblBaseCF[[#This Row],[LB]]</f>
        <v>0</v>
      </c>
      <c r="FP94">
        <f ca="1">tblBaseCF[[#This Row],[SB]]</f>
        <v>0</v>
      </c>
      <c r="FQ94">
        <f ca="1">tblBaseCF[[#This Row],[Bonus]]</f>
        <v>0</v>
      </c>
      <c r="FR94">
        <f ca="1">tblBaseCF[[#This Row],[EndTAV]]</f>
        <v>0</v>
      </c>
      <c r="FS94">
        <f ca="1">tblBaseCF[[#This Row],[EndEAV]]</f>
        <v>0</v>
      </c>
      <c r="FT94">
        <f ca="1">tblBaseCF[[#This Row],[EndPAV]]</f>
        <v>0</v>
      </c>
      <c r="FU94">
        <f ca="1">tblBaseCF[[#This Row],[SemiAnnualTP]]</f>
        <v>0</v>
      </c>
      <c r="FV94">
        <f ca="1">tblBaseCF[[#This Row],[SemiAnnualEP]]</f>
        <v>0</v>
      </c>
      <c r="FW94">
        <f ca="1">tblBaseCF[[#This Row],[SemiAnnualEMLoad]]</f>
        <v>0</v>
      </c>
      <c r="FX94">
        <f ca="1">tblBaseCF[[#This Row],[SemiAnnualPMLoad]]</f>
        <v>0</v>
      </c>
      <c r="FY94">
        <f ca="1">tblBaseCF[[#This Row],[SemiAnnualLoad]]</f>
        <v>0</v>
      </c>
      <c r="FZ94">
        <f ca="1">tblBaseCF[[#This Row],[SemiAnnualTotalPrem]]</f>
        <v>0</v>
      </c>
      <c r="GA94">
        <f ca="1">tblBaseCF[[#This Row],[QuarterlyTP]]</f>
        <v>0</v>
      </c>
      <c r="GB94">
        <f ca="1">tblBaseCF[[#This Row],[QuarterlyEP]]</f>
        <v>0</v>
      </c>
      <c r="GC94">
        <f ca="1">tblBaseCF[[#This Row],[QuarterlyEMLoad]]</f>
        <v>0</v>
      </c>
      <c r="GD94">
        <f ca="1">tblBaseCF[[#This Row],[QuarterlyPMLoad]]</f>
        <v>0</v>
      </c>
      <c r="GE94">
        <f ca="1">tblBaseCF[[#This Row],[QuarterlyLoad]]</f>
        <v>0</v>
      </c>
      <c r="GF94">
        <f ca="1">tblBaseCF[[#This Row],[QuarterlyTotalPrem]]</f>
        <v>0</v>
      </c>
      <c r="GG94">
        <f ca="1">tblBaseCF[[#This Row],[MonthlyTP]]</f>
        <v>0</v>
      </c>
      <c r="GH94">
        <f ca="1">tblBaseCF[[#This Row],[MonthlyEP]]</f>
        <v>0</v>
      </c>
      <c r="GI94">
        <f ca="1">tblBaseCF[[#This Row],[MonthlyEMLoad]]</f>
        <v>0</v>
      </c>
      <c r="GJ94">
        <f ca="1">tblBaseCF[[#This Row],[MonthlyPMLoad]]</f>
        <v>0</v>
      </c>
      <c r="GK94">
        <f ca="1">tblBaseCF[[#This Row],[MonthlyLoad]]</f>
        <v>0</v>
      </c>
      <c r="GL94">
        <f ca="1">tblBaseCF[[#This Row],[MonthlyTotalPrem]]</f>
        <v>0</v>
      </c>
      <c r="GO94" t="s">
        <v>134</v>
      </c>
      <c r="GP94" t="s">
        <v>135</v>
      </c>
      <c r="GQ94" t="s">
        <v>502</v>
      </c>
      <c r="GR94">
        <v>74</v>
      </c>
      <c r="GS94">
        <v>73</v>
      </c>
      <c r="GT94">
        <v>1</v>
      </c>
      <c r="GU94" t="s">
        <v>457</v>
      </c>
      <c r="GV94">
        <v>662275785.68258905</v>
      </c>
      <c r="GW94">
        <v>5796373575.1945</v>
      </c>
      <c r="GX94">
        <v>6458649360.8770905</v>
      </c>
      <c r="GY94">
        <v>0</v>
      </c>
      <c r="GZ94">
        <v>6458649360.8770905</v>
      </c>
      <c r="HA94">
        <v>6458649360.8770905</v>
      </c>
      <c r="HB94">
        <v>0</v>
      </c>
      <c r="HC94">
        <v>0</v>
      </c>
      <c r="HD94" t="s">
        <v>137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7.0000000000000007E-2</v>
      </c>
      <c r="HX94">
        <v>0.96964931039809399</v>
      </c>
      <c r="HY94">
        <v>1</v>
      </c>
      <c r="HZ94">
        <v>300000</v>
      </c>
      <c r="IA94">
        <v>0</v>
      </c>
      <c r="IB94">
        <v>0</v>
      </c>
      <c r="IC94">
        <v>0</v>
      </c>
      <c r="ID94">
        <v>0</v>
      </c>
      <c r="IE94">
        <v>300000</v>
      </c>
      <c r="IF94">
        <v>290894.79311942798</v>
      </c>
      <c r="IG94">
        <v>290894.79311942798</v>
      </c>
      <c r="IH94">
        <v>0</v>
      </c>
      <c r="II94">
        <v>46338942.362262897</v>
      </c>
      <c r="IJ94">
        <v>405746150.26361501</v>
      </c>
      <c r="IK94">
        <v>0</v>
      </c>
      <c r="IL94">
        <v>0</v>
      </c>
      <c r="IM94">
        <v>0</v>
      </c>
      <c r="IN94">
        <v>708323833.25173295</v>
      </c>
      <c r="IO94">
        <v>6202119725.4581203</v>
      </c>
      <c r="IP94">
        <v>6910443558.7098503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</row>
    <row r="95" spans="2:268" customFormat="1" x14ac:dyDescent="0.25">
      <c r="B95" s="2">
        <f ca="1">OFFSET(tblBaseCF[[#This Row],[Year]],-1,0)+1</f>
        <v>75</v>
      </c>
      <c r="C95" s="2">
        <f ca="1">(tblBaseCF[[#This Row],[Year]]&lt;=term)*1</f>
        <v>1</v>
      </c>
      <c r="D95" s="57">
        <f ca="1">(YEAR(rcd)+tblBaseCF[[#This Row],[Year]]-1)
*tblBaseCF[[#This Row],[PolTermFlag]]</f>
        <v>2099</v>
      </c>
      <c r="E95" s="57">
        <f ca="1">(mainLI_entry_age+tblBaseCF[[#This Row],[Year]]-1)
*tblBaseCF[[#This Row],[PolTermFlag]]</f>
        <v>74</v>
      </c>
      <c r="F95" s="57">
        <f ca="1">IF(tblBaseCF[[#This Row],[Year]]=1,1,OFFSET(tblBaseCF[[#This Row],[DeductFlag]],-1,0))
*tblBaseCF[[#This Row],[PolTermFlag]]</f>
        <v>0</v>
      </c>
      <c r="G9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5" s="57">
        <f ca="1">(tblBaseCF[[#This Row],[Year]]&lt;=acc_ben_term)
*tblBaseCF[[#This Row],[ContFlag]]</f>
        <v>0</v>
      </c>
      <c r="I95" s="57">
        <f ca="1">(tblBaseCF[[#This Row],[Year]]&lt;=tp_term)
*tblBaseCF[[#This Row],[ContFlag]]</f>
        <v>0</v>
      </c>
      <c r="J95" s="57">
        <f ca="1">(tblBaseCF[[#This Row],[Year]]&lt;=ep_term)
*tblBaseCF[[#This Row],[ContFlag]]</f>
        <v>0</v>
      </c>
      <c r="K95" s="57">
        <f ca="1">(tblBaseCF[[#This Row],[Year]]&lt;=em_load_term)*1</f>
        <v>0</v>
      </c>
      <c r="L95" s="57">
        <f ca="1">(tblBaseCF[[#This Row],[Year]]&lt;=pm_load_term)*1</f>
        <v>0</v>
      </c>
      <c r="M95" s="59">
        <f ca="1">IF(tblBaseCF[[#This Row],[Year]]=1,si,OFFSET(tblBaseCF[[#This Row],[EndSI]],-1,0))
*tblBaseCF[[#This Row],[ContFlag]]</f>
        <v>0</v>
      </c>
      <c r="N95" s="59">
        <f ca="1">OFFSET(tblBaseCF[[#This Row],[EndTAV]],-1,0)
*tblBaseCF[[#This Row],[ContFlag]]</f>
        <v>0</v>
      </c>
      <c r="O95" s="59">
        <f ca="1">OFFSET(tblBaseCF[[#This Row],[EndEAV]],-1,0)
*tblBaseCF[[#This Row],[ContFlag]]</f>
        <v>0</v>
      </c>
      <c r="P95" s="60">
        <f ca="1">tblBaseCF[[#This Row],[StartEAV]]+tblBaseCF[[#This Row],[StartTAV]]</f>
        <v>0</v>
      </c>
      <c r="Q95" s="61">
        <f ca="1">IFERROR(INDEX(tblJuvenileLienRate[Rate],MATCH(tblBaseCF[[#This Row],[Age]],tblJuvenileLienRate[Age],0)),1)
*tblBaseCF[[#This Row],[ContFlag]]</f>
        <v>0</v>
      </c>
      <c r="R9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5" s="62">
        <f ca="1">tblBaseCF[[#This Row],[StartSI]]*acc_ben_coeff*tblBaseCF[[#This Row],[JuvenileLienRate]]
*tblBaseCF[[#This Row],[AccBenTermFlag]]</f>
        <v>0</v>
      </c>
      <c r="T95" s="61">
        <f ca="1">(IFERROR(INDEX(tblSurrChrgRate[Rate],MATCH(tblBaseCF[[#This Row],[Year]],tblSurrChrgRate[Year],0)),0)
*tblBaseCF[[#This Row],[ContFlag]])</f>
        <v>0</v>
      </c>
      <c r="U95" s="60">
        <f ca="1">tp*tblBaseCF[[#This Row],[SrrChrgRate]]</f>
        <v>0</v>
      </c>
      <c r="V95" s="63">
        <f ca="1">MAX(tblBaseCF[[#This Row],[StartTAV]]-tblBaseCF[[#This Row],[SVChrg]],0)+tblBaseCF[[#This Row],[StartEAV]]</f>
        <v>0</v>
      </c>
      <c r="W95" s="59">
        <f ca="1">IFERROR(INDEX(tblWithdrawal_Output[Amount],MATCH(tblBaseCF[[#This Row],[Year]],tblWithdrawal_Output[Year],0)),0)
*tblBaseCF[[#This Row],[ContFlag]]</f>
        <v>0</v>
      </c>
      <c r="X95" s="59" t="b">
        <f ca="1">tblBaseCF[[#This Row],[WithdrawalInput]]&gt;0</f>
        <v>0</v>
      </c>
      <c r="Y95" s="59" t="b">
        <f ca="1">AND(tblBaseCF[[#This Row],[1stCheckProceed]],tblBaseCF[[#This Row],[WithdrawalInput]]&lt;=tblBaseCF[[#This Row],[StartPAV]])</f>
        <v>0</v>
      </c>
      <c r="Z95" s="59" t="b">
        <f ca="1">AND(tblBaseCF[[#This Row],[2ndCheckAmount]],(tblBaseCF[[#This Row],[StartPAV]]-tblBaseCF[[#This Row],[WithdrawalInput]])&gt;=min_pav_after_withdrawal)</f>
        <v>0</v>
      </c>
      <c r="AA9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5" s="59" t="b">
        <f ca="1">AND(tblBaseCF[[#This Row],[3rdCheckPAV]],tblBaseCF[[#This Row],[endSITest]]&gt;=min_base_si)</f>
        <v>0</v>
      </c>
      <c r="AC95" s="60">
        <f ca="1">tblBaseCF[[#This Row],[WithdrawalInput]]*tblBaseCF[[#This Row],[4thCheckSI]]</f>
        <v>0</v>
      </c>
      <c r="AD95" s="60">
        <f ca="1">MIN(tblBaseCF[[#This Row],[Withdrawal]],tblBaseCF[[#This Row],[StartEAV]])</f>
        <v>0</v>
      </c>
      <c r="AE95" s="60">
        <f ca="1">tblBaseCF[[#This Row],[Withdrawal]]-tblBaseCF[[#This Row],[EAVWithdrawal]]</f>
        <v>0</v>
      </c>
      <c r="AF95" s="60">
        <f ca="1">IF(tblBaseCF[[#This Row],[4thCheckSI]],tblBaseCF[[#This Row],[endSITest]],tblBaseCF[[#This Row],[StartSI]])</f>
        <v>0</v>
      </c>
      <c r="AG9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5" s="65">
        <f ca="1">IFERROR(INDEX(tblTPAllocChrgRate[Rate],MATCH(tblBaseCF[[#This Row],[Year]],tblTPAllocChrgRate[Year],0)),0)</f>
        <v>0.02</v>
      </c>
      <c r="AI95" s="62">
        <f ca="1">(tp+big_case_bonus_tp*(tblBaseCF[[#This Row],[Year]]=1))
*tblBaseCF[[#This Row],[TPTermFlag]]</f>
        <v>0</v>
      </c>
      <c r="AJ95" s="63">
        <f ca="1">tblBaseCF[[#This Row],[TP]]*tblBaseCF[[#This Row],[TPAllocChrgRate]]</f>
        <v>0</v>
      </c>
      <c r="AK95" s="60">
        <f ca="1">tblBaseCF[[#This Row],[TP]]-tblBaseCF[[#This Row],[TPAllocChrg]]</f>
        <v>0</v>
      </c>
      <c r="AL95" s="65">
        <f ca="1">IFERROR(INDEX(tblEPAllocChrgRate[Rate],MATCH(tblBaseCF[[#This Row],[Year]],tblEPAllocChrgRate[Year],0)),0)</f>
        <v>0.02</v>
      </c>
      <c r="AM95" s="60">
        <f ca="1">ep*tblBaseCF[[#This Row],[EPTermFlag]]</f>
        <v>0</v>
      </c>
      <c r="AN95" s="60">
        <f ca="1">tblBaseCF[[#This Row],[EP]]*tblBaseCF[[#This Row],[EPAllocChrgRate]]</f>
        <v>0</v>
      </c>
      <c r="AO95" s="63">
        <f ca="1">tblBaseCF[[#This Row],[EP]]-tblBaseCF[[#This Row],[EPAllocChrg]]</f>
        <v>0</v>
      </c>
      <c r="AP95" s="62">
        <f ca="1">tblBaseCF[[#This Row],[Ben]]*extra_prem_rate*em_load/1000/(1-tblBaseCF[[#This Row],[EPAllocChrgRate]])
*tblBaseCF[[#This Row],[EMLoadTermFlag]]</f>
        <v>0</v>
      </c>
      <c r="AQ95" s="62">
        <f ca="1">tblBaseCF[[#This Row],[Ben]]*pm_load/1000/(1-tblBaseCF[[#This Row],[EPAllocChrgRate]])
*tblBaseCF[[#This Row],[PMLoadTermFlag]]</f>
        <v>0</v>
      </c>
      <c r="AR95" s="60">
        <f ca="1">ROUNDUP(tblBaseCF[[#This Row],[UnroundedEMLoad]],-3)</f>
        <v>0</v>
      </c>
      <c r="AS95" s="62">
        <f ca="1">ROUNDUP(tblBaseCF[[#This Row],[Ben]]*pm_load/1000/(1-tblBaseCF[[#This Row],[EPAllocChrgRate]]),-3)
*tblBaseCF[[#This Row],[PMLoadTermFlag]]</f>
        <v>0</v>
      </c>
      <c r="AT95" s="60">
        <f ca="1">tblBaseCF[[#This Row],[EMLoad]]+tblBaseCF[[#This Row],[PMLoad]]</f>
        <v>0</v>
      </c>
      <c r="AU95" s="60">
        <f ca="1">tblBaseCF[[#This Row],[Load]]*tblBaseCF[[#This Row],[EPAllocChrgRate]]</f>
        <v>0</v>
      </c>
      <c r="AV95" s="60">
        <f ca="1">tblBaseCF[[#This Row],[Load]]-tblBaseCF[[#This Row],[LoadAllocChrg]]</f>
        <v>0</v>
      </c>
      <c r="AW95" s="60">
        <f ca="1">tblBaseCF[[#This Row],[TP]]+tblBaseCF[[#This Row],[EP]]+tblBaseCF[[#This Row],[Load]]</f>
        <v>0</v>
      </c>
      <c r="AX95" s="60">
        <f ca="1">tblBaseCF[[#This Row],[TPAllocChrg]]+tblBaseCF[[#This Row],[EPAllocChrg]]+tblBaseCF[[#This Row],[LoadAllocChrg]]</f>
        <v>0</v>
      </c>
      <c r="AY95" s="60">
        <f ca="1">tblBaseCF[[#This Row],[TPAlloc]]+tblBaseCF[[#This Row],[EPAlloc]]+tblBaseCF[[#This Row],[LoadAlloc]]</f>
        <v>0</v>
      </c>
      <c r="AZ95" s="60">
        <f ca="1">(OFFSET(tblBaseCF[[#This Row],[AccumTotalPrem]],-1,0)+tblBaseCF[[#This Row],[TotalPrem]])*tblBaseCF[[#This Row],[TPTermFlag]]</f>
        <v>0</v>
      </c>
      <c r="BA95" s="62">
        <f ca="1">(tblBaseCF[[#This Row],[StartTAV]]-tblBaseCF[[#This Row],[TAVWithdrawal]]+tblBaseCF[[#This Row],[TPAlloc]])
*tblBaseCF[[#This Row],[ContFlag]]</f>
        <v>0</v>
      </c>
      <c r="BB95" s="59">
        <f ca="1">(tblBaseCF[[#This Row],[StartEAV]]-tblBaseCF[[#This Row],[EAVWithdrawal]]+tblBaseCF[[#This Row],[EPAlloc]]+tblBaseCF[[#This Row],[LoadAlloc]])
*tblBaseCF[[#This Row],[ContFlag]]</f>
        <v>0</v>
      </c>
      <c r="BC95" s="59">
        <f ca="1">tblBaseCF[[#This Row],[TAVAfterWdrlAlloc]]+tblBaseCF[[#This Row],[EAVAfterWdrlAlloc]]</f>
        <v>0</v>
      </c>
      <c r="BD95" s="66">
        <f t="shared" si="10"/>
        <v>0</v>
      </c>
      <c r="BE95" s="67">
        <f>(1+tblBaseCF[[#This Row],[AnnualIntRate]])^(1/12)-1</f>
        <v>0</v>
      </c>
      <c r="BF95" s="68">
        <f>IFERROR(((1+tblBaseCF[[#This Row],[MonthlyIntRate]])^12-1)/12/(1-1/(1+tblBaseCF[[#This Row],[MonthlyIntRate]])),1)/(1+tblBaseCF[[#This Row],[AnnualIntRate]])</f>
        <v>1</v>
      </c>
      <c r="BG95" s="69">
        <f>PV(tblBaseCF[[#This Row],[MonthlyIntRate]],12,-1/12,,1)</f>
        <v>1</v>
      </c>
      <c r="BH95" s="60">
        <f ca="1">MAX(IF(death_tpd_option="A",tblBaseCF[[#This Row],[Ben]]-tblBaseCF[[#This Row],[StartPAV]],tblBaseCF[[#This Row],[Ben]]),0)</f>
        <v>0</v>
      </c>
      <c r="BI95" s="70">
        <f ca="1">IFERROR(INDEX(tblBaseCOIRate[Rate],MATCH(tblBaseCF[[#This Row],[Age]],tblBaseCOIRate[Age],0)),0)</f>
        <v>3.6049999999999999E-2</v>
      </c>
      <c r="BJ95" s="60">
        <f ca="1">tblBaseCF[[#This Row],[SAR]]*tblBaseCF[[#This Row],[COIRate]]</f>
        <v>0</v>
      </c>
      <c r="BK95" s="62">
        <f ca="1">em_load*tblBaseCF[[#This Row],[pStandardCOI]]
*tblBaseCF[[#This Row],[EMLoadTermFlag]]</f>
        <v>0</v>
      </c>
      <c r="BL95" s="62">
        <f ca="1">pm_load/1000*tblBaseCF[[#This Row],[SAR]]
*tblBaseCF[[#This Row],[PMLoadTermFlag]]</f>
        <v>0</v>
      </c>
      <c r="BM95" s="60">
        <f ca="1">tblBaseCF[[#This Row],[AccBen]]*monthly_acc_coi*12</f>
        <v>0</v>
      </c>
      <c r="BN95" s="60">
        <f ca="1">tblBaseCF[[#This Row],[pStandardCOI]]+tblBaseCF[[#This Row],[pEMLoadCOI]]+tblBaseCF[[#This Row],[pPMLoadCOI]]+tblBaseCF[[#This Row],[pAccCOI]]</f>
        <v>0</v>
      </c>
      <c r="BO95" s="62">
        <f ca="1">IFERROR(INDEX(tblAdminChrg[Amount],MATCH(tblBaseCF[[#This Row],[CalYear]],tblAdminChrg[Cal_Year],0)),0)
*tblBaseCF[[#This Row],[ContFlag]]</f>
        <v>0</v>
      </c>
      <c r="BP95" s="60">
        <f ca="1">tblBaseCF[[#This Row],[pMonthlyAdminChrg]]*12</f>
        <v>0</v>
      </c>
      <c r="BQ95" s="60">
        <f ca="1">tblBaseCF[[#This Row],[pCOI]]+tblBaseCF[[#This Row],[pAdminChrg]]</f>
        <v>0</v>
      </c>
      <c r="BR95" s="60">
        <f ca="1">tblBaseCF[[#This Row],[pNomDeduct]]*tblBaseCF[[#This Row],[Duean1m12]]</f>
        <v>0</v>
      </c>
      <c r="BS95" s="57">
        <f ca="1">(tblBaseCF[[#This Row],[PAVAfterWdrlAlloc]]&gt;=tblBaseCF[[#This Row],[pNomDeduct]])
*tblBaseCF[[#This Row],[ContFlag]]</f>
        <v>0</v>
      </c>
      <c r="BT95" s="60">
        <f ca="1">tblBaseCF[[#This Row],[pStandardCOI]]*tblBaseCF[[#This Row],[DeductFlag]]</f>
        <v>0</v>
      </c>
      <c r="BU95" s="60">
        <f ca="1">tblBaseCF[[#This Row],[pEMLoadCOI]]*tblBaseCF[[#This Row],[DeductFlag]]</f>
        <v>0</v>
      </c>
      <c r="BV95" s="60">
        <f ca="1">tblBaseCF[[#This Row],[pPMLoadCOI]]*tblBaseCF[[#This Row],[DeductFlag]]</f>
        <v>0</v>
      </c>
      <c r="BW95" s="60">
        <f ca="1">tblBaseCF[[#This Row],[pAccCOI]]*tblBaseCF[[#This Row],[DeductFlag]]</f>
        <v>0</v>
      </c>
      <c r="BX95" s="60">
        <f ca="1">tblBaseCF[[#This Row],[pCOI]]*tblBaseCF[[#This Row],[DeductFlag]]</f>
        <v>0</v>
      </c>
      <c r="BY95" s="60">
        <f ca="1">tblBaseCF[[#This Row],[pMonthlyAdminChrg]]*tblBaseCF[[#This Row],[DeductFlag]]</f>
        <v>0</v>
      </c>
      <c r="BZ95" s="60">
        <f ca="1">tblBaseCF[[#This Row],[pAdminChrg]]*tblBaseCF[[#This Row],[DeductFlag]]</f>
        <v>0</v>
      </c>
      <c r="CA95" s="60">
        <f ca="1">tblBaseCF[[#This Row],[pNomDeduct]]*tblBaseCF[[#This Row],[DeductFlag]]</f>
        <v>0</v>
      </c>
      <c r="CB95" s="60">
        <f ca="1">tblBaseCF[[#This Row],[pDeduct]]*tblBaseCF[[#This Row],[DeductFlag]]</f>
        <v>0</v>
      </c>
      <c r="CC95" s="60">
        <f ca="1">MIN(tblBaseCF[[#This Row],[TAVAfterWdrlAlloc]],tblBaseCF[[#This Row],[Deduct]])</f>
        <v>0</v>
      </c>
      <c r="CD95" s="60">
        <f ca="1">tblBaseCF[[#This Row],[Deduct]]-tblBaseCF[[#This Row],[TAVDeduct]]</f>
        <v>0</v>
      </c>
      <c r="CE95" s="69">
        <f ca="1">(tblBaseCF[[#This Row],[TAVAfterWdrlAlloc]]-tblBaseCF[[#This Row],[TAVDeduct]])*tblBaseCF[[#This Row],[AnnualIntRate]]
*tblBaseCF[[#This Row],[DeductFlag]]</f>
        <v>0</v>
      </c>
      <c r="CF95" s="69">
        <f ca="1">(tblBaseCF[[#This Row],[EAVAfterWdrlAlloc]]-tblBaseCF[[#This Row],[EAVDeduct]])*tblBaseCF[[#This Row],[AnnualIntRate]]
*tblBaseCF[[#This Row],[DeductFlag]]</f>
        <v>0</v>
      </c>
      <c r="CG95" s="69">
        <f ca="1">tblBaseCF[[#This Row],[TAVInt]]+tblBaseCF[[#This Row],[EAVInt]]</f>
        <v>0</v>
      </c>
      <c r="CH95" s="62">
        <f ca="1">IFERROR(INDEX(tblLBRate[Rate],MATCH(tblBaseCF[[#This Row],[Year]],tblLBRate[Year],0)),0)
*tblBaseCF[[#This Row],[DeductFlag]]</f>
        <v>0</v>
      </c>
      <c r="CI95" s="60">
        <f ca="1">IFERROR(SUM(OFFSET(tblBaseCF[[#This Row],[TAVWithdrawal]],0,0,-lb_review_period,1)),0)
*(tblBaseCF[[#This Row],[LBRate]]&gt;0)</f>
        <v>0</v>
      </c>
      <c r="CJ95" s="60">
        <f ca="1">(tblBaseCF[[#This Row],[LBRate]]&gt;0)*(tblBaseCF[[#This Row],[LBTAVWithdrawal]]=0)</f>
        <v>0</v>
      </c>
      <c r="CK95" s="62" cm="1">
        <f t="array" aca="1" ref="CK95" ca="1">IF(tblBaseCF[[#This Row],[LBFlag]],
_xlfn.SWITCH(base,
"ILP1",AVERAGE(OFFSET(tblBaseCF[TP],0,0,-lb_review_period,1)),tp),0)
*tblBaseCF[[#This Row],[LBFlag]]</f>
        <v>0</v>
      </c>
      <c r="CL95" s="62">
        <f ca="1">tblBaseCF[[#This Row],[LBBasis]]*tblBaseCF[[#This Row],[LBRate]]</f>
        <v>0</v>
      </c>
      <c r="CM95" s="57" cm="1">
        <f t="array" aca="1" ref="CM95" ca="1">_xlfn.SWITCH(base,
"ILP1",0,($AF195&lt;500000000)*1
+($AF195&gt;=500000000)*($AF195&lt;1000000000)*2
+($AF195&gt;=1000000000)*3)
*tblBaseCF[[#This Row],[DeductFlag]]</f>
        <v>0</v>
      </c>
      <c r="CN95" s="2" t="str">
        <f ca="1">IF(tblBaseCF[[#This Row],[DeductFlag]],base&amp;"_"&amp;tblBaseCF[[#This Row],[SBCode]]&amp;"_"&amp;tblBaseCF[[#This Row],[Year]],"")</f>
        <v/>
      </c>
      <c r="CO95" s="3">
        <f ca="1">IFERROR(INDEX(tblSBRate[Index],MATCH(tblBaseCF[[#This Row],[SBIndex]],tblSBRate[Rate],0)),0)</f>
        <v>0</v>
      </c>
      <c r="CP95" s="63">
        <f ca="1">IFERROR(SUM(OFFSET(tblBaseCF[[#This Row],[TAVWithdrawal]],0,0,-sb_review_period,1)),0)
*(tblBaseCF[[#This Row],[SBRate]]&gt;0)</f>
        <v>0</v>
      </c>
      <c r="CQ95" s="63">
        <f ca="1">(tblBaseCF[[#This Row],[SBRate]]&gt;0)*(tblBaseCF[[#This Row],[SBTAVWithdrawal]]=0)</f>
        <v>0</v>
      </c>
      <c r="CR95" s="59" cm="1">
        <f t="array" aca="1" ref="CR95" ca="1">IF(tblBaseCF[[#This Row],[LBFlag]],
_xlfn.SWITCH(base,
"ILP1",0,tp),0)*tblBaseCF[[#This Row],[SBFlag]]</f>
        <v>0</v>
      </c>
      <c r="CS95" s="63">
        <f ca="1">tblBaseCF[[#This Row],[SBBasis]]*tblBaseCF[[#This Row],[SBRate]]</f>
        <v>0</v>
      </c>
      <c r="CT95" s="63">
        <f ca="1">tblBaseCF[[#This Row],[LB]]+tblBaseCF[[#This Row],[SB]]</f>
        <v>0</v>
      </c>
      <c r="CU95" s="59">
        <f ca="1">tblBaseCF[[#This Row],[TAVAfterWdrlAlloc]]-tblBaseCF[[#This Row],[TAVDeduct]]+tblBaseCF[[#This Row],[TAVInt]]+tblBaseCF[[#This Row],[Bonus]]</f>
        <v>0</v>
      </c>
      <c r="CV95" s="59">
        <f ca="1">tblBaseCF[[#This Row],[EAVAfterWdrlAlloc]]-tblBaseCF[[#This Row],[EAVDeduct]]+tblBaseCF[[#This Row],[EAVInt]]</f>
        <v>0</v>
      </c>
      <c r="CW95" s="63">
        <f ca="1">tblBaseCF[[#This Row],[EndTAV]]+tblBaseCF[[#This Row],[EndEAV]]</f>
        <v>0</v>
      </c>
      <c r="CX95" s="59">
        <f ca="1">INDEX(tblPlanPrem[TP],2)
*tblBaseCF[[#This Row],[TPTermFlag]]</f>
        <v>0</v>
      </c>
      <c r="CY95" s="59">
        <f ca="1">INDEX(tblPlanPrem[EP],2)
*tblBaseCF[[#This Row],[TPTermFlag]]</f>
        <v>0</v>
      </c>
      <c r="CZ95" s="63">
        <f ca="1">ROUNDUP(tblBaseCF[[#This Row],[UnroundedEMLoad]]*INDEX(tblPlanPrem[Factor],2),-3)</f>
        <v>0</v>
      </c>
      <c r="DA95" s="63">
        <f ca="1">ROUNDUP(tblBaseCF[[#This Row],[UnroundedPMLoad]]*INDEX(tblPlanPrem[Factor],2),-3)</f>
        <v>0</v>
      </c>
      <c r="DB95" s="63">
        <f ca="1">tblBaseCF[[#This Row],[SemiAnnualEMLoad]]+tblBaseCF[[#This Row],[SemiAnnualPMLoad]]</f>
        <v>0</v>
      </c>
      <c r="DC95" s="63">
        <f ca="1">tblBaseCF[[#This Row],[SemiAnnualTP]]+tblBaseCF[[#This Row],[SemiAnnualEP]]+tblBaseCF[[#This Row],[SemiAnnualLoad]]</f>
        <v>0</v>
      </c>
      <c r="DD95" s="59">
        <f ca="1">INDEX(tblPlanPrem[TP],3)
*tblBaseCF[[#This Row],[TPTermFlag]]</f>
        <v>0</v>
      </c>
      <c r="DE95" s="59">
        <f ca="1">INDEX(tblPlanPrem[EP],3)
*tblBaseCF[[#This Row],[TPTermFlag]]</f>
        <v>0</v>
      </c>
      <c r="DF95" s="63">
        <f ca="1">ROUNDUP(tblBaseCF[[#This Row],[UnroundedEMLoad]]*INDEX(tblPlanPrem[Factor],3),-3)</f>
        <v>0</v>
      </c>
      <c r="DG95" s="63">
        <f ca="1">ROUNDUP(tblBaseCF[[#This Row],[UnroundedPMLoad]]*INDEX(tblPlanPrem[Factor],3),-3)</f>
        <v>0</v>
      </c>
      <c r="DH95" s="60">
        <f ca="1">tblBaseCF[[#This Row],[QuarterlyEMLoad]]+tblBaseCF[[#This Row],[QuarterlyPMLoad]]</f>
        <v>0</v>
      </c>
      <c r="DI95" s="60">
        <f ca="1">tblBaseCF[[#This Row],[QuarterlyTP]]+tblBaseCF[[#This Row],[QuarterlyEP]]+tblBaseCF[[#This Row],[QuarterlyLoad]]</f>
        <v>0</v>
      </c>
      <c r="DJ95" s="59">
        <f ca="1">INDEX(tblPlanPrem[TP],4)
*tblBaseCF[[#This Row],[TPTermFlag]]</f>
        <v>0</v>
      </c>
      <c r="DK95" s="59">
        <f ca="1">INDEX(tblPlanPrem[EP],4)
*tblBaseCF[[#This Row],[TPTermFlag]]</f>
        <v>0</v>
      </c>
      <c r="DL95" s="63">
        <f ca="1">ROUNDUP(tblBaseCF[[#This Row],[UnroundedEMLoad]]*INDEX(tblPlanPrem[Factor],4),-3)</f>
        <v>0</v>
      </c>
      <c r="DM95" s="63">
        <f ca="1">ROUNDUP(tblBaseCF[[#This Row],[UnroundedPMLoad]]*INDEX(tblPlanPrem[Factor],4),-3)</f>
        <v>0</v>
      </c>
      <c r="DN95" s="60">
        <f ca="1">tblBaseCF[[#This Row],[MonthlyEMLoad]]+tblBaseCF[[#This Row],[MonthlyPMLoad]]</f>
        <v>0</v>
      </c>
      <c r="DO95" s="63">
        <f ca="1">tblBaseCF[[#This Row],[MonthlyTP]]+tblBaseCF[[#This Row],[MonthlyEP]]+tblBaseCF[[#This Row],[MonthlyLoad]]</f>
        <v>0</v>
      </c>
      <c r="DP95" s="3"/>
      <c r="DS95">
        <f t="shared" si="11"/>
        <v>0</v>
      </c>
      <c r="DT95">
        <f t="shared" si="12"/>
        <v>0</v>
      </c>
      <c r="DU95">
        <f t="shared" si="13"/>
        <v>0</v>
      </c>
      <c r="DV95">
        <f ca="1">tblBaseCF[[#This Row],[Year]]</f>
        <v>75</v>
      </c>
      <c r="DW95">
        <f ca="1">tblBaseCF[[#This Row],[Age]]</f>
        <v>74</v>
      </c>
      <c r="DX95">
        <f ca="1">tblBaseCF[[#This Row],[ContFlag]]</f>
        <v>0</v>
      </c>
      <c r="DY95" t="str">
        <f ca="1">tblBaseCF[[#This Row],[ContLog]]</f>
        <v>Insufficient PAV for deduction - Discontinue.</v>
      </c>
      <c r="DZ95">
        <f ca="1">tblBaseCF[[#This Row],[StartTAV]]</f>
        <v>0</v>
      </c>
      <c r="EA95">
        <f ca="1">tblBaseCF[[#This Row],[StartEAV]]</f>
        <v>0</v>
      </c>
      <c r="EB95">
        <f ca="1">tblBaseCF[[#This Row],[StartPAV]]</f>
        <v>0</v>
      </c>
      <c r="EC95">
        <f ca="1">tblBaseCF[[#This Row],[SVChrg]]</f>
        <v>0</v>
      </c>
      <c r="ED95">
        <f ca="1">tblBaseCF[[#This Row],[SV]]</f>
        <v>0</v>
      </c>
      <c r="EE95">
        <f ca="1">tblBaseCF[[#This Row],[Ben]]</f>
        <v>0</v>
      </c>
      <c r="EF95">
        <f ca="1">tblBaseCF[[#This Row],[AccBen]]</f>
        <v>0</v>
      </c>
      <c r="EG95">
        <f ca="1">tblBaseCF[[#This Row],[WithdrawalInput]]</f>
        <v>0</v>
      </c>
      <c r="EH95" t="str">
        <f ca="1">tblBaseCF[[#This Row],[WithdrawalLog]]</f>
        <v>No withdrawal.</v>
      </c>
      <c r="EI95">
        <f ca="1">tblBaseCF[[#This Row],[TAVWithdrawal]]</f>
        <v>0</v>
      </c>
      <c r="EJ95">
        <f ca="1">tblBaseCF[[#This Row],[EAVWithdrawal]]</f>
        <v>0</v>
      </c>
      <c r="EK95">
        <f ca="1">tblBaseCF[[#This Row],[Withdrawal]]</f>
        <v>0</v>
      </c>
      <c r="EL95">
        <f ca="1">tblBaseCF[[#This Row],[TP]]</f>
        <v>0</v>
      </c>
      <c r="EM95">
        <f ca="1">tblBaseCF[[#This Row],[TPAllocChrg]]</f>
        <v>0</v>
      </c>
      <c r="EN95">
        <f ca="1">tblBaseCF[[#This Row],[TPAlloc]]</f>
        <v>0</v>
      </c>
      <c r="EO95">
        <f ca="1">tblBaseCF[[#This Row],[EP]]</f>
        <v>0</v>
      </c>
      <c r="EP95">
        <f ca="1">tblBaseCF[[#This Row],[EPAllocChrg]]</f>
        <v>0</v>
      </c>
      <c r="EQ95">
        <f ca="1">tblBaseCF[[#This Row],[EPAlloc]]</f>
        <v>0</v>
      </c>
      <c r="ER95">
        <f ca="1">tblBaseCF[[#This Row],[EMLoad]]</f>
        <v>0</v>
      </c>
      <c r="ES95">
        <f ca="1">tblBaseCF[[#This Row],[PMLoad]]</f>
        <v>0</v>
      </c>
      <c r="ET95">
        <f ca="1">tblBaseCF[[#This Row],[Load]]</f>
        <v>0</v>
      </c>
      <c r="EU95">
        <f ca="1">tblBaseCF[[#This Row],[LoadAllocChrg]]</f>
        <v>0</v>
      </c>
      <c r="EV95">
        <f ca="1">tblBaseCF[[#This Row],[LoadAlloc]]</f>
        <v>0</v>
      </c>
      <c r="EW95">
        <f ca="1">tblBaseCF[[#This Row],[TotalPrem]]</f>
        <v>0</v>
      </c>
      <c r="EX95">
        <f ca="1">tblBaseCF[[#This Row],[AllocChrg]]</f>
        <v>0</v>
      </c>
      <c r="EY95">
        <f ca="1">tblBaseCF[[#This Row],[Alloc]]</f>
        <v>0</v>
      </c>
      <c r="EZ95">
        <f ca="1">tblBaseCF[[#This Row],[AccumTotalPrem]]</f>
        <v>0</v>
      </c>
      <c r="FA95">
        <f>tblBaseCF[[#This Row],[AnnualIntRate]]</f>
        <v>0</v>
      </c>
      <c r="FB95" s="50">
        <f>tblBaseCF[[#This Row],[Duean1m12]]</f>
        <v>1</v>
      </c>
      <c r="FC95">
        <f ca="1">tblBaseCF[[#This Row],[DeductFlag]]</f>
        <v>0</v>
      </c>
      <c r="FD95">
        <f ca="1">tblBaseCF[[#This Row],[AdminChrg]]</f>
        <v>0</v>
      </c>
      <c r="FE95">
        <f ca="1">tblBaseCF[[#This Row],[StandardCOI]]</f>
        <v>0</v>
      </c>
      <c r="FF95">
        <f ca="1">tblBaseCF[[#This Row],[EMLoadCOI]]</f>
        <v>0</v>
      </c>
      <c r="FG95">
        <f ca="1">tblBaseCF[[#This Row],[PMLoadCOI]]</f>
        <v>0</v>
      </c>
      <c r="FH95">
        <f ca="1">tblBaseCF[[#This Row],[COI]]</f>
        <v>0</v>
      </c>
      <c r="FI95" s="47">
        <f ca="1">tblBaseCF[[#This Row],[NomDeduct]]</f>
        <v>0</v>
      </c>
      <c r="FJ95">
        <f ca="1">tblBaseCF[[#This Row],[Deduct]]</f>
        <v>0</v>
      </c>
      <c r="FK95">
        <f ca="1">tblBaseCF[[#This Row],[TAVDeduct]]</f>
        <v>0</v>
      </c>
      <c r="FL95">
        <f ca="1">tblBaseCF[[#This Row],[EAVDeduct]]</f>
        <v>0</v>
      </c>
      <c r="FM95" s="24">
        <f ca="1">tblBaseCF[[#This Row],[TAVInt]]</f>
        <v>0</v>
      </c>
      <c r="FN95">
        <f ca="1">tblBaseCF[[#This Row],[EAVInt]]</f>
        <v>0</v>
      </c>
      <c r="FO95" s="47">
        <f ca="1">tblBaseCF[[#This Row],[LB]]</f>
        <v>0</v>
      </c>
      <c r="FP95">
        <f ca="1">tblBaseCF[[#This Row],[SB]]</f>
        <v>0</v>
      </c>
      <c r="FQ95">
        <f ca="1">tblBaseCF[[#This Row],[Bonus]]</f>
        <v>0</v>
      </c>
      <c r="FR95">
        <f ca="1">tblBaseCF[[#This Row],[EndTAV]]</f>
        <v>0</v>
      </c>
      <c r="FS95">
        <f ca="1">tblBaseCF[[#This Row],[EndEAV]]</f>
        <v>0</v>
      </c>
      <c r="FT95">
        <f ca="1">tblBaseCF[[#This Row],[EndPAV]]</f>
        <v>0</v>
      </c>
      <c r="FU95">
        <f ca="1">tblBaseCF[[#This Row],[SemiAnnualTP]]</f>
        <v>0</v>
      </c>
      <c r="FV95">
        <f ca="1">tblBaseCF[[#This Row],[SemiAnnualEP]]</f>
        <v>0</v>
      </c>
      <c r="FW95">
        <f ca="1">tblBaseCF[[#This Row],[SemiAnnualEMLoad]]</f>
        <v>0</v>
      </c>
      <c r="FX95">
        <f ca="1">tblBaseCF[[#This Row],[SemiAnnualPMLoad]]</f>
        <v>0</v>
      </c>
      <c r="FY95">
        <f ca="1">tblBaseCF[[#This Row],[SemiAnnualLoad]]</f>
        <v>0</v>
      </c>
      <c r="FZ95">
        <f ca="1">tblBaseCF[[#This Row],[SemiAnnualTotalPrem]]</f>
        <v>0</v>
      </c>
      <c r="GA95">
        <f ca="1">tblBaseCF[[#This Row],[QuarterlyTP]]</f>
        <v>0</v>
      </c>
      <c r="GB95">
        <f ca="1">tblBaseCF[[#This Row],[QuarterlyEP]]</f>
        <v>0</v>
      </c>
      <c r="GC95">
        <f ca="1">tblBaseCF[[#This Row],[QuarterlyEMLoad]]</f>
        <v>0</v>
      </c>
      <c r="GD95">
        <f ca="1">tblBaseCF[[#This Row],[QuarterlyPMLoad]]</f>
        <v>0</v>
      </c>
      <c r="GE95">
        <f ca="1">tblBaseCF[[#This Row],[QuarterlyLoad]]</f>
        <v>0</v>
      </c>
      <c r="GF95">
        <f ca="1">tblBaseCF[[#This Row],[QuarterlyTotalPrem]]</f>
        <v>0</v>
      </c>
      <c r="GG95">
        <f ca="1">tblBaseCF[[#This Row],[MonthlyTP]]</f>
        <v>0</v>
      </c>
      <c r="GH95">
        <f ca="1">tblBaseCF[[#This Row],[MonthlyEP]]</f>
        <v>0</v>
      </c>
      <c r="GI95">
        <f ca="1">tblBaseCF[[#This Row],[MonthlyEMLoad]]</f>
        <v>0</v>
      </c>
      <c r="GJ95">
        <f ca="1">tblBaseCF[[#This Row],[MonthlyPMLoad]]</f>
        <v>0</v>
      </c>
      <c r="GK95">
        <f ca="1">tblBaseCF[[#This Row],[MonthlyLoad]]</f>
        <v>0</v>
      </c>
      <c r="GL95">
        <f ca="1">tblBaseCF[[#This Row],[MonthlyTotalPrem]]</f>
        <v>0</v>
      </c>
      <c r="GO95" t="s">
        <v>134</v>
      </c>
      <c r="GP95" t="s">
        <v>135</v>
      </c>
      <c r="GQ95" t="s">
        <v>502</v>
      </c>
      <c r="GR95">
        <v>75</v>
      </c>
      <c r="GS95">
        <v>74</v>
      </c>
      <c r="GT95">
        <v>1</v>
      </c>
      <c r="GU95" t="s">
        <v>457</v>
      </c>
      <c r="GV95">
        <v>708323833.25173295</v>
      </c>
      <c r="GW95">
        <v>6202119725.4581203</v>
      </c>
      <c r="GX95">
        <v>6910443558.7098503</v>
      </c>
      <c r="GY95">
        <v>0</v>
      </c>
      <c r="GZ95">
        <v>6910443558.7098503</v>
      </c>
      <c r="HA95">
        <v>6910443558.7098503</v>
      </c>
      <c r="HB95">
        <v>0</v>
      </c>
      <c r="HC95">
        <v>0</v>
      </c>
      <c r="HD95" t="s">
        <v>137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7.0000000000000007E-2</v>
      </c>
      <c r="HX95">
        <v>0.96964931039809399</v>
      </c>
      <c r="HY95">
        <v>1</v>
      </c>
      <c r="HZ95">
        <v>300000</v>
      </c>
      <c r="IA95">
        <v>0</v>
      </c>
      <c r="IB95">
        <v>0</v>
      </c>
      <c r="IC95">
        <v>0</v>
      </c>
      <c r="ID95">
        <v>0</v>
      </c>
      <c r="IE95">
        <v>300000</v>
      </c>
      <c r="IF95">
        <v>290894.79311942798</v>
      </c>
      <c r="IG95">
        <v>290894.79311942798</v>
      </c>
      <c r="IH95">
        <v>0</v>
      </c>
      <c r="II95">
        <v>49562305.692102902</v>
      </c>
      <c r="IJ95">
        <v>434148380.78206801</v>
      </c>
      <c r="IK95">
        <v>0</v>
      </c>
      <c r="IL95">
        <v>0</v>
      </c>
      <c r="IM95">
        <v>0</v>
      </c>
      <c r="IN95">
        <v>757595244.15071595</v>
      </c>
      <c r="IO95">
        <v>6636268106.24018</v>
      </c>
      <c r="IP95">
        <v>7393863350.3908997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</row>
    <row r="96" spans="2:268" customFormat="1" x14ac:dyDescent="0.25">
      <c r="B96" s="2">
        <f ca="1">OFFSET(tblBaseCF[[#This Row],[Year]],-1,0)+1</f>
        <v>76</v>
      </c>
      <c r="C96" s="2">
        <f ca="1">(tblBaseCF[[#This Row],[Year]]&lt;=term)*1</f>
        <v>1</v>
      </c>
      <c r="D96" s="57">
        <f ca="1">(YEAR(rcd)+tblBaseCF[[#This Row],[Year]]-1)
*tblBaseCF[[#This Row],[PolTermFlag]]</f>
        <v>2100</v>
      </c>
      <c r="E96" s="57">
        <f ca="1">(mainLI_entry_age+tblBaseCF[[#This Row],[Year]]-1)
*tblBaseCF[[#This Row],[PolTermFlag]]</f>
        <v>75</v>
      </c>
      <c r="F96" s="57">
        <f ca="1">IF(tblBaseCF[[#This Row],[Year]]=1,1,OFFSET(tblBaseCF[[#This Row],[DeductFlag]],-1,0))
*tblBaseCF[[#This Row],[PolTermFlag]]</f>
        <v>0</v>
      </c>
      <c r="G9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6" s="57">
        <f ca="1">(tblBaseCF[[#This Row],[Year]]&lt;=acc_ben_term)
*tblBaseCF[[#This Row],[ContFlag]]</f>
        <v>0</v>
      </c>
      <c r="I96" s="57">
        <f ca="1">(tblBaseCF[[#This Row],[Year]]&lt;=tp_term)
*tblBaseCF[[#This Row],[ContFlag]]</f>
        <v>0</v>
      </c>
      <c r="J96" s="57">
        <f ca="1">(tblBaseCF[[#This Row],[Year]]&lt;=ep_term)
*tblBaseCF[[#This Row],[ContFlag]]</f>
        <v>0</v>
      </c>
      <c r="K96" s="57">
        <f ca="1">(tblBaseCF[[#This Row],[Year]]&lt;=em_load_term)*1</f>
        <v>0</v>
      </c>
      <c r="L96" s="57">
        <f ca="1">(tblBaseCF[[#This Row],[Year]]&lt;=pm_load_term)*1</f>
        <v>0</v>
      </c>
      <c r="M96" s="59">
        <f ca="1">IF(tblBaseCF[[#This Row],[Year]]=1,si,OFFSET(tblBaseCF[[#This Row],[EndSI]],-1,0))
*tblBaseCF[[#This Row],[ContFlag]]</f>
        <v>0</v>
      </c>
      <c r="N96" s="59">
        <f ca="1">OFFSET(tblBaseCF[[#This Row],[EndTAV]],-1,0)
*tblBaseCF[[#This Row],[ContFlag]]</f>
        <v>0</v>
      </c>
      <c r="O96" s="59">
        <f ca="1">OFFSET(tblBaseCF[[#This Row],[EndEAV]],-1,0)
*tblBaseCF[[#This Row],[ContFlag]]</f>
        <v>0</v>
      </c>
      <c r="P96" s="60">
        <f ca="1">tblBaseCF[[#This Row],[StartEAV]]+tblBaseCF[[#This Row],[StartTAV]]</f>
        <v>0</v>
      </c>
      <c r="Q96" s="61">
        <f ca="1">IFERROR(INDEX(tblJuvenileLienRate[Rate],MATCH(tblBaseCF[[#This Row],[Age]],tblJuvenileLienRate[Age],0)),1)
*tblBaseCF[[#This Row],[ContFlag]]</f>
        <v>0</v>
      </c>
      <c r="R9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6" s="62">
        <f ca="1">tblBaseCF[[#This Row],[StartSI]]*acc_ben_coeff*tblBaseCF[[#This Row],[JuvenileLienRate]]
*tblBaseCF[[#This Row],[AccBenTermFlag]]</f>
        <v>0</v>
      </c>
      <c r="T96" s="61">
        <f ca="1">(IFERROR(INDEX(tblSurrChrgRate[Rate],MATCH(tblBaseCF[[#This Row],[Year]],tblSurrChrgRate[Year],0)),0)
*tblBaseCF[[#This Row],[ContFlag]])</f>
        <v>0</v>
      </c>
      <c r="U96" s="60">
        <f ca="1">tp*tblBaseCF[[#This Row],[SrrChrgRate]]</f>
        <v>0</v>
      </c>
      <c r="V96" s="63">
        <f ca="1">MAX(tblBaseCF[[#This Row],[StartTAV]]-tblBaseCF[[#This Row],[SVChrg]],0)+tblBaseCF[[#This Row],[StartEAV]]</f>
        <v>0</v>
      </c>
      <c r="W96" s="59">
        <f ca="1">IFERROR(INDEX(tblWithdrawal_Output[Amount],MATCH(tblBaseCF[[#This Row],[Year]],tblWithdrawal_Output[Year],0)),0)
*tblBaseCF[[#This Row],[ContFlag]]</f>
        <v>0</v>
      </c>
      <c r="X96" s="59" t="b">
        <f ca="1">tblBaseCF[[#This Row],[WithdrawalInput]]&gt;0</f>
        <v>0</v>
      </c>
      <c r="Y96" s="59" t="b">
        <f ca="1">AND(tblBaseCF[[#This Row],[1stCheckProceed]],tblBaseCF[[#This Row],[WithdrawalInput]]&lt;=tblBaseCF[[#This Row],[StartPAV]])</f>
        <v>0</v>
      </c>
      <c r="Z96" s="59" t="b">
        <f ca="1">AND(tblBaseCF[[#This Row],[2ndCheckAmount]],(tblBaseCF[[#This Row],[StartPAV]]-tblBaseCF[[#This Row],[WithdrawalInput]])&gt;=min_pav_after_withdrawal)</f>
        <v>0</v>
      </c>
      <c r="AA9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6" s="59" t="b">
        <f ca="1">AND(tblBaseCF[[#This Row],[3rdCheckPAV]],tblBaseCF[[#This Row],[endSITest]]&gt;=min_base_si)</f>
        <v>0</v>
      </c>
      <c r="AC96" s="60">
        <f ca="1">tblBaseCF[[#This Row],[WithdrawalInput]]*tblBaseCF[[#This Row],[4thCheckSI]]</f>
        <v>0</v>
      </c>
      <c r="AD96" s="60">
        <f ca="1">MIN(tblBaseCF[[#This Row],[Withdrawal]],tblBaseCF[[#This Row],[StartEAV]])</f>
        <v>0</v>
      </c>
      <c r="AE96" s="60">
        <f ca="1">tblBaseCF[[#This Row],[Withdrawal]]-tblBaseCF[[#This Row],[EAVWithdrawal]]</f>
        <v>0</v>
      </c>
      <c r="AF96" s="60">
        <f ca="1">IF(tblBaseCF[[#This Row],[4thCheckSI]],tblBaseCF[[#This Row],[endSITest]],tblBaseCF[[#This Row],[StartSI]])</f>
        <v>0</v>
      </c>
      <c r="AG9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6" s="65">
        <f ca="1">IFERROR(INDEX(tblTPAllocChrgRate[Rate],MATCH(tblBaseCF[[#This Row],[Year]],tblTPAllocChrgRate[Year],0)),0)</f>
        <v>0.02</v>
      </c>
      <c r="AI96" s="62">
        <f ca="1">(tp+big_case_bonus_tp*(tblBaseCF[[#This Row],[Year]]=1))
*tblBaseCF[[#This Row],[TPTermFlag]]</f>
        <v>0</v>
      </c>
      <c r="AJ96" s="63">
        <f ca="1">tblBaseCF[[#This Row],[TP]]*tblBaseCF[[#This Row],[TPAllocChrgRate]]</f>
        <v>0</v>
      </c>
      <c r="AK96" s="60">
        <f ca="1">tblBaseCF[[#This Row],[TP]]-tblBaseCF[[#This Row],[TPAllocChrg]]</f>
        <v>0</v>
      </c>
      <c r="AL96" s="65">
        <f ca="1">IFERROR(INDEX(tblEPAllocChrgRate[Rate],MATCH(tblBaseCF[[#This Row],[Year]],tblEPAllocChrgRate[Year],0)),0)</f>
        <v>0.02</v>
      </c>
      <c r="AM96" s="60">
        <f ca="1">ep*tblBaseCF[[#This Row],[EPTermFlag]]</f>
        <v>0</v>
      </c>
      <c r="AN96" s="60">
        <f ca="1">tblBaseCF[[#This Row],[EP]]*tblBaseCF[[#This Row],[EPAllocChrgRate]]</f>
        <v>0</v>
      </c>
      <c r="AO96" s="63">
        <f ca="1">tblBaseCF[[#This Row],[EP]]-tblBaseCF[[#This Row],[EPAllocChrg]]</f>
        <v>0</v>
      </c>
      <c r="AP96" s="62">
        <f ca="1">tblBaseCF[[#This Row],[Ben]]*extra_prem_rate*em_load/1000/(1-tblBaseCF[[#This Row],[EPAllocChrgRate]])
*tblBaseCF[[#This Row],[EMLoadTermFlag]]</f>
        <v>0</v>
      </c>
      <c r="AQ96" s="62">
        <f ca="1">tblBaseCF[[#This Row],[Ben]]*pm_load/1000/(1-tblBaseCF[[#This Row],[EPAllocChrgRate]])
*tblBaseCF[[#This Row],[PMLoadTermFlag]]</f>
        <v>0</v>
      </c>
      <c r="AR96" s="60">
        <f ca="1">ROUNDUP(tblBaseCF[[#This Row],[UnroundedEMLoad]],-3)</f>
        <v>0</v>
      </c>
      <c r="AS96" s="62">
        <f ca="1">ROUNDUP(tblBaseCF[[#This Row],[Ben]]*pm_load/1000/(1-tblBaseCF[[#This Row],[EPAllocChrgRate]]),-3)
*tblBaseCF[[#This Row],[PMLoadTermFlag]]</f>
        <v>0</v>
      </c>
      <c r="AT96" s="60">
        <f ca="1">tblBaseCF[[#This Row],[EMLoad]]+tblBaseCF[[#This Row],[PMLoad]]</f>
        <v>0</v>
      </c>
      <c r="AU96" s="60">
        <f ca="1">tblBaseCF[[#This Row],[Load]]*tblBaseCF[[#This Row],[EPAllocChrgRate]]</f>
        <v>0</v>
      </c>
      <c r="AV96" s="60">
        <f ca="1">tblBaseCF[[#This Row],[Load]]-tblBaseCF[[#This Row],[LoadAllocChrg]]</f>
        <v>0</v>
      </c>
      <c r="AW96" s="60">
        <f ca="1">tblBaseCF[[#This Row],[TP]]+tblBaseCF[[#This Row],[EP]]+tblBaseCF[[#This Row],[Load]]</f>
        <v>0</v>
      </c>
      <c r="AX96" s="60">
        <f ca="1">tblBaseCF[[#This Row],[TPAllocChrg]]+tblBaseCF[[#This Row],[EPAllocChrg]]+tblBaseCF[[#This Row],[LoadAllocChrg]]</f>
        <v>0</v>
      </c>
      <c r="AY96" s="60">
        <f ca="1">tblBaseCF[[#This Row],[TPAlloc]]+tblBaseCF[[#This Row],[EPAlloc]]+tblBaseCF[[#This Row],[LoadAlloc]]</f>
        <v>0</v>
      </c>
      <c r="AZ96" s="60">
        <f ca="1">(OFFSET(tblBaseCF[[#This Row],[AccumTotalPrem]],-1,0)+tblBaseCF[[#This Row],[TotalPrem]])*tblBaseCF[[#This Row],[TPTermFlag]]</f>
        <v>0</v>
      </c>
      <c r="BA96" s="62">
        <f ca="1">(tblBaseCF[[#This Row],[StartTAV]]-tblBaseCF[[#This Row],[TAVWithdrawal]]+tblBaseCF[[#This Row],[TPAlloc]])
*tblBaseCF[[#This Row],[ContFlag]]</f>
        <v>0</v>
      </c>
      <c r="BB96" s="59">
        <f ca="1">(tblBaseCF[[#This Row],[StartEAV]]-tblBaseCF[[#This Row],[EAVWithdrawal]]+tblBaseCF[[#This Row],[EPAlloc]]+tblBaseCF[[#This Row],[LoadAlloc]])
*tblBaseCF[[#This Row],[ContFlag]]</f>
        <v>0</v>
      </c>
      <c r="BC96" s="59">
        <f ca="1">tblBaseCF[[#This Row],[TAVAfterWdrlAlloc]]+tblBaseCF[[#This Row],[EAVAfterWdrlAlloc]]</f>
        <v>0</v>
      </c>
      <c r="BD96" s="66">
        <f t="shared" si="10"/>
        <v>0</v>
      </c>
      <c r="BE96" s="67">
        <f>(1+tblBaseCF[[#This Row],[AnnualIntRate]])^(1/12)-1</f>
        <v>0</v>
      </c>
      <c r="BF96" s="68">
        <f>IFERROR(((1+tblBaseCF[[#This Row],[MonthlyIntRate]])^12-1)/12/(1-1/(1+tblBaseCF[[#This Row],[MonthlyIntRate]])),1)/(1+tblBaseCF[[#This Row],[AnnualIntRate]])</f>
        <v>1</v>
      </c>
      <c r="BG96" s="69">
        <f>PV(tblBaseCF[[#This Row],[MonthlyIntRate]],12,-1/12,,1)</f>
        <v>1</v>
      </c>
      <c r="BH96" s="60">
        <f ca="1">MAX(IF(death_tpd_option="A",tblBaseCF[[#This Row],[Ben]]-tblBaseCF[[#This Row],[StartPAV]],tblBaseCF[[#This Row],[Ben]]),0)</f>
        <v>0</v>
      </c>
      <c r="BI96" s="70">
        <f ca="1">IFERROR(INDEX(tblBaseCOIRate[Rate],MATCH(tblBaseCF[[#This Row],[Age]],tblBaseCOIRate[Age],0)),0)</f>
        <v>4.0559999999999999E-2</v>
      </c>
      <c r="BJ96" s="60">
        <f ca="1">tblBaseCF[[#This Row],[SAR]]*tblBaseCF[[#This Row],[COIRate]]</f>
        <v>0</v>
      </c>
      <c r="BK96" s="62">
        <f ca="1">em_load*tblBaseCF[[#This Row],[pStandardCOI]]
*tblBaseCF[[#This Row],[EMLoadTermFlag]]</f>
        <v>0</v>
      </c>
      <c r="BL96" s="62">
        <f ca="1">pm_load/1000*tblBaseCF[[#This Row],[SAR]]
*tblBaseCF[[#This Row],[PMLoadTermFlag]]</f>
        <v>0</v>
      </c>
      <c r="BM96" s="60">
        <f ca="1">tblBaseCF[[#This Row],[AccBen]]*monthly_acc_coi*12</f>
        <v>0</v>
      </c>
      <c r="BN96" s="60">
        <f ca="1">tblBaseCF[[#This Row],[pStandardCOI]]+tblBaseCF[[#This Row],[pEMLoadCOI]]+tblBaseCF[[#This Row],[pPMLoadCOI]]+tblBaseCF[[#This Row],[pAccCOI]]</f>
        <v>0</v>
      </c>
      <c r="BO96" s="62">
        <f ca="1">IFERROR(INDEX(tblAdminChrg[Amount],MATCH(tblBaseCF[[#This Row],[CalYear]],tblAdminChrg[Cal_Year],0)),0)
*tblBaseCF[[#This Row],[ContFlag]]</f>
        <v>0</v>
      </c>
      <c r="BP96" s="60">
        <f ca="1">tblBaseCF[[#This Row],[pMonthlyAdminChrg]]*12</f>
        <v>0</v>
      </c>
      <c r="BQ96" s="60">
        <f ca="1">tblBaseCF[[#This Row],[pCOI]]+tblBaseCF[[#This Row],[pAdminChrg]]</f>
        <v>0</v>
      </c>
      <c r="BR96" s="60">
        <f ca="1">tblBaseCF[[#This Row],[pNomDeduct]]*tblBaseCF[[#This Row],[Duean1m12]]</f>
        <v>0</v>
      </c>
      <c r="BS96" s="57">
        <f ca="1">(tblBaseCF[[#This Row],[PAVAfterWdrlAlloc]]&gt;=tblBaseCF[[#This Row],[pNomDeduct]])
*tblBaseCF[[#This Row],[ContFlag]]</f>
        <v>0</v>
      </c>
      <c r="BT96" s="60">
        <f ca="1">tblBaseCF[[#This Row],[pStandardCOI]]*tblBaseCF[[#This Row],[DeductFlag]]</f>
        <v>0</v>
      </c>
      <c r="BU96" s="60">
        <f ca="1">tblBaseCF[[#This Row],[pEMLoadCOI]]*tblBaseCF[[#This Row],[DeductFlag]]</f>
        <v>0</v>
      </c>
      <c r="BV96" s="60">
        <f ca="1">tblBaseCF[[#This Row],[pPMLoadCOI]]*tblBaseCF[[#This Row],[DeductFlag]]</f>
        <v>0</v>
      </c>
      <c r="BW96" s="60">
        <f ca="1">tblBaseCF[[#This Row],[pAccCOI]]*tblBaseCF[[#This Row],[DeductFlag]]</f>
        <v>0</v>
      </c>
      <c r="BX96" s="60">
        <f ca="1">tblBaseCF[[#This Row],[pCOI]]*tblBaseCF[[#This Row],[DeductFlag]]</f>
        <v>0</v>
      </c>
      <c r="BY96" s="60">
        <f ca="1">tblBaseCF[[#This Row],[pMonthlyAdminChrg]]*tblBaseCF[[#This Row],[DeductFlag]]</f>
        <v>0</v>
      </c>
      <c r="BZ96" s="60">
        <f ca="1">tblBaseCF[[#This Row],[pAdminChrg]]*tblBaseCF[[#This Row],[DeductFlag]]</f>
        <v>0</v>
      </c>
      <c r="CA96" s="60">
        <f ca="1">tblBaseCF[[#This Row],[pNomDeduct]]*tblBaseCF[[#This Row],[DeductFlag]]</f>
        <v>0</v>
      </c>
      <c r="CB96" s="60">
        <f ca="1">tblBaseCF[[#This Row],[pDeduct]]*tblBaseCF[[#This Row],[DeductFlag]]</f>
        <v>0</v>
      </c>
      <c r="CC96" s="60">
        <f ca="1">MIN(tblBaseCF[[#This Row],[TAVAfterWdrlAlloc]],tblBaseCF[[#This Row],[Deduct]])</f>
        <v>0</v>
      </c>
      <c r="CD96" s="60">
        <f ca="1">tblBaseCF[[#This Row],[Deduct]]-tblBaseCF[[#This Row],[TAVDeduct]]</f>
        <v>0</v>
      </c>
      <c r="CE96" s="69">
        <f ca="1">(tblBaseCF[[#This Row],[TAVAfterWdrlAlloc]]-tblBaseCF[[#This Row],[TAVDeduct]])*tblBaseCF[[#This Row],[AnnualIntRate]]
*tblBaseCF[[#This Row],[DeductFlag]]</f>
        <v>0</v>
      </c>
      <c r="CF96" s="69">
        <f ca="1">(tblBaseCF[[#This Row],[EAVAfterWdrlAlloc]]-tblBaseCF[[#This Row],[EAVDeduct]])*tblBaseCF[[#This Row],[AnnualIntRate]]
*tblBaseCF[[#This Row],[DeductFlag]]</f>
        <v>0</v>
      </c>
      <c r="CG96" s="69">
        <f ca="1">tblBaseCF[[#This Row],[TAVInt]]+tblBaseCF[[#This Row],[EAVInt]]</f>
        <v>0</v>
      </c>
      <c r="CH96" s="62">
        <f ca="1">IFERROR(INDEX(tblLBRate[Rate],MATCH(tblBaseCF[[#This Row],[Year]],tblLBRate[Year],0)),0)
*tblBaseCF[[#This Row],[DeductFlag]]</f>
        <v>0</v>
      </c>
      <c r="CI96" s="60">
        <f ca="1">IFERROR(SUM(OFFSET(tblBaseCF[[#This Row],[TAVWithdrawal]],0,0,-lb_review_period,1)),0)
*(tblBaseCF[[#This Row],[LBRate]]&gt;0)</f>
        <v>0</v>
      </c>
      <c r="CJ96" s="60">
        <f ca="1">(tblBaseCF[[#This Row],[LBRate]]&gt;0)*(tblBaseCF[[#This Row],[LBTAVWithdrawal]]=0)</f>
        <v>0</v>
      </c>
      <c r="CK96" s="62" cm="1">
        <f t="array" aca="1" ref="CK96" ca="1">IF(tblBaseCF[[#This Row],[LBFlag]],
_xlfn.SWITCH(base,
"ILP1",AVERAGE(OFFSET(tblBaseCF[TP],0,0,-lb_review_period,1)),tp),0)
*tblBaseCF[[#This Row],[LBFlag]]</f>
        <v>0</v>
      </c>
      <c r="CL96" s="62">
        <f ca="1">tblBaseCF[[#This Row],[LBBasis]]*tblBaseCF[[#This Row],[LBRate]]</f>
        <v>0</v>
      </c>
      <c r="CM96" s="57" cm="1">
        <f t="array" aca="1" ref="CM96" ca="1">_xlfn.SWITCH(base,
"ILP1",0,($AF196&lt;500000000)*1
+($AF196&gt;=500000000)*($AF196&lt;1000000000)*2
+($AF196&gt;=1000000000)*3)
*tblBaseCF[[#This Row],[DeductFlag]]</f>
        <v>0</v>
      </c>
      <c r="CN96" s="2" t="str">
        <f ca="1">IF(tblBaseCF[[#This Row],[DeductFlag]],base&amp;"_"&amp;tblBaseCF[[#This Row],[SBCode]]&amp;"_"&amp;tblBaseCF[[#This Row],[Year]],"")</f>
        <v/>
      </c>
      <c r="CO96" s="3">
        <f ca="1">IFERROR(INDEX(tblSBRate[Index],MATCH(tblBaseCF[[#This Row],[SBIndex]],tblSBRate[Rate],0)),0)</f>
        <v>0</v>
      </c>
      <c r="CP96" s="63">
        <f ca="1">IFERROR(SUM(OFFSET(tblBaseCF[[#This Row],[TAVWithdrawal]],0,0,-sb_review_period,1)),0)
*(tblBaseCF[[#This Row],[SBRate]]&gt;0)</f>
        <v>0</v>
      </c>
      <c r="CQ96" s="63">
        <f ca="1">(tblBaseCF[[#This Row],[SBRate]]&gt;0)*(tblBaseCF[[#This Row],[SBTAVWithdrawal]]=0)</f>
        <v>0</v>
      </c>
      <c r="CR96" s="59" cm="1">
        <f t="array" aca="1" ref="CR96" ca="1">IF(tblBaseCF[[#This Row],[LBFlag]],
_xlfn.SWITCH(base,
"ILP1",0,tp),0)*tblBaseCF[[#This Row],[SBFlag]]</f>
        <v>0</v>
      </c>
      <c r="CS96" s="63">
        <f ca="1">tblBaseCF[[#This Row],[SBBasis]]*tblBaseCF[[#This Row],[SBRate]]</f>
        <v>0</v>
      </c>
      <c r="CT96" s="63">
        <f ca="1">tblBaseCF[[#This Row],[LB]]+tblBaseCF[[#This Row],[SB]]</f>
        <v>0</v>
      </c>
      <c r="CU96" s="59">
        <f ca="1">tblBaseCF[[#This Row],[TAVAfterWdrlAlloc]]-tblBaseCF[[#This Row],[TAVDeduct]]+tblBaseCF[[#This Row],[TAVInt]]+tblBaseCF[[#This Row],[Bonus]]</f>
        <v>0</v>
      </c>
      <c r="CV96" s="59">
        <f ca="1">tblBaseCF[[#This Row],[EAVAfterWdrlAlloc]]-tblBaseCF[[#This Row],[EAVDeduct]]+tblBaseCF[[#This Row],[EAVInt]]</f>
        <v>0</v>
      </c>
      <c r="CW96" s="63">
        <f ca="1">tblBaseCF[[#This Row],[EndTAV]]+tblBaseCF[[#This Row],[EndEAV]]</f>
        <v>0</v>
      </c>
      <c r="CX96" s="59">
        <f ca="1">INDEX(tblPlanPrem[TP],2)
*tblBaseCF[[#This Row],[TPTermFlag]]</f>
        <v>0</v>
      </c>
      <c r="CY96" s="59">
        <f ca="1">INDEX(tblPlanPrem[EP],2)
*tblBaseCF[[#This Row],[TPTermFlag]]</f>
        <v>0</v>
      </c>
      <c r="CZ96" s="63">
        <f ca="1">ROUNDUP(tblBaseCF[[#This Row],[UnroundedEMLoad]]*INDEX(tblPlanPrem[Factor],2),-3)</f>
        <v>0</v>
      </c>
      <c r="DA96" s="63">
        <f ca="1">ROUNDUP(tblBaseCF[[#This Row],[UnroundedPMLoad]]*INDEX(tblPlanPrem[Factor],2),-3)</f>
        <v>0</v>
      </c>
      <c r="DB96" s="63">
        <f ca="1">tblBaseCF[[#This Row],[SemiAnnualEMLoad]]+tblBaseCF[[#This Row],[SemiAnnualPMLoad]]</f>
        <v>0</v>
      </c>
      <c r="DC96" s="63">
        <f ca="1">tblBaseCF[[#This Row],[SemiAnnualTP]]+tblBaseCF[[#This Row],[SemiAnnualEP]]+tblBaseCF[[#This Row],[SemiAnnualLoad]]</f>
        <v>0</v>
      </c>
      <c r="DD96" s="59">
        <f ca="1">INDEX(tblPlanPrem[TP],3)
*tblBaseCF[[#This Row],[TPTermFlag]]</f>
        <v>0</v>
      </c>
      <c r="DE96" s="59">
        <f ca="1">INDEX(tblPlanPrem[EP],3)
*tblBaseCF[[#This Row],[TPTermFlag]]</f>
        <v>0</v>
      </c>
      <c r="DF96" s="63">
        <f ca="1">ROUNDUP(tblBaseCF[[#This Row],[UnroundedEMLoad]]*INDEX(tblPlanPrem[Factor],3),-3)</f>
        <v>0</v>
      </c>
      <c r="DG96" s="63">
        <f ca="1">ROUNDUP(tblBaseCF[[#This Row],[UnroundedPMLoad]]*INDEX(tblPlanPrem[Factor],3),-3)</f>
        <v>0</v>
      </c>
      <c r="DH96" s="60">
        <f ca="1">tblBaseCF[[#This Row],[QuarterlyEMLoad]]+tblBaseCF[[#This Row],[QuarterlyPMLoad]]</f>
        <v>0</v>
      </c>
      <c r="DI96" s="60">
        <f ca="1">tblBaseCF[[#This Row],[QuarterlyTP]]+tblBaseCF[[#This Row],[QuarterlyEP]]+tblBaseCF[[#This Row],[QuarterlyLoad]]</f>
        <v>0</v>
      </c>
      <c r="DJ96" s="59">
        <f ca="1">INDEX(tblPlanPrem[TP],4)
*tblBaseCF[[#This Row],[TPTermFlag]]</f>
        <v>0</v>
      </c>
      <c r="DK96" s="59">
        <f ca="1">INDEX(tblPlanPrem[EP],4)
*tblBaseCF[[#This Row],[TPTermFlag]]</f>
        <v>0</v>
      </c>
      <c r="DL96" s="63">
        <f ca="1">ROUNDUP(tblBaseCF[[#This Row],[UnroundedEMLoad]]*INDEX(tblPlanPrem[Factor],4),-3)</f>
        <v>0</v>
      </c>
      <c r="DM96" s="63">
        <f ca="1">ROUNDUP(tblBaseCF[[#This Row],[UnroundedPMLoad]]*INDEX(tblPlanPrem[Factor],4),-3)</f>
        <v>0</v>
      </c>
      <c r="DN96" s="60">
        <f ca="1">tblBaseCF[[#This Row],[MonthlyEMLoad]]+tblBaseCF[[#This Row],[MonthlyPMLoad]]</f>
        <v>0</v>
      </c>
      <c r="DO96" s="63">
        <f ca="1">tblBaseCF[[#This Row],[MonthlyTP]]+tblBaseCF[[#This Row],[MonthlyEP]]+tblBaseCF[[#This Row],[MonthlyLoad]]</f>
        <v>0</v>
      </c>
      <c r="DP96" s="3"/>
      <c r="DS96">
        <f t="shared" si="11"/>
        <v>0</v>
      </c>
      <c r="DT96">
        <f t="shared" si="12"/>
        <v>0</v>
      </c>
      <c r="DU96">
        <f t="shared" si="13"/>
        <v>0</v>
      </c>
      <c r="DV96">
        <f ca="1">tblBaseCF[[#This Row],[Year]]</f>
        <v>76</v>
      </c>
      <c r="DW96">
        <f ca="1">tblBaseCF[[#This Row],[Age]]</f>
        <v>75</v>
      </c>
      <c r="DX96">
        <f ca="1">tblBaseCF[[#This Row],[ContFlag]]</f>
        <v>0</v>
      </c>
      <c r="DY96" t="str">
        <f ca="1">tblBaseCF[[#This Row],[ContLog]]</f>
        <v>Insufficient PAV for deduction - Discontinue.</v>
      </c>
      <c r="DZ96">
        <f ca="1">tblBaseCF[[#This Row],[StartTAV]]</f>
        <v>0</v>
      </c>
      <c r="EA96">
        <f ca="1">tblBaseCF[[#This Row],[StartEAV]]</f>
        <v>0</v>
      </c>
      <c r="EB96">
        <f ca="1">tblBaseCF[[#This Row],[StartPAV]]</f>
        <v>0</v>
      </c>
      <c r="EC96">
        <f ca="1">tblBaseCF[[#This Row],[SVChrg]]</f>
        <v>0</v>
      </c>
      <c r="ED96">
        <f ca="1">tblBaseCF[[#This Row],[SV]]</f>
        <v>0</v>
      </c>
      <c r="EE96">
        <f ca="1">tblBaseCF[[#This Row],[Ben]]</f>
        <v>0</v>
      </c>
      <c r="EF96">
        <f ca="1">tblBaseCF[[#This Row],[AccBen]]</f>
        <v>0</v>
      </c>
      <c r="EG96">
        <f ca="1">tblBaseCF[[#This Row],[WithdrawalInput]]</f>
        <v>0</v>
      </c>
      <c r="EH96" t="str">
        <f ca="1">tblBaseCF[[#This Row],[WithdrawalLog]]</f>
        <v>No withdrawal.</v>
      </c>
      <c r="EI96">
        <f ca="1">tblBaseCF[[#This Row],[TAVWithdrawal]]</f>
        <v>0</v>
      </c>
      <c r="EJ96">
        <f ca="1">tblBaseCF[[#This Row],[EAVWithdrawal]]</f>
        <v>0</v>
      </c>
      <c r="EK96">
        <f ca="1">tblBaseCF[[#This Row],[Withdrawal]]</f>
        <v>0</v>
      </c>
      <c r="EL96">
        <f ca="1">tblBaseCF[[#This Row],[TP]]</f>
        <v>0</v>
      </c>
      <c r="EM96">
        <f ca="1">tblBaseCF[[#This Row],[TPAllocChrg]]</f>
        <v>0</v>
      </c>
      <c r="EN96">
        <f ca="1">tblBaseCF[[#This Row],[TPAlloc]]</f>
        <v>0</v>
      </c>
      <c r="EO96">
        <f ca="1">tblBaseCF[[#This Row],[EP]]</f>
        <v>0</v>
      </c>
      <c r="EP96">
        <f ca="1">tblBaseCF[[#This Row],[EPAllocChrg]]</f>
        <v>0</v>
      </c>
      <c r="EQ96">
        <f ca="1">tblBaseCF[[#This Row],[EPAlloc]]</f>
        <v>0</v>
      </c>
      <c r="ER96">
        <f ca="1">tblBaseCF[[#This Row],[EMLoad]]</f>
        <v>0</v>
      </c>
      <c r="ES96">
        <f ca="1">tblBaseCF[[#This Row],[PMLoad]]</f>
        <v>0</v>
      </c>
      <c r="ET96">
        <f ca="1">tblBaseCF[[#This Row],[Load]]</f>
        <v>0</v>
      </c>
      <c r="EU96">
        <f ca="1">tblBaseCF[[#This Row],[LoadAllocChrg]]</f>
        <v>0</v>
      </c>
      <c r="EV96">
        <f ca="1">tblBaseCF[[#This Row],[LoadAlloc]]</f>
        <v>0</v>
      </c>
      <c r="EW96">
        <f ca="1">tblBaseCF[[#This Row],[TotalPrem]]</f>
        <v>0</v>
      </c>
      <c r="EX96">
        <f ca="1">tblBaseCF[[#This Row],[AllocChrg]]</f>
        <v>0</v>
      </c>
      <c r="EY96">
        <f ca="1">tblBaseCF[[#This Row],[Alloc]]</f>
        <v>0</v>
      </c>
      <c r="EZ96">
        <f ca="1">tblBaseCF[[#This Row],[AccumTotalPrem]]</f>
        <v>0</v>
      </c>
      <c r="FA96">
        <f>tblBaseCF[[#This Row],[AnnualIntRate]]</f>
        <v>0</v>
      </c>
      <c r="FB96" s="50">
        <f>tblBaseCF[[#This Row],[Duean1m12]]</f>
        <v>1</v>
      </c>
      <c r="FC96">
        <f ca="1">tblBaseCF[[#This Row],[DeductFlag]]</f>
        <v>0</v>
      </c>
      <c r="FD96">
        <f ca="1">tblBaseCF[[#This Row],[AdminChrg]]</f>
        <v>0</v>
      </c>
      <c r="FE96">
        <f ca="1">tblBaseCF[[#This Row],[StandardCOI]]</f>
        <v>0</v>
      </c>
      <c r="FF96">
        <f ca="1">tblBaseCF[[#This Row],[EMLoadCOI]]</f>
        <v>0</v>
      </c>
      <c r="FG96">
        <f ca="1">tblBaseCF[[#This Row],[PMLoadCOI]]</f>
        <v>0</v>
      </c>
      <c r="FH96">
        <f ca="1">tblBaseCF[[#This Row],[COI]]</f>
        <v>0</v>
      </c>
      <c r="FI96" s="47">
        <f ca="1">tblBaseCF[[#This Row],[NomDeduct]]</f>
        <v>0</v>
      </c>
      <c r="FJ96">
        <f ca="1">tblBaseCF[[#This Row],[Deduct]]</f>
        <v>0</v>
      </c>
      <c r="FK96">
        <f ca="1">tblBaseCF[[#This Row],[TAVDeduct]]</f>
        <v>0</v>
      </c>
      <c r="FL96">
        <f ca="1">tblBaseCF[[#This Row],[EAVDeduct]]</f>
        <v>0</v>
      </c>
      <c r="FM96" s="24">
        <f ca="1">tblBaseCF[[#This Row],[TAVInt]]</f>
        <v>0</v>
      </c>
      <c r="FN96">
        <f ca="1">tblBaseCF[[#This Row],[EAVInt]]</f>
        <v>0</v>
      </c>
      <c r="FO96" s="47">
        <f ca="1">tblBaseCF[[#This Row],[LB]]</f>
        <v>0</v>
      </c>
      <c r="FP96">
        <f ca="1">tblBaseCF[[#This Row],[SB]]</f>
        <v>0</v>
      </c>
      <c r="FQ96">
        <f ca="1">tblBaseCF[[#This Row],[Bonus]]</f>
        <v>0</v>
      </c>
      <c r="FR96">
        <f ca="1">tblBaseCF[[#This Row],[EndTAV]]</f>
        <v>0</v>
      </c>
      <c r="FS96">
        <f ca="1">tblBaseCF[[#This Row],[EndEAV]]</f>
        <v>0</v>
      </c>
      <c r="FT96">
        <f ca="1">tblBaseCF[[#This Row],[EndPAV]]</f>
        <v>0</v>
      </c>
      <c r="FU96">
        <f ca="1">tblBaseCF[[#This Row],[SemiAnnualTP]]</f>
        <v>0</v>
      </c>
      <c r="FV96">
        <f ca="1">tblBaseCF[[#This Row],[SemiAnnualEP]]</f>
        <v>0</v>
      </c>
      <c r="FW96">
        <f ca="1">tblBaseCF[[#This Row],[SemiAnnualEMLoad]]</f>
        <v>0</v>
      </c>
      <c r="FX96">
        <f ca="1">tblBaseCF[[#This Row],[SemiAnnualPMLoad]]</f>
        <v>0</v>
      </c>
      <c r="FY96">
        <f ca="1">tblBaseCF[[#This Row],[SemiAnnualLoad]]</f>
        <v>0</v>
      </c>
      <c r="FZ96">
        <f ca="1">tblBaseCF[[#This Row],[SemiAnnualTotalPrem]]</f>
        <v>0</v>
      </c>
      <c r="GA96">
        <f ca="1">tblBaseCF[[#This Row],[QuarterlyTP]]</f>
        <v>0</v>
      </c>
      <c r="GB96">
        <f ca="1">tblBaseCF[[#This Row],[QuarterlyEP]]</f>
        <v>0</v>
      </c>
      <c r="GC96">
        <f ca="1">tblBaseCF[[#This Row],[QuarterlyEMLoad]]</f>
        <v>0</v>
      </c>
      <c r="GD96">
        <f ca="1">tblBaseCF[[#This Row],[QuarterlyPMLoad]]</f>
        <v>0</v>
      </c>
      <c r="GE96">
        <f ca="1">tblBaseCF[[#This Row],[QuarterlyLoad]]</f>
        <v>0</v>
      </c>
      <c r="GF96">
        <f ca="1">tblBaseCF[[#This Row],[QuarterlyTotalPrem]]</f>
        <v>0</v>
      </c>
      <c r="GG96">
        <f ca="1">tblBaseCF[[#This Row],[MonthlyTP]]</f>
        <v>0</v>
      </c>
      <c r="GH96">
        <f ca="1">tblBaseCF[[#This Row],[MonthlyEP]]</f>
        <v>0</v>
      </c>
      <c r="GI96">
        <f ca="1">tblBaseCF[[#This Row],[MonthlyEMLoad]]</f>
        <v>0</v>
      </c>
      <c r="GJ96">
        <f ca="1">tblBaseCF[[#This Row],[MonthlyPMLoad]]</f>
        <v>0</v>
      </c>
      <c r="GK96">
        <f ca="1">tblBaseCF[[#This Row],[MonthlyLoad]]</f>
        <v>0</v>
      </c>
      <c r="GL96">
        <f ca="1">tblBaseCF[[#This Row],[MonthlyTotalPrem]]</f>
        <v>0</v>
      </c>
      <c r="GO96" t="s">
        <v>134</v>
      </c>
      <c r="GP96" t="s">
        <v>135</v>
      </c>
      <c r="GQ96" t="s">
        <v>502</v>
      </c>
      <c r="GR96">
        <v>76</v>
      </c>
      <c r="GS96">
        <v>75</v>
      </c>
      <c r="GT96">
        <v>1</v>
      </c>
      <c r="GU96" t="s">
        <v>457</v>
      </c>
      <c r="GV96">
        <v>757595244.15071595</v>
      </c>
      <c r="GW96">
        <v>6636268106.24018</v>
      </c>
      <c r="GX96">
        <v>7393863350.3908997</v>
      </c>
      <c r="GY96">
        <v>0</v>
      </c>
      <c r="GZ96">
        <v>7393863350.3908997</v>
      </c>
      <c r="HA96">
        <v>7393863350.3908997</v>
      </c>
      <c r="HB96">
        <v>0</v>
      </c>
      <c r="HC96">
        <v>0</v>
      </c>
      <c r="HD96" t="s">
        <v>137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7.0000000000000007E-2</v>
      </c>
      <c r="HX96">
        <v>0.96964931039809399</v>
      </c>
      <c r="HY96">
        <v>1</v>
      </c>
      <c r="HZ96">
        <v>300000</v>
      </c>
      <c r="IA96">
        <v>0</v>
      </c>
      <c r="IB96">
        <v>0</v>
      </c>
      <c r="IC96">
        <v>0</v>
      </c>
      <c r="ID96">
        <v>0</v>
      </c>
      <c r="IE96">
        <v>300000</v>
      </c>
      <c r="IF96">
        <v>290894.79311942798</v>
      </c>
      <c r="IG96">
        <v>290894.79311942798</v>
      </c>
      <c r="IH96">
        <v>0</v>
      </c>
      <c r="II96">
        <v>53011304.455031797</v>
      </c>
      <c r="IJ96">
        <v>464538767.436813</v>
      </c>
      <c r="IK96">
        <v>0</v>
      </c>
      <c r="IL96">
        <v>0</v>
      </c>
      <c r="IM96">
        <v>0</v>
      </c>
      <c r="IN96">
        <v>810315653.81262898</v>
      </c>
      <c r="IO96">
        <v>7100806873.677</v>
      </c>
      <c r="IP96">
        <v>7911122527.4896297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</row>
    <row r="97" spans="2:268" customFormat="1" x14ac:dyDescent="0.25">
      <c r="B97" s="2">
        <f ca="1">OFFSET(tblBaseCF[[#This Row],[Year]],-1,0)+1</f>
        <v>77</v>
      </c>
      <c r="C97" s="2">
        <f ca="1">(tblBaseCF[[#This Row],[Year]]&lt;=term)*1</f>
        <v>1</v>
      </c>
      <c r="D97" s="57">
        <f ca="1">(YEAR(rcd)+tblBaseCF[[#This Row],[Year]]-1)
*tblBaseCF[[#This Row],[PolTermFlag]]</f>
        <v>2101</v>
      </c>
      <c r="E97" s="57">
        <f ca="1">(mainLI_entry_age+tblBaseCF[[#This Row],[Year]]-1)
*tblBaseCF[[#This Row],[PolTermFlag]]</f>
        <v>76</v>
      </c>
      <c r="F97" s="57">
        <f ca="1">IF(tblBaseCF[[#This Row],[Year]]=1,1,OFFSET(tblBaseCF[[#This Row],[DeductFlag]],-1,0))
*tblBaseCF[[#This Row],[PolTermFlag]]</f>
        <v>0</v>
      </c>
      <c r="G9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7" s="57">
        <f ca="1">(tblBaseCF[[#This Row],[Year]]&lt;=acc_ben_term)
*tblBaseCF[[#This Row],[ContFlag]]</f>
        <v>0</v>
      </c>
      <c r="I97" s="57">
        <f ca="1">(tblBaseCF[[#This Row],[Year]]&lt;=tp_term)
*tblBaseCF[[#This Row],[ContFlag]]</f>
        <v>0</v>
      </c>
      <c r="J97" s="57">
        <f ca="1">(tblBaseCF[[#This Row],[Year]]&lt;=ep_term)
*tblBaseCF[[#This Row],[ContFlag]]</f>
        <v>0</v>
      </c>
      <c r="K97" s="57">
        <f ca="1">(tblBaseCF[[#This Row],[Year]]&lt;=em_load_term)*1</f>
        <v>0</v>
      </c>
      <c r="L97" s="57">
        <f ca="1">(tblBaseCF[[#This Row],[Year]]&lt;=pm_load_term)*1</f>
        <v>0</v>
      </c>
      <c r="M97" s="59">
        <f ca="1">IF(tblBaseCF[[#This Row],[Year]]=1,si,OFFSET(tblBaseCF[[#This Row],[EndSI]],-1,0))
*tblBaseCF[[#This Row],[ContFlag]]</f>
        <v>0</v>
      </c>
      <c r="N97" s="59">
        <f ca="1">OFFSET(tblBaseCF[[#This Row],[EndTAV]],-1,0)
*tblBaseCF[[#This Row],[ContFlag]]</f>
        <v>0</v>
      </c>
      <c r="O97" s="59">
        <f ca="1">OFFSET(tblBaseCF[[#This Row],[EndEAV]],-1,0)
*tblBaseCF[[#This Row],[ContFlag]]</f>
        <v>0</v>
      </c>
      <c r="P97" s="60">
        <f ca="1">tblBaseCF[[#This Row],[StartEAV]]+tblBaseCF[[#This Row],[StartTAV]]</f>
        <v>0</v>
      </c>
      <c r="Q97" s="61">
        <f ca="1">IFERROR(INDEX(tblJuvenileLienRate[Rate],MATCH(tblBaseCF[[#This Row],[Age]],tblJuvenileLienRate[Age],0)),1)
*tblBaseCF[[#This Row],[ContFlag]]</f>
        <v>0</v>
      </c>
      <c r="R9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7" s="62">
        <f ca="1">tblBaseCF[[#This Row],[StartSI]]*acc_ben_coeff*tblBaseCF[[#This Row],[JuvenileLienRate]]
*tblBaseCF[[#This Row],[AccBenTermFlag]]</f>
        <v>0</v>
      </c>
      <c r="T97" s="61">
        <f ca="1">(IFERROR(INDEX(tblSurrChrgRate[Rate],MATCH(tblBaseCF[[#This Row],[Year]],tblSurrChrgRate[Year],0)),0)
*tblBaseCF[[#This Row],[ContFlag]])</f>
        <v>0</v>
      </c>
      <c r="U97" s="60">
        <f ca="1">tp*tblBaseCF[[#This Row],[SrrChrgRate]]</f>
        <v>0</v>
      </c>
      <c r="V97" s="63">
        <f ca="1">MAX(tblBaseCF[[#This Row],[StartTAV]]-tblBaseCF[[#This Row],[SVChrg]],0)+tblBaseCF[[#This Row],[StartEAV]]</f>
        <v>0</v>
      </c>
      <c r="W97" s="59">
        <f ca="1">IFERROR(INDEX(tblWithdrawal_Output[Amount],MATCH(tblBaseCF[[#This Row],[Year]],tblWithdrawal_Output[Year],0)),0)
*tblBaseCF[[#This Row],[ContFlag]]</f>
        <v>0</v>
      </c>
      <c r="X97" s="59" t="b">
        <f ca="1">tblBaseCF[[#This Row],[WithdrawalInput]]&gt;0</f>
        <v>0</v>
      </c>
      <c r="Y97" s="59" t="b">
        <f ca="1">AND(tblBaseCF[[#This Row],[1stCheckProceed]],tblBaseCF[[#This Row],[WithdrawalInput]]&lt;=tblBaseCF[[#This Row],[StartPAV]])</f>
        <v>0</v>
      </c>
      <c r="Z97" s="59" t="b">
        <f ca="1">AND(tblBaseCF[[#This Row],[2ndCheckAmount]],(tblBaseCF[[#This Row],[StartPAV]]-tblBaseCF[[#This Row],[WithdrawalInput]])&gt;=min_pav_after_withdrawal)</f>
        <v>0</v>
      </c>
      <c r="AA9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7" s="59" t="b">
        <f ca="1">AND(tblBaseCF[[#This Row],[3rdCheckPAV]],tblBaseCF[[#This Row],[endSITest]]&gt;=min_base_si)</f>
        <v>0</v>
      </c>
      <c r="AC97" s="60">
        <f ca="1">tblBaseCF[[#This Row],[WithdrawalInput]]*tblBaseCF[[#This Row],[4thCheckSI]]</f>
        <v>0</v>
      </c>
      <c r="AD97" s="60">
        <f ca="1">MIN(tblBaseCF[[#This Row],[Withdrawal]],tblBaseCF[[#This Row],[StartEAV]])</f>
        <v>0</v>
      </c>
      <c r="AE97" s="60">
        <f ca="1">tblBaseCF[[#This Row],[Withdrawal]]-tblBaseCF[[#This Row],[EAVWithdrawal]]</f>
        <v>0</v>
      </c>
      <c r="AF97" s="60">
        <f ca="1">IF(tblBaseCF[[#This Row],[4thCheckSI]],tblBaseCF[[#This Row],[endSITest]],tblBaseCF[[#This Row],[StartSI]])</f>
        <v>0</v>
      </c>
      <c r="AG9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7" s="65">
        <f ca="1">IFERROR(INDEX(tblTPAllocChrgRate[Rate],MATCH(tblBaseCF[[#This Row],[Year]],tblTPAllocChrgRate[Year],0)),0)</f>
        <v>0.02</v>
      </c>
      <c r="AI97" s="62">
        <f ca="1">(tp+big_case_bonus_tp*(tblBaseCF[[#This Row],[Year]]=1))
*tblBaseCF[[#This Row],[TPTermFlag]]</f>
        <v>0</v>
      </c>
      <c r="AJ97" s="63">
        <f ca="1">tblBaseCF[[#This Row],[TP]]*tblBaseCF[[#This Row],[TPAllocChrgRate]]</f>
        <v>0</v>
      </c>
      <c r="AK97" s="60">
        <f ca="1">tblBaseCF[[#This Row],[TP]]-tblBaseCF[[#This Row],[TPAllocChrg]]</f>
        <v>0</v>
      </c>
      <c r="AL97" s="65">
        <f ca="1">IFERROR(INDEX(tblEPAllocChrgRate[Rate],MATCH(tblBaseCF[[#This Row],[Year]],tblEPAllocChrgRate[Year],0)),0)</f>
        <v>0.02</v>
      </c>
      <c r="AM97" s="60">
        <f ca="1">ep*tblBaseCF[[#This Row],[EPTermFlag]]</f>
        <v>0</v>
      </c>
      <c r="AN97" s="60">
        <f ca="1">tblBaseCF[[#This Row],[EP]]*tblBaseCF[[#This Row],[EPAllocChrgRate]]</f>
        <v>0</v>
      </c>
      <c r="AO97" s="63">
        <f ca="1">tblBaseCF[[#This Row],[EP]]-tblBaseCF[[#This Row],[EPAllocChrg]]</f>
        <v>0</v>
      </c>
      <c r="AP97" s="62">
        <f ca="1">tblBaseCF[[#This Row],[Ben]]*extra_prem_rate*em_load/1000/(1-tblBaseCF[[#This Row],[EPAllocChrgRate]])
*tblBaseCF[[#This Row],[EMLoadTermFlag]]</f>
        <v>0</v>
      </c>
      <c r="AQ97" s="62">
        <f ca="1">tblBaseCF[[#This Row],[Ben]]*pm_load/1000/(1-tblBaseCF[[#This Row],[EPAllocChrgRate]])
*tblBaseCF[[#This Row],[PMLoadTermFlag]]</f>
        <v>0</v>
      </c>
      <c r="AR97" s="60">
        <f ca="1">ROUNDUP(tblBaseCF[[#This Row],[UnroundedEMLoad]],-3)</f>
        <v>0</v>
      </c>
      <c r="AS97" s="62">
        <f ca="1">ROUNDUP(tblBaseCF[[#This Row],[Ben]]*pm_load/1000/(1-tblBaseCF[[#This Row],[EPAllocChrgRate]]),-3)
*tblBaseCF[[#This Row],[PMLoadTermFlag]]</f>
        <v>0</v>
      </c>
      <c r="AT97" s="60">
        <f ca="1">tblBaseCF[[#This Row],[EMLoad]]+tblBaseCF[[#This Row],[PMLoad]]</f>
        <v>0</v>
      </c>
      <c r="AU97" s="60">
        <f ca="1">tblBaseCF[[#This Row],[Load]]*tblBaseCF[[#This Row],[EPAllocChrgRate]]</f>
        <v>0</v>
      </c>
      <c r="AV97" s="60">
        <f ca="1">tblBaseCF[[#This Row],[Load]]-tblBaseCF[[#This Row],[LoadAllocChrg]]</f>
        <v>0</v>
      </c>
      <c r="AW97" s="60">
        <f ca="1">tblBaseCF[[#This Row],[TP]]+tblBaseCF[[#This Row],[EP]]+tblBaseCF[[#This Row],[Load]]</f>
        <v>0</v>
      </c>
      <c r="AX97" s="60">
        <f ca="1">tblBaseCF[[#This Row],[TPAllocChrg]]+tblBaseCF[[#This Row],[EPAllocChrg]]+tblBaseCF[[#This Row],[LoadAllocChrg]]</f>
        <v>0</v>
      </c>
      <c r="AY97" s="60">
        <f ca="1">tblBaseCF[[#This Row],[TPAlloc]]+tblBaseCF[[#This Row],[EPAlloc]]+tblBaseCF[[#This Row],[LoadAlloc]]</f>
        <v>0</v>
      </c>
      <c r="AZ97" s="60">
        <f ca="1">(OFFSET(tblBaseCF[[#This Row],[AccumTotalPrem]],-1,0)+tblBaseCF[[#This Row],[TotalPrem]])*tblBaseCF[[#This Row],[TPTermFlag]]</f>
        <v>0</v>
      </c>
      <c r="BA97" s="62">
        <f ca="1">(tblBaseCF[[#This Row],[StartTAV]]-tblBaseCF[[#This Row],[TAVWithdrawal]]+tblBaseCF[[#This Row],[TPAlloc]])
*tblBaseCF[[#This Row],[ContFlag]]</f>
        <v>0</v>
      </c>
      <c r="BB97" s="59">
        <f ca="1">(tblBaseCF[[#This Row],[StartEAV]]-tblBaseCF[[#This Row],[EAVWithdrawal]]+tblBaseCF[[#This Row],[EPAlloc]]+tblBaseCF[[#This Row],[LoadAlloc]])
*tblBaseCF[[#This Row],[ContFlag]]</f>
        <v>0</v>
      </c>
      <c r="BC97" s="59">
        <f ca="1">tblBaseCF[[#This Row],[TAVAfterWdrlAlloc]]+tblBaseCF[[#This Row],[EAVAfterWdrlAlloc]]</f>
        <v>0</v>
      </c>
      <c r="BD97" s="66">
        <f t="shared" si="10"/>
        <v>0</v>
      </c>
      <c r="BE97" s="67">
        <f>(1+tblBaseCF[[#This Row],[AnnualIntRate]])^(1/12)-1</f>
        <v>0</v>
      </c>
      <c r="BF97" s="68">
        <f>IFERROR(((1+tblBaseCF[[#This Row],[MonthlyIntRate]])^12-1)/12/(1-1/(1+tblBaseCF[[#This Row],[MonthlyIntRate]])),1)/(1+tblBaseCF[[#This Row],[AnnualIntRate]])</f>
        <v>1</v>
      </c>
      <c r="BG97" s="69">
        <f>PV(tblBaseCF[[#This Row],[MonthlyIntRate]],12,-1/12,,1)</f>
        <v>1</v>
      </c>
      <c r="BH97" s="60">
        <f ca="1">MAX(IF(death_tpd_option="A",tblBaseCF[[#This Row],[Ben]]-tblBaseCF[[#This Row],[StartPAV]],tblBaseCF[[#This Row],[Ben]]),0)</f>
        <v>0</v>
      </c>
      <c r="BI97" s="70">
        <f ca="1">IFERROR(INDEX(tblBaseCOIRate[Rate],MATCH(tblBaseCF[[#This Row],[Age]],tblBaseCOIRate[Age],0)),0)</f>
        <v>4.5449999999999997E-2</v>
      </c>
      <c r="BJ97" s="60">
        <f ca="1">tblBaseCF[[#This Row],[SAR]]*tblBaseCF[[#This Row],[COIRate]]</f>
        <v>0</v>
      </c>
      <c r="BK97" s="62">
        <f ca="1">em_load*tblBaseCF[[#This Row],[pStandardCOI]]
*tblBaseCF[[#This Row],[EMLoadTermFlag]]</f>
        <v>0</v>
      </c>
      <c r="BL97" s="62">
        <f ca="1">pm_load/1000*tblBaseCF[[#This Row],[SAR]]
*tblBaseCF[[#This Row],[PMLoadTermFlag]]</f>
        <v>0</v>
      </c>
      <c r="BM97" s="60">
        <f ca="1">tblBaseCF[[#This Row],[AccBen]]*monthly_acc_coi*12</f>
        <v>0</v>
      </c>
      <c r="BN97" s="60">
        <f ca="1">tblBaseCF[[#This Row],[pStandardCOI]]+tblBaseCF[[#This Row],[pEMLoadCOI]]+tblBaseCF[[#This Row],[pPMLoadCOI]]+tblBaseCF[[#This Row],[pAccCOI]]</f>
        <v>0</v>
      </c>
      <c r="BO97" s="62">
        <f ca="1">IFERROR(INDEX(tblAdminChrg[Amount],MATCH(tblBaseCF[[#This Row],[CalYear]],tblAdminChrg[Cal_Year],0)),0)
*tblBaseCF[[#This Row],[ContFlag]]</f>
        <v>0</v>
      </c>
      <c r="BP97" s="60">
        <f ca="1">tblBaseCF[[#This Row],[pMonthlyAdminChrg]]*12</f>
        <v>0</v>
      </c>
      <c r="BQ97" s="60">
        <f ca="1">tblBaseCF[[#This Row],[pCOI]]+tblBaseCF[[#This Row],[pAdminChrg]]</f>
        <v>0</v>
      </c>
      <c r="BR97" s="60">
        <f ca="1">tblBaseCF[[#This Row],[pNomDeduct]]*tblBaseCF[[#This Row],[Duean1m12]]</f>
        <v>0</v>
      </c>
      <c r="BS97" s="57">
        <f ca="1">(tblBaseCF[[#This Row],[PAVAfterWdrlAlloc]]&gt;=tblBaseCF[[#This Row],[pNomDeduct]])
*tblBaseCF[[#This Row],[ContFlag]]</f>
        <v>0</v>
      </c>
      <c r="BT97" s="60">
        <f ca="1">tblBaseCF[[#This Row],[pStandardCOI]]*tblBaseCF[[#This Row],[DeductFlag]]</f>
        <v>0</v>
      </c>
      <c r="BU97" s="60">
        <f ca="1">tblBaseCF[[#This Row],[pEMLoadCOI]]*tblBaseCF[[#This Row],[DeductFlag]]</f>
        <v>0</v>
      </c>
      <c r="BV97" s="60">
        <f ca="1">tblBaseCF[[#This Row],[pPMLoadCOI]]*tblBaseCF[[#This Row],[DeductFlag]]</f>
        <v>0</v>
      </c>
      <c r="BW97" s="60">
        <f ca="1">tblBaseCF[[#This Row],[pAccCOI]]*tblBaseCF[[#This Row],[DeductFlag]]</f>
        <v>0</v>
      </c>
      <c r="BX97" s="60">
        <f ca="1">tblBaseCF[[#This Row],[pCOI]]*tblBaseCF[[#This Row],[DeductFlag]]</f>
        <v>0</v>
      </c>
      <c r="BY97" s="60">
        <f ca="1">tblBaseCF[[#This Row],[pMonthlyAdminChrg]]*tblBaseCF[[#This Row],[DeductFlag]]</f>
        <v>0</v>
      </c>
      <c r="BZ97" s="60">
        <f ca="1">tblBaseCF[[#This Row],[pAdminChrg]]*tblBaseCF[[#This Row],[DeductFlag]]</f>
        <v>0</v>
      </c>
      <c r="CA97" s="60">
        <f ca="1">tblBaseCF[[#This Row],[pNomDeduct]]*tblBaseCF[[#This Row],[DeductFlag]]</f>
        <v>0</v>
      </c>
      <c r="CB97" s="60">
        <f ca="1">tblBaseCF[[#This Row],[pDeduct]]*tblBaseCF[[#This Row],[DeductFlag]]</f>
        <v>0</v>
      </c>
      <c r="CC97" s="60">
        <f ca="1">MIN(tblBaseCF[[#This Row],[TAVAfterWdrlAlloc]],tblBaseCF[[#This Row],[Deduct]])</f>
        <v>0</v>
      </c>
      <c r="CD97" s="60">
        <f ca="1">tblBaseCF[[#This Row],[Deduct]]-tblBaseCF[[#This Row],[TAVDeduct]]</f>
        <v>0</v>
      </c>
      <c r="CE97" s="69">
        <f ca="1">(tblBaseCF[[#This Row],[TAVAfterWdrlAlloc]]-tblBaseCF[[#This Row],[TAVDeduct]])*tblBaseCF[[#This Row],[AnnualIntRate]]
*tblBaseCF[[#This Row],[DeductFlag]]</f>
        <v>0</v>
      </c>
      <c r="CF97" s="69">
        <f ca="1">(tblBaseCF[[#This Row],[EAVAfterWdrlAlloc]]-tblBaseCF[[#This Row],[EAVDeduct]])*tblBaseCF[[#This Row],[AnnualIntRate]]
*tblBaseCF[[#This Row],[DeductFlag]]</f>
        <v>0</v>
      </c>
      <c r="CG97" s="69">
        <f ca="1">tblBaseCF[[#This Row],[TAVInt]]+tblBaseCF[[#This Row],[EAVInt]]</f>
        <v>0</v>
      </c>
      <c r="CH97" s="62">
        <f ca="1">IFERROR(INDEX(tblLBRate[Rate],MATCH(tblBaseCF[[#This Row],[Year]],tblLBRate[Year],0)),0)
*tblBaseCF[[#This Row],[DeductFlag]]</f>
        <v>0</v>
      </c>
      <c r="CI97" s="60">
        <f ca="1">IFERROR(SUM(OFFSET(tblBaseCF[[#This Row],[TAVWithdrawal]],0,0,-lb_review_period,1)),0)
*(tblBaseCF[[#This Row],[LBRate]]&gt;0)</f>
        <v>0</v>
      </c>
      <c r="CJ97" s="60">
        <f ca="1">(tblBaseCF[[#This Row],[LBRate]]&gt;0)*(tblBaseCF[[#This Row],[LBTAVWithdrawal]]=0)</f>
        <v>0</v>
      </c>
      <c r="CK97" s="62" cm="1">
        <f t="array" aca="1" ref="CK97" ca="1">IF(tblBaseCF[[#This Row],[LBFlag]],
_xlfn.SWITCH(base,
"ILP1",AVERAGE(OFFSET(tblBaseCF[TP],0,0,-lb_review_period,1)),tp),0)
*tblBaseCF[[#This Row],[LBFlag]]</f>
        <v>0</v>
      </c>
      <c r="CL97" s="62">
        <f ca="1">tblBaseCF[[#This Row],[LBBasis]]*tblBaseCF[[#This Row],[LBRate]]</f>
        <v>0</v>
      </c>
      <c r="CM97" s="57" cm="1">
        <f t="array" aca="1" ref="CM97" ca="1">_xlfn.SWITCH(base,
"ILP1",0,($AF197&lt;500000000)*1
+($AF197&gt;=500000000)*($AF197&lt;1000000000)*2
+($AF197&gt;=1000000000)*3)
*tblBaseCF[[#This Row],[DeductFlag]]</f>
        <v>0</v>
      </c>
      <c r="CN97" s="2" t="str">
        <f ca="1">IF(tblBaseCF[[#This Row],[DeductFlag]],base&amp;"_"&amp;tblBaseCF[[#This Row],[SBCode]]&amp;"_"&amp;tblBaseCF[[#This Row],[Year]],"")</f>
        <v/>
      </c>
      <c r="CO97" s="3">
        <f ca="1">IFERROR(INDEX(tblSBRate[Index],MATCH(tblBaseCF[[#This Row],[SBIndex]],tblSBRate[Rate],0)),0)</f>
        <v>0</v>
      </c>
      <c r="CP97" s="63">
        <f ca="1">IFERROR(SUM(OFFSET(tblBaseCF[[#This Row],[TAVWithdrawal]],0,0,-sb_review_period,1)),0)
*(tblBaseCF[[#This Row],[SBRate]]&gt;0)</f>
        <v>0</v>
      </c>
      <c r="CQ97" s="63">
        <f ca="1">(tblBaseCF[[#This Row],[SBRate]]&gt;0)*(tblBaseCF[[#This Row],[SBTAVWithdrawal]]=0)</f>
        <v>0</v>
      </c>
      <c r="CR97" s="59" cm="1">
        <f t="array" aca="1" ref="CR97" ca="1">IF(tblBaseCF[[#This Row],[LBFlag]],
_xlfn.SWITCH(base,
"ILP1",0,tp),0)*tblBaseCF[[#This Row],[SBFlag]]</f>
        <v>0</v>
      </c>
      <c r="CS97" s="63">
        <f ca="1">tblBaseCF[[#This Row],[SBBasis]]*tblBaseCF[[#This Row],[SBRate]]</f>
        <v>0</v>
      </c>
      <c r="CT97" s="63">
        <f ca="1">tblBaseCF[[#This Row],[LB]]+tblBaseCF[[#This Row],[SB]]</f>
        <v>0</v>
      </c>
      <c r="CU97" s="59">
        <f ca="1">tblBaseCF[[#This Row],[TAVAfterWdrlAlloc]]-tblBaseCF[[#This Row],[TAVDeduct]]+tblBaseCF[[#This Row],[TAVInt]]+tblBaseCF[[#This Row],[Bonus]]</f>
        <v>0</v>
      </c>
      <c r="CV97" s="59">
        <f ca="1">tblBaseCF[[#This Row],[EAVAfterWdrlAlloc]]-tblBaseCF[[#This Row],[EAVDeduct]]+tblBaseCF[[#This Row],[EAVInt]]</f>
        <v>0</v>
      </c>
      <c r="CW97" s="63">
        <f ca="1">tblBaseCF[[#This Row],[EndTAV]]+tblBaseCF[[#This Row],[EndEAV]]</f>
        <v>0</v>
      </c>
      <c r="CX97" s="59">
        <f ca="1">INDEX(tblPlanPrem[TP],2)
*tblBaseCF[[#This Row],[TPTermFlag]]</f>
        <v>0</v>
      </c>
      <c r="CY97" s="59">
        <f ca="1">INDEX(tblPlanPrem[EP],2)
*tblBaseCF[[#This Row],[TPTermFlag]]</f>
        <v>0</v>
      </c>
      <c r="CZ97" s="63">
        <f ca="1">ROUNDUP(tblBaseCF[[#This Row],[UnroundedEMLoad]]*INDEX(tblPlanPrem[Factor],2),-3)</f>
        <v>0</v>
      </c>
      <c r="DA97" s="63">
        <f ca="1">ROUNDUP(tblBaseCF[[#This Row],[UnroundedPMLoad]]*INDEX(tblPlanPrem[Factor],2),-3)</f>
        <v>0</v>
      </c>
      <c r="DB97" s="63">
        <f ca="1">tblBaseCF[[#This Row],[SemiAnnualEMLoad]]+tblBaseCF[[#This Row],[SemiAnnualPMLoad]]</f>
        <v>0</v>
      </c>
      <c r="DC97" s="63">
        <f ca="1">tblBaseCF[[#This Row],[SemiAnnualTP]]+tblBaseCF[[#This Row],[SemiAnnualEP]]+tblBaseCF[[#This Row],[SemiAnnualLoad]]</f>
        <v>0</v>
      </c>
      <c r="DD97" s="59">
        <f ca="1">INDEX(tblPlanPrem[TP],3)
*tblBaseCF[[#This Row],[TPTermFlag]]</f>
        <v>0</v>
      </c>
      <c r="DE97" s="59">
        <f ca="1">INDEX(tblPlanPrem[EP],3)
*tblBaseCF[[#This Row],[TPTermFlag]]</f>
        <v>0</v>
      </c>
      <c r="DF97" s="63">
        <f ca="1">ROUNDUP(tblBaseCF[[#This Row],[UnroundedEMLoad]]*INDEX(tblPlanPrem[Factor],3),-3)</f>
        <v>0</v>
      </c>
      <c r="DG97" s="63">
        <f ca="1">ROUNDUP(tblBaseCF[[#This Row],[UnroundedPMLoad]]*INDEX(tblPlanPrem[Factor],3),-3)</f>
        <v>0</v>
      </c>
      <c r="DH97" s="60">
        <f ca="1">tblBaseCF[[#This Row],[QuarterlyEMLoad]]+tblBaseCF[[#This Row],[QuarterlyPMLoad]]</f>
        <v>0</v>
      </c>
      <c r="DI97" s="60">
        <f ca="1">tblBaseCF[[#This Row],[QuarterlyTP]]+tblBaseCF[[#This Row],[QuarterlyEP]]+tblBaseCF[[#This Row],[QuarterlyLoad]]</f>
        <v>0</v>
      </c>
      <c r="DJ97" s="59">
        <f ca="1">INDEX(tblPlanPrem[TP],4)
*tblBaseCF[[#This Row],[TPTermFlag]]</f>
        <v>0</v>
      </c>
      <c r="DK97" s="59">
        <f ca="1">INDEX(tblPlanPrem[EP],4)
*tblBaseCF[[#This Row],[TPTermFlag]]</f>
        <v>0</v>
      </c>
      <c r="DL97" s="63">
        <f ca="1">ROUNDUP(tblBaseCF[[#This Row],[UnroundedEMLoad]]*INDEX(tblPlanPrem[Factor],4),-3)</f>
        <v>0</v>
      </c>
      <c r="DM97" s="63">
        <f ca="1">ROUNDUP(tblBaseCF[[#This Row],[UnroundedPMLoad]]*INDEX(tblPlanPrem[Factor],4),-3)</f>
        <v>0</v>
      </c>
      <c r="DN97" s="60">
        <f ca="1">tblBaseCF[[#This Row],[MonthlyEMLoad]]+tblBaseCF[[#This Row],[MonthlyPMLoad]]</f>
        <v>0</v>
      </c>
      <c r="DO97" s="63">
        <f ca="1">tblBaseCF[[#This Row],[MonthlyTP]]+tblBaseCF[[#This Row],[MonthlyEP]]+tblBaseCF[[#This Row],[MonthlyLoad]]</f>
        <v>0</v>
      </c>
      <c r="DP97" s="3"/>
      <c r="DS97">
        <f t="shared" si="11"/>
        <v>0</v>
      </c>
      <c r="DT97">
        <f t="shared" si="12"/>
        <v>0</v>
      </c>
      <c r="DU97">
        <f t="shared" si="13"/>
        <v>0</v>
      </c>
      <c r="DV97">
        <f ca="1">tblBaseCF[[#This Row],[Year]]</f>
        <v>77</v>
      </c>
      <c r="DW97">
        <f ca="1">tblBaseCF[[#This Row],[Age]]</f>
        <v>76</v>
      </c>
      <c r="DX97">
        <f ca="1">tblBaseCF[[#This Row],[ContFlag]]</f>
        <v>0</v>
      </c>
      <c r="DY97" t="str">
        <f ca="1">tblBaseCF[[#This Row],[ContLog]]</f>
        <v>Insufficient PAV for deduction - Discontinue.</v>
      </c>
      <c r="DZ97">
        <f ca="1">tblBaseCF[[#This Row],[StartTAV]]</f>
        <v>0</v>
      </c>
      <c r="EA97">
        <f ca="1">tblBaseCF[[#This Row],[StartEAV]]</f>
        <v>0</v>
      </c>
      <c r="EB97">
        <f ca="1">tblBaseCF[[#This Row],[StartPAV]]</f>
        <v>0</v>
      </c>
      <c r="EC97">
        <f ca="1">tblBaseCF[[#This Row],[SVChrg]]</f>
        <v>0</v>
      </c>
      <c r="ED97">
        <f ca="1">tblBaseCF[[#This Row],[SV]]</f>
        <v>0</v>
      </c>
      <c r="EE97">
        <f ca="1">tblBaseCF[[#This Row],[Ben]]</f>
        <v>0</v>
      </c>
      <c r="EF97">
        <f ca="1">tblBaseCF[[#This Row],[AccBen]]</f>
        <v>0</v>
      </c>
      <c r="EG97">
        <f ca="1">tblBaseCF[[#This Row],[WithdrawalInput]]</f>
        <v>0</v>
      </c>
      <c r="EH97" t="str">
        <f ca="1">tblBaseCF[[#This Row],[WithdrawalLog]]</f>
        <v>No withdrawal.</v>
      </c>
      <c r="EI97">
        <f ca="1">tblBaseCF[[#This Row],[TAVWithdrawal]]</f>
        <v>0</v>
      </c>
      <c r="EJ97">
        <f ca="1">tblBaseCF[[#This Row],[EAVWithdrawal]]</f>
        <v>0</v>
      </c>
      <c r="EK97">
        <f ca="1">tblBaseCF[[#This Row],[Withdrawal]]</f>
        <v>0</v>
      </c>
      <c r="EL97">
        <f ca="1">tblBaseCF[[#This Row],[TP]]</f>
        <v>0</v>
      </c>
      <c r="EM97">
        <f ca="1">tblBaseCF[[#This Row],[TPAllocChrg]]</f>
        <v>0</v>
      </c>
      <c r="EN97">
        <f ca="1">tblBaseCF[[#This Row],[TPAlloc]]</f>
        <v>0</v>
      </c>
      <c r="EO97">
        <f ca="1">tblBaseCF[[#This Row],[EP]]</f>
        <v>0</v>
      </c>
      <c r="EP97">
        <f ca="1">tblBaseCF[[#This Row],[EPAllocChrg]]</f>
        <v>0</v>
      </c>
      <c r="EQ97">
        <f ca="1">tblBaseCF[[#This Row],[EPAlloc]]</f>
        <v>0</v>
      </c>
      <c r="ER97">
        <f ca="1">tblBaseCF[[#This Row],[EMLoad]]</f>
        <v>0</v>
      </c>
      <c r="ES97">
        <f ca="1">tblBaseCF[[#This Row],[PMLoad]]</f>
        <v>0</v>
      </c>
      <c r="ET97">
        <f ca="1">tblBaseCF[[#This Row],[Load]]</f>
        <v>0</v>
      </c>
      <c r="EU97">
        <f ca="1">tblBaseCF[[#This Row],[LoadAllocChrg]]</f>
        <v>0</v>
      </c>
      <c r="EV97">
        <f ca="1">tblBaseCF[[#This Row],[LoadAlloc]]</f>
        <v>0</v>
      </c>
      <c r="EW97">
        <f ca="1">tblBaseCF[[#This Row],[TotalPrem]]</f>
        <v>0</v>
      </c>
      <c r="EX97">
        <f ca="1">tblBaseCF[[#This Row],[AllocChrg]]</f>
        <v>0</v>
      </c>
      <c r="EY97">
        <f ca="1">tblBaseCF[[#This Row],[Alloc]]</f>
        <v>0</v>
      </c>
      <c r="EZ97">
        <f ca="1">tblBaseCF[[#This Row],[AccumTotalPrem]]</f>
        <v>0</v>
      </c>
      <c r="FA97">
        <f>tblBaseCF[[#This Row],[AnnualIntRate]]</f>
        <v>0</v>
      </c>
      <c r="FB97" s="50">
        <f>tblBaseCF[[#This Row],[Duean1m12]]</f>
        <v>1</v>
      </c>
      <c r="FC97">
        <f ca="1">tblBaseCF[[#This Row],[DeductFlag]]</f>
        <v>0</v>
      </c>
      <c r="FD97">
        <f ca="1">tblBaseCF[[#This Row],[AdminChrg]]</f>
        <v>0</v>
      </c>
      <c r="FE97">
        <f ca="1">tblBaseCF[[#This Row],[StandardCOI]]</f>
        <v>0</v>
      </c>
      <c r="FF97">
        <f ca="1">tblBaseCF[[#This Row],[EMLoadCOI]]</f>
        <v>0</v>
      </c>
      <c r="FG97">
        <f ca="1">tblBaseCF[[#This Row],[PMLoadCOI]]</f>
        <v>0</v>
      </c>
      <c r="FH97">
        <f ca="1">tblBaseCF[[#This Row],[COI]]</f>
        <v>0</v>
      </c>
      <c r="FI97" s="47">
        <f ca="1">tblBaseCF[[#This Row],[NomDeduct]]</f>
        <v>0</v>
      </c>
      <c r="FJ97">
        <f ca="1">tblBaseCF[[#This Row],[Deduct]]</f>
        <v>0</v>
      </c>
      <c r="FK97">
        <f ca="1">tblBaseCF[[#This Row],[TAVDeduct]]</f>
        <v>0</v>
      </c>
      <c r="FL97">
        <f ca="1">tblBaseCF[[#This Row],[EAVDeduct]]</f>
        <v>0</v>
      </c>
      <c r="FM97" s="24">
        <f ca="1">tblBaseCF[[#This Row],[TAVInt]]</f>
        <v>0</v>
      </c>
      <c r="FN97">
        <f ca="1">tblBaseCF[[#This Row],[EAVInt]]</f>
        <v>0</v>
      </c>
      <c r="FO97" s="47">
        <f ca="1">tblBaseCF[[#This Row],[LB]]</f>
        <v>0</v>
      </c>
      <c r="FP97">
        <f ca="1">tblBaseCF[[#This Row],[SB]]</f>
        <v>0</v>
      </c>
      <c r="FQ97">
        <f ca="1">tblBaseCF[[#This Row],[Bonus]]</f>
        <v>0</v>
      </c>
      <c r="FR97">
        <f ca="1">tblBaseCF[[#This Row],[EndTAV]]</f>
        <v>0</v>
      </c>
      <c r="FS97">
        <f ca="1">tblBaseCF[[#This Row],[EndEAV]]</f>
        <v>0</v>
      </c>
      <c r="FT97">
        <f ca="1">tblBaseCF[[#This Row],[EndPAV]]</f>
        <v>0</v>
      </c>
      <c r="FU97">
        <f ca="1">tblBaseCF[[#This Row],[SemiAnnualTP]]</f>
        <v>0</v>
      </c>
      <c r="FV97">
        <f ca="1">tblBaseCF[[#This Row],[SemiAnnualEP]]</f>
        <v>0</v>
      </c>
      <c r="FW97">
        <f ca="1">tblBaseCF[[#This Row],[SemiAnnualEMLoad]]</f>
        <v>0</v>
      </c>
      <c r="FX97">
        <f ca="1">tblBaseCF[[#This Row],[SemiAnnualPMLoad]]</f>
        <v>0</v>
      </c>
      <c r="FY97">
        <f ca="1">tblBaseCF[[#This Row],[SemiAnnualLoad]]</f>
        <v>0</v>
      </c>
      <c r="FZ97">
        <f ca="1">tblBaseCF[[#This Row],[SemiAnnualTotalPrem]]</f>
        <v>0</v>
      </c>
      <c r="GA97">
        <f ca="1">tblBaseCF[[#This Row],[QuarterlyTP]]</f>
        <v>0</v>
      </c>
      <c r="GB97">
        <f ca="1">tblBaseCF[[#This Row],[QuarterlyEP]]</f>
        <v>0</v>
      </c>
      <c r="GC97">
        <f ca="1">tblBaseCF[[#This Row],[QuarterlyEMLoad]]</f>
        <v>0</v>
      </c>
      <c r="GD97">
        <f ca="1">tblBaseCF[[#This Row],[QuarterlyPMLoad]]</f>
        <v>0</v>
      </c>
      <c r="GE97">
        <f ca="1">tblBaseCF[[#This Row],[QuarterlyLoad]]</f>
        <v>0</v>
      </c>
      <c r="GF97">
        <f ca="1">tblBaseCF[[#This Row],[QuarterlyTotalPrem]]</f>
        <v>0</v>
      </c>
      <c r="GG97">
        <f ca="1">tblBaseCF[[#This Row],[MonthlyTP]]</f>
        <v>0</v>
      </c>
      <c r="GH97">
        <f ca="1">tblBaseCF[[#This Row],[MonthlyEP]]</f>
        <v>0</v>
      </c>
      <c r="GI97">
        <f ca="1">tblBaseCF[[#This Row],[MonthlyEMLoad]]</f>
        <v>0</v>
      </c>
      <c r="GJ97">
        <f ca="1">tblBaseCF[[#This Row],[MonthlyPMLoad]]</f>
        <v>0</v>
      </c>
      <c r="GK97">
        <f ca="1">tblBaseCF[[#This Row],[MonthlyLoad]]</f>
        <v>0</v>
      </c>
      <c r="GL97">
        <f ca="1">tblBaseCF[[#This Row],[MonthlyTotalPrem]]</f>
        <v>0</v>
      </c>
      <c r="GO97" t="s">
        <v>134</v>
      </c>
      <c r="GP97" t="s">
        <v>135</v>
      </c>
      <c r="GQ97" t="s">
        <v>502</v>
      </c>
      <c r="GR97">
        <v>77</v>
      </c>
      <c r="GS97">
        <v>76</v>
      </c>
      <c r="GT97">
        <v>1</v>
      </c>
      <c r="GU97" t="s">
        <v>457</v>
      </c>
      <c r="GV97">
        <v>810315653.81262898</v>
      </c>
      <c r="GW97">
        <v>7100806873.677</v>
      </c>
      <c r="GX97">
        <v>7911122527.4896297</v>
      </c>
      <c r="GY97">
        <v>0</v>
      </c>
      <c r="GZ97">
        <v>7911122527.4896297</v>
      </c>
      <c r="HA97">
        <v>7911122527.4896297</v>
      </c>
      <c r="HB97">
        <v>0</v>
      </c>
      <c r="HC97">
        <v>0</v>
      </c>
      <c r="HD97" t="s">
        <v>137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7.0000000000000007E-2</v>
      </c>
      <c r="HX97">
        <v>0.96964931039809399</v>
      </c>
      <c r="HY97">
        <v>1</v>
      </c>
      <c r="HZ97">
        <v>300000</v>
      </c>
      <c r="IA97">
        <v>0</v>
      </c>
      <c r="IB97">
        <v>0</v>
      </c>
      <c r="IC97">
        <v>0</v>
      </c>
      <c r="ID97">
        <v>0</v>
      </c>
      <c r="IE97">
        <v>300000</v>
      </c>
      <c r="IF97">
        <v>290894.79311942798</v>
      </c>
      <c r="IG97">
        <v>290894.79311942798</v>
      </c>
      <c r="IH97">
        <v>0</v>
      </c>
      <c r="II97">
        <v>56701733.131365597</v>
      </c>
      <c r="IJ97">
        <v>497056481.15739</v>
      </c>
      <c r="IK97">
        <v>0</v>
      </c>
      <c r="IL97">
        <v>0</v>
      </c>
      <c r="IM97">
        <v>0</v>
      </c>
      <c r="IN97">
        <v>866726492.15087497</v>
      </c>
      <c r="IO97">
        <v>7597863354.8343897</v>
      </c>
      <c r="IP97">
        <v>8464589846.98526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</row>
    <row r="98" spans="2:268" customFormat="1" x14ac:dyDescent="0.25">
      <c r="B98" s="2">
        <f ca="1">OFFSET(tblBaseCF[[#This Row],[Year]],-1,0)+1</f>
        <v>78</v>
      </c>
      <c r="C98" s="2">
        <f ca="1">(tblBaseCF[[#This Row],[Year]]&lt;=term)*1</f>
        <v>1</v>
      </c>
      <c r="D98" s="57">
        <f ca="1">(YEAR(rcd)+tblBaseCF[[#This Row],[Year]]-1)
*tblBaseCF[[#This Row],[PolTermFlag]]</f>
        <v>2102</v>
      </c>
      <c r="E98" s="57">
        <f ca="1">(mainLI_entry_age+tblBaseCF[[#This Row],[Year]]-1)
*tblBaseCF[[#This Row],[PolTermFlag]]</f>
        <v>77</v>
      </c>
      <c r="F98" s="57">
        <f ca="1">IF(tblBaseCF[[#This Row],[Year]]=1,1,OFFSET(tblBaseCF[[#This Row],[DeductFlag]],-1,0))
*tblBaseCF[[#This Row],[PolTermFlag]]</f>
        <v>0</v>
      </c>
      <c r="G9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8" s="57">
        <f ca="1">(tblBaseCF[[#This Row],[Year]]&lt;=acc_ben_term)
*tblBaseCF[[#This Row],[ContFlag]]</f>
        <v>0</v>
      </c>
      <c r="I98" s="57">
        <f ca="1">(tblBaseCF[[#This Row],[Year]]&lt;=tp_term)
*tblBaseCF[[#This Row],[ContFlag]]</f>
        <v>0</v>
      </c>
      <c r="J98" s="57">
        <f ca="1">(tblBaseCF[[#This Row],[Year]]&lt;=ep_term)
*tblBaseCF[[#This Row],[ContFlag]]</f>
        <v>0</v>
      </c>
      <c r="K98" s="57">
        <f ca="1">(tblBaseCF[[#This Row],[Year]]&lt;=em_load_term)*1</f>
        <v>0</v>
      </c>
      <c r="L98" s="57">
        <f ca="1">(tblBaseCF[[#This Row],[Year]]&lt;=pm_load_term)*1</f>
        <v>0</v>
      </c>
      <c r="M98" s="59">
        <f ca="1">IF(tblBaseCF[[#This Row],[Year]]=1,si,OFFSET(tblBaseCF[[#This Row],[EndSI]],-1,0))
*tblBaseCF[[#This Row],[ContFlag]]</f>
        <v>0</v>
      </c>
      <c r="N98" s="59">
        <f ca="1">OFFSET(tblBaseCF[[#This Row],[EndTAV]],-1,0)
*tblBaseCF[[#This Row],[ContFlag]]</f>
        <v>0</v>
      </c>
      <c r="O98" s="59">
        <f ca="1">OFFSET(tblBaseCF[[#This Row],[EndEAV]],-1,0)
*tblBaseCF[[#This Row],[ContFlag]]</f>
        <v>0</v>
      </c>
      <c r="P98" s="60">
        <f ca="1">tblBaseCF[[#This Row],[StartEAV]]+tblBaseCF[[#This Row],[StartTAV]]</f>
        <v>0</v>
      </c>
      <c r="Q98" s="61">
        <f ca="1">IFERROR(INDEX(tblJuvenileLienRate[Rate],MATCH(tblBaseCF[[#This Row],[Age]],tblJuvenileLienRate[Age],0)),1)
*tblBaseCF[[#This Row],[ContFlag]]</f>
        <v>0</v>
      </c>
      <c r="R9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8" s="62">
        <f ca="1">tblBaseCF[[#This Row],[StartSI]]*acc_ben_coeff*tblBaseCF[[#This Row],[JuvenileLienRate]]
*tblBaseCF[[#This Row],[AccBenTermFlag]]</f>
        <v>0</v>
      </c>
      <c r="T98" s="61">
        <f ca="1">(IFERROR(INDEX(tblSurrChrgRate[Rate],MATCH(tblBaseCF[[#This Row],[Year]],tblSurrChrgRate[Year],0)),0)
*tblBaseCF[[#This Row],[ContFlag]])</f>
        <v>0</v>
      </c>
      <c r="U98" s="60">
        <f ca="1">tp*tblBaseCF[[#This Row],[SrrChrgRate]]</f>
        <v>0</v>
      </c>
      <c r="V98" s="63">
        <f ca="1">MAX(tblBaseCF[[#This Row],[StartTAV]]-tblBaseCF[[#This Row],[SVChrg]],0)+tblBaseCF[[#This Row],[StartEAV]]</f>
        <v>0</v>
      </c>
      <c r="W98" s="59">
        <f ca="1">IFERROR(INDEX(tblWithdrawal_Output[Amount],MATCH(tblBaseCF[[#This Row],[Year]],tblWithdrawal_Output[Year],0)),0)
*tblBaseCF[[#This Row],[ContFlag]]</f>
        <v>0</v>
      </c>
      <c r="X98" s="59" t="b">
        <f ca="1">tblBaseCF[[#This Row],[WithdrawalInput]]&gt;0</f>
        <v>0</v>
      </c>
      <c r="Y98" s="59" t="b">
        <f ca="1">AND(tblBaseCF[[#This Row],[1stCheckProceed]],tblBaseCF[[#This Row],[WithdrawalInput]]&lt;=tblBaseCF[[#This Row],[StartPAV]])</f>
        <v>0</v>
      </c>
      <c r="Z98" s="59" t="b">
        <f ca="1">AND(tblBaseCF[[#This Row],[2ndCheckAmount]],(tblBaseCF[[#This Row],[StartPAV]]-tblBaseCF[[#This Row],[WithdrawalInput]])&gt;=min_pav_after_withdrawal)</f>
        <v>0</v>
      </c>
      <c r="AA9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8" s="59" t="b">
        <f ca="1">AND(tblBaseCF[[#This Row],[3rdCheckPAV]],tblBaseCF[[#This Row],[endSITest]]&gt;=min_base_si)</f>
        <v>0</v>
      </c>
      <c r="AC98" s="60">
        <f ca="1">tblBaseCF[[#This Row],[WithdrawalInput]]*tblBaseCF[[#This Row],[4thCheckSI]]</f>
        <v>0</v>
      </c>
      <c r="AD98" s="60">
        <f ca="1">MIN(tblBaseCF[[#This Row],[Withdrawal]],tblBaseCF[[#This Row],[StartEAV]])</f>
        <v>0</v>
      </c>
      <c r="AE98" s="60">
        <f ca="1">tblBaseCF[[#This Row],[Withdrawal]]-tblBaseCF[[#This Row],[EAVWithdrawal]]</f>
        <v>0</v>
      </c>
      <c r="AF98" s="60">
        <f ca="1">IF(tblBaseCF[[#This Row],[4thCheckSI]],tblBaseCF[[#This Row],[endSITest]],tblBaseCF[[#This Row],[StartSI]])</f>
        <v>0</v>
      </c>
      <c r="AG9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8" s="65">
        <f ca="1">IFERROR(INDEX(tblTPAllocChrgRate[Rate],MATCH(tblBaseCF[[#This Row],[Year]],tblTPAllocChrgRate[Year],0)),0)</f>
        <v>0.02</v>
      </c>
      <c r="AI98" s="62">
        <f ca="1">(tp+big_case_bonus_tp*(tblBaseCF[[#This Row],[Year]]=1))
*tblBaseCF[[#This Row],[TPTermFlag]]</f>
        <v>0</v>
      </c>
      <c r="AJ98" s="63">
        <f ca="1">tblBaseCF[[#This Row],[TP]]*tblBaseCF[[#This Row],[TPAllocChrgRate]]</f>
        <v>0</v>
      </c>
      <c r="AK98" s="60">
        <f ca="1">tblBaseCF[[#This Row],[TP]]-tblBaseCF[[#This Row],[TPAllocChrg]]</f>
        <v>0</v>
      </c>
      <c r="AL98" s="65">
        <f ca="1">IFERROR(INDEX(tblEPAllocChrgRate[Rate],MATCH(tblBaseCF[[#This Row],[Year]],tblEPAllocChrgRate[Year],0)),0)</f>
        <v>0.02</v>
      </c>
      <c r="AM98" s="60">
        <f ca="1">ep*tblBaseCF[[#This Row],[EPTermFlag]]</f>
        <v>0</v>
      </c>
      <c r="AN98" s="60">
        <f ca="1">tblBaseCF[[#This Row],[EP]]*tblBaseCF[[#This Row],[EPAllocChrgRate]]</f>
        <v>0</v>
      </c>
      <c r="AO98" s="63">
        <f ca="1">tblBaseCF[[#This Row],[EP]]-tblBaseCF[[#This Row],[EPAllocChrg]]</f>
        <v>0</v>
      </c>
      <c r="AP98" s="62">
        <f ca="1">tblBaseCF[[#This Row],[Ben]]*extra_prem_rate*em_load/1000/(1-tblBaseCF[[#This Row],[EPAllocChrgRate]])
*tblBaseCF[[#This Row],[EMLoadTermFlag]]</f>
        <v>0</v>
      </c>
      <c r="AQ98" s="62">
        <f ca="1">tblBaseCF[[#This Row],[Ben]]*pm_load/1000/(1-tblBaseCF[[#This Row],[EPAllocChrgRate]])
*tblBaseCF[[#This Row],[PMLoadTermFlag]]</f>
        <v>0</v>
      </c>
      <c r="AR98" s="60">
        <f ca="1">ROUNDUP(tblBaseCF[[#This Row],[UnroundedEMLoad]],-3)</f>
        <v>0</v>
      </c>
      <c r="AS98" s="62">
        <f ca="1">ROUNDUP(tblBaseCF[[#This Row],[Ben]]*pm_load/1000/(1-tblBaseCF[[#This Row],[EPAllocChrgRate]]),-3)
*tblBaseCF[[#This Row],[PMLoadTermFlag]]</f>
        <v>0</v>
      </c>
      <c r="AT98" s="60">
        <f ca="1">tblBaseCF[[#This Row],[EMLoad]]+tblBaseCF[[#This Row],[PMLoad]]</f>
        <v>0</v>
      </c>
      <c r="AU98" s="60">
        <f ca="1">tblBaseCF[[#This Row],[Load]]*tblBaseCF[[#This Row],[EPAllocChrgRate]]</f>
        <v>0</v>
      </c>
      <c r="AV98" s="60">
        <f ca="1">tblBaseCF[[#This Row],[Load]]-tblBaseCF[[#This Row],[LoadAllocChrg]]</f>
        <v>0</v>
      </c>
      <c r="AW98" s="60">
        <f ca="1">tblBaseCF[[#This Row],[TP]]+tblBaseCF[[#This Row],[EP]]+tblBaseCF[[#This Row],[Load]]</f>
        <v>0</v>
      </c>
      <c r="AX98" s="60">
        <f ca="1">tblBaseCF[[#This Row],[TPAllocChrg]]+tblBaseCF[[#This Row],[EPAllocChrg]]+tblBaseCF[[#This Row],[LoadAllocChrg]]</f>
        <v>0</v>
      </c>
      <c r="AY98" s="60">
        <f ca="1">tblBaseCF[[#This Row],[TPAlloc]]+tblBaseCF[[#This Row],[EPAlloc]]+tblBaseCF[[#This Row],[LoadAlloc]]</f>
        <v>0</v>
      </c>
      <c r="AZ98" s="60">
        <f ca="1">(OFFSET(tblBaseCF[[#This Row],[AccumTotalPrem]],-1,0)+tblBaseCF[[#This Row],[TotalPrem]])*tblBaseCF[[#This Row],[TPTermFlag]]</f>
        <v>0</v>
      </c>
      <c r="BA98" s="62">
        <f ca="1">(tblBaseCF[[#This Row],[StartTAV]]-tblBaseCF[[#This Row],[TAVWithdrawal]]+tblBaseCF[[#This Row],[TPAlloc]])
*tblBaseCF[[#This Row],[ContFlag]]</f>
        <v>0</v>
      </c>
      <c r="BB98" s="59">
        <f ca="1">(tblBaseCF[[#This Row],[StartEAV]]-tblBaseCF[[#This Row],[EAVWithdrawal]]+tblBaseCF[[#This Row],[EPAlloc]]+tblBaseCF[[#This Row],[LoadAlloc]])
*tblBaseCF[[#This Row],[ContFlag]]</f>
        <v>0</v>
      </c>
      <c r="BC98" s="59">
        <f ca="1">tblBaseCF[[#This Row],[TAVAfterWdrlAlloc]]+tblBaseCF[[#This Row],[EAVAfterWdrlAlloc]]</f>
        <v>0</v>
      </c>
      <c r="BD98" s="66">
        <f t="shared" si="10"/>
        <v>0</v>
      </c>
      <c r="BE98" s="67">
        <f>(1+tblBaseCF[[#This Row],[AnnualIntRate]])^(1/12)-1</f>
        <v>0</v>
      </c>
      <c r="BF98" s="68">
        <f>IFERROR(((1+tblBaseCF[[#This Row],[MonthlyIntRate]])^12-1)/12/(1-1/(1+tblBaseCF[[#This Row],[MonthlyIntRate]])),1)/(1+tblBaseCF[[#This Row],[AnnualIntRate]])</f>
        <v>1</v>
      </c>
      <c r="BG98" s="69">
        <f>PV(tblBaseCF[[#This Row],[MonthlyIntRate]],12,-1/12,,1)</f>
        <v>1</v>
      </c>
      <c r="BH98" s="60">
        <f ca="1">MAX(IF(death_tpd_option="A",tblBaseCF[[#This Row],[Ben]]-tblBaseCF[[#This Row],[StartPAV]],tblBaseCF[[#This Row],[Ben]]),0)</f>
        <v>0</v>
      </c>
      <c r="BI98" s="70">
        <f ca="1">IFERROR(INDEX(tblBaseCOIRate[Rate],MATCH(tblBaseCF[[#This Row],[Age]],tblBaseCOIRate[Age],0)),0)</f>
        <v>5.06800000000001E-2</v>
      </c>
      <c r="BJ98" s="60">
        <f ca="1">tblBaseCF[[#This Row],[SAR]]*tblBaseCF[[#This Row],[COIRate]]</f>
        <v>0</v>
      </c>
      <c r="BK98" s="62">
        <f ca="1">em_load*tblBaseCF[[#This Row],[pStandardCOI]]
*tblBaseCF[[#This Row],[EMLoadTermFlag]]</f>
        <v>0</v>
      </c>
      <c r="BL98" s="62">
        <f ca="1">pm_load/1000*tblBaseCF[[#This Row],[SAR]]
*tblBaseCF[[#This Row],[PMLoadTermFlag]]</f>
        <v>0</v>
      </c>
      <c r="BM98" s="60">
        <f ca="1">tblBaseCF[[#This Row],[AccBen]]*monthly_acc_coi*12</f>
        <v>0</v>
      </c>
      <c r="BN98" s="60">
        <f ca="1">tblBaseCF[[#This Row],[pStandardCOI]]+tblBaseCF[[#This Row],[pEMLoadCOI]]+tblBaseCF[[#This Row],[pPMLoadCOI]]+tblBaseCF[[#This Row],[pAccCOI]]</f>
        <v>0</v>
      </c>
      <c r="BO98" s="62">
        <f ca="1">IFERROR(INDEX(tblAdminChrg[Amount],MATCH(tblBaseCF[[#This Row],[CalYear]],tblAdminChrg[Cal_Year],0)),0)
*tblBaseCF[[#This Row],[ContFlag]]</f>
        <v>0</v>
      </c>
      <c r="BP98" s="60">
        <f ca="1">tblBaseCF[[#This Row],[pMonthlyAdminChrg]]*12</f>
        <v>0</v>
      </c>
      <c r="BQ98" s="60">
        <f ca="1">tblBaseCF[[#This Row],[pCOI]]+tblBaseCF[[#This Row],[pAdminChrg]]</f>
        <v>0</v>
      </c>
      <c r="BR98" s="60">
        <f ca="1">tblBaseCF[[#This Row],[pNomDeduct]]*tblBaseCF[[#This Row],[Duean1m12]]</f>
        <v>0</v>
      </c>
      <c r="BS98" s="57">
        <f ca="1">(tblBaseCF[[#This Row],[PAVAfterWdrlAlloc]]&gt;=tblBaseCF[[#This Row],[pNomDeduct]])
*tblBaseCF[[#This Row],[ContFlag]]</f>
        <v>0</v>
      </c>
      <c r="BT98" s="60">
        <f ca="1">tblBaseCF[[#This Row],[pStandardCOI]]*tblBaseCF[[#This Row],[DeductFlag]]</f>
        <v>0</v>
      </c>
      <c r="BU98" s="60">
        <f ca="1">tblBaseCF[[#This Row],[pEMLoadCOI]]*tblBaseCF[[#This Row],[DeductFlag]]</f>
        <v>0</v>
      </c>
      <c r="BV98" s="60">
        <f ca="1">tblBaseCF[[#This Row],[pPMLoadCOI]]*tblBaseCF[[#This Row],[DeductFlag]]</f>
        <v>0</v>
      </c>
      <c r="BW98" s="60">
        <f ca="1">tblBaseCF[[#This Row],[pAccCOI]]*tblBaseCF[[#This Row],[DeductFlag]]</f>
        <v>0</v>
      </c>
      <c r="BX98" s="60">
        <f ca="1">tblBaseCF[[#This Row],[pCOI]]*tblBaseCF[[#This Row],[DeductFlag]]</f>
        <v>0</v>
      </c>
      <c r="BY98" s="60">
        <f ca="1">tblBaseCF[[#This Row],[pMonthlyAdminChrg]]*tblBaseCF[[#This Row],[DeductFlag]]</f>
        <v>0</v>
      </c>
      <c r="BZ98" s="60">
        <f ca="1">tblBaseCF[[#This Row],[pAdminChrg]]*tblBaseCF[[#This Row],[DeductFlag]]</f>
        <v>0</v>
      </c>
      <c r="CA98" s="60">
        <f ca="1">tblBaseCF[[#This Row],[pNomDeduct]]*tblBaseCF[[#This Row],[DeductFlag]]</f>
        <v>0</v>
      </c>
      <c r="CB98" s="60">
        <f ca="1">tblBaseCF[[#This Row],[pDeduct]]*tblBaseCF[[#This Row],[DeductFlag]]</f>
        <v>0</v>
      </c>
      <c r="CC98" s="60">
        <f ca="1">MIN(tblBaseCF[[#This Row],[TAVAfterWdrlAlloc]],tblBaseCF[[#This Row],[Deduct]])</f>
        <v>0</v>
      </c>
      <c r="CD98" s="60">
        <f ca="1">tblBaseCF[[#This Row],[Deduct]]-tblBaseCF[[#This Row],[TAVDeduct]]</f>
        <v>0</v>
      </c>
      <c r="CE98" s="69">
        <f ca="1">(tblBaseCF[[#This Row],[TAVAfterWdrlAlloc]]-tblBaseCF[[#This Row],[TAVDeduct]])*tblBaseCF[[#This Row],[AnnualIntRate]]
*tblBaseCF[[#This Row],[DeductFlag]]</f>
        <v>0</v>
      </c>
      <c r="CF98" s="69">
        <f ca="1">(tblBaseCF[[#This Row],[EAVAfterWdrlAlloc]]-tblBaseCF[[#This Row],[EAVDeduct]])*tblBaseCF[[#This Row],[AnnualIntRate]]
*tblBaseCF[[#This Row],[DeductFlag]]</f>
        <v>0</v>
      </c>
      <c r="CG98" s="69">
        <f ca="1">tblBaseCF[[#This Row],[TAVInt]]+tblBaseCF[[#This Row],[EAVInt]]</f>
        <v>0</v>
      </c>
      <c r="CH98" s="62">
        <f ca="1">IFERROR(INDEX(tblLBRate[Rate],MATCH(tblBaseCF[[#This Row],[Year]],tblLBRate[Year],0)),0)
*tblBaseCF[[#This Row],[DeductFlag]]</f>
        <v>0</v>
      </c>
      <c r="CI98" s="60">
        <f ca="1">IFERROR(SUM(OFFSET(tblBaseCF[[#This Row],[TAVWithdrawal]],0,0,-lb_review_period,1)),0)
*(tblBaseCF[[#This Row],[LBRate]]&gt;0)</f>
        <v>0</v>
      </c>
      <c r="CJ98" s="60">
        <f ca="1">(tblBaseCF[[#This Row],[LBRate]]&gt;0)*(tblBaseCF[[#This Row],[LBTAVWithdrawal]]=0)</f>
        <v>0</v>
      </c>
      <c r="CK98" s="62" cm="1">
        <f t="array" aca="1" ref="CK98" ca="1">IF(tblBaseCF[[#This Row],[LBFlag]],
_xlfn.SWITCH(base,
"ILP1",AVERAGE(OFFSET(tblBaseCF[TP],0,0,-lb_review_period,1)),tp),0)
*tblBaseCF[[#This Row],[LBFlag]]</f>
        <v>0</v>
      </c>
      <c r="CL98" s="62">
        <f ca="1">tblBaseCF[[#This Row],[LBBasis]]*tblBaseCF[[#This Row],[LBRate]]</f>
        <v>0</v>
      </c>
      <c r="CM98" s="57" cm="1">
        <f t="array" aca="1" ref="CM98" ca="1">_xlfn.SWITCH(base,
"ILP1",0,($AF198&lt;500000000)*1
+($AF198&gt;=500000000)*($AF198&lt;1000000000)*2
+($AF198&gt;=1000000000)*3)
*tblBaseCF[[#This Row],[DeductFlag]]</f>
        <v>0</v>
      </c>
      <c r="CN98" s="2" t="str">
        <f ca="1">IF(tblBaseCF[[#This Row],[DeductFlag]],base&amp;"_"&amp;tblBaseCF[[#This Row],[SBCode]]&amp;"_"&amp;tblBaseCF[[#This Row],[Year]],"")</f>
        <v/>
      </c>
      <c r="CO98" s="3">
        <f ca="1">IFERROR(INDEX(tblSBRate[Index],MATCH(tblBaseCF[[#This Row],[SBIndex]],tblSBRate[Rate],0)),0)</f>
        <v>0</v>
      </c>
      <c r="CP98" s="63">
        <f ca="1">IFERROR(SUM(OFFSET(tblBaseCF[[#This Row],[TAVWithdrawal]],0,0,-sb_review_period,1)),0)
*(tblBaseCF[[#This Row],[SBRate]]&gt;0)</f>
        <v>0</v>
      </c>
      <c r="CQ98" s="63">
        <f ca="1">(tblBaseCF[[#This Row],[SBRate]]&gt;0)*(tblBaseCF[[#This Row],[SBTAVWithdrawal]]=0)</f>
        <v>0</v>
      </c>
      <c r="CR98" s="59" cm="1">
        <f t="array" aca="1" ref="CR98" ca="1">IF(tblBaseCF[[#This Row],[LBFlag]],
_xlfn.SWITCH(base,
"ILP1",0,tp),0)*tblBaseCF[[#This Row],[SBFlag]]</f>
        <v>0</v>
      </c>
      <c r="CS98" s="63">
        <f ca="1">tblBaseCF[[#This Row],[SBBasis]]*tblBaseCF[[#This Row],[SBRate]]</f>
        <v>0</v>
      </c>
      <c r="CT98" s="63">
        <f ca="1">tblBaseCF[[#This Row],[LB]]+tblBaseCF[[#This Row],[SB]]</f>
        <v>0</v>
      </c>
      <c r="CU98" s="59">
        <f ca="1">tblBaseCF[[#This Row],[TAVAfterWdrlAlloc]]-tblBaseCF[[#This Row],[TAVDeduct]]+tblBaseCF[[#This Row],[TAVInt]]+tblBaseCF[[#This Row],[Bonus]]</f>
        <v>0</v>
      </c>
      <c r="CV98" s="59">
        <f ca="1">tblBaseCF[[#This Row],[EAVAfterWdrlAlloc]]-tblBaseCF[[#This Row],[EAVDeduct]]+tblBaseCF[[#This Row],[EAVInt]]</f>
        <v>0</v>
      </c>
      <c r="CW98" s="63">
        <f ca="1">tblBaseCF[[#This Row],[EndTAV]]+tblBaseCF[[#This Row],[EndEAV]]</f>
        <v>0</v>
      </c>
      <c r="CX98" s="59">
        <f ca="1">INDEX(tblPlanPrem[TP],2)
*tblBaseCF[[#This Row],[TPTermFlag]]</f>
        <v>0</v>
      </c>
      <c r="CY98" s="59">
        <f ca="1">INDEX(tblPlanPrem[EP],2)
*tblBaseCF[[#This Row],[TPTermFlag]]</f>
        <v>0</v>
      </c>
      <c r="CZ98" s="63">
        <f ca="1">ROUNDUP(tblBaseCF[[#This Row],[UnroundedEMLoad]]*INDEX(tblPlanPrem[Factor],2),-3)</f>
        <v>0</v>
      </c>
      <c r="DA98" s="63">
        <f ca="1">ROUNDUP(tblBaseCF[[#This Row],[UnroundedPMLoad]]*INDEX(tblPlanPrem[Factor],2),-3)</f>
        <v>0</v>
      </c>
      <c r="DB98" s="63">
        <f ca="1">tblBaseCF[[#This Row],[SemiAnnualEMLoad]]+tblBaseCF[[#This Row],[SemiAnnualPMLoad]]</f>
        <v>0</v>
      </c>
      <c r="DC98" s="63">
        <f ca="1">tblBaseCF[[#This Row],[SemiAnnualTP]]+tblBaseCF[[#This Row],[SemiAnnualEP]]+tblBaseCF[[#This Row],[SemiAnnualLoad]]</f>
        <v>0</v>
      </c>
      <c r="DD98" s="59">
        <f ca="1">INDEX(tblPlanPrem[TP],3)
*tblBaseCF[[#This Row],[TPTermFlag]]</f>
        <v>0</v>
      </c>
      <c r="DE98" s="59">
        <f ca="1">INDEX(tblPlanPrem[EP],3)
*tblBaseCF[[#This Row],[TPTermFlag]]</f>
        <v>0</v>
      </c>
      <c r="DF98" s="63">
        <f ca="1">ROUNDUP(tblBaseCF[[#This Row],[UnroundedEMLoad]]*INDEX(tblPlanPrem[Factor],3),-3)</f>
        <v>0</v>
      </c>
      <c r="DG98" s="63">
        <f ca="1">ROUNDUP(tblBaseCF[[#This Row],[UnroundedPMLoad]]*INDEX(tblPlanPrem[Factor],3),-3)</f>
        <v>0</v>
      </c>
      <c r="DH98" s="60">
        <f ca="1">tblBaseCF[[#This Row],[QuarterlyEMLoad]]+tblBaseCF[[#This Row],[QuarterlyPMLoad]]</f>
        <v>0</v>
      </c>
      <c r="DI98" s="60">
        <f ca="1">tblBaseCF[[#This Row],[QuarterlyTP]]+tblBaseCF[[#This Row],[QuarterlyEP]]+tblBaseCF[[#This Row],[QuarterlyLoad]]</f>
        <v>0</v>
      </c>
      <c r="DJ98" s="59">
        <f ca="1">INDEX(tblPlanPrem[TP],4)
*tblBaseCF[[#This Row],[TPTermFlag]]</f>
        <v>0</v>
      </c>
      <c r="DK98" s="59">
        <f ca="1">INDEX(tblPlanPrem[EP],4)
*tblBaseCF[[#This Row],[TPTermFlag]]</f>
        <v>0</v>
      </c>
      <c r="DL98" s="63">
        <f ca="1">ROUNDUP(tblBaseCF[[#This Row],[UnroundedEMLoad]]*INDEX(tblPlanPrem[Factor],4),-3)</f>
        <v>0</v>
      </c>
      <c r="DM98" s="63">
        <f ca="1">ROUNDUP(tblBaseCF[[#This Row],[UnroundedPMLoad]]*INDEX(tblPlanPrem[Factor],4),-3)</f>
        <v>0</v>
      </c>
      <c r="DN98" s="60">
        <f ca="1">tblBaseCF[[#This Row],[MonthlyEMLoad]]+tblBaseCF[[#This Row],[MonthlyPMLoad]]</f>
        <v>0</v>
      </c>
      <c r="DO98" s="63">
        <f ca="1">tblBaseCF[[#This Row],[MonthlyTP]]+tblBaseCF[[#This Row],[MonthlyEP]]+tblBaseCF[[#This Row],[MonthlyLoad]]</f>
        <v>0</v>
      </c>
      <c r="DP98" s="3"/>
      <c r="DS98">
        <f t="shared" si="11"/>
        <v>0</v>
      </c>
      <c r="DT98">
        <f t="shared" si="12"/>
        <v>0</v>
      </c>
      <c r="DU98">
        <f t="shared" si="13"/>
        <v>0</v>
      </c>
      <c r="DV98">
        <f ca="1">tblBaseCF[[#This Row],[Year]]</f>
        <v>78</v>
      </c>
      <c r="DW98">
        <f ca="1">tblBaseCF[[#This Row],[Age]]</f>
        <v>77</v>
      </c>
      <c r="DX98">
        <f ca="1">tblBaseCF[[#This Row],[ContFlag]]</f>
        <v>0</v>
      </c>
      <c r="DY98" t="str">
        <f ca="1">tblBaseCF[[#This Row],[ContLog]]</f>
        <v>Insufficient PAV for deduction - Discontinue.</v>
      </c>
      <c r="DZ98">
        <f ca="1">tblBaseCF[[#This Row],[StartTAV]]</f>
        <v>0</v>
      </c>
      <c r="EA98">
        <f ca="1">tblBaseCF[[#This Row],[StartEAV]]</f>
        <v>0</v>
      </c>
      <c r="EB98">
        <f ca="1">tblBaseCF[[#This Row],[StartPAV]]</f>
        <v>0</v>
      </c>
      <c r="EC98">
        <f ca="1">tblBaseCF[[#This Row],[SVChrg]]</f>
        <v>0</v>
      </c>
      <c r="ED98">
        <f ca="1">tblBaseCF[[#This Row],[SV]]</f>
        <v>0</v>
      </c>
      <c r="EE98">
        <f ca="1">tblBaseCF[[#This Row],[Ben]]</f>
        <v>0</v>
      </c>
      <c r="EF98">
        <f ca="1">tblBaseCF[[#This Row],[AccBen]]</f>
        <v>0</v>
      </c>
      <c r="EG98">
        <f ca="1">tblBaseCF[[#This Row],[WithdrawalInput]]</f>
        <v>0</v>
      </c>
      <c r="EH98" t="str">
        <f ca="1">tblBaseCF[[#This Row],[WithdrawalLog]]</f>
        <v>No withdrawal.</v>
      </c>
      <c r="EI98">
        <f ca="1">tblBaseCF[[#This Row],[TAVWithdrawal]]</f>
        <v>0</v>
      </c>
      <c r="EJ98">
        <f ca="1">tblBaseCF[[#This Row],[EAVWithdrawal]]</f>
        <v>0</v>
      </c>
      <c r="EK98">
        <f ca="1">tblBaseCF[[#This Row],[Withdrawal]]</f>
        <v>0</v>
      </c>
      <c r="EL98">
        <f ca="1">tblBaseCF[[#This Row],[TP]]</f>
        <v>0</v>
      </c>
      <c r="EM98">
        <f ca="1">tblBaseCF[[#This Row],[TPAllocChrg]]</f>
        <v>0</v>
      </c>
      <c r="EN98">
        <f ca="1">tblBaseCF[[#This Row],[TPAlloc]]</f>
        <v>0</v>
      </c>
      <c r="EO98">
        <f ca="1">tblBaseCF[[#This Row],[EP]]</f>
        <v>0</v>
      </c>
      <c r="EP98">
        <f ca="1">tblBaseCF[[#This Row],[EPAllocChrg]]</f>
        <v>0</v>
      </c>
      <c r="EQ98">
        <f ca="1">tblBaseCF[[#This Row],[EPAlloc]]</f>
        <v>0</v>
      </c>
      <c r="ER98">
        <f ca="1">tblBaseCF[[#This Row],[EMLoad]]</f>
        <v>0</v>
      </c>
      <c r="ES98">
        <f ca="1">tblBaseCF[[#This Row],[PMLoad]]</f>
        <v>0</v>
      </c>
      <c r="ET98">
        <f ca="1">tblBaseCF[[#This Row],[Load]]</f>
        <v>0</v>
      </c>
      <c r="EU98">
        <f ca="1">tblBaseCF[[#This Row],[LoadAllocChrg]]</f>
        <v>0</v>
      </c>
      <c r="EV98">
        <f ca="1">tblBaseCF[[#This Row],[LoadAlloc]]</f>
        <v>0</v>
      </c>
      <c r="EW98">
        <f ca="1">tblBaseCF[[#This Row],[TotalPrem]]</f>
        <v>0</v>
      </c>
      <c r="EX98">
        <f ca="1">tblBaseCF[[#This Row],[AllocChrg]]</f>
        <v>0</v>
      </c>
      <c r="EY98">
        <f ca="1">tblBaseCF[[#This Row],[Alloc]]</f>
        <v>0</v>
      </c>
      <c r="EZ98">
        <f ca="1">tblBaseCF[[#This Row],[AccumTotalPrem]]</f>
        <v>0</v>
      </c>
      <c r="FA98">
        <f>tblBaseCF[[#This Row],[AnnualIntRate]]</f>
        <v>0</v>
      </c>
      <c r="FB98" s="50">
        <f>tblBaseCF[[#This Row],[Duean1m12]]</f>
        <v>1</v>
      </c>
      <c r="FC98">
        <f ca="1">tblBaseCF[[#This Row],[DeductFlag]]</f>
        <v>0</v>
      </c>
      <c r="FD98">
        <f ca="1">tblBaseCF[[#This Row],[AdminChrg]]</f>
        <v>0</v>
      </c>
      <c r="FE98">
        <f ca="1">tblBaseCF[[#This Row],[StandardCOI]]</f>
        <v>0</v>
      </c>
      <c r="FF98">
        <f ca="1">tblBaseCF[[#This Row],[EMLoadCOI]]</f>
        <v>0</v>
      </c>
      <c r="FG98">
        <f ca="1">tblBaseCF[[#This Row],[PMLoadCOI]]</f>
        <v>0</v>
      </c>
      <c r="FH98">
        <f ca="1">tblBaseCF[[#This Row],[COI]]</f>
        <v>0</v>
      </c>
      <c r="FI98" s="47">
        <f ca="1">tblBaseCF[[#This Row],[NomDeduct]]</f>
        <v>0</v>
      </c>
      <c r="FJ98">
        <f ca="1">tblBaseCF[[#This Row],[Deduct]]</f>
        <v>0</v>
      </c>
      <c r="FK98">
        <f ca="1">tblBaseCF[[#This Row],[TAVDeduct]]</f>
        <v>0</v>
      </c>
      <c r="FL98">
        <f ca="1">tblBaseCF[[#This Row],[EAVDeduct]]</f>
        <v>0</v>
      </c>
      <c r="FM98" s="24">
        <f ca="1">tblBaseCF[[#This Row],[TAVInt]]</f>
        <v>0</v>
      </c>
      <c r="FN98">
        <f ca="1">tblBaseCF[[#This Row],[EAVInt]]</f>
        <v>0</v>
      </c>
      <c r="FO98" s="47">
        <f ca="1">tblBaseCF[[#This Row],[LB]]</f>
        <v>0</v>
      </c>
      <c r="FP98">
        <f ca="1">tblBaseCF[[#This Row],[SB]]</f>
        <v>0</v>
      </c>
      <c r="FQ98">
        <f ca="1">tblBaseCF[[#This Row],[Bonus]]</f>
        <v>0</v>
      </c>
      <c r="FR98">
        <f ca="1">tblBaseCF[[#This Row],[EndTAV]]</f>
        <v>0</v>
      </c>
      <c r="FS98">
        <f ca="1">tblBaseCF[[#This Row],[EndEAV]]</f>
        <v>0</v>
      </c>
      <c r="FT98">
        <f ca="1">tblBaseCF[[#This Row],[EndPAV]]</f>
        <v>0</v>
      </c>
      <c r="FU98">
        <f ca="1">tblBaseCF[[#This Row],[SemiAnnualTP]]</f>
        <v>0</v>
      </c>
      <c r="FV98">
        <f ca="1">tblBaseCF[[#This Row],[SemiAnnualEP]]</f>
        <v>0</v>
      </c>
      <c r="FW98">
        <f ca="1">tblBaseCF[[#This Row],[SemiAnnualEMLoad]]</f>
        <v>0</v>
      </c>
      <c r="FX98">
        <f ca="1">tblBaseCF[[#This Row],[SemiAnnualPMLoad]]</f>
        <v>0</v>
      </c>
      <c r="FY98">
        <f ca="1">tblBaseCF[[#This Row],[SemiAnnualLoad]]</f>
        <v>0</v>
      </c>
      <c r="FZ98">
        <f ca="1">tblBaseCF[[#This Row],[SemiAnnualTotalPrem]]</f>
        <v>0</v>
      </c>
      <c r="GA98">
        <f ca="1">tblBaseCF[[#This Row],[QuarterlyTP]]</f>
        <v>0</v>
      </c>
      <c r="GB98">
        <f ca="1">tblBaseCF[[#This Row],[QuarterlyEP]]</f>
        <v>0</v>
      </c>
      <c r="GC98">
        <f ca="1">tblBaseCF[[#This Row],[QuarterlyEMLoad]]</f>
        <v>0</v>
      </c>
      <c r="GD98">
        <f ca="1">tblBaseCF[[#This Row],[QuarterlyPMLoad]]</f>
        <v>0</v>
      </c>
      <c r="GE98">
        <f ca="1">tblBaseCF[[#This Row],[QuarterlyLoad]]</f>
        <v>0</v>
      </c>
      <c r="GF98">
        <f ca="1">tblBaseCF[[#This Row],[QuarterlyTotalPrem]]</f>
        <v>0</v>
      </c>
      <c r="GG98">
        <f ca="1">tblBaseCF[[#This Row],[MonthlyTP]]</f>
        <v>0</v>
      </c>
      <c r="GH98">
        <f ca="1">tblBaseCF[[#This Row],[MonthlyEP]]</f>
        <v>0</v>
      </c>
      <c r="GI98">
        <f ca="1">tblBaseCF[[#This Row],[MonthlyEMLoad]]</f>
        <v>0</v>
      </c>
      <c r="GJ98">
        <f ca="1">tblBaseCF[[#This Row],[MonthlyPMLoad]]</f>
        <v>0</v>
      </c>
      <c r="GK98">
        <f ca="1">tblBaseCF[[#This Row],[MonthlyLoad]]</f>
        <v>0</v>
      </c>
      <c r="GL98">
        <f ca="1">tblBaseCF[[#This Row],[MonthlyTotalPrem]]</f>
        <v>0</v>
      </c>
      <c r="GO98" t="s">
        <v>134</v>
      </c>
      <c r="GP98" t="s">
        <v>135</v>
      </c>
      <c r="GQ98" t="s">
        <v>502</v>
      </c>
      <c r="GR98">
        <v>78</v>
      </c>
      <c r="GS98">
        <v>77</v>
      </c>
      <c r="GT98">
        <v>1</v>
      </c>
      <c r="GU98" t="s">
        <v>457</v>
      </c>
      <c r="GV98">
        <v>866726492.15087497</v>
      </c>
      <c r="GW98">
        <v>7597863354.8343897</v>
      </c>
      <c r="GX98">
        <v>8464589846.98526</v>
      </c>
      <c r="GY98">
        <v>0</v>
      </c>
      <c r="GZ98">
        <v>8464589846.98526</v>
      </c>
      <c r="HA98">
        <v>8464589846.98526</v>
      </c>
      <c r="HB98">
        <v>0</v>
      </c>
      <c r="HC98">
        <v>0</v>
      </c>
      <c r="HD98" t="s">
        <v>137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7.0000000000000007E-2</v>
      </c>
      <c r="HX98">
        <v>0.96964931039809399</v>
      </c>
      <c r="HY98">
        <v>1</v>
      </c>
      <c r="HZ98">
        <v>300000</v>
      </c>
      <c r="IA98">
        <v>0</v>
      </c>
      <c r="IB98">
        <v>0</v>
      </c>
      <c r="IC98">
        <v>0</v>
      </c>
      <c r="ID98">
        <v>0</v>
      </c>
      <c r="IE98">
        <v>300000</v>
      </c>
      <c r="IF98">
        <v>290894.79311942798</v>
      </c>
      <c r="IG98">
        <v>290894.79311942798</v>
      </c>
      <c r="IH98">
        <v>0</v>
      </c>
      <c r="II98">
        <v>60650491.815042898</v>
      </c>
      <c r="IJ98">
        <v>531850434.83840698</v>
      </c>
      <c r="IK98">
        <v>0</v>
      </c>
      <c r="IL98">
        <v>0</v>
      </c>
      <c r="IM98">
        <v>0</v>
      </c>
      <c r="IN98">
        <v>927086089.17279804</v>
      </c>
      <c r="IO98">
        <v>8129713789.6728001</v>
      </c>
      <c r="IP98">
        <v>9056799878.8455906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</row>
    <row r="99" spans="2:268" customFormat="1" x14ac:dyDescent="0.25">
      <c r="B99" s="2">
        <f ca="1">OFFSET(tblBaseCF[[#This Row],[Year]],-1,0)+1</f>
        <v>79</v>
      </c>
      <c r="C99" s="2">
        <f ca="1">(tblBaseCF[[#This Row],[Year]]&lt;=term)*1</f>
        <v>1</v>
      </c>
      <c r="D99" s="57">
        <f ca="1">(YEAR(rcd)+tblBaseCF[[#This Row],[Year]]-1)
*tblBaseCF[[#This Row],[PolTermFlag]]</f>
        <v>2103</v>
      </c>
      <c r="E99" s="57">
        <f ca="1">(mainLI_entry_age+tblBaseCF[[#This Row],[Year]]-1)
*tblBaseCF[[#This Row],[PolTermFlag]]</f>
        <v>78</v>
      </c>
      <c r="F99" s="57">
        <f ca="1">IF(tblBaseCF[[#This Row],[Year]]=1,1,OFFSET(tblBaseCF[[#This Row],[DeductFlag]],-1,0))
*tblBaseCF[[#This Row],[PolTermFlag]]</f>
        <v>0</v>
      </c>
      <c r="G9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99" s="57">
        <f ca="1">(tblBaseCF[[#This Row],[Year]]&lt;=acc_ben_term)
*tblBaseCF[[#This Row],[ContFlag]]</f>
        <v>0</v>
      </c>
      <c r="I99" s="57">
        <f ca="1">(tblBaseCF[[#This Row],[Year]]&lt;=tp_term)
*tblBaseCF[[#This Row],[ContFlag]]</f>
        <v>0</v>
      </c>
      <c r="J99" s="57">
        <f ca="1">(tblBaseCF[[#This Row],[Year]]&lt;=ep_term)
*tblBaseCF[[#This Row],[ContFlag]]</f>
        <v>0</v>
      </c>
      <c r="K99" s="57">
        <f ca="1">(tblBaseCF[[#This Row],[Year]]&lt;=em_load_term)*1</f>
        <v>0</v>
      </c>
      <c r="L99" s="57">
        <f ca="1">(tblBaseCF[[#This Row],[Year]]&lt;=pm_load_term)*1</f>
        <v>0</v>
      </c>
      <c r="M99" s="59">
        <f ca="1">IF(tblBaseCF[[#This Row],[Year]]=1,si,OFFSET(tblBaseCF[[#This Row],[EndSI]],-1,0))
*tblBaseCF[[#This Row],[ContFlag]]</f>
        <v>0</v>
      </c>
      <c r="N99" s="59">
        <f ca="1">OFFSET(tblBaseCF[[#This Row],[EndTAV]],-1,0)
*tblBaseCF[[#This Row],[ContFlag]]</f>
        <v>0</v>
      </c>
      <c r="O99" s="59">
        <f ca="1">OFFSET(tblBaseCF[[#This Row],[EndEAV]],-1,0)
*tblBaseCF[[#This Row],[ContFlag]]</f>
        <v>0</v>
      </c>
      <c r="P99" s="60">
        <f ca="1">tblBaseCF[[#This Row],[StartEAV]]+tblBaseCF[[#This Row],[StartTAV]]</f>
        <v>0</v>
      </c>
      <c r="Q99" s="61">
        <f ca="1">IFERROR(INDEX(tblJuvenileLienRate[Rate],MATCH(tblBaseCF[[#This Row],[Age]],tblJuvenileLienRate[Age],0)),1)
*tblBaseCF[[#This Row],[ContFlag]]</f>
        <v>0</v>
      </c>
      <c r="R9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99" s="62">
        <f ca="1">tblBaseCF[[#This Row],[StartSI]]*acc_ben_coeff*tblBaseCF[[#This Row],[JuvenileLienRate]]
*tblBaseCF[[#This Row],[AccBenTermFlag]]</f>
        <v>0</v>
      </c>
      <c r="T99" s="61">
        <f ca="1">(IFERROR(INDEX(tblSurrChrgRate[Rate],MATCH(tblBaseCF[[#This Row],[Year]],tblSurrChrgRate[Year],0)),0)
*tblBaseCF[[#This Row],[ContFlag]])</f>
        <v>0</v>
      </c>
      <c r="U99" s="60">
        <f ca="1">tp*tblBaseCF[[#This Row],[SrrChrgRate]]</f>
        <v>0</v>
      </c>
      <c r="V99" s="63">
        <f ca="1">MAX(tblBaseCF[[#This Row],[StartTAV]]-tblBaseCF[[#This Row],[SVChrg]],0)+tblBaseCF[[#This Row],[StartEAV]]</f>
        <v>0</v>
      </c>
      <c r="W99" s="59">
        <f ca="1">IFERROR(INDEX(tblWithdrawal_Output[Amount],MATCH(tblBaseCF[[#This Row],[Year]],tblWithdrawal_Output[Year],0)),0)
*tblBaseCF[[#This Row],[ContFlag]]</f>
        <v>0</v>
      </c>
      <c r="X99" s="59" t="b">
        <f ca="1">tblBaseCF[[#This Row],[WithdrawalInput]]&gt;0</f>
        <v>0</v>
      </c>
      <c r="Y99" s="59" t="b">
        <f ca="1">AND(tblBaseCF[[#This Row],[1stCheckProceed]],tblBaseCF[[#This Row],[WithdrawalInput]]&lt;=tblBaseCF[[#This Row],[StartPAV]])</f>
        <v>0</v>
      </c>
      <c r="Z99" s="59" t="b">
        <f ca="1">AND(tblBaseCF[[#This Row],[2ndCheckAmount]],(tblBaseCF[[#This Row],[StartPAV]]-tblBaseCF[[#This Row],[WithdrawalInput]])&gt;=min_pav_after_withdrawal)</f>
        <v>0</v>
      </c>
      <c r="AA9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99" s="59" t="b">
        <f ca="1">AND(tblBaseCF[[#This Row],[3rdCheckPAV]],tblBaseCF[[#This Row],[endSITest]]&gt;=min_base_si)</f>
        <v>0</v>
      </c>
      <c r="AC99" s="60">
        <f ca="1">tblBaseCF[[#This Row],[WithdrawalInput]]*tblBaseCF[[#This Row],[4thCheckSI]]</f>
        <v>0</v>
      </c>
      <c r="AD99" s="60">
        <f ca="1">MIN(tblBaseCF[[#This Row],[Withdrawal]],tblBaseCF[[#This Row],[StartEAV]])</f>
        <v>0</v>
      </c>
      <c r="AE99" s="60">
        <f ca="1">tblBaseCF[[#This Row],[Withdrawal]]-tblBaseCF[[#This Row],[EAVWithdrawal]]</f>
        <v>0</v>
      </c>
      <c r="AF99" s="60">
        <f ca="1">IF(tblBaseCF[[#This Row],[4thCheckSI]],tblBaseCF[[#This Row],[endSITest]],tblBaseCF[[#This Row],[StartSI]])</f>
        <v>0</v>
      </c>
      <c r="AG9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99" s="65">
        <f ca="1">IFERROR(INDEX(tblTPAllocChrgRate[Rate],MATCH(tblBaseCF[[#This Row],[Year]],tblTPAllocChrgRate[Year],0)),0)</f>
        <v>0.02</v>
      </c>
      <c r="AI99" s="62">
        <f ca="1">(tp+big_case_bonus_tp*(tblBaseCF[[#This Row],[Year]]=1))
*tblBaseCF[[#This Row],[TPTermFlag]]</f>
        <v>0</v>
      </c>
      <c r="AJ99" s="63">
        <f ca="1">tblBaseCF[[#This Row],[TP]]*tblBaseCF[[#This Row],[TPAllocChrgRate]]</f>
        <v>0</v>
      </c>
      <c r="AK99" s="60">
        <f ca="1">tblBaseCF[[#This Row],[TP]]-tblBaseCF[[#This Row],[TPAllocChrg]]</f>
        <v>0</v>
      </c>
      <c r="AL99" s="65">
        <f ca="1">IFERROR(INDEX(tblEPAllocChrgRate[Rate],MATCH(tblBaseCF[[#This Row],[Year]],tblEPAllocChrgRate[Year],0)),0)</f>
        <v>0.02</v>
      </c>
      <c r="AM99" s="60">
        <f ca="1">ep*tblBaseCF[[#This Row],[EPTermFlag]]</f>
        <v>0</v>
      </c>
      <c r="AN99" s="60">
        <f ca="1">tblBaseCF[[#This Row],[EP]]*tblBaseCF[[#This Row],[EPAllocChrgRate]]</f>
        <v>0</v>
      </c>
      <c r="AO99" s="63">
        <f ca="1">tblBaseCF[[#This Row],[EP]]-tblBaseCF[[#This Row],[EPAllocChrg]]</f>
        <v>0</v>
      </c>
      <c r="AP99" s="62">
        <f ca="1">tblBaseCF[[#This Row],[Ben]]*extra_prem_rate*em_load/1000/(1-tblBaseCF[[#This Row],[EPAllocChrgRate]])
*tblBaseCF[[#This Row],[EMLoadTermFlag]]</f>
        <v>0</v>
      </c>
      <c r="AQ99" s="62">
        <f ca="1">tblBaseCF[[#This Row],[Ben]]*pm_load/1000/(1-tblBaseCF[[#This Row],[EPAllocChrgRate]])
*tblBaseCF[[#This Row],[PMLoadTermFlag]]</f>
        <v>0</v>
      </c>
      <c r="AR99" s="60">
        <f ca="1">ROUNDUP(tblBaseCF[[#This Row],[UnroundedEMLoad]],-3)</f>
        <v>0</v>
      </c>
      <c r="AS99" s="62">
        <f ca="1">ROUNDUP(tblBaseCF[[#This Row],[Ben]]*pm_load/1000/(1-tblBaseCF[[#This Row],[EPAllocChrgRate]]),-3)
*tblBaseCF[[#This Row],[PMLoadTermFlag]]</f>
        <v>0</v>
      </c>
      <c r="AT99" s="60">
        <f ca="1">tblBaseCF[[#This Row],[EMLoad]]+tblBaseCF[[#This Row],[PMLoad]]</f>
        <v>0</v>
      </c>
      <c r="AU99" s="60">
        <f ca="1">tblBaseCF[[#This Row],[Load]]*tblBaseCF[[#This Row],[EPAllocChrgRate]]</f>
        <v>0</v>
      </c>
      <c r="AV99" s="60">
        <f ca="1">tblBaseCF[[#This Row],[Load]]-tblBaseCF[[#This Row],[LoadAllocChrg]]</f>
        <v>0</v>
      </c>
      <c r="AW99" s="60">
        <f ca="1">tblBaseCF[[#This Row],[TP]]+tblBaseCF[[#This Row],[EP]]+tblBaseCF[[#This Row],[Load]]</f>
        <v>0</v>
      </c>
      <c r="AX99" s="60">
        <f ca="1">tblBaseCF[[#This Row],[TPAllocChrg]]+tblBaseCF[[#This Row],[EPAllocChrg]]+tblBaseCF[[#This Row],[LoadAllocChrg]]</f>
        <v>0</v>
      </c>
      <c r="AY99" s="60">
        <f ca="1">tblBaseCF[[#This Row],[TPAlloc]]+tblBaseCF[[#This Row],[EPAlloc]]+tblBaseCF[[#This Row],[LoadAlloc]]</f>
        <v>0</v>
      </c>
      <c r="AZ99" s="60">
        <f ca="1">(OFFSET(tblBaseCF[[#This Row],[AccumTotalPrem]],-1,0)+tblBaseCF[[#This Row],[TotalPrem]])*tblBaseCF[[#This Row],[TPTermFlag]]</f>
        <v>0</v>
      </c>
      <c r="BA99" s="62">
        <f ca="1">(tblBaseCF[[#This Row],[StartTAV]]-tblBaseCF[[#This Row],[TAVWithdrawal]]+tblBaseCF[[#This Row],[TPAlloc]])
*tblBaseCF[[#This Row],[ContFlag]]</f>
        <v>0</v>
      </c>
      <c r="BB99" s="59">
        <f ca="1">(tblBaseCF[[#This Row],[StartEAV]]-tblBaseCF[[#This Row],[EAVWithdrawal]]+tblBaseCF[[#This Row],[EPAlloc]]+tblBaseCF[[#This Row],[LoadAlloc]])
*tblBaseCF[[#This Row],[ContFlag]]</f>
        <v>0</v>
      </c>
      <c r="BC99" s="59">
        <f ca="1">tblBaseCF[[#This Row],[TAVAfterWdrlAlloc]]+tblBaseCF[[#This Row],[EAVAfterWdrlAlloc]]</f>
        <v>0</v>
      </c>
      <c r="BD99" s="66">
        <f t="shared" si="10"/>
        <v>0</v>
      </c>
      <c r="BE99" s="67">
        <f>(1+tblBaseCF[[#This Row],[AnnualIntRate]])^(1/12)-1</f>
        <v>0</v>
      </c>
      <c r="BF99" s="68">
        <f>IFERROR(((1+tblBaseCF[[#This Row],[MonthlyIntRate]])^12-1)/12/(1-1/(1+tblBaseCF[[#This Row],[MonthlyIntRate]])),1)/(1+tblBaseCF[[#This Row],[AnnualIntRate]])</f>
        <v>1</v>
      </c>
      <c r="BG99" s="69">
        <f>PV(tblBaseCF[[#This Row],[MonthlyIntRate]],12,-1/12,,1)</f>
        <v>1</v>
      </c>
      <c r="BH99" s="60">
        <f ca="1">MAX(IF(death_tpd_option="A",tblBaseCF[[#This Row],[Ben]]-tblBaseCF[[#This Row],[StartPAV]],tblBaseCF[[#This Row],[Ben]]),0)</f>
        <v>0</v>
      </c>
      <c r="BI99" s="70">
        <f ca="1">IFERROR(INDEX(tblBaseCOIRate[Rate],MATCH(tblBaseCF[[#This Row],[Age]],tblBaseCOIRate[Age],0)),0)</f>
        <v>5.6320000000000002E-2</v>
      </c>
      <c r="BJ99" s="60">
        <f ca="1">tblBaseCF[[#This Row],[SAR]]*tblBaseCF[[#This Row],[COIRate]]</f>
        <v>0</v>
      </c>
      <c r="BK99" s="62">
        <f ca="1">em_load*tblBaseCF[[#This Row],[pStandardCOI]]
*tblBaseCF[[#This Row],[EMLoadTermFlag]]</f>
        <v>0</v>
      </c>
      <c r="BL99" s="62">
        <f ca="1">pm_load/1000*tblBaseCF[[#This Row],[SAR]]
*tblBaseCF[[#This Row],[PMLoadTermFlag]]</f>
        <v>0</v>
      </c>
      <c r="BM99" s="60">
        <f ca="1">tblBaseCF[[#This Row],[AccBen]]*monthly_acc_coi*12</f>
        <v>0</v>
      </c>
      <c r="BN99" s="60">
        <f ca="1">tblBaseCF[[#This Row],[pStandardCOI]]+tblBaseCF[[#This Row],[pEMLoadCOI]]+tblBaseCF[[#This Row],[pPMLoadCOI]]+tblBaseCF[[#This Row],[pAccCOI]]</f>
        <v>0</v>
      </c>
      <c r="BO99" s="62">
        <f ca="1">IFERROR(INDEX(tblAdminChrg[Amount],MATCH(tblBaseCF[[#This Row],[CalYear]],tblAdminChrg[Cal_Year],0)),0)
*tblBaseCF[[#This Row],[ContFlag]]</f>
        <v>0</v>
      </c>
      <c r="BP99" s="60">
        <f ca="1">tblBaseCF[[#This Row],[pMonthlyAdminChrg]]*12</f>
        <v>0</v>
      </c>
      <c r="BQ99" s="60">
        <f ca="1">tblBaseCF[[#This Row],[pCOI]]+tblBaseCF[[#This Row],[pAdminChrg]]</f>
        <v>0</v>
      </c>
      <c r="BR99" s="60">
        <f ca="1">tblBaseCF[[#This Row],[pNomDeduct]]*tblBaseCF[[#This Row],[Duean1m12]]</f>
        <v>0</v>
      </c>
      <c r="BS99" s="57">
        <f ca="1">(tblBaseCF[[#This Row],[PAVAfterWdrlAlloc]]&gt;=tblBaseCF[[#This Row],[pNomDeduct]])
*tblBaseCF[[#This Row],[ContFlag]]</f>
        <v>0</v>
      </c>
      <c r="BT99" s="60">
        <f ca="1">tblBaseCF[[#This Row],[pStandardCOI]]*tblBaseCF[[#This Row],[DeductFlag]]</f>
        <v>0</v>
      </c>
      <c r="BU99" s="60">
        <f ca="1">tblBaseCF[[#This Row],[pEMLoadCOI]]*tblBaseCF[[#This Row],[DeductFlag]]</f>
        <v>0</v>
      </c>
      <c r="BV99" s="60">
        <f ca="1">tblBaseCF[[#This Row],[pPMLoadCOI]]*tblBaseCF[[#This Row],[DeductFlag]]</f>
        <v>0</v>
      </c>
      <c r="BW99" s="60">
        <f ca="1">tblBaseCF[[#This Row],[pAccCOI]]*tblBaseCF[[#This Row],[DeductFlag]]</f>
        <v>0</v>
      </c>
      <c r="BX99" s="60">
        <f ca="1">tblBaseCF[[#This Row],[pCOI]]*tblBaseCF[[#This Row],[DeductFlag]]</f>
        <v>0</v>
      </c>
      <c r="BY99" s="60">
        <f ca="1">tblBaseCF[[#This Row],[pMonthlyAdminChrg]]*tblBaseCF[[#This Row],[DeductFlag]]</f>
        <v>0</v>
      </c>
      <c r="BZ99" s="60">
        <f ca="1">tblBaseCF[[#This Row],[pAdminChrg]]*tblBaseCF[[#This Row],[DeductFlag]]</f>
        <v>0</v>
      </c>
      <c r="CA99" s="60">
        <f ca="1">tblBaseCF[[#This Row],[pNomDeduct]]*tblBaseCF[[#This Row],[DeductFlag]]</f>
        <v>0</v>
      </c>
      <c r="CB99" s="60">
        <f ca="1">tblBaseCF[[#This Row],[pDeduct]]*tblBaseCF[[#This Row],[DeductFlag]]</f>
        <v>0</v>
      </c>
      <c r="CC99" s="60">
        <f ca="1">MIN(tblBaseCF[[#This Row],[TAVAfterWdrlAlloc]],tblBaseCF[[#This Row],[Deduct]])</f>
        <v>0</v>
      </c>
      <c r="CD99" s="60">
        <f ca="1">tblBaseCF[[#This Row],[Deduct]]-tblBaseCF[[#This Row],[TAVDeduct]]</f>
        <v>0</v>
      </c>
      <c r="CE99" s="69">
        <f ca="1">(tblBaseCF[[#This Row],[TAVAfterWdrlAlloc]]-tblBaseCF[[#This Row],[TAVDeduct]])*tblBaseCF[[#This Row],[AnnualIntRate]]
*tblBaseCF[[#This Row],[DeductFlag]]</f>
        <v>0</v>
      </c>
      <c r="CF99" s="69">
        <f ca="1">(tblBaseCF[[#This Row],[EAVAfterWdrlAlloc]]-tblBaseCF[[#This Row],[EAVDeduct]])*tblBaseCF[[#This Row],[AnnualIntRate]]
*tblBaseCF[[#This Row],[DeductFlag]]</f>
        <v>0</v>
      </c>
      <c r="CG99" s="69">
        <f ca="1">tblBaseCF[[#This Row],[TAVInt]]+tblBaseCF[[#This Row],[EAVInt]]</f>
        <v>0</v>
      </c>
      <c r="CH99" s="62">
        <f ca="1">IFERROR(INDEX(tblLBRate[Rate],MATCH(tblBaseCF[[#This Row],[Year]],tblLBRate[Year],0)),0)
*tblBaseCF[[#This Row],[DeductFlag]]</f>
        <v>0</v>
      </c>
      <c r="CI99" s="60">
        <f ca="1">IFERROR(SUM(OFFSET(tblBaseCF[[#This Row],[TAVWithdrawal]],0,0,-lb_review_period,1)),0)
*(tblBaseCF[[#This Row],[LBRate]]&gt;0)</f>
        <v>0</v>
      </c>
      <c r="CJ99" s="60">
        <f ca="1">(tblBaseCF[[#This Row],[LBRate]]&gt;0)*(tblBaseCF[[#This Row],[LBTAVWithdrawal]]=0)</f>
        <v>0</v>
      </c>
      <c r="CK99" s="62" cm="1">
        <f t="array" aca="1" ref="CK99" ca="1">IF(tblBaseCF[[#This Row],[LBFlag]],
_xlfn.SWITCH(base,
"ILP1",AVERAGE(OFFSET(tblBaseCF[TP],0,0,-lb_review_period,1)),tp),0)
*tblBaseCF[[#This Row],[LBFlag]]</f>
        <v>0</v>
      </c>
      <c r="CL99" s="62">
        <f ca="1">tblBaseCF[[#This Row],[LBBasis]]*tblBaseCF[[#This Row],[LBRate]]</f>
        <v>0</v>
      </c>
      <c r="CM99" s="57" cm="1">
        <f t="array" aca="1" ref="CM99" ca="1">_xlfn.SWITCH(base,
"ILP1",0,($AF199&lt;500000000)*1
+($AF199&gt;=500000000)*($AF199&lt;1000000000)*2
+($AF199&gt;=1000000000)*3)
*tblBaseCF[[#This Row],[DeductFlag]]</f>
        <v>0</v>
      </c>
      <c r="CN99" s="2" t="str">
        <f ca="1">IF(tblBaseCF[[#This Row],[DeductFlag]],base&amp;"_"&amp;tblBaseCF[[#This Row],[SBCode]]&amp;"_"&amp;tblBaseCF[[#This Row],[Year]],"")</f>
        <v/>
      </c>
      <c r="CO99" s="3">
        <f ca="1">IFERROR(INDEX(tblSBRate[Index],MATCH(tblBaseCF[[#This Row],[SBIndex]],tblSBRate[Rate],0)),0)</f>
        <v>0</v>
      </c>
      <c r="CP99" s="63">
        <f ca="1">IFERROR(SUM(OFFSET(tblBaseCF[[#This Row],[TAVWithdrawal]],0,0,-sb_review_period,1)),0)
*(tblBaseCF[[#This Row],[SBRate]]&gt;0)</f>
        <v>0</v>
      </c>
      <c r="CQ99" s="63">
        <f ca="1">(tblBaseCF[[#This Row],[SBRate]]&gt;0)*(tblBaseCF[[#This Row],[SBTAVWithdrawal]]=0)</f>
        <v>0</v>
      </c>
      <c r="CR99" s="59" cm="1">
        <f t="array" aca="1" ref="CR99" ca="1">IF(tblBaseCF[[#This Row],[LBFlag]],
_xlfn.SWITCH(base,
"ILP1",0,tp),0)*tblBaseCF[[#This Row],[SBFlag]]</f>
        <v>0</v>
      </c>
      <c r="CS99" s="63">
        <f ca="1">tblBaseCF[[#This Row],[SBBasis]]*tblBaseCF[[#This Row],[SBRate]]</f>
        <v>0</v>
      </c>
      <c r="CT99" s="63">
        <f ca="1">tblBaseCF[[#This Row],[LB]]+tblBaseCF[[#This Row],[SB]]</f>
        <v>0</v>
      </c>
      <c r="CU99" s="59">
        <f ca="1">tblBaseCF[[#This Row],[TAVAfterWdrlAlloc]]-tblBaseCF[[#This Row],[TAVDeduct]]+tblBaseCF[[#This Row],[TAVInt]]+tblBaseCF[[#This Row],[Bonus]]</f>
        <v>0</v>
      </c>
      <c r="CV99" s="59">
        <f ca="1">tblBaseCF[[#This Row],[EAVAfterWdrlAlloc]]-tblBaseCF[[#This Row],[EAVDeduct]]+tblBaseCF[[#This Row],[EAVInt]]</f>
        <v>0</v>
      </c>
      <c r="CW99" s="63">
        <f ca="1">tblBaseCF[[#This Row],[EndTAV]]+tblBaseCF[[#This Row],[EndEAV]]</f>
        <v>0</v>
      </c>
      <c r="CX99" s="59">
        <f ca="1">INDEX(tblPlanPrem[TP],2)
*tblBaseCF[[#This Row],[TPTermFlag]]</f>
        <v>0</v>
      </c>
      <c r="CY99" s="59">
        <f ca="1">INDEX(tblPlanPrem[EP],2)
*tblBaseCF[[#This Row],[TPTermFlag]]</f>
        <v>0</v>
      </c>
      <c r="CZ99" s="63">
        <f ca="1">ROUNDUP(tblBaseCF[[#This Row],[UnroundedEMLoad]]*INDEX(tblPlanPrem[Factor],2),-3)</f>
        <v>0</v>
      </c>
      <c r="DA99" s="63">
        <f ca="1">ROUNDUP(tblBaseCF[[#This Row],[UnroundedPMLoad]]*INDEX(tblPlanPrem[Factor],2),-3)</f>
        <v>0</v>
      </c>
      <c r="DB99" s="63">
        <f ca="1">tblBaseCF[[#This Row],[SemiAnnualEMLoad]]+tblBaseCF[[#This Row],[SemiAnnualPMLoad]]</f>
        <v>0</v>
      </c>
      <c r="DC99" s="63">
        <f ca="1">tblBaseCF[[#This Row],[SemiAnnualTP]]+tblBaseCF[[#This Row],[SemiAnnualEP]]+tblBaseCF[[#This Row],[SemiAnnualLoad]]</f>
        <v>0</v>
      </c>
      <c r="DD99" s="59">
        <f ca="1">INDEX(tblPlanPrem[TP],3)
*tblBaseCF[[#This Row],[TPTermFlag]]</f>
        <v>0</v>
      </c>
      <c r="DE99" s="59">
        <f ca="1">INDEX(tblPlanPrem[EP],3)
*tblBaseCF[[#This Row],[TPTermFlag]]</f>
        <v>0</v>
      </c>
      <c r="DF99" s="63">
        <f ca="1">ROUNDUP(tblBaseCF[[#This Row],[UnroundedEMLoad]]*INDEX(tblPlanPrem[Factor],3),-3)</f>
        <v>0</v>
      </c>
      <c r="DG99" s="63">
        <f ca="1">ROUNDUP(tblBaseCF[[#This Row],[UnroundedPMLoad]]*INDEX(tblPlanPrem[Factor],3),-3)</f>
        <v>0</v>
      </c>
      <c r="DH99" s="60">
        <f ca="1">tblBaseCF[[#This Row],[QuarterlyEMLoad]]+tblBaseCF[[#This Row],[QuarterlyPMLoad]]</f>
        <v>0</v>
      </c>
      <c r="DI99" s="60">
        <f ca="1">tblBaseCF[[#This Row],[QuarterlyTP]]+tblBaseCF[[#This Row],[QuarterlyEP]]+tblBaseCF[[#This Row],[QuarterlyLoad]]</f>
        <v>0</v>
      </c>
      <c r="DJ99" s="59">
        <f ca="1">INDEX(tblPlanPrem[TP],4)
*tblBaseCF[[#This Row],[TPTermFlag]]</f>
        <v>0</v>
      </c>
      <c r="DK99" s="59">
        <f ca="1">INDEX(tblPlanPrem[EP],4)
*tblBaseCF[[#This Row],[TPTermFlag]]</f>
        <v>0</v>
      </c>
      <c r="DL99" s="63">
        <f ca="1">ROUNDUP(tblBaseCF[[#This Row],[UnroundedEMLoad]]*INDEX(tblPlanPrem[Factor],4),-3)</f>
        <v>0</v>
      </c>
      <c r="DM99" s="63">
        <f ca="1">ROUNDUP(tblBaseCF[[#This Row],[UnroundedPMLoad]]*INDEX(tblPlanPrem[Factor],4),-3)</f>
        <v>0</v>
      </c>
      <c r="DN99" s="60">
        <f ca="1">tblBaseCF[[#This Row],[MonthlyEMLoad]]+tblBaseCF[[#This Row],[MonthlyPMLoad]]</f>
        <v>0</v>
      </c>
      <c r="DO99" s="63">
        <f ca="1">tblBaseCF[[#This Row],[MonthlyTP]]+tblBaseCF[[#This Row],[MonthlyEP]]+tblBaseCF[[#This Row],[MonthlyLoad]]</f>
        <v>0</v>
      </c>
      <c r="DP99" s="3"/>
      <c r="DS99">
        <f t="shared" si="11"/>
        <v>0</v>
      </c>
      <c r="DT99">
        <f t="shared" si="12"/>
        <v>0</v>
      </c>
      <c r="DU99">
        <f t="shared" si="13"/>
        <v>0</v>
      </c>
      <c r="DV99">
        <f ca="1">tblBaseCF[[#This Row],[Year]]</f>
        <v>79</v>
      </c>
      <c r="DW99">
        <f ca="1">tblBaseCF[[#This Row],[Age]]</f>
        <v>78</v>
      </c>
      <c r="DX99">
        <f ca="1">tblBaseCF[[#This Row],[ContFlag]]</f>
        <v>0</v>
      </c>
      <c r="DY99" t="str">
        <f ca="1">tblBaseCF[[#This Row],[ContLog]]</f>
        <v>Insufficient PAV for deduction - Discontinue.</v>
      </c>
      <c r="DZ99">
        <f ca="1">tblBaseCF[[#This Row],[StartTAV]]</f>
        <v>0</v>
      </c>
      <c r="EA99">
        <f ca="1">tblBaseCF[[#This Row],[StartEAV]]</f>
        <v>0</v>
      </c>
      <c r="EB99">
        <f ca="1">tblBaseCF[[#This Row],[StartPAV]]</f>
        <v>0</v>
      </c>
      <c r="EC99">
        <f ca="1">tblBaseCF[[#This Row],[SVChrg]]</f>
        <v>0</v>
      </c>
      <c r="ED99">
        <f ca="1">tblBaseCF[[#This Row],[SV]]</f>
        <v>0</v>
      </c>
      <c r="EE99">
        <f ca="1">tblBaseCF[[#This Row],[Ben]]</f>
        <v>0</v>
      </c>
      <c r="EF99">
        <f ca="1">tblBaseCF[[#This Row],[AccBen]]</f>
        <v>0</v>
      </c>
      <c r="EG99">
        <f ca="1">tblBaseCF[[#This Row],[WithdrawalInput]]</f>
        <v>0</v>
      </c>
      <c r="EH99" t="str">
        <f ca="1">tblBaseCF[[#This Row],[WithdrawalLog]]</f>
        <v>No withdrawal.</v>
      </c>
      <c r="EI99">
        <f ca="1">tblBaseCF[[#This Row],[TAVWithdrawal]]</f>
        <v>0</v>
      </c>
      <c r="EJ99">
        <f ca="1">tblBaseCF[[#This Row],[EAVWithdrawal]]</f>
        <v>0</v>
      </c>
      <c r="EK99">
        <f ca="1">tblBaseCF[[#This Row],[Withdrawal]]</f>
        <v>0</v>
      </c>
      <c r="EL99">
        <f ca="1">tblBaseCF[[#This Row],[TP]]</f>
        <v>0</v>
      </c>
      <c r="EM99">
        <f ca="1">tblBaseCF[[#This Row],[TPAllocChrg]]</f>
        <v>0</v>
      </c>
      <c r="EN99">
        <f ca="1">tblBaseCF[[#This Row],[TPAlloc]]</f>
        <v>0</v>
      </c>
      <c r="EO99">
        <f ca="1">tblBaseCF[[#This Row],[EP]]</f>
        <v>0</v>
      </c>
      <c r="EP99">
        <f ca="1">tblBaseCF[[#This Row],[EPAllocChrg]]</f>
        <v>0</v>
      </c>
      <c r="EQ99">
        <f ca="1">tblBaseCF[[#This Row],[EPAlloc]]</f>
        <v>0</v>
      </c>
      <c r="ER99">
        <f ca="1">tblBaseCF[[#This Row],[EMLoad]]</f>
        <v>0</v>
      </c>
      <c r="ES99">
        <f ca="1">tblBaseCF[[#This Row],[PMLoad]]</f>
        <v>0</v>
      </c>
      <c r="ET99">
        <f ca="1">tblBaseCF[[#This Row],[Load]]</f>
        <v>0</v>
      </c>
      <c r="EU99">
        <f ca="1">tblBaseCF[[#This Row],[LoadAllocChrg]]</f>
        <v>0</v>
      </c>
      <c r="EV99">
        <f ca="1">tblBaseCF[[#This Row],[LoadAlloc]]</f>
        <v>0</v>
      </c>
      <c r="EW99">
        <f ca="1">tblBaseCF[[#This Row],[TotalPrem]]</f>
        <v>0</v>
      </c>
      <c r="EX99">
        <f ca="1">tblBaseCF[[#This Row],[AllocChrg]]</f>
        <v>0</v>
      </c>
      <c r="EY99">
        <f ca="1">tblBaseCF[[#This Row],[Alloc]]</f>
        <v>0</v>
      </c>
      <c r="EZ99">
        <f ca="1">tblBaseCF[[#This Row],[AccumTotalPrem]]</f>
        <v>0</v>
      </c>
      <c r="FA99">
        <f>tblBaseCF[[#This Row],[AnnualIntRate]]</f>
        <v>0</v>
      </c>
      <c r="FB99" s="50">
        <f>tblBaseCF[[#This Row],[Duean1m12]]</f>
        <v>1</v>
      </c>
      <c r="FC99">
        <f ca="1">tblBaseCF[[#This Row],[DeductFlag]]</f>
        <v>0</v>
      </c>
      <c r="FD99">
        <f ca="1">tblBaseCF[[#This Row],[AdminChrg]]</f>
        <v>0</v>
      </c>
      <c r="FE99">
        <f ca="1">tblBaseCF[[#This Row],[StandardCOI]]</f>
        <v>0</v>
      </c>
      <c r="FF99">
        <f ca="1">tblBaseCF[[#This Row],[EMLoadCOI]]</f>
        <v>0</v>
      </c>
      <c r="FG99">
        <f ca="1">tblBaseCF[[#This Row],[PMLoadCOI]]</f>
        <v>0</v>
      </c>
      <c r="FH99">
        <f ca="1">tblBaseCF[[#This Row],[COI]]</f>
        <v>0</v>
      </c>
      <c r="FI99" s="47">
        <f ca="1">tblBaseCF[[#This Row],[NomDeduct]]</f>
        <v>0</v>
      </c>
      <c r="FJ99">
        <f ca="1">tblBaseCF[[#This Row],[Deduct]]</f>
        <v>0</v>
      </c>
      <c r="FK99">
        <f ca="1">tblBaseCF[[#This Row],[TAVDeduct]]</f>
        <v>0</v>
      </c>
      <c r="FL99">
        <f ca="1">tblBaseCF[[#This Row],[EAVDeduct]]</f>
        <v>0</v>
      </c>
      <c r="FM99" s="24">
        <f ca="1">tblBaseCF[[#This Row],[TAVInt]]</f>
        <v>0</v>
      </c>
      <c r="FN99">
        <f ca="1">tblBaseCF[[#This Row],[EAVInt]]</f>
        <v>0</v>
      </c>
      <c r="FO99" s="47">
        <f ca="1">tblBaseCF[[#This Row],[LB]]</f>
        <v>0</v>
      </c>
      <c r="FP99">
        <f ca="1">tblBaseCF[[#This Row],[SB]]</f>
        <v>0</v>
      </c>
      <c r="FQ99">
        <f ca="1">tblBaseCF[[#This Row],[Bonus]]</f>
        <v>0</v>
      </c>
      <c r="FR99">
        <f ca="1">tblBaseCF[[#This Row],[EndTAV]]</f>
        <v>0</v>
      </c>
      <c r="FS99">
        <f ca="1">tblBaseCF[[#This Row],[EndEAV]]</f>
        <v>0</v>
      </c>
      <c r="FT99">
        <f ca="1">tblBaseCF[[#This Row],[EndPAV]]</f>
        <v>0</v>
      </c>
      <c r="FU99">
        <f ca="1">tblBaseCF[[#This Row],[SemiAnnualTP]]</f>
        <v>0</v>
      </c>
      <c r="FV99">
        <f ca="1">tblBaseCF[[#This Row],[SemiAnnualEP]]</f>
        <v>0</v>
      </c>
      <c r="FW99">
        <f ca="1">tblBaseCF[[#This Row],[SemiAnnualEMLoad]]</f>
        <v>0</v>
      </c>
      <c r="FX99">
        <f ca="1">tblBaseCF[[#This Row],[SemiAnnualPMLoad]]</f>
        <v>0</v>
      </c>
      <c r="FY99">
        <f ca="1">tblBaseCF[[#This Row],[SemiAnnualLoad]]</f>
        <v>0</v>
      </c>
      <c r="FZ99">
        <f ca="1">tblBaseCF[[#This Row],[SemiAnnualTotalPrem]]</f>
        <v>0</v>
      </c>
      <c r="GA99">
        <f ca="1">tblBaseCF[[#This Row],[QuarterlyTP]]</f>
        <v>0</v>
      </c>
      <c r="GB99">
        <f ca="1">tblBaseCF[[#This Row],[QuarterlyEP]]</f>
        <v>0</v>
      </c>
      <c r="GC99">
        <f ca="1">tblBaseCF[[#This Row],[QuarterlyEMLoad]]</f>
        <v>0</v>
      </c>
      <c r="GD99">
        <f ca="1">tblBaseCF[[#This Row],[QuarterlyPMLoad]]</f>
        <v>0</v>
      </c>
      <c r="GE99">
        <f ca="1">tblBaseCF[[#This Row],[QuarterlyLoad]]</f>
        <v>0</v>
      </c>
      <c r="GF99">
        <f ca="1">tblBaseCF[[#This Row],[QuarterlyTotalPrem]]</f>
        <v>0</v>
      </c>
      <c r="GG99">
        <f ca="1">tblBaseCF[[#This Row],[MonthlyTP]]</f>
        <v>0</v>
      </c>
      <c r="GH99">
        <f ca="1">tblBaseCF[[#This Row],[MonthlyEP]]</f>
        <v>0</v>
      </c>
      <c r="GI99">
        <f ca="1">tblBaseCF[[#This Row],[MonthlyEMLoad]]</f>
        <v>0</v>
      </c>
      <c r="GJ99">
        <f ca="1">tblBaseCF[[#This Row],[MonthlyPMLoad]]</f>
        <v>0</v>
      </c>
      <c r="GK99">
        <f ca="1">tblBaseCF[[#This Row],[MonthlyLoad]]</f>
        <v>0</v>
      </c>
      <c r="GL99">
        <f ca="1">tblBaseCF[[#This Row],[MonthlyTotalPrem]]</f>
        <v>0</v>
      </c>
      <c r="GO99" t="s">
        <v>134</v>
      </c>
      <c r="GP99" t="s">
        <v>135</v>
      </c>
      <c r="GQ99" t="s">
        <v>502</v>
      </c>
      <c r="GR99">
        <v>79</v>
      </c>
      <c r="GS99">
        <v>78</v>
      </c>
      <c r="GT99">
        <v>1</v>
      </c>
      <c r="GU99" t="s">
        <v>457</v>
      </c>
      <c r="GV99">
        <v>927086089.17279804</v>
      </c>
      <c r="GW99">
        <v>8129713789.6728001</v>
      </c>
      <c r="GX99">
        <v>9056799878.8455906</v>
      </c>
      <c r="GY99">
        <v>0</v>
      </c>
      <c r="GZ99">
        <v>9056799878.8455906</v>
      </c>
      <c r="HA99">
        <v>9056799878.8455906</v>
      </c>
      <c r="HB99">
        <v>0</v>
      </c>
      <c r="HC99">
        <v>0</v>
      </c>
      <c r="HD99" t="s">
        <v>137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7.0000000000000007E-2</v>
      </c>
      <c r="HX99">
        <v>0.96964931039809399</v>
      </c>
      <c r="HY99">
        <v>1</v>
      </c>
      <c r="HZ99">
        <v>300000</v>
      </c>
      <c r="IA99">
        <v>0</v>
      </c>
      <c r="IB99">
        <v>0</v>
      </c>
      <c r="IC99">
        <v>0</v>
      </c>
      <c r="ID99">
        <v>0</v>
      </c>
      <c r="IE99">
        <v>300000</v>
      </c>
      <c r="IF99">
        <v>290894.79311942798</v>
      </c>
      <c r="IG99">
        <v>290894.79311942798</v>
      </c>
      <c r="IH99">
        <v>0</v>
      </c>
      <c r="II99">
        <v>64875663.606577501</v>
      </c>
      <c r="IJ99">
        <v>569079965.27709603</v>
      </c>
      <c r="IK99">
        <v>0</v>
      </c>
      <c r="IL99">
        <v>0</v>
      </c>
      <c r="IM99">
        <v>0</v>
      </c>
      <c r="IN99">
        <v>991670857.986256</v>
      </c>
      <c r="IO99">
        <v>8698793754.9498901</v>
      </c>
      <c r="IP99">
        <v>9690464612.9361496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</row>
    <row r="100" spans="2:268" customFormat="1" x14ac:dyDescent="0.25">
      <c r="B100" s="2">
        <f ca="1">OFFSET(tblBaseCF[[#This Row],[Year]],-1,0)+1</f>
        <v>80</v>
      </c>
      <c r="C100" s="2">
        <f ca="1">(tblBaseCF[[#This Row],[Year]]&lt;=term)*1</f>
        <v>1</v>
      </c>
      <c r="D100" s="57">
        <f ca="1">(YEAR(rcd)+tblBaseCF[[#This Row],[Year]]-1)
*tblBaseCF[[#This Row],[PolTermFlag]]</f>
        <v>2104</v>
      </c>
      <c r="E100" s="57">
        <f ca="1">(mainLI_entry_age+tblBaseCF[[#This Row],[Year]]-1)
*tblBaseCF[[#This Row],[PolTermFlag]]</f>
        <v>79</v>
      </c>
      <c r="F100" s="57">
        <f ca="1">IF(tblBaseCF[[#This Row],[Year]]=1,1,OFFSET(tblBaseCF[[#This Row],[DeductFlag]],-1,0))
*tblBaseCF[[#This Row],[PolTermFlag]]</f>
        <v>0</v>
      </c>
      <c r="G10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0" s="57">
        <f ca="1">(tblBaseCF[[#This Row],[Year]]&lt;=acc_ben_term)
*tblBaseCF[[#This Row],[ContFlag]]</f>
        <v>0</v>
      </c>
      <c r="I100" s="57">
        <f ca="1">(tblBaseCF[[#This Row],[Year]]&lt;=tp_term)
*tblBaseCF[[#This Row],[ContFlag]]</f>
        <v>0</v>
      </c>
      <c r="J100" s="57">
        <f ca="1">(tblBaseCF[[#This Row],[Year]]&lt;=ep_term)
*tblBaseCF[[#This Row],[ContFlag]]</f>
        <v>0</v>
      </c>
      <c r="K100" s="57">
        <f ca="1">(tblBaseCF[[#This Row],[Year]]&lt;=em_load_term)*1</f>
        <v>0</v>
      </c>
      <c r="L100" s="57">
        <f ca="1">(tblBaseCF[[#This Row],[Year]]&lt;=pm_load_term)*1</f>
        <v>0</v>
      </c>
      <c r="M100" s="59">
        <f ca="1">IF(tblBaseCF[[#This Row],[Year]]=1,si,OFFSET(tblBaseCF[[#This Row],[EndSI]],-1,0))
*tblBaseCF[[#This Row],[ContFlag]]</f>
        <v>0</v>
      </c>
      <c r="N100" s="59">
        <f ca="1">OFFSET(tblBaseCF[[#This Row],[EndTAV]],-1,0)
*tblBaseCF[[#This Row],[ContFlag]]</f>
        <v>0</v>
      </c>
      <c r="O100" s="59">
        <f ca="1">OFFSET(tblBaseCF[[#This Row],[EndEAV]],-1,0)
*tblBaseCF[[#This Row],[ContFlag]]</f>
        <v>0</v>
      </c>
      <c r="P100" s="60">
        <f ca="1">tblBaseCF[[#This Row],[StartEAV]]+tblBaseCF[[#This Row],[StartTAV]]</f>
        <v>0</v>
      </c>
      <c r="Q100" s="61">
        <f ca="1">IFERROR(INDEX(tblJuvenileLienRate[Rate],MATCH(tblBaseCF[[#This Row],[Age]],tblJuvenileLienRate[Age],0)),1)
*tblBaseCF[[#This Row],[ContFlag]]</f>
        <v>0</v>
      </c>
      <c r="R10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0" s="62">
        <f ca="1">tblBaseCF[[#This Row],[StartSI]]*acc_ben_coeff*tblBaseCF[[#This Row],[JuvenileLienRate]]
*tblBaseCF[[#This Row],[AccBenTermFlag]]</f>
        <v>0</v>
      </c>
      <c r="T100" s="61">
        <f ca="1">(IFERROR(INDEX(tblSurrChrgRate[Rate],MATCH(tblBaseCF[[#This Row],[Year]],tblSurrChrgRate[Year],0)),0)
*tblBaseCF[[#This Row],[ContFlag]])</f>
        <v>0</v>
      </c>
      <c r="U100" s="60">
        <f ca="1">tp*tblBaseCF[[#This Row],[SrrChrgRate]]</f>
        <v>0</v>
      </c>
      <c r="V100" s="63">
        <f ca="1">MAX(tblBaseCF[[#This Row],[StartTAV]]-tblBaseCF[[#This Row],[SVChrg]],0)+tblBaseCF[[#This Row],[StartEAV]]</f>
        <v>0</v>
      </c>
      <c r="W100" s="59">
        <f ca="1">IFERROR(INDEX(tblWithdrawal_Output[Amount],MATCH(tblBaseCF[[#This Row],[Year]],tblWithdrawal_Output[Year],0)),0)
*tblBaseCF[[#This Row],[ContFlag]]</f>
        <v>0</v>
      </c>
      <c r="X100" s="59" t="b">
        <f ca="1">tblBaseCF[[#This Row],[WithdrawalInput]]&gt;0</f>
        <v>0</v>
      </c>
      <c r="Y100" s="59" t="b">
        <f ca="1">AND(tblBaseCF[[#This Row],[1stCheckProceed]],tblBaseCF[[#This Row],[WithdrawalInput]]&lt;=tblBaseCF[[#This Row],[StartPAV]])</f>
        <v>0</v>
      </c>
      <c r="Z100" s="59" t="b">
        <f ca="1">AND(tblBaseCF[[#This Row],[2ndCheckAmount]],(tblBaseCF[[#This Row],[StartPAV]]-tblBaseCF[[#This Row],[WithdrawalInput]])&gt;=min_pav_after_withdrawal)</f>
        <v>0</v>
      </c>
      <c r="AA10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0" s="59" t="b">
        <f ca="1">AND(tblBaseCF[[#This Row],[3rdCheckPAV]],tblBaseCF[[#This Row],[endSITest]]&gt;=min_base_si)</f>
        <v>0</v>
      </c>
      <c r="AC100" s="60">
        <f ca="1">tblBaseCF[[#This Row],[WithdrawalInput]]*tblBaseCF[[#This Row],[4thCheckSI]]</f>
        <v>0</v>
      </c>
      <c r="AD100" s="60">
        <f ca="1">MIN(tblBaseCF[[#This Row],[Withdrawal]],tblBaseCF[[#This Row],[StartEAV]])</f>
        <v>0</v>
      </c>
      <c r="AE100" s="60">
        <f ca="1">tblBaseCF[[#This Row],[Withdrawal]]-tblBaseCF[[#This Row],[EAVWithdrawal]]</f>
        <v>0</v>
      </c>
      <c r="AF100" s="60">
        <f ca="1">IF(tblBaseCF[[#This Row],[4thCheckSI]],tblBaseCF[[#This Row],[endSITest]],tblBaseCF[[#This Row],[StartSI]])</f>
        <v>0</v>
      </c>
      <c r="AG10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0" s="65">
        <f ca="1">IFERROR(INDEX(tblTPAllocChrgRate[Rate],MATCH(tblBaseCF[[#This Row],[Year]],tblTPAllocChrgRate[Year],0)),0)</f>
        <v>0.02</v>
      </c>
      <c r="AI100" s="62">
        <f ca="1">(tp+big_case_bonus_tp*(tblBaseCF[[#This Row],[Year]]=1))
*tblBaseCF[[#This Row],[TPTermFlag]]</f>
        <v>0</v>
      </c>
      <c r="AJ100" s="63">
        <f ca="1">tblBaseCF[[#This Row],[TP]]*tblBaseCF[[#This Row],[TPAllocChrgRate]]</f>
        <v>0</v>
      </c>
      <c r="AK100" s="60">
        <f ca="1">tblBaseCF[[#This Row],[TP]]-tblBaseCF[[#This Row],[TPAllocChrg]]</f>
        <v>0</v>
      </c>
      <c r="AL100" s="65">
        <f ca="1">IFERROR(INDEX(tblEPAllocChrgRate[Rate],MATCH(tblBaseCF[[#This Row],[Year]],tblEPAllocChrgRate[Year],0)),0)</f>
        <v>0.02</v>
      </c>
      <c r="AM100" s="60">
        <f ca="1">ep*tblBaseCF[[#This Row],[EPTermFlag]]</f>
        <v>0</v>
      </c>
      <c r="AN100" s="60">
        <f ca="1">tblBaseCF[[#This Row],[EP]]*tblBaseCF[[#This Row],[EPAllocChrgRate]]</f>
        <v>0</v>
      </c>
      <c r="AO100" s="63">
        <f ca="1">tblBaseCF[[#This Row],[EP]]-tblBaseCF[[#This Row],[EPAllocChrg]]</f>
        <v>0</v>
      </c>
      <c r="AP100" s="62">
        <f ca="1">tblBaseCF[[#This Row],[Ben]]*extra_prem_rate*em_load/1000/(1-tblBaseCF[[#This Row],[EPAllocChrgRate]])
*tblBaseCF[[#This Row],[EMLoadTermFlag]]</f>
        <v>0</v>
      </c>
      <c r="AQ100" s="62">
        <f ca="1">tblBaseCF[[#This Row],[Ben]]*pm_load/1000/(1-tblBaseCF[[#This Row],[EPAllocChrgRate]])
*tblBaseCF[[#This Row],[PMLoadTermFlag]]</f>
        <v>0</v>
      </c>
      <c r="AR100" s="60">
        <f ca="1">ROUNDUP(tblBaseCF[[#This Row],[UnroundedEMLoad]],-3)</f>
        <v>0</v>
      </c>
      <c r="AS100" s="62">
        <f ca="1">ROUNDUP(tblBaseCF[[#This Row],[Ben]]*pm_load/1000/(1-tblBaseCF[[#This Row],[EPAllocChrgRate]]),-3)
*tblBaseCF[[#This Row],[PMLoadTermFlag]]</f>
        <v>0</v>
      </c>
      <c r="AT100" s="60">
        <f ca="1">tblBaseCF[[#This Row],[EMLoad]]+tblBaseCF[[#This Row],[PMLoad]]</f>
        <v>0</v>
      </c>
      <c r="AU100" s="60">
        <f ca="1">tblBaseCF[[#This Row],[Load]]*tblBaseCF[[#This Row],[EPAllocChrgRate]]</f>
        <v>0</v>
      </c>
      <c r="AV100" s="60">
        <f ca="1">tblBaseCF[[#This Row],[Load]]-tblBaseCF[[#This Row],[LoadAllocChrg]]</f>
        <v>0</v>
      </c>
      <c r="AW100" s="60">
        <f ca="1">tblBaseCF[[#This Row],[TP]]+tblBaseCF[[#This Row],[EP]]+tblBaseCF[[#This Row],[Load]]</f>
        <v>0</v>
      </c>
      <c r="AX100" s="60">
        <f ca="1">tblBaseCF[[#This Row],[TPAllocChrg]]+tblBaseCF[[#This Row],[EPAllocChrg]]+tblBaseCF[[#This Row],[LoadAllocChrg]]</f>
        <v>0</v>
      </c>
      <c r="AY100" s="60">
        <f ca="1">tblBaseCF[[#This Row],[TPAlloc]]+tblBaseCF[[#This Row],[EPAlloc]]+tblBaseCF[[#This Row],[LoadAlloc]]</f>
        <v>0</v>
      </c>
      <c r="AZ100" s="60">
        <f ca="1">(OFFSET(tblBaseCF[[#This Row],[AccumTotalPrem]],-1,0)+tblBaseCF[[#This Row],[TotalPrem]])*tblBaseCF[[#This Row],[TPTermFlag]]</f>
        <v>0</v>
      </c>
      <c r="BA100" s="62">
        <f ca="1">(tblBaseCF[[#This Row],[StartTAV]]-tblBaseCF[[#This Row],[TAVWithdrawal]]+tblBaseCF[[#This Row],[TPAlloc]])
*tblBaseCF[[#This Row],[ContFlag]]</f>
        <v>0</v>
      </c>
      <c r="BB100" s="59">
        <f ca="1">(tblBaseCF[[#This Row],[StartEAV]]-tblBaseCF[[#This Row],[EAVWithdrawal]]+tblBaseCF[[#This Row],[EPAlloc]]+tblBaseCF[[#This Row],[LoadAlloc]])
*tblBaseCF[[#This Row],[ContFlag]]</f>
        <v>0</v>
      </c>
      <c r="BC100" s="59">
        <f ca="1">tblBaseCF[[#This Row],[TAVAfterWdrlAlloc]]+tblBaseCF[[#This Row],[EAVAfterWdrlAlloc]]</f>
        <v>0</v>
      </c>
      <c r="BD100" s="66">
        <f t="shared" si="10"/>
        <v>0</v>
      </c>
      <c r="BE100" s="67">
        <f>(1+tblBaseCF[[#This Row],[AnnualIntRate]])^(1/12)-1</f>
        <v>0</v>
      </c>
      <c r="BF100" s="68">
        <f>IFERROR(((1+tblBaseCF[[#This Row],[MonthlyIntRate]])^12-1)/12/(1-1/(1+tblBaseCF[[#This Row],[MonthlyIntRate]])),1)/(1+tblBaseCF[[#This Row],[AnnualIntRate]])</f>
        <v>1</v>
      </c>
      <c r="BG100" s="69">
        <f>PV(tblBaseCF[[#This Row],[MonthlyIntRate]],12,-1/12,,1)</f>
        <v>1</v>
      </c>
      <c r="BH100" s="60">
        <f ca="1">MAX(IF(death_tpd_option="A",tblBaseCF[[#This Row],[Ben]]-tblBaseCF[[#This Row],[StartPAV]],tblBaseCF[[#This Row],[Ben]]),0)</f>
        <v>0</v>
      </c>
      <c r="BI100" s="70">
        <f ca="1">IFERROR(INDEX(tblBaseCOIRate[Rate],MATCH(tblBaseCF[[#This Row],[Age]],tblBaseCOIRate[Age],0)),0)</f>
        <v>6.2570000000000001E-2</v>
      </c>
      <c r="BJ100" s="60">
        <f ca="1">tblBaseCF[[#This Row],[SAR]]*tblBaseCF[[#This Row],[COIRate]]</f>
        <v>0</v>
      </c>
      <c r="BK100" s="62">
        <f ca="1">em_load*tblBaseCF[[#This Row],[pStandardCOI]]
*tblBaseCF[[#This Row],[EMLoadTermFlag]]</f>
        <v>0</v>
      </c>
      <c r="BL100" s="62">
        <f ca="1">pm_load/1000*tblBaseCF[[#This Row],[SAR]]
*tblBaseCF[[#This Row],[PMLoadTermFlag]]</f>
        <v>0</v>
      </c>
      <c r="BM100" s="60">
        <f ca="1">tblBaseCF[[#This Row],[AccBen]]*monthly_acc_coi*12</f>
        <v>0</v>
      </c>
      <c r="BN100" s="60">
        <f ca="1">tblBaseCF[[#This Row],[pStandardCOI]]+tblBaseCF[[#This Row],[pEMLoadCOI]]+tblBaseCF[[#This Row],[pPMLoadCOI]]+tblBaseCF[[#This Row],[pAccCOI]]</f>
        <v>0</v>
      </c>
      <c r="BO100" s="62">
        <f ca="1">IFERROR(INDEX(tblAdminChrg[Amount],MATCH(tblBaseCF[[#This Row],[CalYear]],tblAdminChrg[Cal_Year],0)),0)
*tblBaseCF[[#This Row],[ContFlag]]</f>
        <v>0</v>
      </c>
      <c r="BP100" s="60">
        <f ca="1">tblBaseCF[[#This Row],[pMonthlyAdminChrg]]*12</f>
        <v>0</v>
      </c>
      <c r="BQ100" s="60">
        <f ca="1">tblBaseCF[[#This Row],[pCOI]]+tblBaseCF[[#This Row],[pAdminChrg]]</f>
        <v>0</v>
      </c>
      <c r="BR100" s="60">
        <f ca="1">tblBaseCF[[#This Row],[pNomDeduct]]*tblBaseCF[[#This Row],[Duean1m12]]</f>
        <v>0</v>
      </c>
      <c r="BS100" s="57">
        <f ca="1">(tblBaseCF[[#This Row],[PAVAfterWdrlAlloc]]&gt;=tblBaseCF[[#This Row],[pNomDeduct]])
*tblBaseCF[[#This Row],[ContFlag]]</f>
        <v>0</v>
      </c>
      <c r="BT100" s="60">
        <f ca="1">tblBaseCF[[#This Row],[pStandardCOI]]*tblBaseCF[[#This Row],[DeductFlag]]</f>
        <v>0</v>
      </c>
      <c r="BU100" s="60">
        <f ca="1">tblBaseCF[[#This Row],[pEMLoadCOI]]*tblBaseCF[[#This Row],[DeductFlag]]</f>
        <v>0</v>
      </c>
      <c r="BV100" s="60">
        <f ca="1">tblBaseCF[[#This Row],[pPMLoadCOI]]*tblBaseCF[[#This Row],[DeductFlag]]</f>
        <v>0</v>
      </c>
      <c r="BW100" s="60">
        <f ca="1">tblBaseCF[[#This Row],[pAccCOI]]*tblBaseCF[[#This Row],[DeductFlag]]</f>
        <v>0</v>
      </c>
      <c r="BX100" s="60">
        <f ca="1">tblBaseCF[[#This Row],[pCOI]]*tblBaseCF[[#This Row],[DeductFlag]]</f>
        <v>0</v>
      </c>
      <c r="BY100" s="60">
        <f ca="1">tblBaseCF[[#This Row],[pMonthlyAdminChrg]]*tblBaseCF[[#This Row],[DeductFlag]]</f>
        <v>0</v>
      </c>
      <c r="BZ100" s="60">
        <f ca="1">tblBaseCF[[#This Row],[pAdminChrg]]*tblBaseCF[[#This Row],[DeductFlag]]</f>
        <v>0</v>
      </c>
      <c r="CA100" s="60">
        <f ca="1">tblBaseCF[[#This Row],[pNomDeduct]]*tblBaseCF[[#This Row],[DeductFlag]]</f>
        <v>0</v>
      </c>
      <c r="CB100" s="60">
        <f ca="1">tblBaseCF[[#This Row],[pDeduct]]*tblBaseCF[[#This Row],[DeductFlag]]</f>
        <v>0</v>
      </c>
      <c r="CC100" s="60">
        <f ca="1">MIN(tblBaseCF[[#This Row],[TAVAfterWdrlAlloc]],tblBaseCF[[#This Row],[Deduct]])</f>
        <v>0</v>
      </c>
      <c r="CD100" s="60">
        <f ca="1">tblBaseCF[[#This Row],[Deduct]]-tblBaseCF[[#This Row],[TAVDeduct]]</f>
        <v>0</v>
      </c>
      <c r="CE100" s="69">
        <f ca="1">(tblBaseCF[[#This Row],[TAVAfterWdrlAlloc]]-tblBaseCF[[#This Row],[TAVDeduct]])*tblBaseCF[[#This Row],[AnnualIntRate]]
*tblBaseCF[[#This Row],[DeductFlag]]</f>
        <v>0</v>
      </c>
      <c r="CF100" s="69">
        <f ca="1">(tblBaseCF[[#This Row],[EAVAfterWdrlAlloc]]-tblBaseCF[[#This Row],[EAVDeduct]])*tblBaseCF[[#This Row],[AnnualIntRate]]
*tblBaseCF[[#This Row],[DeductFlag]]</f>
        <v>0</v>
      </c>
      <c r="CG100" s="69">
        <f ca="1">tblBaseCF[[#This Row],[TAVInt]]+tblBaseCF[[#This Row],[EAVInt]]</f>
        <v>0</v>
      </c>
      <c r="CH100" s="62">
        <f ca="1">IFERROR(INDEX(tblLBRate[Rate],MATCH(tblBaseCF[[#This Row],[Year]],tblLBRate[Year],0)),0)
*tblBaseCF[[#This Row],[DeductFlag]]</f>
        <v>0</v>
      </c>
      <c r="CI100" s="60">
        <f ca="1">IFERROR(SUM(OFFSET(tblBaseCF[[#This Row],[TAVWithdrawal]],0,0,-lb_review_period,1)),0)
*(tblBaseCF[[#This Row],[LBRate]]&gt;0)</f>
        <v>0</v>
      </c>
      <c r="CJ100" s="60">
        <f ca="1">(tblBaseCF[[#This Row],[LBRate]]&gt;0)*(tblBaseCF[[#This Row],[LBTAVWithdrawal]]=0)</f>
        <v>0</v>
      </c>
      <c r="CK100" s="62" cm="1">
        <f t="array" aca="1" ref="CK100" ca="1">IF(tblBaseCF[[#This Row],[LBFlag]],
_xlfn.SWITCH(base,
"ILP1",AVERAGE(OFFSET(tblBaseCF[TP],0,0,-lb_review_period,1)),tp),0)
*tblBaseCF[[#This Row],[LBFlag]]</f>
        <v>0</v>
      </c>
      <c r="CL100" s="62">
        <f ca="1">tblBaseCF[[#This Row],[LBBasis]]*tblBaseCF[[#This Row],[LBRate]]</f>
        <v>0</v>
      </c>
      <c r="CM100" s="57" cm="1">
        <f t="array" aca="1" ref="CM100" ca="1">_xlfn.SWITCH(base,
"ILP1",0,($AF200&lt;500000000)*1
+($AF200&gt;=500000000)*($AF200&lt;1000000000)*2
+($AF200&gt;=1000000000)*3)
*tblBaseCF[[#This Row],[DeductFlag]]</f>
        <v>0</v>
      </c>
      <c r="CN100" s="2" t="str">
        <f ca="1">IF(tblBaseCF[[#This Row],[DeductFlag]],base&amp;"_"&amp;tblBaseCF[[#This Row],[SBCode]]&amp;"_"&amp;tblBaseCF[[#This Row],[Year]],"")</f>
        <v/>
      </c>
      <c r="CO100" s="3">
        <f ca="1">IFERROR(INDEX(tblSBRate[Index],MATCH(tblBaseCF[[#This Row],[SBIndex]],tblSBRate[Rate],0)),0)</f>
        <v>0</v>
      </c>
      <c r="CP100" s="63">
        <f ca="1">IFERROR(SUM(OFFSET(tblBaseCF[[#This Row],[TAVWithdrawal]],0,0,-sb_review_period,1)),0)
*(tblBaseCF[[#This Row],[SBRate]]&gt;0)</f>
        <v>0</v>
      </c>
      <c r="CQ100" s="63">
        <f ca="1">(tblBaseCF[[#This Row],[SBRate]]&gt;0)*(tblBaseCF[[#This Row],[SBTAVWithdrawal]]=0)</f>
        <v>0</v>
      </c>
      <c r="CR100" s="59" cm="1">
        <f t="array" aca="1" ref="CR100" ca="1">IF(tblBaseCF[[#This Row],[LBFlag]],
_xlfn.SWITCH(base,
"ILP1",0,tp),0)*tblBaseCF[[#This Row],[SBFlag]]</f>
        <v>0</v>
      </c>
      <c r="CS100" s="63">
        <f ca="1">tblBaseCF[[#This Row],[SBBasis]]*tblBaseCF[[#This Row],[SBRate]]</f>
        <v>0</v>
      </c>
      <c r="CT100" s="63">
        <f ca="1">tblBaseCF[[#This Row],[LB]]+tblBaseCF[[#This Row],[SB]]</f>
        <v>0</v>
      </c>
      <c r="CU100" s="59">
        <f ca="1">tblBaseCF[[#This Row],[TAVAfterWdrlAlloc]]-tblBaseCF[[#This Row],[TAVDeduct]]+tblBaseCF[[#This Row],[TAVInt]]+tblBaseCF[[#This Row],[Bonus]]</f>
        <v>0</v>
      </c>
      <c r="CV100" s="59">
        <f ca="1">tblBaseCF[[#This Row],[EAVAfterWdrlAlloc]]-tblBaseCF[[#This Row],[EAVDeduct]]+tblBaseCF[[#This Row],[EAVInt]]</f>
        <v>0</v>
      </c>
      <c r="CW100" s="63">
        <f ca="1">tblBaseCF[[#This Row],[EndTAV]]+tblBaseCF[[#This Row],[EndEAV]]</f>
        <v>0</v>
      </c>
      <c r="CX100" s="59">
        <f ca="1">INDEX(tblPlanPrem[TP],2)
*tblBaseCF[[#This Row],[TPTermFlag]]</f>
        <v>0</v>
      </c>
      <c r="CY100" s="59">
        <f ca="1">INDEX(tblPlanPrem[EP],2)
*tblBaseCF[[#This Row],[TPTermFlag]]</f>
        <v>0</v>
      </c>
      <c r="CZ100" s="63">
        <f ca="1">ROUNDUP(tblBaseCF[[#This Row],[UnroundedEMLoad]]*INDEX(tblPlanPrem[Factor],2),-3)</f>
        <v>0</v>
      </c>
      <c r="DA100" s="63">
        <f ca="1">ROUNDUP(tblBaseCF[[#This Row],[UnroundedPMLoad]]*INDEX(tblPlanPrem[Factor],2),-3)</f>
        <v>0</v>
      </c>
      <c r="DB100" s="63">
        <f ca="1">tblBaseCF[[#This Row],[SemiAnnualEMLoad]]+tblBaseCF[[#This Row],[SemiAnnualPMLoad]]</f>
        <v>0</v>
      </c>
      <c r="DC100" s="63">
        <f ca="1">tblBaseCF[[#This Row],[SemiAnnualTP]]+tblBaseCF[[#This Row],[SemiAnnualEP]]+tblBaseCF[[#This Row],[SemiAnnualLoad]]</f>
        <v>0</v>
      </c>
      <c r="DD100" s="59">
        <f ca="1">INDEX(tblPlanPrem[TP],3)
*tblBaseCF[[#This Row],[TPTermFlag]]</f>
        <v>0</v>
      </c>
      <c r="DE100" s="59">
        <f ca="1">INDEX(tblPlanPrem[EP],3)
*tblBaseCF[[#This Row],[TPTermFlag]]</f>
        <v>0</v>
      </c>
      <c r="DF100" s="63">
        <f ca="1">ROUNDUP(tblBaseCF[[#This Row],[UnroundedEMLoad]]*INDEX(tblPlanPrem[Factor],3),-3)</f>
        <v>0</v>
      </c>
      <c r="DG100" s="63">
        <f ca="1">ROUNDUP(tblBaseCF[[#This Row],[UnroundedPMLoad]]*INDEX(tblPlanPrem[Factor],3),-3)</f>
        <v>0</v>
      </c>
      <c r="DH100" s="60">
        <f ca="1">tblBaseCF[[#This Row],[QuarterlyEMLoad]]+tblBaseCF[[#This Row],[QuarterlyPMLoad]]</f>
        <v>0</v>
      </c>
      <c r="DI100" s="60">
        <f ca="1">tblBaseCF[[#This Row],[QuarterlyTP]]+tblBaseCF[[#This Row],[QuarterlyEP]]+tblBaseCF[[#This Row],[QuarterlyLoad]]</f>
        <v>0</v>
      </c>
      <c r="DJ100" s="59">
        <f ca="1">INDEX(tblPlanPrem[TP],4)
*tblBaseCF[[#This Row],[TPTermFlag]]</f>
        <v>0</v>
      </c>
      <c r="DK100" s="59">
        <f ca="1">INDEX(tblPlanPrem[EP],4)
*tblBaseCF[[#This Row],[TPTermFlag]]</f>
        <v>0</v>
      </c>
      <c r="DL100" s="63">
        <f ca="1">ROUNDUP(tblBaseCF[[#This Row],[UnroundedEMLoad]]*INDEX(tblPlanPrem[Factor],4),-3)</f>
        <v>0</v>
      </c>
      <c r="DM100" s="63">
        <f ca="1">ROUNDUP(tblBaseCF[[#This Row],[UnroundedPMLoad]]*INDEX(tblPlanPrem[Factor],4),-3)</f>
        <v>0</v>
      </c>
      <c r="DN100" s="60">
        <f ca="1">tblBaseCF[[#This Row],[MonthlyEMLoad]]+tblBaseCF[[#This Row],[MonthlyPMLoad]]</f>
        <v>0</v>
      </c>
      <c r="DO100" s="63">
        <f ca="1">tblBaseCF[[#This Row],[MonthlyTP]]+tblBaseCF[[#This Row],[MonthlyEP]]+tblBaseCF[[#This Row],[MonthlyLoad]]</f>
        <v>0</v>
      </c>
      <c r="DP100" s="3"/>
      <c r="DS100">
        <f t="shared" si="11"/>
        <v>0</v>
      </c>
      <c r="DT100">
        <f t="shared" si="12"/>
        <v>0</v>
      </c>
      <c r="DU100">
        <f t="shared" si="13"/>
        <v>0</v>
      </c>
      <c r="DV100">
        <f ca="1">tblBaseCF[[#This Row],[Year]]</f>
        <v>80</v>
      </c>
      <c r="DW100">
        <f ca="1">tblBaseCF[[#This Row],[Age]]</f>
        <v>79</v>
      </c>
      <c r="DX100">
        <f ca="1">tblBaseCF[[#This Row],[ContFlag]]</f>
        <v>0</v>
      </c>
      <c r="DY100" t="str">
        <f ca="1">tblBaseCF[[#This Row],[ContLog]]</f>
        <v>Insufficient PAV for deduction - Discontinue.</v>
      </c>
      <c r="DZ100">
        <f ca="1">tblBaseCF[[#This Row],[StartTAV]]</f>
        <v>0</v>
      </c>
      <c r="EA100">
        <f ca="1">tblBaseCF[[#This Row],[StartEAV]]</f>
        <v>0</v>
      </c>
      <c r="EB100">
        <f ca="1">tblBaseCF[[#This Row],[StartPAV]]</f>
        <v>0</v>
      </c>
      <c r="EC100">
        <f ca="1">tblBaseCF[[#This Row],[SVChrg]]</f>
        <v>0</v>
      </c>
      <c r="ED100">
        <f ca="1">tblBaseCF[[#This Row],[SV]]</f>
        <v>0</v>
      </c>
      <c r="EE100">
        <f ca="1">tblBaseCF[[#This Row],[Ben]]</f>
        <v>0</v>
      </c>
      <c r="EF100">
        <f ca="1">tblBaseCF[[#This Row],[AccBen]]</f>
        <v>0</v>
      </c>
      <c r="EG100">
        <f ca="1">tblBaseCF[[#This Row],[WithdrawalInput]]</f>
        <v>0</v>
      </c>
      <c r="EH100" t="str">
        <f ca="1">tblBaseCF[[#This Row],[WithdrawalLog]]</f>
        <v>No withdrawal.</v>
      </c>
      <c r="EI100">
        <f ca="1">tblBaseCF[[#This Row],[TAVWithdrawal]]</f>
        <v>0</v>
      </c>
      <c r="EJ100">
        <f ca="1">tblBaseCF[[#This Row],[EAVWithdrawal]]</f>
        <v>0</v>
      </c>
      <c r="EK100">
        <f ca="1">tblBaseCF[[#This Row],[Withdrawal]]</f>
        <v>0</v>
      </c>
      <c r="EL100">
        <f ca="1">tblBaseCF[[#This Row],[TP]]</f>
        <v>0</v>
      </c>
      <c r="EM100">
        <f ca="1">tblBaseCF[[#This Row],[TPAllocChrg]]</f>
        <v>0</v>
      </c>
      <c r="EN100">
        <f ca="1">tblBaseCF[[#This Row],[TPAlloc]]</f>
        <v>0</v>
      </c>
      <c r="EO100">
        <f ca="1">tblBaseCF[[#This Row],[EP]]</f>
        <v>0</v>
      </c>
      <c r="EP100">
        <f ca="1">tblBaseCF[[#This Row],[EPAllocChrg]]</f>
        <v>0</v>
      </c>
      <c r="EQ100">
        <f ca="1">tblBaseCF[[#This Row],[EPAlloc]]</f>
        <v>0</v>
      </c>
      <c r="ER100">
        <f ca="1">tblBaseCF[[#This Row],[EMLoad]]</f>
        <v>0</v>
      </c>
      <c r="ES100">
        <f ca="1">tblBaseCF[[#This Row],[PMLoad]]</f>
        <v>0</v>
      </c>
      <c r="ET100">
        <f ca="1">tblBaseCF[[#This Row],[Load]]</f>
        <v>0</v>
      </c>
      <c r="EU100">
        <f ca="1">tblBaseCF[[#This Row],[LoadAllocChrg]]</f>
        <v>0</v>
      </c>
      <c r="EV100">
        <f ca="1">tblBaseCF[[#This Row],[LoadAlloc]]</f>
        <v>0</v>
      </c>
      <c r="EW100">
        <f ca="1">tblBaseCF[[#This Row],[TotalPrem]]</f>
        <v>0</v>
      </c>
      <c r="EX100">
        <f ca="1">tblBaseCF[[#This Row],[AllocChrg]]</f>
        <v>0</v>
      </c>
      <c r="EY100">
        <f ca="1">tblBaseCF[[#This Row],[Alloc]]</f>
        <v>0</v>
      </c>
      <c r="EZ100">
        <f ca="1">tblBaseCF[[#This Row],[AccumTotalPrem]]</f>
        <v>0</v>
      </c>
      <c r="FA100">
        <f>tblBaseCF[[#This Row],[AnnualIntRate]]</f>
        <v>0</v>
      </c>
      <c r="FB100" s="50">
        <f>tblBaseCF[[#This Row],[Duean1m12]]</f>
        <v>1</v>
      </c>
      <c r="FC100">
        <f ca="1">tblBaseCF[[#This Row],[DeductFlag]]</f>
        <v>0</v>
      </c>
      <c r="FD100">
        <f ca="1">tblBaseCF[[#This Row],[AdminChrg]]</f>
        <v>0</v>
      </c>
      <c r="FE100">
        <f ca="1">tblBaseCF[[#This Row],[StandardCOI]]</f>
        <v>0</v>
      </c>
      <c r="FF100">
        <f ca="1">tblBaseCF[[#This Row],[EMLoadCOI]]</f>
        <v>0</v>
      </c>
      <c r="FG100">
        <f ca="1">tblBaseCF[[#This Row],[PMLoadCOI]]</f>
        <v>0</v>
      </c>
      <c r="FH100">
        <f ca="1">tblBaseCF[[#This Row],[COI]]</f>
        <v>0</v>
      </c>
      <c r="FI100" s="47">
        <f ca="1">tblBaseCF[[#This Row],[NomDeduct]]</f>
        <v>0</v>
      </c>
      <c r="FJ100">
        <f ca="1">tblBaseCF[[#This Row],[Deduct]]</f>
        <v>0</v>
      </c>
      <c r="FK100">
        <f ca="1">tblBaseCF[[#This Row],[TAVDeduct]]</f>
        <v>0</v>
      </c>
      <c r="FL100">
        <f ca="1">tblBaseCF[[#This Row],[EAVDeduct]]</f>
        <v>0</v>
      </c>
      <c r="FM100" s="24">
        <f ca="1">tblBaseCF[[#This Row],[TAVInt]]</f>
        <v>0</v>
      </c>
      <c r="FN100">
        <f ca="1">tblBaseCF[[#This Row],[EAVInt]]</f>
        <v>0</v>
      </c>
      <c r="FO100" s="47">
        <f ca="1">tblBaseCF[[#This Row],[LB]]</f>
        <v>0</v>
      </c>
      <c r="FP100">
        <f ca="1">tblBaseCF[[#This Row],[SB]]</f>
        <v>0</v>
      </c>
      <c r="FQ100">
        <f ca="1">tblBaseCF[[#This Row],[Bonus]]</f>
        <v>0</v>
      </c>
      <c r="FR100">
        <f ca="1">tblBaseCF[[#This Row],[EndTAV]]</f>
        <v>0</v>
      </c>
      <c r="FS100">
        <f ca="1">tblBaseCF[[#This Row],[EndEAV]]</f>
        <v>0</v>
      </c>
      <c r="FT100">
        <f ca="1">tblBaseCF[[#This Row],[EndPAV]]</f>
        <v>0</v>
      </c>
      <c r="FU100">
        <f ca="1">tblBaseCF[[#This Row],[SemiAnnualTP]]</f>
        <v>0</v>
      </c>
      <c r="FV100">
        <f ca="1">tblBaseCF[[#This Row],[SemiAnnualEP]]</f>
        <v>0</v>
      </c>
      <c r="FW100">
        <f ca="1">tblBaseCF[[#This Row],[SemiAnnualEMLoad]]</f>
        <v>0</v>
      </c>
      <c r="FX100">
        <f ca="1">tblBaseCF[[#This Row],[SemiAnnualPMLoad]]</f>
        <v>0</v>
      </c>
      <c r="FY100">
        <f ca="1">tblBaseCF[[#This Row],[SemiAnnualLoad]]</f>
        <v>0</v>
      </c>
      <c r="FZ100">
        <f ca="1">tblBaseCF[[#This Row],[SemiAnnualTotalPrem]]</f>
        <v>0</v>
      </c>
      <c r="GA100">
        <f ca="1">tblBaseCF[[#This Row],[QuarterlyTP]]</f>
        <v>0</v>
      </c>
      <c r="GB100">
        <f ca="1">tblBaseCF[[#This Row],[QuarterlyEP]]</f>
        <v>0</v>
      </c>
      <c r="GC100">
        <f ca="1">tblBaseCF[[#This Row],[QuarterlyEMLoad]]</f>
        <v>0</v>
      </c>
      <c r="GD100">
        <f ca="1">tblBaseCF[[#This Row],[QuarterlyPMLoad]]</f>
        <v>0</v>
      </c>
      <c r="GE100">
        <f ca="1">tblBaseCF[[#This Row],[QuarterlyLoad]]</f>
        <v>0</v>
      </c>
      <c r="GF100">
        <f ca="1">tblBaseCF[[#This Row],[QuarterlyTotalPrem]]</f>
        <v>0</v>
      </c>
      <c r="GG100">
        <f ca="1">tblBaseCF[[#This Row],[MonthlyTP]]</f>
        <v>0</v>
      </c>
      <c r="GH100">
        <f ca="1">tblBaseCF[[#This Row],[MonthlyEP]]</f>
        <v>0</v>
      </c>
      <c r="GI100">
        <f ca="1">tblBaseCF[[#This Row],[MonthlyEMLoad]]</f>
        <v>0</v>
      </c>
      <c r="GJ100">
        <f ca="1">tblBaseCF[[#This Row],[MonthlyPMLoad]]</f>
        <v>0</v>
      </c>
      <c r="GK100">
        <f ca="1">tblBaseCF[[#This Row],[MonthlyLoad]]</f>
        <v>0</v>
      </c>
      <c r="GL100">
        <f ca="1">tblBaseCF[[#This Row],[MonthlyTotalPrem]]</f>
        <v>0</v>
      </c>
      <c r="GO100" t="s">
        <v>134</v>
      </c>
      <c r="GP100" t="s">
        <v>135</v>
      </c>
      <c r="GQ100" t="s">
        <v>502</v>
      </c>
      <c r="GR100">
        <v>80</v>
      </c>
      <c r="GS100">
        <v>79</v>
      </c>
      <c r="GT100">
        <v>1</v>
      </c>
      <c r="GU100" t="s">
        <v>457</v>
      </c>
      <c r="GV100">
        <v>991670857.986256</v>
      </c>
      <c r="GW100">
        <v>8698793754.9498901</v>
      </c>
      <c r="GX100">
        <v>9690464612.9361496</v>
      </c>
      <c r="GY100">
        <v>0</v>
      </c>
      <c r="GZ100">
        <v>9690464612.9361496</v>
      </c>
      <c r="HA100">
        <v>9690464612.9361496</v>
      </c>
      <c r="HB100">
        <v>0</v>
      </c>
      <c r="HC100">
        <v>0</v>
      </c>
      <c r="HD100" t="s">
        <v>137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7.0000000000000007E-2</v>
      </c>
      <c r="HX100">
        <v>0.96964931039809399</v>
      </c>
      <c r="HY100">
        <v>1</v>
      </c>
      <c r="HZ100">
        <v>300000</v>
      </c>
      <c r="IA100">
        <v>0</v>
      </c>
      <c r="IB100">
        <v>0</v>
      </c>
      <c r="IC100">
        <v>0</v>
      </c>
      <c r="ID100">
        <v>0</v>
      </c>
      <c r="IE100">
        <v>300000</v>
      </c>
      <c r="IF100">
        <v>290894.79311942798</v>
      </c>
      <c r="IG100">
        <v>290894.79311942798</v>
      </c>
      <c r="IH100">
        <v>0</v>
      </c>
      <c r="II100">
        <v>69396597.423519596</v>
      </c>
      <c r="IJ100">
        <v>608915562.84649205</v>
      </c>
      <c r="IK100">
        <v>0</v>
      </c>
      <c r="IL100">
        <v>0</v>
      </c>
      <c r="IM100">
        <v>0</v>
      </c>
      <c r="IN100">
        <v>1060776560.61666</v>
      </c>
      <c r="IO100">
        <v>9307709317.7963791</v>
      </c>
      <c r="IP100">
        <v>10368485878.413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</row>
    <row r="101" spans="2:268" customFormat="1" x14ac:dyDescent="0.25">
      <c r="B101" s="2">
        <f ca="1">OFFSET(tblBaseCF[[#This Row],[Year]],-1,0)+1</f>
        <v>81</v>
      </c>
      <c r="C101" s="2">
        <f ca="1">(tblBaseCF[[#This Row],[Year]]&lt;=term)*1</f>
        <v>1</v>
      </c>
      <c r="D101" s="57">
        <f ca="1">(YEAR(rcd)+tblBaseCF[[#This Row],[Year]]-1)
*tblBaseCF[[#This Row],[PolTermFlag]]</f>
        <v>2105</v>
      </c>
      <c r="E101" s="57">
        <f ca="1">(mainLI_entry_age+tblBaseCF[[#This Row],[Year]]-1)
*tblBaseCF[[#This Row],[PolTermFlag]]</f>
        <v>80</v>
      </c>
      <c r="F101" s="57">
        <f ca="1">IF(tblBaseCF[[#This Row],[Year]]=1,1,OFFSET(tblBaseCF[[#This Row],[DeductFlag]],-1,0))
*tblBaseCF[[#This Row],[PolTermFlag]]</f>
        <v>0</v>
      </c>
      <c r="G10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1" s="57">
        <f ca="1">(tblBaseCF[[#This Row],[Year]]&lt;=acc_ben_term)
*tblBaseCF[[#This Row],[ContFlag]]</f>
        <v>0</v>
      </c>
      <c r="I101" s="57">
        <f ca="1">(tblBaseCF[[#This Row],[Year]]&lt;=tp_term)
*tblBaseCF[[#This Row],[ContFlag]]</f>
        <v>0</v>
      </c>
      <c r="J101" s="57">
        <f ca="1">(tblBaseCF[[#This Row],[Year]]&lt;=ep_term)
*tblBaseCF[[#This Row],[ContFlag]]</f>
        <v>0</v>
      </c>
      <c r="K101" s="57">
        <f ca="1">(tblBaseCF[[#This Row],[Year]]&lt;=em_load_term)*1</f>
        <v>0</v>
      </c>
      <c r="L101" s="57">
        <f ca="1">(tblBaseCF[[#This Row],[Year]]&lt;=pm_load_term)*1</f>
        <v>0</v>
      </c>
      <c r="M101" s="59">
        <f ca="1">IF(tblBaseCF[[#This Row],[Year]]=1,si,OFFSET(tblBaseCF[[#This Row],[EndSI]],-1,0))
*tblBaseCF[[#This Row],[ContFlag]]</f>
        <v>0</v>
      </c>
      <c r="N101" s="59">
        <f ca="1">OFFSET(tblBaseCF[[#This Row],[EndTAV]],-1,0)
*tblBaseCF[[#This Row],[ContFlag]]</f>
        <v>0</v>
      </c>
      <c r="O101" s="59">
        <f ca="1">OFFSET(tblBaseCF[[#This Row],[EndEAV]],-1,0)
*tblBaseCF[[#This Row],[ContFlag]]</f>
        <v>0</v>
      </c>
      <c r="P101" s="60">
        <f ca="1">tblBaseCF[[#This Row],[StartEAV]]+tblBaseCF[[#This Row],[StartTAV]]</f>
        <v>0</v>
      </c>
      <c r="Q101" s="61">
        <f ca="1">IFERROR(INDEX(tblJuvenileLienRate[Rate],MATCH(tblBaseCF[[#This Row],[Age]],tblJuvenileLienRate[Age],0)),1)
*tblBaseCF[[#This Row],[ContFlag]]</f>
        <v>0</v>
      </c>
      <c r="R10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1" s="62">
        <f ca="1">tblBaseCF[[#This Row],[StartSI]]*acc_ben_coeff*tblBaseCF[[#This Row],[JuvenileLienRate]]
*tblBaseCF[[#This Row],[AccBenTermFlag]]</f>
        <v>0</v>
      </c>
      <c r="T101" s="61">
        <f ca="1">(IFERROR(INDEX(tblSurrChrgRate[Rate],MATCH(tblBaseCF[[#This Row],[Year]],tblSurrChrgRate[Year],0)),0)
*tblBaseCF[[#This Row],[ContFlag]])</f>
        <v>0</v>
      </c>
      <c r="U101" s="60">
        <f ca="1">tp*tblBaseCF[[#This Row],[SrrChrgRate]]</f>
        <v>0</v>
      </c>
      <c r="V101" s="63">
        <f ca="1">MAX(tblBaseCF[[#This Row],[StartTAV]]-tblBaseCF[[#This Row],[SVChrg]],0)+tblBaseCF[[#This Row],[StartEAV]]</f>
        <v>0</v>
      </c>
      <c r="W101" s="59">
        <f ca="1">IFERROR(INDEX(tblWithdrawal_Output[Amount],MATCH(tblBaseCF[[#This Row],[Year]],tblWithdrawal_Output[Year],0)),0)
*tblBaseCF[[#This Row],[ContFlag]]</f>
        <v>0</v>
      </c>
      <c r="X101" s="59" t="b">
        <f ca="1">tblBaseCF[[#This Row],[WithdrawalInput]]&gt;0</f>
        <v>0</v>
      </c>
      <c r="Y101" s="59" t="b">
        <f ca="1">AND(tblBaseCF[[#This Row],[1stCheckProceed]],tblBaseCF[[#This Row],[WithdrawalInput]]&lt;=tblBaseCF[[#This Row],[StartPAV]])</f>
        <v>0</v>
      </c>
      <c r="Z101" s="59" t="b">
        <f ca="1">AND(tblBaseCF[[#This Row],[2ndCheckAmount]],(tblBaseCF[[#This Row],[StartPAV]]-tblBaseCF[[#This Row],[WithdrawalInput]])&gt;=min_pav_after_withdrawal)</f>
        <v>0</v>
      </c>
      <c r="AA10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1" s="59" t="b">
        <f ca="1">AND(tblBaseCF[[#This Row],[3rdCheckPAV]],tblBaseCF[[#This Row],[endSITest]]&gt;=min_base_si)</f>
        <v>0</v>
      </c>
      <c r="AC101" s="60">
        <f ca="1">tblBaseCF[[#This Row],[WithdrawalInput]]*tblBaseCF[[#This Row],[4thCheckSI]]</f>
        <v>0</v>
      </c>
      <c r="AD101" s="60">
        <f ca="1">MIN(tblBaseCF[[#This Row],[Withdrawal]],tblBaseCF[[#This Row],[StartEAV]])</f>
        <v>0</v>
      </c>
      <c r="AE101" s="60">
        <f ca="1">tblBaseCF[[#This Row],[Withdrawal]]-tblBaseCF[[#This Row],[EAVWithdrawal]]</f>
        <v>0</v>
      </c>
      <c r="AF101" s="60">
        <f ca="1">IF(tblBaseCF[[#This Row],[4thCheckSI]],tblBaseCF[[#This Row],[endSITest]],tblBaseCF[[#This Row],[StartSI]])</f>
        <v>0</v>
      </c>
      <c r="AG10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1" s="65">
        <f ca="1">IFERROR(INDEX(tblTPAllocChrgRate[Rate],MATCH(tblBaseCF[[#This Row],[Year]],tblTPAllocChrgRate[Year],0)),0)</f>
        <v>0.02</v>
      </c>
      <c r="AI101" s="62">
        <f ca="1">(tp+big_case_bonus_tp*(tblBaseCF[[#This Row],[Year]]=1))
*tblBaseCF[[#This Row],[TPTermFlag]]</f>
        <v>0</v>
      </c>
      <c r="AJ101" s="63">
        <f ca="1">tblBaseCF[[#This Row],[TP]]*tblBaseCF[[#This Row],[TPAllocChrgRate]]</f>
        <v>0</v>
      </c>
      <c r="AK101" s="60">
        <f ca="1">tblBaseCF[[#This Row],[TP]]-tblBaseCF[[#This Row],[TPAllocChrg]]</f>
        <v>0</v>
      </c>
      <c r="AL101" s="65">
        <f ca="1">IFERROR(INDEX(tblEPAllocChrgRate[Rate],MATCH(tblBaseCF[[#This Row],[Year]],tblEPAllocChrgRate[Year],0)),0)</f>
        <v>0.02</v>
      </c>
      <c r="AM101" s="60">
        <f ca="1">ep*tblBaseCF[[#This Row],[EPTermFlag]]</f>
        <v>0</v>
      </c>
      <c r="AN101" s="60">
        <f ca="1">tblBaseCF[[#This Row],[EP]]*tblBaseCF[[#This Row],[EPAllocChrgRate]]</f>
        <v>0</v>
      </c>
      <c r="AO101" s="63">
        <f ca="1">tblBaseCF[[#This Row],[EP]]-tblBaseCF[[#This Row],[EPAllocChrg]]</f>
        <v>0</v>
      </c>
      <c r="AP101" s="62">
        <f ca="1">tblBaseCF[[#This Row],[Ben]]*extra_prem_rate*em_load/1000/(1-tblBaseCF[[#This Row],[EPAllocChrgRate]])
*tblBaseCF[[#This Row],[EMLoadTermFlag]]</f>
        <v>0</v>
      </c>
      <c r="AQ101" s="62">
        <f ca="1">tblBaseCF[[#This Row],[Ben]]*pm_load/1000/(1-tblBaseCF[[#This Row],[EPAllocChrgRate]])
*tblBaseCF[[#This Row],[PMLoadTermFlag]]</f>
        <v>0</v>
      </c>
      <c r="AR101" s="60">
        <f ca="1">ROUNDUP(tblBaseCF[[#This Row],[UnroundedEMLoad]],-3)</f>
        <v>0</v>
      </c>
      <c r="AS101" s="62">
        <f ca="1">ROUNDUP(tblBaseCF[[#This Row],[Ben]]*pm_load/1000/(1-tblBaseCF[[#This Row],[EPAllocChrgRate]]),-3)
*tblBaseCF[[#This Row],[PMLoadTermFlag]]</f>
        <v>0</v>
      </c>
      <c r="AT101" s="60">
        <f ca="1">tblBaseCF[[#This Row],[EMLoad]]+tblBaseCF[[#This Row],[PMLoad]]</f>
        <v>0</v>
      </c>
      <c r="AU101" s="60">
        <f ca="1">tblBaseCF[[#This Row],[Load]]*tblBaseCF[[#This Row],[EPAllocChrgRate]]</f>
        <v>0</v>
      </c>
      <c r="AV101" s="60">
        <f ca="1">tblBaseCF[[#This Row],[Load]]-tblBaseCF[[#This Row],[LoadAllocChrg]]</f>
        <v>0</v>
      </c>
      <c r="AW101" s="60">
        <f ca="1">tblBaseCF[[#This Row],[TP]]+tblBaseCF[[#This Row],[EP]]+tblBaseCF[[#This Row],[Load]]</f>
        <v>0</v>
      </c>
      <c r="AX101" s="60">
        <f ca="1">tblBaseCF[[#This Row],[TPAllocChrg]]+tblBaseCF[[#This Row],[EPAllocChrg]]+tblBaseCF[[#This Row],[LoadAllocChrg]]</f>
        <v>0</v>
      </c>
      <c r="AY101" s="60">
        <f ca="1">tblBaseCF[[#This Row],[TPAlloc]]+tblBaseCF[[#This Row],[EPAlloc]]+tblBaseCF[[#This Row],[LoadAlloc]]</f>
        <v>0</v>
      </c>
      <c r="AZ101" s="60">
        <f ca="1">(OFFSET(tblBaseCF[[#This Row],[AccumTotalPrem]],-1,0)+tblBaseCF[[#This Row],[TotalPrem]])*tblBaseCF[[#This Row],[TPTermFlag]]</f>
        <v>0</v>
      </c>
      <c r="BA101" s="62">
        <f ca="1">(tblBaseCF[[#This Row],[StartTAV]]-tblBaseCF[[#This Row],[TAVWithdrawal]]+tblBaseCF[[#This Row],[TPAlloc]])
*tblBaseCF[[#This Row],[ContFlag]]</f>
        <v>0</v>
      </c>
      <c r="BB101" s="59">
        <f ca="1">(tblBaseCF[[#This Row],[StartEAV]]-tblBaseCF[[#This Row],[EAVWithdrawal]]+tblBaseCF[[#This Row],[EPAlloc]]+tblBaseCF[[#This Row],[LoadAlloc]])
*tblBaseCF[[#This Row],[ContFlag]]</f>
        <v>0</v>
      </c>
      <c r="BC101" s="59">
        <f ca="1">tblBaseCF[[#This Row],[TAVAfterWdrlAlloc]]+tblBaseCF[[#This Row],[EAVAfterWdrlAlloc]]</f>
        <v>0</v>
      </c>
      <c r="BD101" s="66">
        <f t="shared" si="10"/>
        <v>0</v>
      </c>
      <c r="BE101" s="67">
        <f>(1+tblBaseCF[[#This Row],[AnnualIntRate]])^(1/12)-1</f>
        <v>0</v>
      </c>
      <c r="BF101" s="68">
        <f>IFERROR(((1+tblBaseCF[[#This Row],[MonthlyIntRate]])^12-1)/12/(1-1/(1+tblBaseCF[[#This Row],[MonthlyIntRate]])),1)/(1+tblBaseCF[[#This Row],[AnnualIntRate]])</f>
        <v>1</v>
      </c>
      <c r="BG101" s="69">
        <f>PV(tblBaseCF[[#This Row],[MonthlyIntRate]],12,-1/12,,1)</f>
        <v>1</v>
      </c>
      <c r="BH101" s="60">
        <f ca="1">MAX(IF(death_tpd_option="A",tblBaseCF[[#This Row],[Ben]]-tblBaseCF[[#This Row],[StartPAV]],tblBaseCF[[#This Row],[Ben]]),0)</f>
        <v>0</v>
      </c>
      <c r="BI101" s="70">
        <f ca="1">IFERROR(INDEX(tblBaseCOIRate[Rate],MATCH(tblBaseCF[[#This Row],[Age]],tblBaseCOIRate[Age],0)),0)</f>
        <v>6.9669999999999899E-2</v>
      </c>
      <c r="BJ101" s="60">
        <f ca="1">tblBaseCF[[#This Row],[SAR]]*tblBaseCF[[#This Row],[COIRate]]</f>
        <v>0</v>
      </c>
      <c r="BK101" s="62">
        <f ca="1">em_load*tblBaseCF[[#This Row],[pStandardCOI]]
*tblBaseCF[[#This Row],[EMLoadTermFlag]]</f>
        <v>0</v>
      </c>
      <c r="BL101" s="62">
        <f ca="1">pm_load/1000*tblBaseCF[[#This Row],[SAR]]
*tblBaseCF[[#This Row],[PMLoadTermFlag]]</f>
        <v>0</v>
      </c>
      <c r="BM101" s="60">
        <f ca="1">tblBaseCF[[#This Row],[AccBen]]*monthly_acc_coi*12</f>
        <v>0</v>
      </c>
      <c r="BN101" s="60">
        <f ca="1">tblBaseCF[[#This Row],[pStandardCOI]]+tblBaseCF[[#This Row],[pEMLoadCOI]]+tblBaseCF[[#This Row],[pPMLoadCOI]]+tblBaseCF[[#This Row],[pAccCOI]]</f>
        <v>0</v>
      </c>
      <c r="BO101" s="62">
        <f ca="1">IFERROR(INDEX(tblAdminChrg[Amount],MATCH(tblBaseCF[[#This Row],[CalYear]],tblAdminChrg[Cal_Year],0)),0)
*tblBaseCF[[#This Row],[ContFlag]]</f>
        <v>0</v>
      </c>
      <c r="BP101" s="60">
        <f ca="1">tblBaseCF[[#This Row],[pMonthlyAdminChrg]]*12</f>
        <v>0</v>
      </c>
      <c r="BQ101" s="60">
        <f ca="1">tblBaseCF[[#This Row],[pCOI]]+tblBaseCF[[#This Row],[pAdminChrg]]</f>
        <v>0</v>
      </c>
      <c r="BR101" s="60">
        <f ca="1">tblBaseCF[[#This Row],[pNomDeduct]]*tblBaseCF[[#This Row],[Duean1m12]]</f>
        <v>0</v>
      </c>
      <c r="BS101" s="57">
        <f ca="1">(tblBaseCF[[#This Row],[PAVAfterWdrlAlloc]]&gt;=tblBaseCF[[#This Row],[pNomDeduct]])
*tblBaseCF[[#This Row],[ContFlag]]</f>
        <v>0</v>
      </c>
      <c r="BT101" s="60">
        <f ca="1">tblBaseCF[[#This Row],[pStandardCOI]]*tblBaseCF[[#This Row],[DeductFlag]]</f>
        <v>0</v>
      </c>
      <c r="BU101" s="60">
        <f ca="1">tblBaseCF[[#This Row],[pEMLoadCOI]]*tblBaseCF[[#This Row],[DeductFlag]]</f>
        <v>0</v>
      </c>
      <c r="BV101" s="60">
        <f ca="1">tblBaseCF[[#This Row],[pPMLoadCOI]]*tblBaseCF[[#This Row],[DeductFlag]]</f>
        <v>0</v>
      </c>
      <c r="BW101" s="60">
        <f ca="1">tblBaseCF[[#This Row],[pAccCOI]]*tblBaseCF[[#This Row],[DeductFlag]]</f>
        <v>0</v>
      </c>
      <c r="BX101" s="60">
        <f ca="1">tblBaseCF[[#This Row],[pCOI]]*tblBaseCF[[#This Row],[DeductFlag]]</f>
        <v>0</v>
      </c>
      <c r="BY101" s="60">
        <f ca="1">tblBaseCF[[#This Row],[pMonthlyAdminChrg]]*tblBaseCF[[#This Row],[DeductFlag]]</f>
        <v>0</v>
      </c>
      <c r="BZ101" s="60">
        <f ca="1">tblBaseCF[[#This Row],[pAdminChrg]]*tblBaseCF[[#This Row],[DeductFlag]]</f>
        <v>0</v>
      </c>
      <c r="CA101" s="60">
        <f ca="1">tblBaseCF[[#This Row],[pNomDeduct]]*tblBaseCF[[#This Row],[DeductFlag]]</f>
        <v>0</v>
      </c>
      <c r="CB101" s="60">
        <f ca="1">tblBaseCF[[#This Row],[pDeduct]]*tblBaseCF[[#This Row],[DeductFlag]]</f>
        <v>0</v>
      </c>
      <c r="CC101" s="60">
        <f ca="1">MIN(tblBaseCF[[#This Row],[TAVAfterWdrlAlloc]],tblBaseCF[[#This Row],[Deduct]])</f>
        <v>0</v>
      </c>
      <c r="CD101" s="60">
        <f ca="1">tblBaseCF[[#This Row],[Deduct]]-tblBaseCF[[#This Row],[TAVDeduct]]</f>
        <v>0</v>
      </c>
      <c r="CE101" s="69">
        <f ca="1">(tblBaseCF[[#This Row],[TAVAfterWdrlAlloc]]-tblBaseCF[[#This Row],[TAVDeduct]])*tblBaseCF[[#This Row],[AnnualIntRate]]
*tblBaseCF[[#This Row],[DeductFlag]]</f>
        <v>0</v>
      </c>
      <c r="CF101" s="69">
        <f ca="1">(tblBaseCF[[#This Row],[EAVAfterWdrlAlloc]]-tblBaseCF[[#This Row],[EAVDeduct]])*tblBaseCF[[#This Row],[AnnualIntRate]]
*tblBaseCF[[#This Row],[DeductFlag]]</f>
        <v>0</v>
      </c>
      <c r="CG101" s="69">
        <f ca="1">tblBaseCF[[#This Row],[TAVInt]]+tblBaseCF[[#This Row],[EAVInt]]</f>
        <v>0</v>
      </c>
      <c r="CH101" s="62">
        <f ca="1">IFERROR(INDEX(tblLBRate[Rate],MATCH(tblBaseCF[[#This Row],[Year]],tblLBRate[Year],0)),0)
*tblBaseCF[[#This Row],[DeductFlag]]</f>
        <v>0</v>
      </c>
      <c r="CI101" s="60">
        <f ca="1">IFERROR(SUM(OFFSET(tblBaseCF[[#This Row],[TAVWithdrawal]],0,0,-lb_review_period,1)),0)
*(tblBaseCF[[#This Row],[LBRate]]&gt;0)</f>
        <v>0</v>
      </c>
      <c r="CJ101" s="60">
        <f ca="1">(tblBaseCF[[#This Row],[LBRate]]&gt;0)*(tblBaseCF[[#This Row],[LBTAVWithdrawal]]=0)</f>
        <v>0</v>
      </c>
      <c r="CK101" s="62" cm="1">
        <f t="array" aca="1" ref="CK101" ca="1">IF(tblBaseCF[[#This Row],[LBFlag]],
_xlfn.SWITCH(base,
"ILP1",AVERAGE(OFFSET(tblBaseCF[TP],0,0,-lb_review_period,1)),tp),0)
*tblBaseCF[[#This Row],[LBFlag]]</f>
        <v>0</v>
      </c>
      <c r="CL101" s="62">
        <f ca="1">tblBaseCF[[#This Row],[LBBasis]]*tblBaseCF[[#This Row],[LBRate]]</f>
        <v>0</v>
      </c>
      <c r="CM101" s="57" cm="1">
        <f t="array" aca="1" ref="CM101" ca="1">_xlfn.SWITCH(base,
"ILP1",0,($AF201&lt;500000000)*1
+($AF201&gt;=500000000)*($AF201&lt;1000000000)*2
+($AF201&gt;=1000000000)*3)
*tblBaseCF[[#This Row],[DeductFlag]]</f>
        <v>0</v>
      </c>
      <c r="CN101" s="2" t="str">
        <f ca="1">IF(tblBaseCF[[#This Row],[DeductFlag]],base&amp;"_"&amp;tblBaseCF[[#This Row],[SBCode]]&amp;"_"&amp;tblBaseCF[[#This Row],[Year]],"")</f>
        <v/>
      </c>
      <c r="CO101" s="3">
        <f ca="1">IFERROR(INDEX(tblSBRate[Index],MATCH(tblBaseCF[[#This Row],[SBIndex]],tblSBRate[Rate],0)),0)</f>
        <v>0</v>
      </c>
      <c r="CP101" s="63">
        <f ca="1">IFERROR(SUM(OFFSET(tblBaseCF[[#This Row],[TAVWithdrawal]],0,0,-sb_review_period,1)),0)
*(tblBaseCF[[#This Row],[SBRate]]&gt;0)</f>
        <v>0</v>
      </c>
      <c r="CQ101" s="63">
        <f ca="1">(tblBaseCF[[#This Row],[SBRate]]&gt;0)*(tblBaseCF[[#This Row],[SBTAVWithdrawal]]=0)</f>
        <v>0</v>
      </c>
      <c r="CR101" s="59" cm="1">
        <f t="array" aca="1" ref="CR101" ca="1">IF(tblBaseCF[[#This Row],[LBFlag]],
_xlfn.SWITCH(base,
"ILP1",0,tp),0)*tblBaseCF[[#This Row],[SBFlag]]</f>
        <v>0</v>
      </c>
      <c r="CS101" s="63">
        <f ca="1">tblBaseCF[[#This Row],[SBBasis]]*tblBaseCF[[#This Row],[SBRate]]</f>
        <v>0</v>
      </c>
      <c r="CT101" s="63">
        <f ca="1">tblBaseCF[[#This Row],[LB]]+tblBaseCF[[#This Row],[SB]]</f>
        <v>0</v>
      </c>
      <c r="CU101" s="59">
        <f ca="1">tblBaseCF[[#This Row],[TAVAfterWdrlAlloc]]-tblBaseCF[[#This Row],[TAVDeduct]]+tblBaseCF[[#This Row],[TAVInt]]+tblBaseCF[[#This Row],[Bonus]]</f>
        <v>0</v>
      </c>
      <c r="CV101" s="59">
        <f ca="1">tblBaseCF[[#This Row],[EAVAfterWdrlAlloc]]-tblBaseCF[[#This Row],[EAVDeduct]]+tblBaseCF[[#This Row],[EAVInt]]</f>
        <v>0</v>
      </c>
      <c r="CW101" s="63">
        <f ca="1">tblBaseCF[[#This Row],[EndTAV]]+tblBaseCF[[#This Row],[EndEAV]]</f>
        <v>0</v>
      </c>
      <c r="CX101" s="59">
        <f ca="1">INDEX(tblPlanPrem[TP],2)
*tblBaseCF[[#This Row],[TPTermFlag]]</f>
        <v>0</v>
      </c>
      <c r="CY101" s="59">
        <f ca="1">INDEX(tblPlanPrem[EP],2)
*tblBaseCF[[#This Row],[TPTermFlag]]</f>
        <v>0</v>
      </c>
      <c r="CZ101" s="63">
        <f ca="1">ROUNDUP(tblBaseCF[[#This Row],[UnroundedEMLoad]]*INDEX(tblPlanPrem[Factor],2),-3)</f>
        <v>0</v>
      </c>
      <c r="DA101" s="63">
        <f ca="1">ROUNDUP(tblBaseCF[[#This Row],[UnroundedPMLoad]]*INDEX(tblPlanPrem[Factor],2),-3)</f>
        <v>0</v>
      </c>
      <c r="DB101" s="63">
        <f ca="1">tblBaseCF[[#This Row],[SemiAnnualEMLoad]]+tblBaseCF[[#This Row],[SemiAnnualPMLoad]]</f>
        <v>0</v>
      </c>
      <c r="DC101" s="63">
        <f ca="1">tblBaseCF[[#This Row],[SemiAnnualTP]]+tblBaseCF[[#This Row],[SemiAnnualEP]]+tblBaseCF[[#This Row],[SemiAnnualLoad]]</f>
        <v>0</v>
      </c>
      <c r="DD101" s="59">
        <f ca="1">INDEX(tblPlanPrem[TP],3)
*tblBaseCF[[#This Row],[TPTermFlag]]</f>
        <v>0</v>
      </c>
      <c r="DE101" s="59">
        <f ca="1">INDEX(tblPlanPrem[EP],3)
*tblBaseCF[[#This Row],[TPTermFlag]]</f>
        <v>0</v>
      </c>
      <c r="DF101" s="63">
        <f ca="1">ROUNDUP(tblBaseCF[[#This Row],[UnroundedEMLoad]]*INDEX(tblPlanPrem[Factor],3),-3)</f>
        <v>0</v>
      </c>
      <c r="DG101" s="63">
        <f ca="1">ROUNDUP(tblBaseCF[[#This Row],[UnroundedPMLoad]]*INDEX(tblPlanPrem[Factor],3),-3)</f>
        <v>0</v>
      </c>
      <c r="DH101" s="60">
        <f ca="1">tblBaseCF[[#This Row],[QuarterlyEMLoad]]+tblBaseCF[[#This Row],[QuarterlyPMLoad]]</f>
        <v>0</v>
      </c>
      <c r="DI101" s="60">
        <f ca="1">tblBaseCF[[#This Row],[QuarterlyTP]]+tblBaseCF[[#This Row],[QuarterlyEP]]+tblBaseCF[[#This Row],[QuarterlyLoad]]</f>
        <v>0</v>
      </c>
      <c r="DJ101" s="59">
        <f ca="1">INDEX(tblPlanPrem[TP],4)
*tblBaseCF[[#This Row],[TPTermFlag]]</f>
        <v>0</v>
      </c>
      <c r="DK101" s="59">
        <f ca="1">INDEX(tblPlanPrem[EP],4)
*tblBaseCF[[#This Row],[TPTermFlag]]</f>
        <v>0</v>
      </c>
      <c r="DL101" s="63">
        <f ca="1">ROUNDUP(tblBaseCF[[#This Row],[UnroundedEMLoad]]*INDEX(tblPlanPrem[Factor],4),-3)</f>
        <v>0</v>
      </c>
      <c r="DM101" s="63">
        <f ca="1">ROUNDUP(tblBaseCF[[#This Row],[UnroundedPMLoad]]*INDEX(tblPlanPrem[Factor],4),-3)</f>
        <v>0</v>
      </c>
      <c r="DN101" s="60">
        <f ca="1">tblBaseCF[[#This Row],[MonthlyEMLoad]]+tblBaseCF[[#This Row],[MonthlyPMLoad]]</f>
        <v>0</v>
      </c>
      <c r="DO101" s="63">
        <f ca="1">tblBaseCF[[#This Row],[MonthlyTP]]+tblBaseCF[[#This Row],[MonthlyEP]]+tblBaseCF[[#This Row],[MonthlyLoad]]</f>
        <v>0</v>
      </c>
      <c r="DP101" s="3"/>
      <c r="DS101">
        <f t="shared" si="11"/>
        <v>0</v>
      </c>
      <c r="DT101">
        <f t="shared" si="12"/>
        <v>0</v>
      </c>
      <c r="DU101">
        <f t="shared" si="13"/>
        <v>0</v>
      </c>
      <c r="DV101">
        <f ca="1">tblBaseCF[[#This Row],[Year]]</f>
        <v>81</v>
      </c>
      <c r="DW101">
        <f ca="1">tblBaseCF[[#This Row],[Age]]</f>
        <v>80</v>
      </c>
      <c r="DX101">
        <f ca="1">tblBaseCF[[#This Row],[ContFlag]]</f>
        <v>0</v>
      </c>
      <c r="DY101" t="str">
        <f ca="1">tblBaseCF[[#This Row],[ContLog]]</f>
        <v>Insufficient PAV for deduction - Discontinue.</v>
      </c>
      <c r="DZ101">
        <f ca="1">tblBaseCF[[#This Row],[StartTAV]]</f>
        <v>0</v>
      </c>
      <c r="EA101">
        <f ca="1">tblBaseCF[[#This Row],[StartEAV]]</f>
        <v>0</v>
      </c>
      <c r="EB101">
        <f ca="1">tblBaseCF[[#This Row],[StartPAV]]</f>
        <v>0</v>
      </c>
      <c r="EC101">
        <f ca="1">tblBaseCF[[#This Row],[SVChrg]]</f>
        <v>0</v>
      </c>
      <c r="ED101">
        <f ca="1">tblBaseCF[[#This Row],[SV]]</f>
        <v>0</v>
      </c>
      <c r="EE101">
        <f ca="1">tblBaseCF[[#This Row],[Ben]]</f>
        <v>0</v>
      </c>
      <c r="EF101">
        <f ca="1">tblBaseCF[[#This Row],[AccBen]]</f>
        <v>0</v>
      </c>
      <c r="EG101">
        <f ca="1">tblBaseCF[[#This Row],[WithdrawalInput]]</f>
        <v>0</v>
      </c>
      <c r="EH101" t="str">
        <f ca="1">tblBaseCF[[#This Row],[WithdrawalLog]]</f>
        <v>No withdrawal.</v>
      </c>
      <c r="EI101">
        <f ca="1">tblBaseCF[[#This Row],[TAVWithdrawal]]</f>
        <v>0</v>
      </c>
      <c r="EJ101">
        <f ca="1">tblBaseCF[[#This Row],[EAVWithdrawal]]</f>
        <v>0</v>
      </c>
      <c r="EK101">
        <f ca="1">tblBaseCF[[#This Row],[Withdrawal]]</f>
        <v>0</v>
      </c>
      <c r="EL101">
        <f ca="1">tblBaseCF[[#This Row],[TP]]</f>
        <v>0</v>
      </c>
      <c r="EM101">
        <f ca="1">tblBaseCF[[#This Row],[TPAllocChrg]]</f>
        <v>0</v>
      </c>
      <c r="EN101">
        <f ca="1">tblBaseCF[[#This Row],[TPAlloc]]</f>
        <v>0</v>
      </c>
      <c r="EO101">
        <f ca="1">tblBaseCF[[#This Row],[EP]]</f>
        <v>0</v>
      </c>
      <c r="EP101">
        <f ca="1">tblBaseCF[[#This Row],[EPAllocChrg]]</f>
        <v>0</v>
      </c>
      <c r="EQ101">
        <f ca="1">tblBaseCF[[#This Row],[EPAlloc]]</f>
        <v>0</v>
      </c>
      <c r="ER101">
        <f ca="1">tblBaseCF[[#This Row],[EMLoad]]</f>
        <v>0</v>
      </c>
      <c r="ES101">
        <f ca="1">tblBaseCF[[#This Row],[PMLoad]]</f>
        <v>0</v>
      </c>
      <c r="ET101">
        <f ca="1">tblBaseCF[[#This Row],[Load]]</f>
        <v>0</v>
      </c>
      <c r="EU101">
        <f ca="1">tblBaseCF[[#This Row],[LoadAllocChrg]]</f>
        <v>0</v>
      </c>
      <c r="EV101">
        <f ca="1">tblBaseCF[[#This Row],[LoadAlloc]]</f>
        <v>0</v>
      </c>
      <c r="EW101">
        <f ca="1">tblBaseCF[[#This Row],[TotalPrem]]</f>
        <v>0</v>
      </c>
      <c r="EX101">
        <f ca="1">tblBaseCF[[#This Row],[AllocChrg]]</f>
        <v>0</v>
      </c>
      <c r="EY101">
        <f ca="1">tblBaseCF[[#This Row],[Alloc]]</f>
        <v>0</v>
      </c>
      <c r="EZ101">
        <f ca="1">tblBaseCF[[#This Row],[AccumTotalPrem]]</f>
        <v>0</v>
      </c>
      <c r="FA101">
        <f>tblBaseCF[[#This Row],[AnnualIntRate]]</f>
        <v>0</v>
      </c>
      <c r="FB101" s="50">
        <f>tblBaseCF[[#This Row],[Duean1m12]]</f>
        <v>1</v>
      </c>
      <c r="FC101">
        <f ca="1">tblBaseCF[[#This Row],[DeductFlag]]</f>
        <v>0</v>
      </c>
      <c r="FD101">
        <f ca="1">tblBaseCF[[#This Row],[AdminChrg]]</f>
        <v>0</v>
      </c>
      <c r="FE101">
        <f ca="1">tblBaseCF[[#This Row],[StandardCOI]]</f>
        <v>0</v>
      </c>
      <c r="FF101">
        <f ca="1">tblBaseCF[[#This Row],[EMLoadCOI]]</f>
        <v>0</v>
      </c>
      <c r="FG101">
        <f ca="1">tblBaseCF[[#This Row],[PMLoadCOI]]</f>
        <v>0</v>
      </c>
      <c r="FH101">
        <f ca="1">tblBaseCF[[#This Row],[COI]]</f>
        <v>0</v>
      </c>
      <c r="FI101" s="47">
        <f ca="1">tblBaseCF[[#This Row],[NomDeduct]]</f>
        <v>0</v>
      </c>
      <c r="FJ101">
        <f ca="1">tblBaseCF[[#This Row],[Deduct]]</f>
        <v>0</v>
      </c>
      <c r="FK101">
        <f ca="1">tblBaseCF[[#This Row],[TAVDeduct]]</f>
        <v>0</v>
      </c>
      <c r="FL101">
        <f ca="1">tblBaseCF[[#This Row],[EAVDeduct]]</f>
        <v>0</v>
      </c>
      <c r="FM101" s="24">
        <f ca="1">tblBaseCF[[#This Row],[TAVInt]]</f>
        <v>0</v>
      </c>
      <c r="FN101">
        <f ca="1">tblBaseCF[[#This Row],[EAVInt]]</f>
        <v>0</v>
      </c>
      <c r="FO101" s="47">
        <f ca="1">tblBaseCF[[#This Row],[LB]]</f>
        <v>0</v>
      </c>
      <c r="FP101">
        <f ca="1">tblBaseCF[[#This Row],[SB]]</f>
        <v>0</v>
      </c>
      <c r="FQ101">
        <f ca="1">tblBaseCF[[#This Row],[Bonus]]</f>
        <v>0</v>
      </c>
      <c r="FR101">
        <f ca="1">tblBaseCF[[#This Row],[EndTAV]]</f>
        <v>0</v>
      </c>
      <c r="FS101">
        <f ca="1">tblBaseCF[[#This Row],[EndEAV]]</f>
        <v>0</v>
      </c>
      <c r="FT101">
        <f ca="1">tblBaseCF[[#This Row],[EndPAV]]</f>
        <v>0</v>
      </c>
      <c r="FU101">
        <f ca="1">tblBaseCF[[#This Row],[SemiAnnualTP]]</f>
        <v>0</v>
      </c>
      <c r="FV101">
        <f ca="1">tblBaseCF[[#This Row],[SemiAnnualEP]]</f>
        <v>0</v>
      </c>
      <c r="FW101">
        <f ca="1">tblBaseCF[[#This Row],[SemiAnnualEMLoad]]</f>
        <v>0</v>
      </c>
      <c r="FX101">
        <f ca="1">tblBaseCF[[#This Row],[SemiAnnualPMLoad]]</f>
        <v>0</v>
      </c>
      <c r="FY101">
        <f ca="1">tblBaseCF[[#This Row],[SemiAnnualLoad]]</f>
        <v>0</v>
      </c>
      <c r="FZ101">
        <f ca="1">tblBaseCF[[#This Row],[SemiAnnualTotalPrem]]</f>
        <v>0</v>
      </c>
      <c r="GA101">
        <f ca="1">tblBaseCF[[#This Row],[QuarterlyTP]]</f>
        <v>0</v>
      </c>
      <c r="GB101">
        <f ca="1">tblBaseCF[[#This Row],[QuarterlyEP]]</f>
        <v>0</v>
      </c>
      <c r="GC101">
        <f ca="1">tblBaseCF[[#This Row],[QuarterlyEMLoad]]</f>
        <v>0</v>
      </c>
      <c r="GD101">
        <f ca="1">tblBaseCF[[#This Row],[QuarterlyPMLoad]]</f>
        <v>0</v>
      </c>
      <c r="GE101">
        <f ca="1">tblBaseCF[[#This Row],[QuarterlyLoad]]</f>
        <v>0</v>
      </c>
      <c r="GF101">
        <f ca="1">tblBaseCF[[#This Row],[QuarterlyTotalPrem]]</f>
        <v>0</v>
      </c>
      <c r="GG101">
        <f ca="1">tblBaseCF[[#This Row],[MonthlyTP]]</f>
        <v>0</v>
      </c>
      <c r="GH101">
        <f ca="1">tblBaseCF[[#This Row],[MonthlyEP]]</f>
        <v>0</v>
      </c>
      <c r="GI101">
        <f ca="1">tblBaseCF[[#This Row],[MonthlyEMLoad]]</f>
        <v>0</v>
      </c>
      <c r="GJ101">
        <f ca="1">tblBaseCF[[#This Row],[MonthlyPMLoad]]</f>
        <v>0</v>
      </c>
      <c r="GK101">
        <f ca="1">tblBaseCF[[#This Row],[MonthlyLoad]]</f>
        <v>0</v>
      </c>
      <c r="GL101">
        <f ca="1">tblBaseCF[[#This Row],[MonthlyTotalPrem]]</f>
        <v>0</v>
      </c>
      <c r="GO101" t="s">
        <v>134</v>
      </c>
      <c r="GP101" t="s">
        <v>135</v>
      </c>
      <c r="GQ101" t="s">
        <v>502</v>
      </c>
      <c r="GR101">
        <v>81</v>
      </c>
      <c r="GS101">
        <v>80</v>
      </c>
      <c r="GT101">
        <v>1</v>
      </c>
      <c r="GU101" t="s">
        <v>457</v>
      </c>
      <c r="GV101">
        <v>1060776560.61666</v>
      </c>
      <c r="GW101">
        <v>9307709317.7963791</v>
      </c>
      <c r="GX101">
        <v>10368485878.413</v>
      </c>
      <c r="GY101">
        <v>0</v>
      </c>
      <c r="GZ101">
        <v>10368485878.413</v>
      </c>
      <c r="HA101">
        <v>10368485878.413</v>
      </c>
      <c r="HB101">
        <v>0</v>
      </c>
      <c r="HC101">
        <v>0</v>
      </c>
      <c r="HD101" t="s">
        <v>137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7.0000000000000007E-2</v>
      </c>
      <c r="HX101">
        <v>0.96964931039809399</v>
      </c>
      <c r="HY101">
        <v>1</v>
      </c>
      <c r="HZ101">
        <v>300000</v>
      </c>
      <c r="IA101">
        <v>0</v>
      </c>
      <c r="IB101">
        <v>0</v>
      </c>
      <c r="IC101">
        <v>0</v>
      </c>
      <c r="ID101">
        <v>0</v>
      </c>
      <c r="IE101">
        <v>300000</v>
      </c>
      <c r="IF101">
        <v>290894.79311942798</v>
      </c>
      <c r="IG101">
        <v>290894.79311942798</v>
      </c>
      <c r="IH101">
        <v>0</v>
      </c>
      <c r="II101">
        <v>74233996.607647598</v>
      </c>
      <c r="IJ101">
        <v>651539652.24574697</v>
      </c>
      <c r="IK101">
        <v>0</v>
      </c>
      <c r="IL101">
        <v>0</v>
      </c>
      <c r="IM101">
        <v>0</v>
      </c>
      <c r="IN101">
        <v>1134719662.43118</v>
      </c>
      <c r="IO101">
        <v>9959248970.0421295</v>
      </c>
      <c r="IP101">
        <v>11093968632.473301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</row>
    <row r="102" spans="2:268" customFormat="1" x14ac:dyDescent="0.25">
      <c r="B102" s="2">
        <f ca="1">OFFSET(tblBaseCF[[#This Row],[Year]],-1,0)+1</f>
        <v>82</v>
      </c>
      <c r="C102" s="2">
        <f ca="1">(tblBaseCF[[#This Row],[Year]]&lt;=term)*1</f>
        <v>1</v>
      </c>
      <c r="D102" s="57">
        <f ca="1">(YEAR(rcd)+tblBaseCF[[#This Row],[Year]]-1)
*tblBaseCF[[#This Row],[PolTermFlag]]</f>
        <v>2106</v>
      </c>
      <c r="E102" s="57">
        <f ca="1">(mainLI_entry_age+tblBaseCF[[#This Row],[Year]]-1)
*tblBaseCF[[#This Row],[PolTermFlag]]</f>
        <v>81</v>
      </c>
      <c r="F102" s="57">
        <f ca="1">IF(tblBaseCF[[#This Row],[Year]]=1,1,OFFSET(tblBaseCF[[#This Row],[DeductFlag]],-1,0))
*tblBaseCF[[#This Row],[PolTermFlag]]</f>
        <v>0</v>
      </c>
      <c r="G10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2" s="57">
        <f ca="1">(tblBaseCF[[#This Row],[Year]]&lt;=acc_ben_term)
*tblBaseCF[[#This Row],[ContFlag]]</f>
        <v>0</v>
      </c>
      <c r="I102" s="57">
        <f ca="1">(tblBaseCF[[#This Row],[Year]]&lt;=tp_term)
*tblBaseCF[[#This Row],[ContFlag]]</f>
        <v>0</v>
      </c>
      <c r="J102" s="57">
        <f ca="1">(tblBaseCF[[#This Row],[Year]]&lt;=ep_term)
*tblBaseCF[[#This Row],[ContFlag]]</f>
        <v>0</v>
      </c>
      <c r="K102" s="57">
        <f ca="1">(tblBaseCF[[#This Row],[Year]]&lt;=em_load_term)*1</f>
        <v>0</v>
      </c>
      <c r="L102" s="57">
        <f ca="1">(tblBaseCF[[#This Row],[Year]]&lt;=pm_load_term)*1</f>
        <v>0</v>
      </c>
      <c r="M102" s="59">
        <f ca="1">IF(tblBaseCF[[#This Row],[Year]]=1,si,OFFSET(tblBaseCF[[#This Row],[EndSI]],-1,0))
*tblBaseCF[[#This Row],[ContFlag]]</f>
        <v>0</v>
      </c>
      <c r="N102" s="59">
        <f ca="1">OFFSET(tblBaseCF[[#This Row],[EndTAV]],-1,0)
*tblBaseCF[[#This Row],[ContFlag]]</f>
        <v>0</v>
      </c>
      <c r="O102" s="59">
        <f ca="1">OFFSET(tblBaseCF[[#This Row],[EndEAV]],-1,0)
*tblBaseCF[[#This Row],[ContFlag]]</f>
        <v>0</v>
      </c>
      <c r="P102" s="60">
        <f ca="1">tblBaseCF[[#This Row],[StartEAV]]+tblBaseCF[[#This Row],[StartTAV]]</f>
        <v>0</v>
      </c>
      <c r="Q102" s="61">
        <f ca="1">IFERROR(INDEX(tblJuvenileLienRate[Rate],MATCH(tblBaseCF[[#This Row],[Age]],tblJuvenileLienRate[Age],0)),1)
*tblBaseCF[[#This Row],[ContFlag]]</f>
        <v>0</v>
      </c>
      <c r="R10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2" s="62">
        <f ca="1">tblBaseCF[[#This Row],[StartSI]]*acc_ben_coeff*tblBaseCF[[#This Row],[JuvenileLienRate]]
*tblBaseCF[[#This Row],[AccBenTermFlag]]</f>
        <v>0</v>
      </c>
      <c r="T102" s="61">
        <f ca="1">(IFERROR(INDEX(tblSurrChrgRate[Rate],MATCH(tblBaseCF[[#This Row],[Year]],tblSurrChrgRate[Year],0)),0)
*tblBaseCF[[#This Row],[ContFlag]])</f>
        <v>0</v>
      </c>
      <c r="U102" s="60">
        <f ca="1">tp*tblBaseCF[[#This Row],[SrrChrgRate]]</f>
        <v>0</v>
      </c>
      <c r="V102" s="63">
        <f ca="1">MAX(tblBaseCF[[#This Row],[StartTAV]]-tblBaseCF[[#This Row],[SVChrg]],0)+tblBaseCF[[#This Row],[StartEAV]]</f>
        <v>0</v>
      </c>
      <c r="W102" s="59">
        <f ca="1">IFERROR(INDEX(tblWithdrawal_Output[Amount],MATCH(tblBaseCF[[#This Row],[Year]],tblWithdrawal_Output[Year],0)),0)
*tblBaseCF[[#This Row],[ContFlag]]</f>
        <v>0</v>
      </c>
      <c r="X102" s="59" t="b">
        <f ca="1">tblBaseCF[[#This Row],[WithdrawalInput]]&gt;0</f>
        <v>0</v>
      </c>
      <c r="Y102" s="59" t="b">
        <f ca="1">AND(tblBaseCF[[#This Row],[1stCheckProceed]],tblBaseCF[[#This Row],[WithdrawalInput]]&lt;=tblBaseCF[[#This Row],[StartPAV]])</f>
        <v>0</v>
      </c>
      <c r="Z102" s="59" t="b">
        <f ca="1">AND(tblBaseCF[[#This Row],[2ndCheckAmount]],(tblBaseCF[[#This Row],[StartPAV]]-tblBaseCF[[#This Row],[WithdrawalInput]])&gt;=min_pav_after_withdrawal)</f>
        <v>0</v>
      </c>
      <c r="AA10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2" s="59" t="b">
        <f ca="1">AND(tblBaseCF[[#This Row],[3rdCheckPAV]],tblBaseCF[[#This Row],[endSITest]]&gt;=min_base_si)</f>
        <v>0</v>
      </c>
      <c r="AC102" s="60">
        <f ca="1">tblBaseCF[[#This Row],[WithdrawalInput]]*tblBaseCF[[#This Row],[4thCheckSI]]</f>
        <v>0</v>
      </c>
      <c r="AD102" s="60">
        <f ca="1">MIN(tblBaseCF[[#This Row],[Withdrawal]],tblBaseCF[[#This Row],[StartEAV]])</f>
        <v>0</v>
      </c>
      <c r="AE102" s="60">
        <f ca="1">tblBaseCF[[#This Row],[Withdrawal]]-tblBaseCF[[#This Row],[EAVWithdrawal]]</f>
        <v>0</v>
      </c>
      <c r="AF102" s="60">
        <f ca="1">IF(tblBaseCF[[#This Row],[4thCheckSI]],tblBaseCF[[#This Row],[endSITest]],tblBaseCF[[#This Row],[StartSI]])</f>
        <v>0</v>
      </c>
      <c r="AG10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2" s="65">
        <f ca="1">IFERROR(INDEX(tblTPAllocChrgRate[Rate],MATCH(tblBaseCF[[#This Row],[Year]],tblTPAllocChrgRate[Year],0)),0)</f>
        <v>0.02</v>
      </c>
      <c r="AI102" s="62">
        <f ca="1">(tp+big_case_bonus_tp*(tblBaseCF[[#This Row],[Year]]=1))
*tblBaseCF[[#This Row],[TPTermFlag]]</f>
        <v>0</v>
      </c>
      <c r="AJ102" s="63">
        <f ca="1">tblBaseCF[[#This Row],[TP]]*tblBaseCF[[#This Row],[TPAllocChrgRate]]</f>
        <v>0</v>
      </c>
      <c r="AK102" s="60">
        <f ca="1">tblBaseCF[[#This Row],[TP]]-tblBaseCF[[#This Row],[TPAllocChrg]]</f>
        <v>0</v>
      </c>
      <c r="AL102" s="65">
        <f ca="1">IFERROR(INDEX(tblEPAllocChrgRate[Rate],MATCH(tblBaseCF[[#This Row],[Year]],tblEPAllocChrgRate[Year],0)),0)</f>
        <v>0.02</v>
      </c>
      <c r="AM102" s="60">
        <f ca="1">ep*tblBaseCF[[#This Row],[EPTermFlag]]</f>
        <v>0</v>
      </c>
      <c r="AN102" s="60">
        <f ca="1">tblBaseCF[[#This Row],[EP]]*tblBaseCF[[#This Row],[EPAllocChrgRate]]</f>
        <v>0</v>
      </c>
      <c r="AO102" s="63">
        <f ca="1">tblBaseCF[[#This Row],[EP]]-tblBaseCF[[#This Row],[EPAllocChrg]]</f>
        <v>0</v>
      </c>
      <c r="AP102" s="62">
        <f ca="1">tblBaseCF[[#This Row],[Ben]]*extra_prem_rate*em_load/1000/(1-tblBaseCF[[#This Row],[EPAllocChrgRate]])
*tblBaseCF[[#This Row],[EMLoadTermFlag]]</f>
        <v>0</v>
      </c>
      <c r="AQ102" s="62">
        <f ca="1">tblBaseCF[[#This Row],[Ben]]*pm_load/1000/(1-tblBaseCF[[#This Row],[EPAllocChrgRate]])
*tblBaseCF[[#This Row],[PMLoadTermFlag]]</f>
        <v>0</v>
      </c>
      <c r="AR102" s="60">
        <f ca="1">ROUNDUP(tblBaseCF[[#This Row],[UnroundedEMLoad]],-3)</f>
        <v>0</v>
      </c>
      <c r="AS102" s="62">
        <f ca="1">ROUNDUP(tblBaseCF[[#This Row],[Ben]]*pm_load/1000/(1-tblBaseCF[[#This Row],[EPAllocChrgRate]]),-3)
*tblBaseCF[[#This Row],[PMLoadTermFlag]]</f>
        <v>0</v>
      </c>
      <c r="AT102" s="60">
        <f ca="1">tblBaseCF[[#This Row],[EMLoad]]+tblBaseCF[[#This Row],[PMLoad]]</f>
        <v>0</v>
      </c>
      <c r="AU102" s="60">
        <f ca="1">tblBaseCF[[#This Row],[Load]]*tblBaseCF[[#This Row],[EPAllocChrgRate]]</f>
        <v>0</v>
      </c>
      <c r="AV102" s="60">
        <f ca="1">tblBaseCF[[#This Row],[Load]]-tblBaseCF[[#This Row],[LoadAllocChrg]]</f>
        <v>0</v>
      </c>
      <c r="AW102" s="60">
        <f ca="1">tblBaseCF[[#This Row],[TP]]+tblBaseCF[[#This Row],[EP]]+tblBaseCF[[#This Row],[Load]]</f>
        <v>0</v>
      </c>
      <c r="AX102" s="60">
        <f ca="1">tblBaseCF[[#This Row],[TPAllocChrg]]+tblBaseCF[[#This Row],[EPAllocChrg]]+tblBaseCF[[#This Row],[LoadAllocChrg]]</f>
        <v>0</v>
      </c>
      <c r="AY102" s="60">
        <f ca="1">tblBaseCF[[#This Row],[TPAlloc]]+tblBaseCF[[#This Row],[EPAlloc]]+tblBaseCF[[#This Row],[LoadAlloc]]</f>
        <v>0</v>
      </c>
      <c r="AZ102" s="60">
        <f ca="1">(OFFSET(tblBaseCF[[#This Row],[AccumTotalPrem]],-1,0)+tblBaseCF[[#This Row],[TotalPrem]])*tblBaseCF[[#This Row],[TPTermFlag]]</f>
        <v>0</v>
      </c>
      <c r="BA102" s="62">
        <f ca="1">(tblBaseCF[[#This Row],[StartTAV]]-tblBaseCF[[#This Row],[TAVWithdrawal]]+tblBaseCF[[#This Row],[TPAlloc]])
*tblBaseCF[[#This Row],[ContFlag]]</f>
        <v>0</v>
      </c>
      <c r="BB102" s="59">
        <f ca="1">(tblBaseCF[[#This Row],[StartEAV]]-tblBaseCF[[#This Row],[EAVWithdrawal]]+tblBaseCF[[#This Row],[EPAlloc]]+tblBaseCF[[#This Row],[LoadAlloc]])
*tblBaseCF[[#This Row],[ContFlag]]</f>
        <v>0</v>
      </c>
      <c r="BC102" s="59">
        <f ca="1">tblBaseCF[[#This Row],[TAVAfterWdrlAlloc]]+tblBaseCF[[#This Row],[EAVAfterWdrlAlloc]]</f>
        <v>0</v>
      </c>
      <c r="BD102" s="66">
        <f t="shared" si="10"/>
        <v>0</v>
      </c>
      <c r="BE102" s="67">
        <f>(1+tblBaseCF[[#This Row],[AnnualIntRate]])^(1/12)-1</f>
        <v>0</v>
      </c>
      <c r="BF102" s="68">
        <f>IFERROR(((1+tblBaseCF[[#This Row],[MonthlyIntRate]])^12-1)/12/(1-1/(1+tblBaseCF[[#This Row],[MonthlyIntRate]])),1)/(1+tblBaseCF[[#This Row],[AnnualIntRate]])</f>
        <v>1</v>
      </c>
      <c r="BG102" s="69">
        <f>PV(tblBaseCF[[#This Row],[MonthlyIntRate]],12,-1/12,,1)</f>
        <v>1</v>
      </c>
      <c r="BH102" s="60">
        <f ca="1">MAX(IF(death_tpd_option="A",tblBaseCF[[#This Row],[Ben]]-tblBaseCF[[#This Row],[StartPAV]],tblBaseCF[[#This Row],[Ben]]),0)</f>
        <v>0</v>
      </c>
      <c r="BI102" s="70">
        <f ca="1">IFERROR(INDEX(tblBaseCOIRate[Rate],MATCH(tblBaseCF[[#This Row],[Age]],tblBaseCOIRate[Age],0)),0)</f>
        <v>7.7829999999999996E-2</v>
      </c>
      <c r="BJ102" s="60">
        <f ca="1">tblBaseCF[[#This Row],[SAR]]*tblBaseCF[[#This Row],[COIRate]]</f>
        <v>0</v>
      </c>
      <c r="BK102" s="62">
        <f ca="1">em_load*tblBaseCF[[#This Row],[pStandardCOI]]
*tblBaseCF[[#This Row],[EMLoadTermFlag]]</f>
        <v>0</v>
      </c>
      <c r="BL102" s="62">
        <f ca="1">pm_load/1000*tblBaseCF[[#This Row],[SAR]]
*tblBaseCF[[#This Row],[PMLoadTermFlag]]</f>
        <v>0</v>
      </c>
      <c r="BM102" s="60">
        <f ca="1">tblBaseCF[[#This Row],[AccBen]]*monthly_acc_coi*12</f>
        <v>0</v>
      </c>
      <c r="BN102" s="60">
        <f ca="1">tblBaseCF[[#This Row],[pStandardCOI]]+tblBaseCF[[#This Row],[pEMLoadCOI]]+tblBaseCF[[#This Row],[pPMLoadCOI]]+tblBaseCF[[#This Row],[pAccCOI]]</f>
        <v>0</v>
      </c>
      <c r="BO102" s="62">
        <f ca="1">IFERROR(INDEX(tblAdminChrg[Amount],MATCH(tblBaseCF[[#This Row],[CalYear]],tblAdminChrg[Cal_Year],0)),0)
*tblBaseCF[[#This Row],[ContFlag]]</f>
        <v>0</v>
      </c>
      <c r="BP102" s="60">
        <f ca="1">tblBaseCF[[#This Row],[pMonthlyAdminChrg]]*12</f>
        <v>0</v>
      </c>
      <c r="BQ102" s="60">
        <f ca="1">tblBaseCF[[#This Row],[pCOI]]+tblBaseCF[[#This Row],[pAdminChrg]]</f>
        <v>0</v>
      </c>
      <c r="BR102" s="60">
        <f ca="1">tblBaseCF[[#This Row],[pNomDeduct]]*tblBaseCF[[#This Row],[Duean1m12]]</f>
        <v>0</v>
      </c>
      <c r="BS102" s="57">
        <f ca="1">(tblBaseCF[[#This Row],[PAVAfterWdrlAlloc]]&gt;=tblBaseCF[[#This Row],[pNomDeduct]])
*tblBaseCF[[#This Row],[ContFlag]]</f>
        <v>0</v>
      </c>
      <c r="BT102" s="60">
        <f ca="1">tblBaseCF[[#This Row],[pStandardCOI]]*tblBaseCF[[#This Row],[DeductFlag]]</f>
        <v>0</v>
      </c>
      <c r="BU102" s="60">
        <f ca="1">tblBaseCF[[#This Row],[pEMLoadCOI]]*tblBaseCF[[#This Row],[DeductFlag]]</f>
        <v>0</v>
      </c>
      <c r="BV102" s="60">
        <f ca="1">tblBaseCF[[#This Row],[pPMLoadCOI]]*tblBaseCF[[#This Row],[DeductFlag]]</f>
        <v>0</v>
      </c>
      <c r="BW102" s="60">
        <f ca="1">tblBaseCF[[#This Row],[pAccCOI]]*tblBaseCF[[#This Row],[DeductFlag]]</f>
        <v>0</v>
      </c>
      <c r="BX102" s="60">
        <f ca="1">tblBaseCF[[#This Row],[pCOI]]*tblBaseCF[[#This Row],[DeductFlag]]</f>
        <v>0</v>
      </c>
      <c r="BY102" s="60">
        <f ca="1">tblBaseCF[[#This Row],[pMonthlyAdminChrg]]*tblBaseCF[[#This Row],[DeductFlag]]</f>
        <v>0</v>
      </c>
      <c r="BZ102" s="60">
        <f ca="1">tblBaseCF[[#This Row],[pAdminChrg]]*tblBaseCF[[#This Row],[DeductFlag]]</f>
        <v>0</v>
      </c>
      <c r="CA102" s="60">
        <f ca="1">tblBaseCF[[#This Row],[pNomDeduct]]*tblBaseCF[[#This Row],[DeductFlag]]</f>
        <v>0</v>
      </c>
      <c r="CB102" s="60">
        <f ca="1">tblBaseCF[[#This Row],[pDeduct]]*tblBaseCF[[#This Row],[DeductFlag]]</f>
        <v>0</v>
      </c>
      <c r="CC102" s="60">
        <f ca="1">MIN(tblBaseCF[[#This Row],[TAVAfterWdrlAlloc]],tblBaseCF[[#This Row],[Deduct]])</f>
        <v>0</v>
      </c>
      <c r="CD102" s="60">
        <f ca="1">tblBaseCF[[#This Row],[Deduct]]-tblBaseCF[[#This Row],[TAVDeduct]]</f>
        <v>0</v>
      </c>
      <c r="CE102" s="69">
        <f ca="1">(tblBaseCF[[#This Row],[TAVAfterWdrlAlloc]]-tblBaseCF[[#This Row],[TAVDeduct]])*tblBaseCF[[#This Row],[AnnualIntRate]]
*tblBaseCF[[#This Row],[DeductFlag]]</f>
        <v>0</v>
      </c>
      <c r="CF102" s="69">
        <f ca="1">(tblBaseCF[[#This Row],[EAVAfterWdrlAlloc]]-tblBaseCF[[#This Row],[EAVDeduct]])*tblBaseCF[[#This Row],[AnnualIntRate]]
*tblBaseCF[[#This Row],[DeductFlag]]</f>
        <v>0</v>
      </c>
      <c r="CG102" s="69">
        <f ca="1">tblBaseCF[[#This Row],[TAVInt]]+tblBaseCF[[#This Row],[EAVInt]]</f>
        <v>0</v>
      </c>
      <c r="CH102" s="62">
        <f ca="1">IFERROR(INDEX(tblLBRate[Rate],MATCH(tblBaseCF[[#This Row],[Year]],tblLBRate[Year],0)),0)
*tblBaseCF[[#This Row],[DeductFlag]]</f>
        <v>0</v>
      </c>
      <c r="CI102" s="60">
        <f ca="1">IFERROR(SUM(OFFSET(tblBaseCF[[#This Row],[TAVWithdrawal]],0,0,-lb_review_period,1)),0)
*(tblBaseCF[[#This Row],[LBRate]]&gt;0)</f>
        <v>0</v>
      </c>
      <c r="CJ102" s="60">
        <f ca="1">(tblBaseCF[[#This Row],[LBRate]]&gt;0)*(tblBaseCF[[#This Row],[LBTAVWithdrawal]]=0)</f>
        <v>0</v>
      </c>
      <c r="CK102" s="62" cm="1">
        <f t="array" aca="1" ref="CK102" ca="1">IF(tblBaseCF[[#This Row],[LBFlag]],
_xlfn.SWITCH(base,
"ILP1",AVERAGE(OFFSET(tblBaseCF[TP],0,0,-lb_review_period,1)),tp),0)
*tblBaseCF[[#This Row],[LBFlag]]</f>
        <v>0</v>
      </c>
      <c r="CL102" s="62">
        <f ca="1">tblBaseCF[[#This Row],[LBBasis]]*tblBaseCF[[#This Row],[LBRate]]</f>
        <v>0</v>
      </c>
      <c r="CM102" s="57" cm="1">
        <f t="array" aca="1" ref="CM102" ca="1">_xlfn.SWITCH(base,
"ILP1",0,($AF202&lt;500000000)*1
+($AF202&gt;=500000000)*($AF202&lt;1000000000)*2
+($AF202&gt;=1000000000)*3)
*tblBaseCF[[#This Row],[DeductFlag]]</f>
        <v>0</v>
      </c>
      <c r="CN102" s="2" t="str">
        <f ca="1">IF(tblBaseCF[[#This Row],[DeductFlag]],base&amp;"_"&amp;tblBaseCF[[#This Row],[SBCode]]&amp;"_"&amp;tblBaseCF[[#This Row],[Year]],"")</f>
        <v/>
      </c>
      <c r="CO102" s="3">
        <f ca="1">IFERROR(INDEX(tblSBRate[Index],MATCH(tblBaseCF[[#This Row],[SBIndex]],tblSBRate[Rate],0)),0)</f>
        <v>0</v>
      </c>
      <c r="CP102" s="63">
        <f ca="1">IFERROR(SUM(OFFSET(tblBaseCF[[#This Row],[TAVWithdrawal]],0,0,-sb_review_period,1)),0)
*(tblBaseCF[[#This Row],[SBRate]]&gt;0)</f>
        <v>0</v>
      </c>
      <c r="CQ102" s="63">
        <f ca="1">(tblBaseCF[[#This Row],[SBRate]]&gt;0)*(tblBaseCF[[#This Row],[SBTAVWithdrawal]]=0)</f>
        <v>0</v>
      </c>
      <c r="CR102" s="59" cm="1">
        <f t="array" aca="1" ref="CR102" ca="1">IF(tblBaseCF[[#This Row],[LBFlag]],
_xlfn.SWITCH(base,
"ILP1",0,tp),0)*tblBaseCF[[#This Row],[SBFlag]]</f>
        <v>0</v>
      </c>
      <c r="CS102" s="63">
        <f ca="1">tblBaseCF[[#This Row],[SBBasis]]*tblBaseCF[[#This Row],[SBRate]]</f>
        <v>0</v>
      </c>
      <c r="CT102" s="63">
        <f ca="1">tblBaseCF[[#This Row],[LB]]+tblBaseCF[[#This Row],[SB]]</f>
        <v>0</v>
      </c>
      <c r="CU102" s="59">
        <f ca="1">tblBaseCF[[#This Row],[TAVAfterWdrlAlloc]]-tblBaseCF[[#This Row],[TAVDeduct]]+tblBaseCF[[#This Row],[TAVInt]]+tblBaseCF[[#This Row],[Bonus]]</f>
        <v>0</v>
      </c>
      <c r="CV102" s="59">
        <f ca="1">tblBaseCF[[#This Row],[EAVAfterWdrlAlloc]]-tblBaseCF[[#This Row],[EAVDeduct]]+tblBaseCF[[#This Row],[EAVInt]]</f>
        <v>0</v>
      </c>
      <c r="CW102" s="63">
        <f ca="1">tblBaseCF[[#This Row],[EndTAV]]+tblBaseCF[[#This Row],[EndEAV]]</f>
        <v>0</v>
      </c>
      <c r="CX102" s="59">
        <f ca="1">INDEX(tblPlanPrem[TP],2)
*tblBaseCF[[#This Row],[TPTermFlag]]</f>
        <v>0</v>
      </c>
      <c r="CY102" s="59">
        <f ca="1">INDEX(tblPlanPrem[EP],2)
*tblBaseCF[[#This Row],[TPTermFlag]]</f>
        <v>0</v>
      </c>
      <c r="CZ102" s="63">
        <f ca="1">ROUNDUP(tblBaseCF[[#This Row],[UnroundedEMLoad]]*INDEX(tblPlanPrem[Factor],2),-3)</f>
        <v>0</v>
      </c>
      <c r="DA102" s="63">
        <f ca="1">ROUNDUP(tblBaseCF[[#This Row],[UnroundedPMLoad]]*INDEX(tblPlanPrem[Factor],2),-3)</f>
        <v>0</v>
      </c>
      <c r="DB102" s="63">
        <f ca="1">tblBaseCF[[#This Row],[SemiAnnualEMLoad]]+tblBaseCF[[#This Row],[SemiAnnualPMLoad]]</f>
        <v>0</v>
      </c>
      <c r="DC102" s="63">
        <f ca="1">tblBaseCF[[#This Row],[SemiAnnualTP]]+tblBaseCF[[#This Row],[SemiAnnualEP]]+tblBaseCF[[#This Row],[SemiAnnualLoad]]</f>
        <v>0</v>
      </c>
      <c r="DD102" s="59">
        <f ca="1">INDEX(tblPlanPrem[TP],3)
*tblBaseCF[[#This Row],[TPTermFlag]]</f>
        <v>0</v>
      </c>
      <c r="DE102" s="59">
        <f ca="1">INDEX(tblPlanPrem[EP],3)
*tblBaseCF[[#This Row],[TPTermFlag]]</f>
        <v>0</v>
      </c>
      <c r="DF102" s="63">
        <f ca="1">ROUNDUP(tblBaseCF[[#This Row],[UnroundedEMLoad]]*INDEX(tblPlanPrem[Factor],3),-3)</f>
        <v>0</v>
      </c>
      <c r="DG102" s="63">
        <f ca="1">ROUNDUP(tblBaseCF[[#This Row],[UnroundedPMLoad]]*INDEX(tblPlanPrem[Factor],3),-3)</f>
        <v>0</v>
      </c>
      <c r="DH102" s="60">
        <f ca="1">tblBaseCF[[#This Row],[QuarterlyEMLoad]]+tblBaseCF[[#This Row],[QuarterlyPMLoad]]</f>
        <v>0</v>
      </c>
      <c r="DI102" s="60">
        <f ca="1">tblBaseCF[[#This Row],[QuarterlyTP]]+tblBaseCF[[#This Row],[QuarterlyEP]]+tblBaseCF[[#This Row],[QuarterlyLoad]]</f>
        <v>0</v>
      </c>
      <c r="DJ102" s="59">
        <f ca="1">INDEX(tblPlanPrem[TP],4)
*tblBaseCF[[#This Row],[TPTermFlag]]</f>
        <v>0</v>
      </c>
      <c r="DK102" s="59">
        <f ca="1">INDEX(tblPlanPrem[EP],4)
*tblBaseCF[[#This Row],[TPTermFlag]]</f>
        <v>0</v>
      </c>
      <c r="DL102" s="63">
        <f ca="1">ROUNDUP(tblBaseCF[[#This Row],[UnroundedEMLoad]]*INDEX(tblPlanPrem[Factor],4),-3)</f>
        <v>0</v>
      </c>
      <c r="DM102" s="63">
        <f ca="1">ROUNDUP(tblBaseCF[[#This Row],[UnroundedPMLoad]]*INDEX(tblPlanPrem[Factor],4),-3)</f>
        <v>0</v>
      </c>
      <c r="DN102" s="60">
        <f ca="1">tblBaseCF[[#This Row],[MonthlyEMLoad]]+tblBaseCF[[#This Row],[MonthlyPMLoad]]</f>
        <v>0</v>
      </c>
      <c r="DO102" s="63">
        <f ca="1">tblBaseCF[[#This Row],[MonthlyTP]]+tblBaseCF[[#This Row],[MonthlyEP]]+tblBaseCF[[#This Row],[MonthlyLoad]]</f>
        <v>0</v>
      </c>
      <c r="DP102" s="3"/>
      <c r="DS102">
        <f t="shared" si="11"/>
        <v>0</v>
      </c>
      <c r="DT102">
        <f t="shared" si="12"/>
        <v>0</v>
      </c>
      <c r="DU102">
        <f t="shared" si="13"/>
        <v>0</v>
      </c>
      <c r="DV102">
        <f ca="1">tblBaseCF[[#This Row],[Year]]</f>
        <v>82</v>
      </c>
      <c r="DW102">
        <f ca="1">tblBaseCF[[#This Row],[Age]]</f>
        <v>81</v>
      </c>
      <c r="DX102">
        <f ca="1">tblBaseCF[[#This Row],[ContFlag]]</f>
        <v>0</v>
      </c>
      <c r="DY102" t="str">
        <f ca="1">tblBaseCF[[#This Row],[ContLog]]</f>
        <v>Insufficient PAV for deduction - Discontinue.</v>
      </c>
      <c r="DZ102">
        <f ca="1">tblBaseCF[[#This Row],[StartTAV]]</f>
        <v>0</v>
      </c>
      <c r="EA102">
        <f ca="1">tblBaseCF[[#This Row],[StartEAV]]</f>
        <v>0</v>
      </c>
      <c r="EB102">
        <f ca="1">tblBaseCF[[#This Row],[StartPAV]]</f>
        <v>0</v>
      </c>
      <c r="EC102">
        <f ca="1">tblBaseCF[[#This Row],[SVChrg]]</f>
        <v>0</v>
      </c>
      <c r="ED102">
        <f ca="1">tblBaseCF[[#This Row],[SV]]</f>
        <v>0</v>
      </c>
      <c r="EE102">
        <f ca="1">tblBaseCF[[#This Row],[Ben]]</f>
        <v>0</v>
      </c>
      <c r="EF102">
        <f ca="1">tblBaseCF[[#This Row],[AccBen]]</f>
        <v>0</v>
      </c>
      <c r="EG102">
        <f ca="1">tblBaseCF[[#This Row],[WithdrawalInput]]</f>
        <v>0</v>
      </c>
      <c r="EH102" t="str">
        <f ca="1">tblBaseCF[[#This Row],[WithdrawalLog]]</f>
        <v>No withdrawal.</v>
      </c>
      <c r="EI102">
        <f ca="1">tblBaseCF[[#This Row],[TAVWithdrawal]]</f>
        <v>0</v>
      </c>
      <c r="EJ102">
        <f ca="1">tblBaseCF[[#This Row],[EAVWithdrawal]]</f>
        <v>0</v>
      </c>
      <c r="EK102">
        <f ca="1">tblBaseCF[[#This Row],[Withdrawal]]</f>
        <v>0</v>
      </c>
      <c r="EL102">
        <f ca="1">tblBaseCF[[#This Row],[TP]]</f>
        <v>0</v>
      </c>
      <c r="EM102">
        <f ca="1">tblBaseCF[[#This Row],[TPAllocChrg]]</f>
        <v>0</v>
      </c>
      <c r="EN102">
        <f ca="1">tblBaseCF[[#This Row],[TPAlloc]]</f>
        <v>0</v>
      </c>
      <c r="EO102">
        <f ca="1">tblBaseCF[[#This Row],[EP]]</f>
        <v>0</v>
      </c>
      <c r="EP102">
        <f ca="1">tblBaseCF[[#This Row],[EPAllocChrg]]</f>
        <v>0</v>
      </c>
      <c r="EQ102">
        <f ca="1">tblBaseCF[[#This Row],[EPAlloc]]</f>
        <v>0</v>
      </c>
      <c r="ER102">
        <f ca="1">tblBaseCF[[#This Row],[EMLoad]]</f>
        <v>0</v>
      </c>
      <c r="ES102">
        <f ca="1">tblBaseCF[[#This Row],[PMLoad]]</f>
        <v>0</v>
      </c>
      <c r="ET102">
        <f ca="1">tblBaseCF[[#This Row],[Load]]</f>
        <v>0</v>
      </c>
      <c r="EU102">
        <f ca="1">tblBaseCF[[#This Row],[LoadAllocChrg]]</f>
        <v>0</v>
      </c>
      <c r="EV102">
        <f ca="1">tblBaseCF[[#This Row],[LoadAlloc]]</f>
        <v>0</v>
      </c>
      <c r="EW102">
        <f ca="1">tblBaseCF[[#This Row],[TotalPrem]]</f>
        <v>0</v>
      </c>
      <c r="EX102">
        <f ca="1">tblBaseCF[[#This Row],[AllocChrg]]</f>
        <v>0</v>
      </c>
      <c r="EY102">
        <f ca="1">tblBaseCF[[#This Row],[Alloc]]</f>
        <v>0</v>
      </c>
      <c r="EZ102">
        <f ca="1">tblBaseCF[[#This Row],[AccumTotalPrem]]</f>
        <v>0</v>
      </c>
      <c r="FA102">
        <f>tblBaseCF[[#This Row],[AnnualIntRate]]</f>
        <v>0</v>
      </c>
      <c r="FB102" s="50">
        <f>tblBaseCF[[#This Row],[Duean1m12]]</f>
        <v>1</v>
      </c>
      <c r="FC102">
        <f ca="1">tblBaseCF[[#This Row],[DeductFlag]]</f>
        <v>0</v>
      </c>
      <c r="FD102">
        <f ca="1">tblBaseCF[[#This Row],[AdminChrg]]</f>
        <v>0</v>
      </c>
      <c r="FE102">
        <f ca="1">tblBaseCF[[#This Row],[StandardCOI]]</f>
        <v>0</v>
      </c>
      <c r="FF102">
        <f ca="1">tblBaseCF[[#This Row],[EMLoadCOI]]</f>
        <v>0</v>
      </c>
      <c r="FG102">
        <f ca="1">tblBaseCF[[#This Row],[PMLoadCOI]]</f>
        <v>0</v>
      </c>
      <c r="FH102">
        <f ca="1">tblBaseCF[[#This Row],[COI]]</f>
        <v>0</v>
      </c>
      <c r="FI102" s="47">
        <f ca="1">tblBaseCF[[#This Row],[NomDeduct]]</f>
        <v>0</v>
      </c>
      <c r="FJ102">
        <f ca="1">tblBaseCF[[#This Row],[Deduct]]</f>
        <v>0</v>
      </c>
      <c r="FK102">
        <f ca="1">tblBaseCF[[#This Row],[TAVDeduct]]</f>
        <v>0</v>
      </c>
      <c r="FL102">
        <f ca="1">tblBaseCF[[#This Row],[EAVDeduct]]</f>
        <v>0</v>
      </c>
      <c r="FM102" s="24">
        <f ca="1">tblBaseCF[[#This Row],[TAVInt]]</f>
        <v>0</v>
      </c>
      <c r="FN102">
        <f ca="1">tblBaseCF[[#This Row],[EAVInt]]</f>
        <v>0</v>
      </c>
      <c r="FO102" s="47">
        <f ca="1">tblBaseCF[[#This Row],[LB]]</f>
        <v>0</v>
      </c>
      <c r="FP102">
        <f ca="1">tblBaseCF[[#This Row],[SB]]</f>
        <v>0</v>
      </c>
      <c r="FQ102">
        <f ca="1">tblBaseCF[[#This Row],[Bonus]]</f>
        <v>0</v>
      </c>
      <c r="FR102">
        <f ca="1">tblBaseCF[[#This Row],[EndTAV]]</f>
        <v>0</v>
      </c>
      <c r="FS102">
        <f ca="1">tblBaseCF[[#This Row],[EndEAV]]</f>
        <v>0</v>
      </c>
      <c r="FT102">
        <f ca="1">tblBaseCF[[#This Row],[EndPAV]]</f>
        <v>0</v>
      </c>
      <c r="FU102">
        <f ca="1">tblBaseCF[[#This Row],[SemiAnnualTP]]</f>
        <v>0</v>
      </c>
      <c r="FV102">
        <f ca="1">tblBaseCF[[#This Row],[SemiAnnualEP]]</f>
        <v>0</v>
      </c>
      <c r="FW102">
        <f ca="1">tblBaseCF[[#This Row],[SemiAnnualEMLoad]]</f>
        <v>0</v>
      </c>
      <c r="FX102">
        <f ca="1">tblBaseCF[[#This Row],[SemiAnnualPMLoad]]</f>
        <v>0</v>
      </c>
      <c r="FY102">
        <f ca="1">tblBaseCF[[#This Row],[SemiAnnualLoad]]</f>
        <v>0</v>
      </c>
      <c r="FZ102">
        <f ca="1">tblBaseCF[[#This Row],[SemiAnnualTotalPrem]]</f>
        <v>0</v>
      </c>
      <c r="GA102">
        <f ca="1">tblBaseCF[[#This Row],[QuarterlyTP]]</f>
        <v>0</v>
      </c>
      <c r="GB102">
        <f ca="1">tblBaseCF[[#This Row],[QuarterlyEP]]</f>
        <v>0</v>
      </c>
      <c r="GC102">
        <f ca="1">tblBaseCF[[#This Row],[QuarterlyEMLoad]]</f>
        <v>0</v>
      </c>
      <c r="GD102">
        <f ca="1">tblBaseCF[[#This Row],[QuarterlyPMLoad]]</f>
        <v>0</v>
      </c>
      <c r="GE102">
        <f ca="1">tblBaseCF[[#This Row],[QuarterlyLoad]]</f>
        <v>0</v>
      </c>
      <c r="GF102">
        <f ca="1">tblBaseCF[[#This Row],[QuarterlyTotalPrem]]</f>
        <v>0</v>
      </c>
      <c r="GG102">
        <f ca="1">tblBaseCF[[#This Row],[MonthlyTP]]</f>
        <v>0</v>
      </c>
      <c r="GH102">
        <f ca="1">tblBaseCF[[#This Row],[MonthlyEP]]</f>
        <v>0</v>
      </c>
      <c r="GI102">
        <f ca="1">tblBaseCF[[#This Row],[MonthlyEMLoad]]</f>
        <v>0</v>
      </c>
      <c r="GJ102">
        <f ca="1">tblBaseCF[[#This Row],[MonthlyPMLoad]]</f>
        <v>0</v>
      </c>
      <c r="GK102">
        <f ca="1">tblBaseCF[[#This Row],[MonthlyLoad]]</f>
        <v>0</v>
      </c>
      <c r="GL102">
        <f ca="1">tblBaseCF[[#This Row],[MonthlyTotalPrem]]</f>
        <v>0</v>
      </c>
      <c r="GO102" t="s">
        <v>134</v>
      </c>
      <c r="GP102" t="s">
        <v>135</v>
      </c>
      <c r="GQ102" t="s">
        <v>502</v>
      </c>
      <c r="GR102">
        <v>82</v>
      </c>
      <c r="GS102">
        <v>81</v>
      </c>
      <c r="GT102">
        <v>1</v>
      </c>
      <c r="GU102" t="s">
        <v>457</v>
      </c>
      <c r="GV102">
        <v>1134719662.43118</v>
      </c>
      <c r="GW102">
        <v>9959248970.0421295</v>
      </c>
      <c r="GX102">
        <v>11093968632.473301</v>
      </c>
      <c r="GY102">
        <v>0</v>
      </c>
      <c r="GZ102">
        <v>11093968632.473301</v>
      </c>
      <c r="HA102">
        <v>11093968632.473301</v>
      </c>
      <c r="HB102">
        <v>0</v>
      </c>
      <c r="HC102">
        <v>0</v>
      </c>
      <c r="HD102" t="s">
        <v>137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7.0000000000000007E-2</v>
      </c>
      <c r="HX102">
        <v>0.96964931039809399</v>
      </c>
      <c r="HY102">
        <v>1</v>
      </c>
      <c r="HZ102">
        <v>300000</v>
      </c>
      <c r="IA102">
        <v>0</v>
      </c>
      <c r="IB102">
        <v>0</v>
      </c>
      <c r="IC102">
        <v>0</v>
      </c>
      <c r="ID102">
        <v>0</v>
      </c>
      <c r="IE102">
        <v>300000</v>
      </c>
      <c r="IF102">
        <v>290894.79311942798</v>
      </c>
      <c r="IG102">
        <v>290894.79311942798</v>
      </c>
      <c r="IH102">
        <v>0</v>
      </c>
      <c r="II102">
        <v>79410013.734664604</v>
      </c>
      <c r="IJ102">
        <v>697147427.90294898</v>
      </c>
      <c r="IK102">
        <v>0</v>
      </c>
      <c r="IL102">
        <v>0</v>
      </c>
      <c r="IM102">
        <v>0</v>
      </c>
      <c r="IN102">
        <v>1213838781.37273</v>
      </c>
      <c r="IO102">
        <v>10656396397.945101</v>
      </c>
      <c r="IP102">
        <v>11870235179.317801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</row>
    <row r="103" spans="2:268" customFormat="1" x14ac:dyDescent="0.25">
      <c r="B103" s="2">
        <f ca="1">OFFSET(tblBaseCF[[#This Row],[Year]],-1,0)+1</f>
        <v>83</v>
      </c>
      <c r="C103" s="2">
        <f ca="1">(tblBaseCF[[#This Row],[Year]]&lt;=term)*1</f>
        <v>1</v>
      </c>
      <c r="D103" s="57">
        <f ca="1">(YEAR(rcd)+tblBaseCF[[#This Row],[Year]]-1)
*tblBaseCF[[#This Row],[PolTermFlag]]</f>
        <v>2107</v>
      </c>
      <c r="E103" s="57">
        <f ca="1">(mainLI_entry_age+tblBaseCF[[#This Row],[Year]]-1)
*tblBaseCF[[#This Row],[PolTermFlag]]</f>
        <v>82</v>
      </c>
      <c r="F103" s="57">
        <f ca="1">IF(tblBaseCF[[#This Row],[Year]]=1,1,OFFSET(tblBaseCF[[#This Row],[DeductFlag]],-1,0))
*tblBaseCF[[#This Row],[PolTermFlag]]</f>
        <v>0</v>
      </c>
      <c r="G10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3" s="57">
        <f ca="1">(tblBaseCF[[#This Row],[Year]]&lt;=acc_ben_term)
*tblBaseCF[[#This Row],[ContFlag]]</f>
        <v>0</v>
      </c>
      <c r="I103" s="57">
        <f ca="1">(tblBaseCF[[#This Row],[Year]]&lt;=tp_term)
*tblBaseCF[[#This Row],[ContFlag]]</f>
        <v>0</v>
      </c>
      <c r="J103" s="57">
        <f ca="1">(tblBaseCF[[#This Row],[Year]]&lt;=ep_term)
*tblBaseCF[[#This Row],[ContFlag]]</f>
        <v>0</v>
      </c>
      <c r="K103" s="57">
        <f ca="1">(tblBaseCF[[#This Row],[Year]]&lt;=em_load_term)*1</f>
        <v>0</v>
      </c>
      <c r="L103" s="57">
        <f ca="1">(tblBaseCF[[#This Row],[Year]]&lt;=pm_load_term)*1</f>
        <v>0</v>
      </c>
      <c r="M103" s="59">
        <f ca="1">IF(tblBaseCF[[#This Row],[Year]]=1,si,OFFSET(tblBaseCF[[#This Row],[EndSI]],-1,0))
*tblBaseCF[[#This Row],[ContFlag]]</f>
        <v>0</v>
      </c>
      <c r="N103" s="59">
        <f ca="1">OFFSET(tblBaseCF[[#This Row],[EndTAV]],-1,0)
*tblBaseCF[[#This Row],[ContFlag]]</f>
        <v>0</v>
      </c>
      <c r="O103" s="59">
        <f ca="1">OFFSET(tblBaseCF[[#This Row],[EndEAV]],-1,0)
*tblBaseCF[[#This Row],[ContFlag]]</f>
        <v>0</v>
      </c>
      <c r="P103" s="60">
        <f ca="1">tblBaseCF[[#This Row],[StartEAV]]+tblBaseCF[[#This Row],[StartTAV]]</f>
        <v>0</v>
      </c>
      <c r="Q103" s="61">
        <f ca="1">IFERROR(INDEX(tblJuvenileLienRate[Rate],MATCH(tblBaseCF[[#This Row],[Age]],tblJuvenileLienRate[Age],0)),1)
*tblBaseCF[[#This Row],[ContFlag]]</f>
        <v>0</v>
      </c>
      <c r="R10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3" s="62">
        <f ca="1">tblBaseCF[[#This Row],[StartSI]]*acc_ben_coeff*tblBaseCF[[#This Row],[JuvenileLienRate]]
*tblBaseCF[[#This Row],[AccBenTermFlag]]</f>
        <v>0</v>
      </c>
      <c r="T103" s="61">
        <f ca="1">(IFERROR(INDEX(tblSurrChrgRate[Rate],MATCH(tblBaseCF[[#This Row],[Year]],tblSurrChrgRate[Year],0)),0)
*tblBaseCF[[#This Row],[ContFlag]])</f>
        <v>0</v>
      </c>
      <c r="U103" s="60">
        <f ca="1">tp*tblBaseCF[[#This Row],[SrrChrgRate]]</f>
        <v>0</v>
      </c>
      <c r="V103" s="63">
        <f ca="1">MAX(tblBaseCF[[#This Row],[StartTAV]]-tblBaseCF[[#This Row],[SVChrg]],0)+tblBaseCF[[#This Row],[StartEAV]]</f>
        <v>0</v>
      </c>
      <c r="W103" s="59">
        <f ca="1">IFERROR(INDEX(tblWithdrawal_Output[Amount],MATCH(tblBaseCF[[#This Row],[Year]],tblWithdrawal_Output[Year],0)),0)
*tblBaseCF[[#This Row],[ContFlag]]</f>
        <v>0</v>
      </c>
      <c r="X103" s="59" t="b">
        <f ca="1">tblBaseCF[[#This Row],[WithdrawalInput]]&gt;0</f>
        <v>0</v>
      </c>
      <c r="Y103" s="59" t="b">
        <f ca="1">AND(tblBaseCF[[#This Row],[1stCheckProceed]],tblBaseCF[[#This Row],[WithdrawalInput]]&lt;=tblBaseCF[[#This Row],[StartPAV]])</f>
        <v>0</v>
      </c>
      <c r="Z103" s="59" t="b">
        <f ca="1">AND(tblBaseCF[[#This Row],[2ndCheckAmount]],(tblBaseCF[[#This Row],[StartPAV]]-tblBaseCF[[#This Row],[WithdrawalInput]])&gt;=min_pav_after_withdrawal)</f>
        <v>0</v>
      </c>
      <c r="AA10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3" s="59" t="b">
        <f ca="1">AND(tblBaseCF[[#This Row],[3rdCheckPAV]],tblBaseCF[[#This Row],[endSITest]]&gt;=min_base_si)</f>
        <v>0</v>
      </c>
      <c r="AC103" s="60">
        <f ca="1">tblBaseCF[[#This Row],[WithdrawalInput]]*tblBaseCF[[#This Row],[4thCheckSI]]</f>
        <v>0</v>
      </c>
      <c r="AD103" s="60">
        <f ca="1">MIN(tblBaseCF[[#This Row],[Withdrawal]],tblBaseCF[[#This Row],[StartEAV]])</f>
        <v>0</v>
      </c>
      <c r="AE103" s="60">
        <f ca="1">tblBaseCF[[#This Row],[Withdrawal]]-tblBaseCF[[#This Row],[EAVWithdrawal]]</f>
        <v>0</v>
      </c>
      <c r="AF103" s="60">
        <f ca="1">IF(tblBaseCF[[#This Row],[4thCheckSI]],tblBaseCF[[#This Row],[endSITest]],tblBaseCF[[#This Row],[StartSI]])</f>
        <v>0</v>
      </c>
      <c r="AG10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3" s="65">
        <f ca="1">IFERROR(INDEX(tblTPAllocChrgRate[Rate],MATCH(tblBaseCF[[#This Row],[Year]],tblTPAllocChrgRate[Year],0)),0)</f>
        <v>0.02</v>
      </c>
      <c r="AI103" s="62">
        <f ca="1">(tp+big_case_bonus_tp*(tblBaseCF[[#This Row],[Year]]=1))
*tblBaseCF[[#This Row],[TPTermFlag]]</f>
        <v>0</v>
      </c>
      <c r="AJ103" s="63">
        <f ca="1">tblBaseCF[[#This Row],[TP]]*tblBaseCF[[#This Row],[TPAllocChrgRate]]</f>
        <v>0</v>
      </c>
      <c r="AK103" s="60">
        <f ca="1">tblBaseCF[[#This Row],[TP]]-tblBaseCF[[#This Row],[TPAllocChrg]]</f>
        <v>0</v>
      </c>
      <c r="AL103" s="65">
        <f ca="1">IFERROR(INDEX(tblEPAllocChrgRate[Rate],MATCH(tblBaseCF[[#This Row],[Year]],tblEPAllocChrgRate[Year],0)),0)</f>
        <v>0.02</v>
      </c>
      <c r="AM103" s="60">
        <f ca="1">ep*tblBaseCF[[#This Row],[EPTermFlag]]</f>
        <v>0</v>
      </c>
      <c r="AN103" s="60">
        <f ca="1">tblBaseCF[[#This Row],[EP]]*tblBaseCF[[#This Row],[EPAllocChrgRate]]</f>
        <v>0</v>
      </c>
      <c r="AO103" s="63">
        <f ca="1">tblBaseCF[[#This Row],[EP]]-tblBaseCF[[#This Row],[EPAllocChrg]]</f>
        <v>0</v>
      </c>
      <c r="AP103" s="62">
        <f ca="1">tblBaseCF[[#This Row],[Ben]]*extra_prem_rate*em_load/1000/(1-tblBaseCF[[#This Row],[EPAllocChrgRate]])
*tblBaseCF[[#This Row],[EMLoadTermFlag]]</f>
        <v>0</v>
      </c>
      <c r="AQ103" s="62">
        <f ca="1">tblBaseCF[[#This Row],[Ben]]*pm_load/1000/(1-tblBaseCF[[#This Row],[EPAllocChrgRate]])
*tblBaseCF[[#This Row],[PMLoadTermFlag]]</f>
        <v>0</v>
      </c>
      <c r="AR103" s="60">
        <f ca="1">ROUNDUP(tblBaseCF[[#This Row],[UnroundedEMLoad]],-3)</f>
        <v>0</v>
      </c>
      <c r="AS103" s="62">
        <f ca="1">ROUNDUP(tblBaseCF[[#This Row],[Ben]]*pm_load/1000/(1-tblBaseCF[[#This Row],[EPAllocChrgRate]]),-3)
*tblBaseCF[[#This Row],[PMLoadTermFlag]]</f>
        <v>0</v>
      </c>
      <c r="AT103" s="60">
        <f ca="1">tblBaseCF[[#This Row],[EMLoad]]+tblBaseCF[[#This Row],[PMLoad]]</f>
        <v>0</v>
      </c>
      <c r="AU103" s="60">
        <f ca="1">tblBaseCF[[#This Row],[Load]]*tblBaseCF[[#This Row],[EPAllocChrgRate]]</f>
        <v>0</v>
      </c>
      <c r="AV103" s="60">
        <f ca="1">tblBaseCF[[#This Row],[Load]]-tblBaseCF[[#This Row],[LoadAllocChrg]]</f>
        <v>0</v>
      </c>
      <c r="AW103" s="60">
        <f ca="1">tblBaseCF[[#This Row],[TP]]+tblBaseCF[[#This Row],[EP]]+tblBaseCF[[#This Row],[Load]]</f>
        <v>0</v>
      </c>
      <c r="AX103" s="60">
        <f ca="1">tblBaseCF[[#This Row],[TPAllocChrg]]+tblBaseCF[[#This Row],[EPAllocChrg]]+tblBaseCF[[#This Row],[LoadAllocChrg]]</f>
        <v>0</v>
      </c>
      <c r="AY103" s="60">
        <f ca="1">tblBaseCF[[#This Row],[TPAlloc]]+tblBaseCF[[#This Row],[EPAlloc]]+tblBaseCF[[#This Row],[LoadAlloc]]</f>
        <v>0</v>
      </c>
      <c r="AZ103" s="60">
        <f ca="1">(OFFSET(tblBaseCF[[#This Row],[AccumTotalPrem]],-1,0)+tblBaseCF[[#This Row],[TotalPrem]])*tblBaseCF[[#This Row],[TPTermFlag]]</f>
        <v>0</v>
      </c>
      <c r="BA103" s="62">
        <f ca="1">(tblBaseCF[[#This Row],[StartTAV]]-tblBaseCF[[#This Row],[TAVWithdrawal]]+tblBaseCF[[#This Row],[TPAlloc]])
*tblBaseCF[[#This Row],[ContFlag]]</f>
        <v>0</v>
      </c>
      <c r="BB103" s="59">
        <f ca="1">(tblBaseCF[[#This Row],[StartEAV]]-tblBaseCF[[#This Row],[EAVWithdrawal]]+tblBaseCF[[#This Row],[EPAlloc]]+tblBaseCF[[#This Row],[LoadAlloc]])
*tblBaseCF[[#This Row],[ContFlag]]</f>
        <v>0</v>
      </c>
      <c r="BC103" s="59">
        <f ca="1">tblBaseCF[[#This Row],[TAVAfterWdrlAlloc]]+tblBaseCF[[#This Row],[EAVAfterWdrlAlloc]]</f>
        <v>0</v>
      </c>
      <c r="BD103" s="66">
        <f t="shared" si="10"/>
        <v>0</v>
      </c>
      <c r="BE103" s="67">
        <f>(1+tblBaseCF[[#This Row],[AnnualIntRate]])^(1/12)-1</f>
        <v>0</v>
      </c>
      <c r="BF103" s="68">
        <f>IFERROR(((1+tblBaseCF[[#This Row],[MonthlyIntRate]])^12-1)/12/(1-1/(1+tblBaseCF[[#This Row],[MonthlyIntRate]])),1)/(1+tblBaseCF[[#This Row],[AnnualIntRate]])</f>
        <v>1</v>
      </c>
      <c r="BG103" s="69">
        <f>PV(tblBaseCF[[#This Row],[MonthlyIntRate]],12,-1/12,,1)</f>
        <v>1</v>
      </c>
      <c r="BH103" s="60">
        <f ca="1">MAX(IF(death_tpd_option="A",tblBaseCF[[#This Row],[Ben]]-tblBaseCF[[#This Row],[StartPAV]],tblBaseCF[[#This Row],[Ben]]),0)</f>
        <v>0</v>
      </c>
      <c r="BI103" s="70">
        <f ca="1">IFERROR(INDEX(tblBaseCOIRate[Rate],MATCH(tblBaseCF[[#This Row],[Age]],tblBaseCOIRate[Age],0)),0)</f>
        <v>8.7249999999999897E-2</v>
      </c>
      <c r="BJ103" s="60">
        <f ca="1">tblBaseCF[[#This Row],[SAR]]*tblBaseCF[[#This Row],[COIRate]]</f>
        <v>0</v>
      </c>
      <c r="BK103" s="62">
        <f ca="1">em_load*tblBaseCF[[#This Row],[pStandardCOI]]
*tblBaseCF[[#This Row],[EMLoadTermFlag]]</f>
        <v>0</v>
      </c>
      <c r="BL103" s="62">
        <f ca="1">pm_load/1000*tblBaseCF[[#This Row],[SAR]]
*tblBaseCF[[#This Row],[PMLoadTermFlag]]</f>
        <v>0</v>
      </c>
      <c r="BM103" s="60">
        <f ca="1">tblBaseCF[[#This Row],[AccBen]]*monthly_acc_coi*12</f>
        <v>0</v>
      </c>
      <c r="BN103" s="60">
        <f ca="1">tblBaseCF[[#This Row],[pStandardCOI]]+tblBaseCF[[#This Row],[pEMLoadCOI]]+tblBaseCF[[#This Row],[pPMLoadCOI]]+tblBaseCF[[#This Row],[pAccCOI]]</f>
        <v>0</v>
      </c>
      <c r="BO103" s="62">
        <f ca="1">IFERROR(INDEX(tblAdminChrg[Amount],MATCH(tblBaseCF[[#This Row],[CalYear]],tblAdminChrg[Cal_Year],0)),0)
*tblBaseCF[[#This Row],[ContFlag]]</f>
        <v>0</v>
      </c>
      <c r="BP103" s="60">
        <f ca="1">tblBaseCF[[#This Row],[pMonthlyAdminChrg]]*12</f>
        <v>0</v>
      </c>
      <c r="BQ103" s="60">
        <f ca="1">tblBaseCF[[#This Row],[pCOI]]+tblBaseCF[[#This Row],[pAdminChrg]]</f>
        <v>0</v>
      </c>
      <c r="BR103" s="60">
        <f ca="1">tblBaseCF[[#This Row],[pNomDeduct]]*tblBaseCF[[#This Row],[Duean1m12]]</f>
        <v>0</v>
      </c>
      <c r="BS103" s="57">
        <f ca="1">(tblBaseCF[[#This Row],[PAVAfterWdrlAlloc]]&gt;=tblBaseCF[[#This Row],[pNomDeduct]])
*tblBaseCF[[#This Row],[ContFlag]]</f>
        <v>0</v>
      </c>
      <c r="BT103" s="60">
        <f ca="1">tblBaseCF[[#This Row],[pStandardCOI]]*tblBaseCF[[#This Row],[DeductFlag]]</f>
        <v>0</v>
      </c>
      <c r="BU103" s="60">
        <f ca="1">tblBaseCF[[#This Row],[pEMLoadCOI]]*tblBaseCF[[#This Row],[DeductFlag]]</f>
        <v>0</v>
      </c>
      <c r="BV103" s="60">
        <f ca="1">tblBaseCF[[#This Row],[pPMLoadCOI]]*tblBaseCF[[#This Row],[DeductFlag]]</f>
        <v>0</v>
      </c>
      <c r="BW103" s="60">
        <f ca="1">tblBaseCF[[#This Row],[pAccCOI]]*tblBaseCF[[#This Row],[DeductFlag]]</f>
        <v>0</v>
      </c>
      <c r="BX103" s="60">
        <f ca="1">tblBaseCF[[#This Row],[pCOI]]*tblBaseCF[[#This Row],[DeductFlag]]</f>
        <v>0</v>
      </c>
      <c r="BY103" s="60">
        <f ca="1">tblBaseCF[[#This Row],[pMonthlyAdminChrg]]*tblBaseCF[[#This Row],[DeductFlag]]</f>
        <v>0</v>
      </c>
      <c r="BZ103" s="60">
        <f ca="1">tblBaseCF[[#This Row],[pAdminChrg]]*tblBaseCF[[#This Row],[DeductFlag]]</f>
        <v>0</v>
      </c>
      <c r="CA103" s="60">
        <f ca="1">tblBaseCF[[#This Row],[pNomDeduct]]*tblBaseCF[[#This Row],[DeductFlag]]</f>
        <v>0</v>
      </c>
      <c r="CB103" s="60">
        <f ca="1">tblBaseCF[[#This Row],[pDeduct]]*tblBaseCF[[#This Row],[DeductFlag]]</f>
        <v>0</v>
      </c>
      <c r="CC103" s="60">
        <f ca="1">MIN(tblBaseCF[[#This Row],[TAVAfterWdrlAlloc]],tblBaseCF[[#This Row],[Deduct]])</f>
        <v>0</v>
      </c>
      <c r="CD103" s="60">
        <f ca="1">tblBaseCF[[#This Row],[Deduct]]-tblBaseCF[[#This Row],[TAVDeduct]]</f>
        <v>0</v>
      </c>
      <c r="CE103" s="69">
        <f ca="1">(tblBaseCF[[#This Row],[TAVAfterWdrlAlloc]]-tblBaseCF[[#This Row],[TAVDeduct]])*tblBaseCF[[#This Row],[AnnualIntRate]]
*tblBaseCF[[#This Row],[DeductFlag]]</f>
        <v>0</v>
      </c>
      <c r="CF103" s="69">
        <f ca="1">(tblBaseCF[[#This Row],[EAVAfterWdrlAlloc]]-tblBaseCF[[#This Row],[EAVDeduct]])*tblBaseCF[[#This Row],[AnnualIntRate]]
*tblBaseCF[[#This Row],[DeductFlag]]</f>
        <v>0</v>
      </c>
      <c r="CG103" s="69">
        <f ca="1">tblBaseCF[[#This Row],[TAVInt]]+tblBaseCF[[#This Row],[EAVInt]]</f>
        <v>0</v>
      </c>
      <c r="CH103" s="62">
        <f ca="1">IFERROR(INDEX(tblLBRate[Rate],MATCH(tblBaseCF[[#This Row],[Year]],tblLBRate[Year],0)),0)
*tblBaseCF[[#This Row],[DeductFlag]]</f>
        <v>0</v>
      </c>
      <c r="CI103" s="60">
        <f ca="1">IFERROR(SUM(OFFSET(tblBaseCF[[#This Row],[TAVWithdrawal]],0,0,-lb_review_period,1)),0)
*(tblBaseCF[[#This Row],[LBRate]]&gt;0)</f>
        <v>0</v>
      </c>
      <c r="CJ103" s="60">
        <f ca="1">(tblBaseCF[[#This Row],[LBRate]]&gt;0)*(tblBaseCF[[#This Row],[LBTAVWithdrawal]]=0)</f>
        <v>0</v>
      </c>
      <c r="CK103" s="62" cm="1">
        <f t="array" aca="1" ref="CK103" ca="1">IF(tblBaseCF[[#This Row],[LBFlag]],
_xlfn.SWITCH(base,
"ILP1",AVERAGE(OFFSET(tblBaseCF[TP],0,0,-lb_review_period,1)),tp),0)
*tblBaseCF[[#This Row],[LBFlag]]</f>
        <v>0</v>
      </c>
      <c r="CL103" s="62">
        <f ca="1">tblBaseCF[[#This Row],[LBBasis]]*tblBaseCF[[#This Row],[LBRate]]</f>
        <v>0</v>
      </c>
      <c r="CM103" s="57" cm="1">
        <f t="array" aca="1" ref="CM103" ca="1">_xlfn.SWITCH(base,
"ILP1",0,($AF203&lt;500000000)*1
+($AF203&gt;=500000000)*($AF203&lt;1000000000)*2
+($AF203&gt;=1000000000)*3)
*tblBaseCF[[#This Row],[DeductFlag]]</f>
        <v>0</v>
      </c>
      <c r="CN103" s="2" t="str">
        <f ca="1">IF(tblBaseCF[[#This Row],[DeductFlag]],base&amp;"_"&amp;tblBaseCF[[#This Row],[SBCode]]&amp;"_"&amp;tblBaseCF[[#This Row],[Year]],"")</f>
        <v/>
      </c>
      <c r="CO103" s="3">
        <f ca="1">IFERROR(INDEX(tblSBRate[Index],MATCH(tblBaseCF[[#This Row],[SBIndex]],tblSBRate[Rate],0)),0)</f>
        <v>0</v>
      </c>
      <c r="CP103" s="63">
        <f ca="1">IFERROR(SUM(OFFSET(tblBaseCF[[#This Row],[TAVWithdrawal]],0,0,-sb_review_period,1)),0)
*(tblBaseCF[[#This Row],[SBRate]]&gt;0)</f>
        <v>0</v>
      </c>
      <c r="CQ103" s="63">
        <f ca="1">(tblBaseCF[[#This Row],[SBRate]]&gt;0)*(tblBaseCF[[#This Row],[SBTAVWithdrawal]]=0)</f>
        <v>0</v>
      </c>
      <c r="CR103" s="59" cm="1">
        <f t="array" aca="1" ref="CR103" ca="1">IF(tblBaseCF[[#This Row],[LBFlag]],
_xlfn.SWITCH(base,
"ILP1",0,tp),0)*tblBaseCF[[#This Row],[SBFlag]]</f>
        <v>0</v>
      </c>
      <c r="CS103" s="63">
        <f ca="1">tblBaseCF[[#This Row],[SBBasis]]*tblBaseCF[[#This Row],[SBRate]]</f>
        <v>0</v>
      </c>
      <c r="CT103" s="63">
        <f ca="1">tblBaseCF[[#This Row],[LB]]+tblBaseCF[[#This Row],[SB]]</f>
        <v>0</v>
      </c>
      <c r="CU103" s="59">
        <f ca="1">tblBaseCF[[#This Row],[TAVAfterWdrlAlloc]]-tblBaseCF[[#This Row],[TAVDeduct]]+tblBaseCF[[#This Row],[TAVInt]]+tblBaseCF[[#This Row],[Bonus]]</f>
        <v>0</v>
      </c>
      <c r="CV103" s="59">
        <f ca="1">tblBaseCF[[#This Row],[EAVAfterWdrlAlloc]]-tblBaseCF[[#This Row],[EAVDeduct]]+tblBaseCF[[#This Row],[EAVInt]]</f>
        <v>0</v>
      </c>
      <c r="CW103" s="63">
        <f ca="1">tblBaseCF[[#This Row],[EndTAV]]+tblBaseCF[[#This Row],[EndEAV]]</f>
        <v>0</v>
      </c>
      <c r="CX103" s="59">
        <f ca="1">INDEX(tblPlanPrem[TP],2)
*tblBaseCF[[#This Row],[TPTermFlag]]</f>
        <v>0</v>
      </c>
      <c r="CY103" s="59">
        <f ca="1">INDEX(tblPlanPrem[EP],2)
*tblBaseCF[[#This Row],[TPTermFlag]]</f>
        <v>0</v>
      </c>
      <c r="CZ103" s="63">
        <f ca="1">ROUNDUP(tblBaseCF[[#This Row],[UnroundedEMLoad]]*INDEX(tblPlanPrem[Factor],2),-3)</f>
        <v>0</v>
      </c>
      <c r="DA103" s="63">
        <f ca="1">ROUNDUP(tblBaseCF[[#This Row],[UnroundedPMLoad]]*INDEX(tblPlanPrem[Factor],2),-3)</f>
        <v>0</v>
      </c>
      <c r="DB103" s="63">
        <f ca="1">tblBaseCF[[#This Row],[SemiAnnualEMLoad]]+tblBaseCF[[#This Row],[SemiAnnualPMLoad]]</f>
        <v>0</v>
      </c>
      <c r="DC103" s="63">
        <f ca="1">tblBaseCF[[#This Row],[SemiAnnualTP]]+tblBaseCF[[#This Row],[SemiAnnualEP]]+tblBaseCF[[#This Row],[SemiAnnualLoad]]</f>
        <v>0</v>
      </c>
      <c r="DD103" s="59">
        <f ca="1">INDEX(tblPlanPrem[TP],3)
*tblBaseCF[[#This Row],[TPTermFlag]]</f>
        <v>0</v>
      </c>
      <c r="DE103" s="59">
        <f ca="1">INDEX(tblPlanPrem[EP],3)
*tblBaseCF[[#This Row],[TPTermFlag]]</f>
        <v>0</v>
      </c>
      <c r="DF103" s="63">
        <f ca="1">ROUNDUP(tblBaseCF[[#This Row],[UnroundedEMLoad]]*INDEX(tblPlanPrem[Factor],3),-3)</f>
        <v>0</v>
      </c>
      <c r="DG103" s="63">
        <f ca="1">ROUNDUP(tblBaseCF[[#This Row],[UnroundedPMLoad]]*INDEX(tblPlanPrem[Factor],3),-3)</f>
        <v>0</v>
      </c>
      <c r="DH103" s="60">
        <f ca="1">tblBaseCF[[#This Row],[QuarterlyEMLoad]]+tblBaseCF[[#This Row],[QuarterlyPMLoad]]</f>
        <v>0</v>
      </c>
      <c r="DI103" s="60">
        <f ca="1">tblBaseCF[[#This Row],[QuarterlyTP]]+tblBaseCF[[#This Row],[QuarterlyEP]]+tblBaseCF[[#This Row],[QuarterlyLoad]]</f>
        <v>0</v>
      </c>
      <c r="DJ103" s="59">
        <f ca="1">INDEX(tblPlanPrem[TP],4)
*tblBaseCF[[#This Row],[TPTermFlag]]</f>
        <v>0</v>
      </c>
      <c r="DK103" s="59">
        <f ca="1">INDEX(tblPlanPrem[EP],4)
*tblBaseCF[[#This Row],[TPTermFlag]]</f>
        <v>0</v>
      </c>
      <c r="DL103" s="63">
        <f ca="1">ROUNDUP(tblBaseCF[[#This Row],[UnroundedEMLoad]]*INDEX(tblPlanPrem[Factor],4),-3)</f>
        <v>0</v>
      </c>
      <c r="DM103" s="63">
        <f ca="1">ROUNDUP(tblBaseCF[[#This Row],[UnroundedPMLoad]]*INDEX(tblPlanPrem[Factor],4),-3)</f>
        <v>0</v>
      </c>
      <c r="DN103" s="60">
        <f ca="1">tblBaseCF[[#This Row],[MonthlyEMLoad]]+tblBaseCF[[#This Row],[MonthlyPMLoad]]</f>
        <v>0</v>
      </c>
      <c r="DO103" s="63">
        <f ca="1">tblBaseCF[[#This Row],[MonthlyTP]]+tblBaseCF[[#This Row],[MonthlyEP]]+tblBaseCF[[#This Row],[MonthlyLoad]]</f>
        <v>0</v>
      </c>
      <c r="DP103" s="3"/>
      <c r="DS103">
        <f t="shared" si="11"/>
        <v>0</v>
      </c>
      <c r="DT103">
        <f t="shared" si="12"/>
        <v>0</v>
      </c>
      <c r="DU103">
        <f t="shared" si="13"/>
        <v>0</v>
      </c>
      <c r="DV103">
        <f ca="1">tblBaseCF[[#This Row],[Year]]</f>
        <v>83</v>
      </c>
      <c r="DW103">
        <f ca="1">tblBaseCF[[#This Row],[Age]]</f>
        <v>82</v>
      </c>
      <c r="DX103">
        <f ca="1">tblBaseCF[[#This Row],[ContFlag]]</f>
        <v>0</v>
      </c>
      <c r="DY103" t="str">
        <f ca="1">tblBaseCF[[#This Row],[ContLog]]</f>
        <v>Insufficient PAV for deduction - Discontinue.</v>
      </c>
      <c r="DZ103">
        <f ca="1">tblBaseCF[[#This Row],[StartTAV]]</f>
        <v>0</v>
      </c>
      <c r="EA103">
        <f ca="1">tblBaseCF[[#This Row],[StartEAV]]</f>
        <v>0</v>
      </c>
      <c r="EB103">
        <f ca="1">tblBaseCF[[#This Row],[StartPAV]]</f>
        <v>0</v>
      </c>
      <c r="EC103">
        <f ca="1">tblBaseCF[[#This Row],[SVChrg]]</f>
        <v>0</v>
      </c>
      <c r="ED103">
        <f ca="1">tblBaseCF[[#This Row],[SV]]</f>
        <v>0</v>
      </c>
      <c r="EE103">
        <f ca="1">tblBaseCF[[#This Row],[Ben]]</f>
        <v>0</v>
      </c>
      <c r="EF103">
        <f ca="1">tblBaseCF[[#This Row],[AccBen]]</f>
        <v>0</v>
      </c>
      <c r="EG103">
        <f ca="1">tblBaseCF[[#This Row],[WithdrawalInput]]</f>
        <v>0</v>
      </c>
      <c r="EH103" t="str">
        <f ca="1">tblBaseCF[[#This Row],[WithdrawalLog]]</f>
        <v>No withdrawal.</v>
      </c>
      <c r="EI103">
        <f ca="1">tblBaseCF[[#This Row],[TAVWithdrawal]]</f>
        <v>0</v>
      </c>
      <c r="EJ103">
        <f ca="1">tblBaseCF[[#This Row],[EAVWithdrawal]]</f>
        <v>0</v>
      </c>
      <c r="EK103">
        <f ca="1">tblBaseCF[[#This Row],[Withdrawal]]</f>
        <v>0</v>
      </c>
      <c r="EL103">
        <f ca="1">tblBaseCF[[#This Row],[TP]]</f>
        <v>0</v>
      </c>
      <c r="EM103">
        <f ca="1">tblBaseCF[[#This Row],[TPAllocChrg]]</f>
        <v>0</v>
      </c>
      <c r="EN103">
        <f ca="1">tblBaseCF[[#This Row],[TPAlloc]]</f>
        <v>0</v>
      </c>
      <c r="EO103">
        <f ca="1">tblBaseCF[[#This Row],[EP]]</f>
        <v>0</v>
      </c>
      <c r="EP103">
        <f ca="1">tblBaseCF[[#This Row],[EPAllocChrg]]</f>
        <v>0</v>
      </c>
      <c r="EQ103">
        <f ca="1">tblBaseCF[[#This Row],[EPAlloc]]</f>
        <v>0</v>
      </c>
      <c r="ER103">
        <f ca="1">tblBaseCF[[#This Row],[EMLoad]]</f>
        <v>0</v>
      </c>
      <c r="ES103">
        <f ca="1">tblBaseCF[[#This Row],[PMLoad]]</f>
        <v>0</v>
      </c>
      <c r="ET103">
        <f ca="1">tblBaseCF[[#This Row],[Load]]</f>
        <v>0</v>
      </c>
      <c r="EU103">
        <f ca="1">tblBaseCF[[#This Row],[LoadAllocChrg]]</f>
        <v>0</v>
      </c>
      <c r="EV103">
        <f ca="1">tblBaseCF[[#This Row],[LoadAlloc]]</f>
        <v>0</v>
      </c>
      <c r="EW103">
        <f ca="1">tblBaseCF[[#This Row],[TotalPrem]]</f>
        <v>0</v>
      </c>
      <c r="EX103">
        <f ca="1">tblBaseCF[[#This Row],[AllocChrg]]</f>
        <v>0</v>
      </c>
      <c r="EY103">
        <f ca="1">tblBaseCF[[#This Row],[Alloc]]</f>
        <v>0</v>
      </c>
      <c r="EZ103">
        <f ca="1">tblBaseCF[[#This Row],[AccumTotalPrem]]</f>
        <v>0</v>
      </c>
      <c r="FA103">
        <f>tblBaseCF[[#This Row],[AnnualIntRate]]</f>
        <v>0</v>
      </c>
      <c r="FB103" s="50">
        <f>tblBaseCF[[#This Row],[Duean1m12]]</f>
        <v>1</v>
      </c>
      <c r="FC103">
        <f ca="1">tblBaseCF[[#This Row],[DeductFlag]]</f>
        <v>0</v>
      </c>
      <c r="FD103">
        <f ca="1">tblBaseCF[[#This Row],[AdminChrg]]</f>
        <v>0</v>
      </c>
      <c r="FE103">
        <f ca="1">tblBaseCF[[#This Row],[StandardCOI]]</f>
        <v>0</v>
      </c>
      <c r="FF103">
        <f ca="1">tblBaseCF[[#This Row],[EMLoadCOI]]</f>
        <v>0</v>
      </c>
      <c r="FG103">
        <f ca="1">tblBaseCF[[#This Row],[PMLoadCOI]]</f>
        <v>0</v>
      </c>
      <c r="FH103">
        <f ca="1">tblBaseCF[[#This Row],[COI]]</f>
        <v>0</v>
      </c>
      <c r="FI103" s="47">
        <f ca="1">tblBaseCF[[#This Row],[NomDeduct]]</f>
        <v>0</v>
      </c>
      <c r="FJ103">
        <f ca="1">tblBaseCF[[#This Row],[Deduct]]</f>
        <v>0</v>
      </c>
      <c r="FK103">
        <f ca="1">tblBaseCF[[#This Row],[TAVDeduct]]</f>
        <v>0</v>
      </c>
      <c r="FL103">
        <f ca="1">tblBaseCF[[#This Row],[EAVDeduct]]</f>
        <v>0</v>
      </c>
      <c r="FM103" s="24">
        <f ca="1">tblBaseCF[[#This Row],[TAVInt]]</f>
        <v>0</v>
      </c>
      <c r="FN103">
        <f ca="1">tblBaseCF[[#This Row],[EAVInt]]</f>
        <v>0</v>
      </c>
      <c r="FO103" s="47">
        <f ca="1">tblBaseCF[[#This Row],[LB]]</f>
        <v>0</v>
      </c>
      <c r="FP103">
        <f ca="1">tblBaseCF[[#This Row],[SB]]</f>
        <v>0</v>
      </c>
      <c r="FQ103">
        <f ca="1">tblBaseCF[[#This Row],[Bonus]]</f>
        <v>0</v>
      </c>
      <c r="FR103">
        <f ca="1">tblBaseCF[[#This Row],[EndTAV]]</f>
        <v>0</v>
      </c>
      <c r="FS103">
        <f ca="1">tblBaseCF[[#This Row],[EndEAV]]</f>
        <v>0</v>
      </c>
      <c r="FT103">
        <f ca="1">tblBaseCF[[#This Row],[EndPAV]]</f>
        <v>0</v>
      </c>
      <c r="FU103">
        <f ca="1">tblBaseCF[[#This Row],[SemiAnnualTP]]</f>
        <v>0</v>
      </c>
      <c r="FV103">
        <f ca="1">tblBaseCF[[#This Row],[SemiAnnualEP]]</f>
        <v>0</v>
      </c>
      <c r="FW103">
        <f ca="1">tblBaseCF[[#This Row],[SemiAnnualEMLoad]]</f>
        <v>0</v>
      </c>
      <c r="FX103">
        <f ca="1">tblBaseCF[[#This Row],[SemiAnnualPMLoad]]</f>
        <v>0</v>
      </c>
      <c r="FY103">
        <f ca="1">tblBaseCF[[#This Row],[SemiAnnualLoad]]</f>
        <v>0</v>
      </c>
      <c r="FZ103">
        <f ca="1">tblBaseCF[[#This Row],[SemiAnnualTotalPrem]]</f>
        <v>0</v>
      </c>
      <c r="GA103">
        <f ca="1">tblBaseCF[[#This Row],[QuarterlyTP]]</f>
        <v>0</v>
      </c>
      <c r="GB103">
        <f ca="1">tblBaseCF[[#This Row],[QuarterlyEP]]</f>
        <v>0</v>
      </c>
      <c r="GC103">
        <f ca="1">tblBaseCF[[#This Row],[QuarterlyEMLoad]]</f>
        <v>0</v>
      </c>
      <c r="GD103">
        <f ca="1">tblBaseCF[[#This Row],[QuarterlyPMLoad]]</f>
        <v>0</v>
      </c>
      <c r="GE103">
        <f ca="1">tblBaseCF[[#This Row],[QuarterlyLoad]]</f>
        <v>0</v>
      </c>
      <c r="GF103">
        <f ca="1">tblBaseCF[[#This Row],[QuarterlyTotalPrem]]</f>
        <v>0</v>
      </c>
      <c r="GG103">
        <f ca="1">tblBaseCF[[#This Row],[MonthlyTP]]</f>
        <v>0</v>
      </c>
      <c r="GH103">
        <f ca="1">tblBaseCF[[#This Row],[MonthlyEP]]</f>
        <v>0</v>
      </c>
      <c r="GI103">
        <f ca="1">tblBaseCF[[#This Row],[MonthlyEMLoad]]</f>
        <v>0</v>
      </c>
      <c r="GJ103">
        <f ca="1">tblBaseCF[[#This Row],[MonthlyPMLoad]]</f>
        <v>0</v>
      </c>
      <c r="GK103">
        <f ca="1">tblBaseCF[[#This Row],[MonthlyLoad]]</f>
        <v>0</v>
      </c>
      <c r="GL103">
        <f ca="1">tblBaseCF[[#This Row],[MonthlyTotalPrem]]</f>
        <v>0</v>
      </c>
      <c r="GO103" t="s">
        <v>134</v>
      </c>
      <c r="GP103" t="s">
        <v>135</v>
      </c>
      <c r="GQ103" t="s">
        <v>502</v>
      </c>
      <c r="GR103">
        <v>83</v>
      </c>
      <c r="GS103">
        <v>82</v>
      </c>
      <c r="GT103">
        <v>1</v>
      </c>
      <c r="GU103" t="s">
        <v>457</v>
      </c>
      <c r="GV103">
        <v>1213838781.37273</v>
      </c>
      <c r="GW103">
        <v>10656396397.945101</v>
      </c>
      <c r="GX103">
        <v>11870235179.317801</v>
      </c>
      <c r="GY103">
        <v>0</v>
      </c>
      <c r="GZ103">
        <v>11870235179.317801</v>
      </c>
      <c r="HA103">
        <v>11870235179.317801</v>
      </c>
      <c r="HB103">
        <v>0</v>
      </c>
      <c r="HC103">
        <v>0</v>
      </c>
      <c r="HD103" t="s">
        <v>137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7.0000000000000007E-2</v>
      </c>
      <c r="HX103">
        <v>0.96964931039809399</v>
      </c>
      <c r="HY103">
        <v>1</v>
      </c>
      <c r="HZ103">
        <v>300000</v>
      </c>
      <c r="IA103">
        <v>0</v>
      </c>
      <c r="IB103">
        <v>0</v>
      </c>
      <c r="IC103">
        <v>0</v>
      </c>
      <c r="ID103">
        <v>0</v>
      </c>
      <c r="IE103">
        <v>300000</v>
      </c>
      <c r="IF103">
        <v>290894.79311942798</v>
      </c>
      <c r="IG103">
        <v>290894.79311942798</v>
      </c>
      <c r="IH103">
        <v>0</v>
      </c>
      <c r="II103">
        <v>84948352.060572699</v>
      </c>
      <c r="IJ103">
        <v>745947747.85615599</v>
      </c>
      <c r="IK103">
        <v>0</v>
      </c>
      <c r="IL103">
        <v>0</v>
      </c>
      <c r="IM103">
        <v>0</v>
      </c>
      <c r="IN103">
        <v>1298496238.6401801</v>
      </c>
      <c r="IO103">
        <v>11402344145.801201</v>
      </c>
      <c r="IP103">
        <v>12700840384.441401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</row>
    <row r="104" spans="2:268" customFormat="1" x14ac:dyDescent="0.25">
      <c r="B104" s="2">
        <f ca="1">OFFSET(tblBaseCF[[#This Row],[Year]],-1,0)+1</f>
        <v>84</v>
      </c>
      <c r="C104" s="2">
        <f ca="1">(tblBaseCF[[#This Row],[Year]]&lt;=term)*1</f>
        <v>1</v>
      </c>
      <c r="D104" s="57">
        <f ca="1">(YEAR(rcd)+tblBaseCF[[#This Row],[Year]]-1)
*tblBaseCF[[#This Row],[PolTermFlag]]</f>
        <v>2108</v>
      </c>
      <c r="E104" s="57">
        <f ca="1">(mainLI_entry_age+tblBaseCF[[#This Row],[Year]]-1)
*tblBaseCF[[#This Row],[PolTermFlag]]</f>
        <v>83</v>
      </c>
      <c r="F104" s="57">
        <f ca="1">IF(tblBaseCF[[#This Row],[Year]]=1,1,OFFSET(tblBaseCF[[#This Row],[DeductFlag]],-1,0))
*tblBaseCF[[#This Row],[PolTermFlag]]</f>
        <v>0</v>
      </c>
      <c r="G10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4" s="57">
        <f ca="1">(tblBaseCF[[#This Row],[Year]]&lt;=acc_ben_term)
*tblBaseCF[[#This Row],[ContFlag]]</f>
        <v>0</v>
      </c>
      <c r="I104" s="57">
        <f ca="1">(tblBaseCF[[#This Row],[Year]]&lt;=tp_term)
*tblBaseCF[[#This Row],[ContFlag]]</f>
        <v>0</v>
      </c>
      <c r="J104" s="57">
        <f ca="1">(tblBaseCF[[#This Row],[Year]]&lt;=ep_term)
*tblBaseCF[[#This Row],[ContFlag]]</f>
        <v>0</v>
      </c>
      <c r="K104" s="57">
        <f ca="1">(tblBaseCF[[#This Row],[Year]]&lt;=em_load_term)*1</f>
        <v>0</v>
      </c>
      <c r="L104" s="57">
        <f ca="1">(tblBaseCF[[#This Row],[Year]]&lt;=pm_load_term)*1</f>
        <v>0</v>
      </c>
      <c r="M104" s="59">
        <f ca="1">IF(tblBaseCF[[#This Row],[Year]]=1,si,OFFSET(tblBaseCF[[#This Row],[EndSI]],-1,0))
*tblBaseCF[[#This Row],[ContFlag]]</f>
        <v>0</v>
      </c>
      <c r="N104" s="59">
        <f ca="1">OFFSET(tblBaseCF[[#This Row],[EndTAV]],-1,0)
*tblBaseCF[[#This Row],[ContFlag]]</f>
        <v>0</v>
      </c>
      <c r="O104" s="59">
        <f ca="1">OFFSET(tblBaseCF[[#This Row],[EndEAV]],-1,0)
*tblBaseCF[[#This Row],[ContFlag]]</f>
        <v>0</v>
      </c>
      <c r="P104" s="60">
        <f ca="1">tblBaseCF[[#This Row],[StartEAV]]+tblBaseCF[[#This Row],[StartTAV]]</f>
        <v>0</v>
      </c>
      <c r="Q104" s="61">
        <f ca="1">IFERROR(INDEX(tblJuvenileLienRate[Rate],MATCH(tblBaseCF[[#This Row],[Age]],tblJuvenileLienRate[Age],0)),1)
*tblBaseCF[[#This Row],[ContFlag]]</f>
        <v>0</v>
      </c>
      <c r="R10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4" s="62">
        <f ca="1">tblBaseCF[[#This Row],[StartSI]]*acc_ben_coeff*tblBaseCF[[#This Row],[JuvenileLienRate]]
*tblBaseCF[[#This Row],[AccBenTermFlag]]</f>
        <v>0</v>
      </c>
      <c r="T104" s="61">
        <f ca="1">(IFERROR(INDEX(tblSurrChrgRate[Rate],MATCH(tblBaseCF[[#This Row],[Year]],tblSurrChrgRate[Year],0)),0)
*tblBaseCF[[#This Row],[ContFlag]])</f>
        <v>0</v>
      </c>
      <c r="U104" s="60">
        <f ca="1">tp*tblBaseCF[[#This Row],[SrrChrgRate]]</f>
        <v>0</v>
      </c>
      <c r="V104" s="63">
        <f ca="1">MAX(tblBaseCF[[#This Row],[StartTAV]]-tblBaseCF[[#This Row],[SVChrg]],0)+tblBaseCF[[#This Row],[StartEAV]]</f>
        <v>0</v>
      </c>
      <c r="W104" s="59">
        <f ca="1">IFERROR(INDEX(tblWithdrawal_Output[Amount],MATCH(tblBaseCF[[#This Row],[Year]],tblWithdrawal_Output[Year],0)),0)
*tblBaseCF[[#This Row],[ContFlag]]</f>
        <v>0</v>
      </c>
      <c r="X104" s="59" t="b">
        <f ca="1">tblBaseCF[[#This Row],[WithdrawalInput]]&gt;0</f>
        <v>0</v>
      </c>
      <c r="Y104" s="59" t="b">
        <f ca="1">AND(tblBaseCF[[#This Row],[1stCheckProceed]],tblBaseCF[[#This Row],[WithdrawalInput]]&lt;=tblBaseCF[[#This Row],[StartPAV]])</f>
        <v>0</v>
      </c>
      <c r="Z104" s="59" t="b">
        <f ca="1">AND(tblBaseCF[[#This Row],[2ndCheckAmount]],(tblBaseCF[[#This Row],[StartPAV]]-tblBaseCF[[#This Row],[WithdrawalInput]])&gt;=min_pav_after_withdrawal)</f>
        <v>0</v>
      </c>
      <c r="AA10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4" s="59" t="b">
        <f ca="1">AND(tblBaseCF[[#This Row],[3rdCheckPAV]],tblBaseCF[[#This Row],[endSITest]]&gt;=min_base_si)</f>
        <v>0</v>
      </c>
      <c r="AC104" s="60">
        <f ca="1">tblBaseCF[[#This Row],[WithdrawalInput]]*tblBaseCF[[#This Row],[4thCheckSI]]</f>
        <v>0</v>
      </c>
      <c r="AD104" s="60">
        <f ca="1">MIN(tblBaseCF[[#This Row],[Withdrawal]],tblBaseCF[[#This Row],[StartEAV]])</f>
        <v>0</v>
      </c>
      <c r="AE104" s="60">
        <f ca="1">tblBaseCF[[#This Row],[Withdrawal]]-tblBaseCF[[#This Row],[EAVWithdrawal]]</f>
        <v>0</v>
      </c>
      <c r="AF104" s="60">
        <f ca="1">IF(tblBaseCF[[#This Row],[4thCheckSI]],tblBaseCF[[#This Row],[endSITest]],tblBaseCF[[#This Row],[StartSI]])</f>
        <v>0</v>
      </c>
      <c r="AG10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4" s="65">
        <f ca="1">IFERROR(INDEX(tblTPAllocChrgRate[Rate],MATCH(tblBaseCF[[#This Row],[Year]],tblTPAllocChrgRate[Year],0)),0)</f>
        <v>0.02</v>
      </c>
      <c r="AI104" s="62">
        <f ca="1">(tp+big_case_bonus_tp*(tblBaseCF[[#This Row],[Year]]=1))
*tblBaseCF[[#This Row],[TPTermFlag]]</f>
        <v>0</v>
      </c>
      <c r="AJ104" s="63">
        <f ca="1">tblBaseCF[[#This Row],[TP]]*tblBaseCF[[#This Row],[TPAllocChrgRate]]</f>
        <v>0</v>
      </c>
      <c r="AK104" s="60">
        <f ca="1">tblBaseCF[[#This Row],[TP]]-tblBaseCF[[#This Row],[TPAllocChrg]]</f>
        <v>0</v>
      </c>
      <c r="AL104" s="65">
        <f ca="1">IFERROR(INDEX(tblEPAllocChrgRate[Rate],MATCH(tblBaseCF[[#This Row],[Year]],tblEPAllocChrgRate[Year],0)),0)</f>
        <v>0.02</v>
      </c>
      <c r="AM104" s="60">
        <f ca="1">ep*tblBaseCF[[#This Row],[EPTermFlag]]</f>
        <v>0</v>
      </c>
      <c r="AN104" s="60">
        <f ca="1">tblBaseCF[[#This Row],[EP]]*tblBaseCF[[#This Row],[EPAllocChrgRate]]</f>
        <v>0</v>
      </c>
      <c r="AO104" s="63">
        <f ca="1">tblBaseCF[[#This Row],[EP]]-tblBaseCF[[#This Row],[EPAllocChrg]]</f>
        <v>0</v>
      </c>
      <c r="AP104" s="62">
        <f ca="1">tblBaseCF[[#This Row],[Ben]]*extra_prem_rate*em_load/1000/(1-tblBaseCF[[#This Row],[EPAllocChrgRate]])
*tblBaseCF[[#This Row],[EMLoadTermFlag]]</f>
        <v>0</v>
      </c>
      <c r="AQ104" s="62">
        <f ca="1">tblBaseCF[[#This Row],[Ben]]*pm_load/1000/(1-tblBaseCF[[#This Row],[EPAllocChrgRate]])
*tblBaseCF[[#This Row],[PMLoadTermFlag]]</f>
        <v>0</v>
      </c>
      <c r="AR104" s="60">
        <f ca="1">ROUNDUP(tblBaseCF[[#This Row],[UnroundedEMLoad]],-3)</f>
        <v>0</v>
      </c>
      <c r="AS104" s="62">
        <f ca="1">ROUNDUP(tblBaseCF[[#This Row],[Ben]]*pm_load/1000/(1-tblBaseCF[[#This Row],[EPAllocChrgRate]]),-3)
*tblBaseCF[[#This Row],[PMLoadTermFlag]]</f>
        <v>0</v>
      </c>
      <c r="AT104" s="60">
        <f ca="1">tblBaseCF[[#This Row],[EMLoad]]+tblBaseCF[[#This Row],[PMLoad]]</f>
        <v>0</v>
      </c>
      <c r="AU104" s="60">
        <f ca="1">tblBaseCF[[#This Row],[Load]]*tblBaseCF[[#This Row],[EPAllocChrgRate]]</f>
        <v>0</v>
      </c>
      <c r="AV104" s="60">
        <f ca="1">tblBaseCF[[#This Row],[Load]]-tblBaseCF[[#This Row],[LoadAllocChrg]]</f>
        <v>0</v>
      </c>
      <c r="AW104" s="60">
        <f ca="1">tblBaseCF[[#This Row],[TP]]+tblBaseCF[[#This Row],[EP]]+tblBaseCF[[#This Row],[Load]]</f>
        <v>0</v>
      </c>
      <c r="AX104" s="60">
        <f ca="1">tblBaseCF[[#This Row],[TPAllocChrg]]+tblBaseCF[[#This Row],[EPAllocChrg]]+tblBaseCF[[#This Row],[LoadAllocChrg]]</f>
        <v>0</v>
      </c>
      <c r="AY104" s="60">
        <f ca="1">tblBaseCF[[#This Row],[TPAlloc]]+tblBaseCF[[#This Row],[EPAlloc]]+tblBaseCF[[#This Row],[LoadAlloc]]</f>
        <v>0</v>
      </c>
      <c r="AZ104" s="60">
        <f ca="1">(OFFSET(tblBaseCF[[#This Row],[AccumTotalPrem]],-1,0)+tblBaseCF[[#This Row],[TotalPrem]])*tblBaseCF[[#This Row],[TPTermFlag]]</f>
        <v>0</v>
      </c>
      <c r="BA104" s="62">
        <f ca="1">(tblBaseCF[[#This Row],[StartTAV]]-tblBaseCF[[#This Row],[TAVWithdrawal]]+tblBaseCF[[#This Row],[TPAlloc]])
*tblBaseCF[[#This Row],[ContFlag]]</f>
        <v>0</v>
      </c>
      <c r="BB104" s="59">
        <f ca="1">(tblBaseCF[[#This Row],[StartEAV]]-tblBaseCF[[#This Row],[EAVWithdrawal]]+tblBaseCF[[#This Row],[EPAlloc]]+tblBaseCF[[#This Row],[LoadAlloc]])
*tblBaseCF[[#This Row],[ContFlag]]</f>
        <v>0</v>
      </c>
      <c r="BC104" s="59">
        <f ca="1">tblBaseCF[[#This Row],[TAVAfterWdrlAlloc]]+tblBaseCF[[#This Row],[EAVAfterWdrlAlloc]]</f>
        <v>0</v>
      </c>
      <c r="BD104" s="66">
        <f t="shared" si="10"/>
        <v>0</v>
      </c>
      <c r="BE104" s="67">
        <f>(1+tblBaseCF[[#This Row],[AnnualIntRate]])^(1/12)-1</f>
        <v>0</v>
      </c>
      <c r="BF104" s="68">
        <f>IFERROR(((1+tblBaseCF[[#This Row],[MonthlyIntRate]])^12-1)/12/(1-1/(1+tblBaseCF[[#This Row],[MonthlyIntRate]])),1)/(1+tblBaseCF[[#This Row],[AnnualIntRate]])</f>
        <v>1</v>
      </c>
      <c r="BG104" s="69">
        <f>PV(tblBaseCF[[#This Row],[MonthlyIntRate]],12,-1/12,,1)</f>
        <v>1</v>
      </c>
      <c r="BH104" s="60">
        <f ca="1">MAX(IF(death_tpd_option="A",tblBaseCF[[#This Row],[Ben]]-tblBaseCF[[#This Row],[StartPAV]],tblBaseCF[[#This Row],[Ben]]),0)</f>
        <v>0</v>
      </c>
      <c r="BI104" s="70">
        <f ca="1">IFERROR(INDEX(tblBaseCOIRate[Rate],MATCH(tblBaseCF[[#This Row],[Age]],tblBaseCOIRate[Age],0)),0)</f>
        <v>9.7900000000000098E-2</v>
      </c>
      <c r="BJ104" s="60">
        <f ca="1">tblBaseCF[[#This Row],[SAR]]*tblBaseCF[[#This Row],[COIRate]]</f>
        <v>0</v>
      </c>
      <c r="BK104" s="62">
        <f ca="1">em_load*tblBaseCF[[#This Row],[pStandardCOI]]
*tblBaseCF[[#This Row],[EMLoadTermFlag]]</f>
        <v>0</v>
      </c>
      <c r="BL104" s="62">
        <f ca="1">pm_load/1000*tblBaseCF[[#This Row],[SAR]]
*tblBaseCF[[#This Row],[PMLoadTermFlag]]</f>
        <v>0</v>
      </c>
      <c r="BM104" s="60">
        <f ca="1">tblBaseCF[[#This Row],[AccBen]]*monthly_acc_coi*12</f>
        <v>0</v>
      </c>
      <c r="BN104" s="60">
        <f ca="1">tblBaseCF[[#This Row],[pStandardCOI]]+tblBaseCF[[#This Row],[pEMLoadCOI]]+tblBaseCF[[#This Row],[pPMLoadCOI]]+tblBaseCF[[#This Row],[pAccCOI]]</f>
        <v>0</v>
      </c>
      <c r="BO104" s="62">
        <f ca="1">IFERROR(INDEX(tblAdminChrg[Amount],MATCH(tblBaseCF[[#This Row],[CalYear]],tblAdminChrg[Cal_Year],0)),0)
*tblBaseCF[[#This Row],[ContFlag]]</f>
        <v>0</v>
      </c>
      <c r="BP104" s="60">
        <f ca="1">tblBaseCF[[#This Row],[pMonthlyAdminChrg]]*12</f>
        <v>0</v>
      </c>
      <c r="BQ104" s="60">
        <f ca="1">tblBaseCF[[#This Row],[pCOI]]+tblBaseCF[[#This Row],[pAdminChrg]]</f>
        <v>0</v>
      </c>
      <c r="BR104" s="60">
        <f ca="1">tblBaseCF[[#This Row],[pNomDeduct]]*tblBaseCF[[#This Row],[Duean1m12]]</f>
        <v>0</v>
      </c>
      <c r="BS104" s="57">
        <f ca="1">(tblBaseCF[[#This Row],[PAVAfterWdrlAlloc]]&gt;=tblBaseCF[[#This Row],[pNomDeduct]])
*tblBaseCF[[#This Row],[ContFlag]]</f>
        <v>0</v>
      </c>
      <c r="BT104" s="60">
        <f ca="1">tblBaseCF[[#This Row],[pStandardCOI]]*tblBaseCF[[#This Row],[DeductFlag]]</f>
        <v>0</v>
      </c>
      <c r="BU104" s="60">
        <f ca="1">tblBaseCF[[#This Row],[pEMLoadCOI]]*tblBaseCF[[#This Row],[DeductFlag]]</f>
        <v>0</v>
      </c>
      <c r="BV104" s="60">
        <f ca="1">tblBaseCF[[#This Row],[pPMLoadCOI]]*tblBaseCF[[#This Row],[DeductFlag]]</f>
        <v>0</v>
      </c>
      <c r="BW104" s="60">
        <f ca="1">tblBaseCF[[#This Row],[pAccCOI]]*tblBaseCF[[#This Row],[DeductFlag]]</f>
        <v>0</v>
      </c>
      <c r="BX104" s="60">
        <f ca="1">tblBaseCF[[#This Row],[pCOI]]*tblBaseCF[[#This Row],[DeductFlag]]</f>
        <v>0</v>
      </c>
      <c r="BY104" s="60">
        <f ca="1">tblBaseCF[[#This Row],[pMonthlyAdminChrg]]*tblBaseCF[[#This Row],[DeductFlag]]</f>
        <v>0</v>
      </c>
      <c r="BZ104" s="60">
        <f ca="1">tblBaseCF[[#This Row],[pAdminChrg]]*tblBaseCF[[#This Row],[DeductFlag]]</f>
        <v>0</v>
      </c>
      <c r="CA104" s="60">
        <f ca="1">tblBaseCF[[#This Row],[pNomDeduct]]*tblBaseCF[[#This Row],[DeductFlag]]</f>
        <v>0</v>
      </c>
      <c r="CB104" s="60">
        <f ca="1">tblBaseCF[[#This Row],[pDeduct]]*tblBaseCF[[#This Row],[DeductFlag]]</f>
        <v>0</v>
      </c>
      <c r="CC104" s="60">
        <f ca="1">MIN(tblBaseCF[[#This Row],[TAVAfterWdrlAlloc]],tblBaseCF[[#This Row],[Deduct]])</f>
        <v>0</v>
      </c>
      <c r="CD104" s="60">
        <f ca="1">tblBaseCF[[#This Row],[Deduct]]-tblBaseCF[[#This Row],[TAVDeduct]]</f>
        <v>0</v>
      </c>
      <c r="CE104" s="69">
        <f ca="1">(tblBaseCF[[#This Row],[TAVAfterWdrlAlloc]]-tblBaseCF[[#This Row],[TAVDeduct]])*tblBaseCF[[#This Row],[AnnualIntRate]]
*tblBaseCF[[#This Row],[DeductFlag]]</f>
        <v>0</v>
      </c>
      <c r="CF104" s="69">
        <f ca="1">(tblBaseCF[[#This Row],[EAVAfterWdrlAlloc]]-tblBaseCF[[#This Row],[EAVDeduct]])*tblBaseCF[[#This Row],[AnnualIntRate]]
*tblBaseCF[[#This Row],[DeductFlag]]</f>
        <v>0</v>
      </c>
      <c r="CG104" s="69">
        <f ca="1">tblBaseCF[[#This Row],[TAVInt]]+tblBaseCF[[#This Row],[EAVInt]]</f>
        <v>0</v>
      </c>
      <c r="CH104" s="62">
        <f ca="1">IFERROR(INDEX(tblLBRate[Rate],MATCH(tblBaseCF[[#This Row],[Year]],tblLBRate[Year],0)),0)
*tblBaseCF[[#This Row],[DeductFlag]]</f>
        <v>0</v>
      </c>
      <c r="CI104" s="60">
        <f ca="1">IFERROR(SUM(OFFSET(tblBaseCF[[#This Row],[TAVWithdrawal]],0,0,-lb_review_period,1)),0)
*(tblBaseCF[[#This Row],[LBRate]]&gt;0)</f>
        <v>0</v>
      </c>
      <c r="CJ104" s="60">
        <f ca="1">(tblBaseCF[[#This Row],[LBRate]]&gt;0)*(tblBaseCF[[#This Row],[LBTAVWithdrawal]]=0)</f>
        <v>0</v>
      </c>
      <c r="CK104" s="62" cm="1">
        <f t="array" aca="1" ref="CK104" ca="1">IF(tblBaseCF[[#This Row],[LBFlag]],
_xlfn.SWITCH(base,
"ILP1",AVERAGE(OFFSET(tblBaseCF[TP],0,0,-lb_review_period,1)),tp),0)
*tblBaseCF[[#This Row],[LBFlag]]</f>
        <v>0</v>
      </c>
      <c r="CL104" s="62">
        <f ca="1">tblBaseCF[[#This Row],[LBBasis]]*tblBaseCF[[#This Row],[LBRate]]</f>
        <v>0</v>
      </c>
      <c r="CM104" s="57" cm="1">
        <f t="array" aca="1" ref="CM104" ca="1">_xlfn.SWITCH(base,
"ILP1",0,($AF204&lt;500000000)*1
+($AF204&gt;=500000000)*($AF204&lt;1000000000)*2
+($AF204&gt;=1000000000)*3)
*tblBaseCF[[#This Row],[DeductFlag]]</f>
        <v>0</v>
      </c>
      <c r="CN104" s="2" t="str">
        <f ca="1">IF(tblBaseCF[[#This Row],[DeductFlag]],base&amp;"_"&amp;tblBaseCF[[#This Row],[SBCode]]&amp;"_"&amp;tblBaseCF[[#This Row],[Year]],"")</f>
        <v/>
      </c>
      <c r="CO104" s="3">
        <f ca="1">IFERROR(INDEX(tblSBRate[Index],MATCH(tblBaseCF[[#This Row],[SBIndex]],tblSBRate[Rate],0)),0)</f>
        <v>0</v>
      </c>
      <c r="CP104" s="63">
        <f ca="1">IFERROR(SUM(OFFSET(tblBaseCF[[#This Row],[TAVWithdrawal]],0,0,-sb_review_period,1)),0)
*(tblBaseCF[[#This Row],[SBRate]]&gt;0)</f>
        <v>0</v>
      </c>
      <c r="CQ104" s="63">
        <f ca="1">(tblBaseCF[[#This Row],[SBRate]]&gt;0)*(tblBaseCF[[#This Row],[SBTAVWithdrawal]]=0)</f>
        <v>0</v>
      </c>
      <c r="CR104" s="59" cm="1">
        <f t="array" aca="1" ref="CR104" ca="1">IF(tblBaseCF[[#This Row],[LBFlag]],
_xlfn.SWITCH(base,
"ILP1",0,tp),0)*tblBaseCF[[#This Row],[SBFlag]]</f>
        <v>0</v>
      </c>
      <c r="CS104" s="63">
        <f ca="1">tblBaseCF[[#This Row],[SBBasis]]*tblBaseCF[[#This Row],[SBRate]]</f>
        <v>0</v>
      </c>
      <c r="CT104" s="63">
        <f ca="1">tblBaseCF[[#This Row],[LB]]+tblBaseCF[[#This Row],[SB]]</f>
        <v>0</v>
      </c>
      <c r="CU104" s="59">
        <f ca="1">tblBaseCF[[#This Row],[TAVAfterWdrlAlloc]]-tblBaseCF[[#This Row],[TAVDeduct]]+tblBaseCF[[#This Row],[TAVInt]]+tblBaseCF[[#This Row],[Bonus]]</f>
        <v>0</v>
      </c>
      <c r="CV104" s="59">
        <f ca="1">tblBaseCF[[#This Row],[EAVAfterWdrlAlloc]]-tblBaseCF[[#This Row],[EAVDeduct]]+tblBaseCF[[#This Row],[EAVInt]]</f>
        <v>0</v>
      </c>
      <c r="CW104" s="63">
        <f ca="1">tblBaseCF[[#This Row],[EndTAV]]+tblBaseCF[[#This Row],[EndEAV]]</f>
        <v>0</v>
      </c>
      <c r="CX104" s="59">
        <f ca="1">INDEX(tblPlanPrem[TP],2)
*tblBaseCF[[#This Row],[TPTermFlag]]</f>
        <v>0</v>
      </c>
      <c r="CY104" s="59">
        <f ca="1">INDEX(tblPlanPrem[EP],2)
*tblBaseCF[[#This Row],[TPTermFlag]]</f>
        <v>0</v>
      </c>
      <c r="CZ104" s="63">
        <f ca="1">ROUNDUP(tblBaseCF[[#This Row],[UnroundedEMLoad]]*INDEX(tblPlanPrem[Factor],2),-3)</f>
        <v>0</v>
      </c>
      <c r="DA104" s="63">
        <f ca="1">ROUNDUP(tblBaseCF[[#This Row],[UnroundedPMLoad]]*INDEX(tblPlanPrem[Factor],2),-3)</f>
        <v>0</v>
      </c>
      <c r="DB104" s="63">
        <f ca="1">tblBaseCF[[#This Row],[SemiAnnualEMLoad]]+tblBaseCF[[#This Row],[SemiAnnualPMLoad]]</f>
        <v>0</v>
      </c>
      <c r="DC104" s="63">
        <f ca="1">tblBaseCF[[#This Row],[SemiAnnualTP]]+tblBaseCF[[#This Row],[SemiAnnualEP]]+tblBaseCF[[#This Row],[SemiAnnualLoad]]</f>
        <v>0</v>
      </c>
      <c r="DD104" s="59">
        <f ca="1">INDEX(tblPlanPrem[TP],3)
*tblBaseCF[[#This Row],[TPTermFlag]]</f>
        <v>0</v>
      </c>
      <c r="DE104" s="59">
        <f ca="1">INDEX(tblPlanPrem[EP],3)
*tblBaseCF[[#This Row],[TPTermFlag]]</f>
        <v>0</v>
      </c>
      <c r="DF104" s="63">
        <f ca="1">ROUNDUP(tblBaseCF[[#This Row],[UnroundedEMLoad]]*INDEX(tblPlanPrem[Factor],3),-3)</f>
        <v>0</v>
      </c>
      <c r="DG104" s="63">
        <f ca="1">ROUNDUP(tblBaseCF[[#This Row],[UnroundedPMLoad]]*INDEX(tblPlanPrem[Factor],3),-3)</f>
        <v>0</v>
      </c>
      <c r="DH104" s="60">
        <f ca="1">tblBaseCF[[#This Row],[QuarterlyEMLoad]]+tblBaseCF[[#This Row],[QuarterlyPMLoad]]</f>
        <v>0</v>
      </c>
      <c r="DI104" s="60">
        <f ca="1">tblBaseCF[[#This Row],[QuarterlyTP]]+tblBaseCF[[#This Row],[QuarterlyEP]]+tblBaseCF[[#This Row],[QuarterlyLoad]]</f>
        <v>0</v>
      </c>
      <c r="DJ104" s="59">
        <f ca="1">INDEX(tblPlanPrem[TP],4)
*tblBaseCF[[#This Row],[TPTermFlag]]</f>
        <v>0</v>
      </c>
      <c r="DK104" s="59">
        <f ca="1">INDEX(tblPlanPrem[EP],4)
*tblBaseCF[[#This Row],[TPTermFlag]]</f>
        <v>0</v>
      </c>
      <c r="DL104" s="63">
        <f ca="1">ROUNDUP(tblBaseCF[[#This Row],[UnroundedEMLoad]]*INDEX(tblPlanPrem[Factor],4),-3)</f>
        <v>0</v>
      </c>
      <c r="DM104" s="63">
        <f ca="1">ROUNDUP(tblBaseCF[[#This Row],[UnroundedPMLoad]]*INDEX(tblPlanPrem[Factor],4),-3)</f>
        <v>0</v>
      </c>
      <c r="DN104" s="60">
        <f ca="1">tblBaseCF[[#This Row],[MonthlyEMLoad]]+tblBaseCF[[#This Row],[MonthlyPMLoad]]</f>
        <v>0</v>
      </c>
      <c r="DO104" s="63">
        <f ca="1">tblBaseCF[[#This Row],[MonthlyTP]]+tblBaseCF[[#This Row],[MonthlyEP]]+tblBaseCF[[#This Row],[MonthlyLoad]]</f>
        <v>0</v>
      </c>
      <c r="DP104" s="3"/>
      <c r="DS104">
        <f t="shared" si="11"/>
        <v>0</v>
      </c>
      <c r="DT104">
        <f t="shared" si="12"/>
        <v>0</v>
      </c>
      <c r="DU104">
        <f t="shared" si="13"/>
        <v>0</v>
      </c>
      <c r="DV104">
        <f ca="1">tblBaseCF[[#This Row],[Year]]</f>
        <v>84</v>
      </c>
      <c r="DW104">
        <f ca="1">tblBaseCF[[#This Row],[Age]]</f>
        <v>83</v>
      </c>
      <c r="DX104">
        <f ca="1">tblBaseCF[[#This Row],[ContFlag]]</f>
        <v>0</v>
      </c>
      <c r="DY104" t="str">
        <f ca="1">tblBaseCF[[#This Row],[ContLog]]</f>
        <v>Insufficient PAV for deduction - Discontinue.</v>
      </c>
      <c r="DZ104">
        <f ca="1">tblBaseCF[[#This Row],[StartTAV]]</f>
        <v>0</v>
      </c>
      <c r="EA104">
        <f ca="1">tblBaseCF[[#This Row],[StartEAV]]</f>
        <v>0</v>
      </c>
      <c r="EB104">
        <f ca="1">tblBaseCF[[#This Row],[StartPAV]]</f>
        <v>0</v>
      </c>
      <c r="EC104">
        <f ca="1">tblBaseCF[[#This Row],[SVChrg]]</f>
        <v>0</v>
      </c>
      <c r="ED104">
        <f ca="1">tblBaseCF[[#This Row],[SV]]</f>
        <v>0</v>
      </c>
      <c r="EE104">
        <f ca="1">tblBaseCF[[#This Row],[Ben]]</f>
        <v>0</v>
      </c>
      <c r="EF104">
        <f ca="1">tblBaseCF[[#This Row],[AccBen]]</f>
        <v>0</v>
      </c>
      <c r="EG104">
        <f ca="1">tblBaseCF[[#This Row],[WithdrawalInput]]</f>
        <v>0</v>
      </c>
      <c r="EH104" t="str">
        <f ca="1">tblBaseCF[[#This Row],[WithdrawalLog]]</f>
        <v>No withdrawal.</v>
      </c>
      <c r="EI104">
        <f ca="1">tblBaseCF[[#This Row],[TAVWithdrawal]]</f>
        <v>0</v>
      </c>
      <c r="EJ104">
        <f ca="1">tblBaseCF[[#This Row],[EAVWithdrawal]]</f>
        <v>0</v>
      </c>
      <c r="EK104">
        <f ca="1">tblBaseCF[[#This Row],[Withdrawal]]</f>
        <v>0</v>
      </c>
      <c r="EL104">
        <f ca="1">tblBaseCF[[#This Row],[TP]]</f>
        <v>0</v>
      </c>
      <c r="EM104">
        <f ca="1">tblBaseCF[[#This Row],[TPAllocChrg]]</f>
        <v>0</v>
      </c>
      <c r="EN104">
        <f ca="1">tblBaseCF[[#This Row],[TPAlloc]]</f>
        <v>0</v>
      </c>
      <c r="EO104">
        <f ca="1">tblBaseCF[[#This Row],[EP]]</f>
        <v>0</v>
      </c>
      <c r="EP104">
        <f ca="1">tblBaseCF[[#This Row],[EPAllocChrg]]</f>
        <v>0</v>
      </c>
      <c r="EQ104">
        <f ca="1">tblBaseCF[[#This Row],[EPAlloc]]</f>
        <v>0</v>
      </c>
      <c r="ER104">
        <f ca="1">tblBaseCF[[#This Row],[EMLoad]]</f>
        <v>0</v>
      </c>
      <c r="ES104">
        <f ca="1">tblBaseCF[[#This Row],[PMLoad]]</f>
        <v>0</v>
      </c>
      <c r="ET104">
        <f ca="1">tblBaseCF[[#This Row],[Load]]</f>
        <v>0</v>
      </c>
      <c r="EU104">
        <f ca="1">tblBaseCF[[#This Row],[LoadAllocChrg]]</f>
        <v>0</v>
      </c>
      <c r="EV104">
        <f ca="1">tblBaseCF[[#This Row],[LoadAlloc]]</f>
        <v>0</v>
      </c>
      <c r="EW104">
        <f ca="1">tblBaseCF[[#This Row],[TotalPrem]]</f>
        <v>0</v>
      </c>
      <c r="EX104">
        <f ca="1">tblBaseCF[[#This Row],[AllocChrg]]</f>
        <v>0</v>
      </c>
      <c r="EY104">
        <f ca="1">tblBaseCF[[#This Row],[Alloc]]</f>
        <v>0</v>
      </c>
      <c r="EZ104">
        <f ca="1">tblBaseCF[[#This Row],[AccumTotalPrem]]</f>
        <v>0</v>
      </c>
      <c r="FA104">
        <f>tblBaseCF[[#This Row],[AnnualIntRate]]</f>
        <v>0</v>
      </c>
      <c r="FB104" s="50">
        <f>tblBaseCF[[#This Row],[Duean1m12]]</f>
        <v>1</v>
      </c>
      <c r="FC104">
        <f ca="1">tblBaseCF[[#This Row],[DeductFlag]]</f>
        <v>0</v>
      </c>
      <c r="FD104">
        <f ca="1">tblBaseCF[[#This Row],[AdminChrg]]</f>
        <v>0</v>
      </c>
      <c r="FE104">
        <f ca="1">tblBaseCF[[#This Row],[StandardCOI]]</f>
        <v>0</v>
      </c>
      <c r="FF104">
        <f ca="1">tblBaseCF[[#This Row],[EMLoadCOI]]</f>
        <v>0</v>
      </c>
      <c r="FG104">
        <f ca="1">tblBaseCF[[#This Row],[PMLoadCOI]]</f>
        <v>0</v>
      </c>
      <c r="FH104">
        <f ca="1">tblBaseCF[[#This Row],[COI]]</f>
        <v>0</v>
      </c>
      <c r="FI104" s="47">
        <f ca="1">tblBaseCF[[#This Row],[NomDeduct]]</f>
        <v>0</v>
      </c>
      <c r="FJ104">
        <f ca="1">tblBaseCF[[#This Row],[Deduct]]</f>
        <v>0</v>
      </c>
      <c r="FK104">
        <f ca="1">tblBaseCF[[#This Row],[TAVDeduct]]</f>
        <v>0</v>
      </c>
      <c r="FL104">
        <f ca="1">tblBaseCF[[#This Row],[EAVDeduct]]</f>
        <v>0</v>
      </c>
      <c r="FM104" s="24">
        <f ca="1">tblBaseCF[[#This Row],[TAVInt]]</f>
        <v>0</v>
      </c>
      <c r="FN104">
        <f ca="1">tblBaseCF[[#This Row],[EAVInt]]</f>
        <v>0</v>
      </c>
      <c r="FO104" s="47">
        <f ca="1">tblBaseCF[[#This Row],[LB]]</f>
        <v>0</v>
      </c>
      <c r="FP104">
        <f ca="1">tblBaseCF[[#This Row],[SB]]</f>
        <v>0</v>
      </c>
      <c r="FQ104">
        <f ca="1">tblBaseCF[[#This Row],[Bonus]]</f>
        <v>0</v>
      </c>
      <c r="FR104">
        <f ca="1">tblBaseCF[[#This Row],[EndTAV]]</f>
        <v>0</v>
      </c>
      <c r="FS104">
        <f ca="1">tblBaseCF[[#This Row],[EndEAV]]</f>
        <v>0</v>
      </c>
      <c r="FT104">
        <f ca="1">tblBaseCF[[#This Row],[EndPAV]]</f>
        <v>0</v>
      </c>
      <c r="FU104">
        <f ca="1">tblBaseCF[[#This Row],[SemiAnnualTP]]</f>
        <v>0</v>
      </c>
      <c r="FV104">
        <f ca="1">tblBaseCF[[#This Row],[SemiAnnualEP]]</f>
        <v>0</v>
      </c>
      <c r="FW104">
        <f ca="1">tblBaseCF[[#This Row],[SemiAnnualEMLoad]]</f>
        <v>0</v>
      </c>
      <c r="FX104">
        <f ca="1">tblBaseCF[[#This Row],[SemiAnnualPMLoad]]</f>
        <v>0</v>
      </c>
      <c r="FY104">
        <f ca="1">tblBaseCF[[#This Row],[SemiAnnualLoad]]</f>
        <v>0</v>
      </c>
      <c r="FZ104">
        <f ca="1">tblBaseCF[[#This Row],[SemiAnnualTotalPrem]]</f>
        <v>0</v>
      </c>
      <c r="GA104">
        <f ca="1">tblBaseCF[[#This Row],[QuarterlyTP]]</f>
        <v>0</v>
      </c>
      <c r="GB104">
        <f ca="1">tblBaseCF[[#This Row],[QuarterlyEP]]</f>
        <v>0</v>
      </c>
      <c r="GC104">
        <f ca="1">tblBaseCF[[#This Row],[QuarterlyEMLoad]]</f>
        <v>0</v>
      </c>
      <c r="GD104">
        <f ca="1">tblBaseCF[[#This Row],[QuarterlyPMLoad]]</f>
        <v>0</v>
      </c>
      <c r="GE104">
        <f ca="1">tblBaseCF[[#This Row],[QuarterlyLoad]]</f>
        <v>0</v>
      </c>
      <c r="GF104">
        <f ca="1">tblBaseCF[[#This Row],[QuarterlyTotalPrem]]</f>
        <v>0</v>
      </c>
      <c r="GG104">
        <f ca="1">tblBaseCF[[#This Row],[MonthlyTP]]</f>
        <v>0</v>
      </c>
      <c r="GH104">
        <f ca="1">tblBaseCF[[#This Row],[MonthlyEP]]</f>
        <v>0</v>
      </c>
      <c r="GI104">
        <f ca="1">tblBaseCF[[#This Row],[MonthlyEMLoad]]</f>
        <v>0</v>
      </c>
      <c r="GJ104">
        <f ca="1">tblBaseCF[[#This Row],[MonthlyPMLoad]]</f>
        <v>0</v>
      </c>
      <c r="GK104">
        <f ca="1">tblBaseCF[[#This Row],[MonthlyLoad]]</f>
        <v>0</v>
      </c>
      <c r="GL104">
        <f ca="1">tblBaseCF[[#This Row],[MonthlyTotalPrem]]</f>
        <v>0</v>
      </c>
      <c r="GO104" t="s">
        <v>134</v>
      </c>
      <c r="GP104" t="s">
        <v>135</v>
      </c>
      <c r="GQ104" t="s">
        <v>502</v>
      </c>
      <c r="GR104">
        <v>84</v>
      </c>
      <c r="GS104">
        <v>83</v>
      </c>
      <c r="GT104">
        <v>1</v>
      </c>
      <c r="GU104" t="s">
        <v>457</v>
      </c>
      <c r="GV104">
        <v>1298496238.6401801</v>
      </c>
      <c r="GW104">
        <v>11402344145.801201</v>
      </c>
      <c r="GX104">
        <v>12700840384.441401</v>
      </c>
      <c r="GY104">
        <v>0</v>
      </c>
      <c r="GZ104">
        <v>12700840384.441401</v>
      </c>
      <c r="HA104">
        <v>12700840384.441401</v>
      </c>
      <c r="HB104">
        <v>0</v>
      </c>
      <c r="HC104">
        <v>0</v>
      </c>
      <c r="HD104" t="s">
        <v>137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7.0000000000000007E-2</v>
      </c>
      <c r="HX104">
        <v>0.96964931039809399</v>
      </c>
      <c r="HY104">
        <v>1</v>
      </c>
      <c r="HZ104">
        <v>300000</v>
      </c>
      <c r="IA104">
        <v>0</v>
      </c>
      <c r="IB104">
        <v>0</v>
      </c>
      <c r="IC104">
        <v>0</v>
      </c>
      <c r="ID104">
        <v>0</v>
      </c>
      <c r="IE104">
        <v>300000</v>
      </c>
      <c r="IF104">
        <v>290894.79311942798</v>
      </c>
      <c r="IG104">
        <v>290894.79311942798</v>
      </c>
      <c r="IH104">
        <v>0</v>
      </c>
      <c r="II104">
        <v>90874374.069294497</v>
      </c>
      <c r="IJ104">
        <v>798164090.20608604</v>
      </c>
      <c r="IK104">
        <v>0</v>
      </c>
      <c r="IL104">
        <v>0</v>
      </c>
      <c r="IM104">
        <v>0</v>
      </c>
      <c r="IN104">
        <v>1389079717.9163599</v>
      </c>
      <c r="IO104">
        <v>12200508236.007299</v>
      </c>
      <c r="IP104">
        <v>13589587953.9237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</row>
    <row r="105" spans="2:268" customFormat="1" x14ac:dyDescent="0.25">
      <c r="B105" s="2">
        <f ca="1">OFFSET(tblBaseCF[[#This Row],[Year]],-1,0)+1</f>
        <v>85</v>
      </c>
      <c r="C105" s="2">
        <f ca="1">(tblBaseCF[[#This Row],[Year]]&lt;=term)*1</f>
        <v>1</v>
      </c>
      <c r="D105" s="57">
        <f ca="1">(YEAR(rcd)+tblBaseCF[[#This Row],[Year]]-1)
*tblBaseCF[[#This Row],[PolTermFlag]]</f>
        <v>2109</v>
      </c>
      <c r="E105" s="57">
        <f ca="1">(mainLI_entry_age+tblBaseCF[[#This Row],[Year]]-1)
*tblBaseCF[[#This Row],[PolTermFlag]]</f>
        <v>84</v>
      </c>
      <c r="F105" s="57">
        <f ca="1">IF(tblBaseCF[[#This Row],[Year]]=1,1,OFFSET(tblBaseCF[[#This Row],[DeductFlag]],-1,0))
*tblBaseCF[[#This Row],[PolTermFlag]]</f>
        <v>0</v>
      </c>
      <c r="G10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5" s="57">
        <f ca="1">(tblBaseCF[[#This Row],[Year]]&lt;=acc_ben_term)
*tblBaseCF[[#This Row],[ContFlag]]</f>
        <v>0</v>
      </c>
      <c r="I105" s="57">
        <f ca="1">(tblBaseCF[[#This Row],[Year]]&lt;=tp_term)
*tblBaseCF[[#This Row],[ContFlag]]</f>
        <v>0</v>
      </c>
      <c r="J105" s="57">
        <f ca="1">(tblBaseCF[[#This Row],[Year]]&lt;=ep_term)
*tblBaseCF[[#This Row],[ContFlag]]</f>
        <v>0</v>
      </c>
      <c r="K105" s="57">
        <f ca="1">(tblBaseCF[[#This Row],[Year]]&lt;=em_load_term)*1</f>
        <v>0</v>
      </c>
      <c r="L105" s="57">
        <f ca="1">(tblBaseCF[[#This Row],[Year]]&lt;=pm_load_term)*1</f>
        <v>0</v>
      </c>
      <c r="M105" s="59">
        <f ca="1">IF(tblBaseCF[[#This Row],[Year]]=1,si,OFFSET(tblBaseCF[[#This Row],[EndSI]],-1,0))
*tblBaseCF[[#This Row],[ContFlag]]</f>
        <v>0</v>
      </c>
      <c r="N105" s="59">
        <f ca="1">OFFSET(tblBaseCF[[#This Row],[EndTAV]],-1,0)
*tblBaseCF[[#This Row],[ContFlag]]</f>
        <v>0</v>
      </c>
      <c r="O105" s="59">
        <f ca="1">OFFSET(tblBaseCF[[#This Row],[EndEAV]],-1,0)
*tblBaseCF[[#This Row],[ContFlag]]</f>
        <v>0</v>
      </c>
      <c r="P105" s="60">
        <f ca="1">tblBaseCF[[#This Row],[StartEAV]]+tblBaseCF[[#This Row],[StartTAV]]</f>
        <v>0</v>
      </c>
      <c r="Q105" s="61">
        <f ca="1">IFERROR(INDEX(tblJuvenileLienRate[Rate],MATCH(tblBaseCF[[#This Row],[Age]],tblJuvenileLienRate[Age],0)),1)
*tblBaseCF[[#This Row],[ContFlag]]</f>
        <v>0</v>
      </c>
      <c r="R10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5" s="62">
        <f ca="1">tblBaseCF[[#This Row],[StartSI]]*acc_ben_coeff*tblBaseCF[[#This Row],[JuvenileLienRate]]
*tblBaseCF[[#This Row],[AccBenTermFlag]]</f>
        <v>0</v>
      </c>
      <c r="T105" s="61">
        <f ca="1">(IFERROR(INDEX(tblSurrChrgRate[Rate],MATCH(tblBaseCF[[#This Row],[Year]],tblSurrChrgRate[Year],0)),0)
*tblBaseCF[[#This Row],[ContFlag]])</f>
        <v>0</v>
      </c>
      <c r="U105" s="60">
        <f ca="1">tp*tblBaseCF[[#This Row],[SrrChrgRate]]</f>
        <v>0</v>
      </c>
      <c r="V105" s="63">
        <f ca="1">MAX(tblBaseCF[[#This Row],[StartTAV]]-tblBaseCF[[#This Row],[SVChrg]],0)+tblBaseCF[[#This Row],[StartEAV]]</f>
        <v>0</v>
      </c>
      <c r="W105" s="59">
        <f ca="1">IFERROR(INDEX(tblWithdrawal_Output[Amount],MATCH(tblBaseCF[[#This Row],[Year]],tblWithdrawal_Output[Year],0)),0)
*tblBaseCF[[#This Row],[ContFlag]]</f>
        <v>0</v>
      </c>
      <c r="X105" s="59" t="b">
        <f ca="1">tblBaseCF[[#This Row],[WithdrawalInput]]&gt;0</f>
        <v>0</v>
      </c>
      <c r="Y105" s="59" t="b">
        <f ca="1">AND(tblBaseCF[[#This Row],[1stCheckProceed]],tblBaseCF[[#This Row],[WithdrawalInput]]&lt;=tblBaseCF[[#This Row],[StartPAV]])</f>
        <v>0</v>
      </c>
      <c r="Z105" s="59" t="b">
        <f ca="1">AND(tblBaseCF[[#This Row],[2ndCheckAmount]],(tblBaseCF[[#This Row],[StartPAV]]-tblBaseCF[[#This Row],[WithdrawalInput]])&gt;=min_pav_after_withdrawal)</f>
        <v>0</v>
      </c>
      <c r="AA10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5" s="59" t="b">
        <f ca="1">AND(tblBaseCF[[#This Row],[3rdCheckPAV]],tblBaseCF[[#This Row],[endSITest]]&gt;=min_base_si)</f>
        <v>0</v>
      </c>
      <c r="AC105" s="60">
        <f ca="1">tblBaseCF[[#This Row],[WithdrawalInput]]*tblBaseCF[[#This Row],[4thCheckSI]]</f>
        <v>0</v>
      </c>
      <c r="AD105" s="60">
        <f ca="1">MIN(tblBaseCF[[#This Row],[Withdrawal]],tblBaseCF[[#This Row],[StartEAV]])</f>
        <v>0</v>
      </c>
      <c r="AE105" s="60">
        <f ca="1">tblBaseCF[[#This Row],[Withdrawal]]-tblBaseCF[[#This Row],[EAVWithdrawal]]</f>
        <v>0</v>
      </c>
      <c r="AF105" s="60">
        <f ca="1">IF(tblBaseCF[[#This Row],[4thCheckSI]],tblBaseCF[[#This Row],[endSITest]],tblBaseCF[[#This Row],[StartSI]])</f>
        <v>0</v>
      </c>
      <c r="AG10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5" s="65">
        <f ca="1">IFERROR(INDEX(tblTPAllocChrgRate[Rate],MATCH(tblBaseCF[[#This Row],[Year]],tblTPAllocChrgRate[Year],0)),0)</f>
        <v>0.02</v>
      </c>
      <c r="AI105" s="62">
        <f ca="1">(tp+big_case_bonus_tp*(tblBaseCF[[#This Row],[Year]]=1))
*tblBaseCF[[#This Row],[TPTermFlag]]</f>
        <v>0</v>
      </c>
      <c r="AJ105" s="63">
        <f ca="1">tblBaseCF[[#This Row],[TP]]*tblBaseCF[[#This Row],[TPAllocChrgRate]]</f>
        <v>0</v>
      </c>
      <c r="AK105" s="60">
        <f ca="1">tblBaseCF[[#This Row],[TP]]-tblBaseCF[[#This Row],[TPAllocChrg]]</f>
        <v>0</v>
      </c>
      <c r="AL105" s="65">
        <f ca="1">IFERROR(INDEX(tblEPAllocChrgRate[Rate],MATCH(tblBaseCF[[#This Row],[Year]],tblEPAllocChrgRate[Year],0)),0)</f>
        <v>0.02</v>
      </c>
      <c r="AM105" s="60">
        <f ca="1">ep*tblBaseCF[[#This Row],[EPTermFlag]]</f>
        <v>0</v>
      </c>
      <c r="AN105" s="60">
        <f ca="1">tblBaseCF[[#This Row],[EP]]*tblBaseCF[[#This Row],[EPAllocChrgRate]]</f>
        <v>0</v>
      </c>
      <c r="AO105" s="63">
        <f ca="1">tblBaseCF[[#This Row],[EP]]-tblBaseCF[[#This Row],[EPAllocChrg]]</f>
        <v>0</v>
      </c>
      <c r="AP105" s="62">
        <f ca="1">tblBaseCF[[#This Row],[Ben]]*extra_prem_rate*em_load/1000/(1-tblBaseCF[[#This Row],[EPAllocChrgRate]])
*tblBaseCF[[#This Row],[EMLoadTermFlag]]</f>
        <v>0</v>
      </c>
      <c r="AQ105" s="62">
        <f ca="1">tblBaseCF[[#This Row],[Ben]]*pm_load/1000/(1-tblBaseCF[[#This Row],[EPAllocChrgRate]])
*tblBaseCF[[#This Row],[PMLoadTermFlag]]</f>
        <v>0</v>
      </c>
      <c r="AR105" s="60">
        <f ca="1">ROUNDUP(tblBaseCF[[#This Row],[UnroundedEMLoad]],-3)</f>
        <v>0</v>
      </c>
      <c r="AS105" s="62">
        <f ca="1">ROUNDUP(tblBaseCF[[#This Row],[Ben]]*pm_load/1000/(1-tblBaseCF[[#This Row],[EPAllocChrgRate]]),-3)
*tblBaseCF[[#This Row],[PMLoadTermFlag]]</f>
        <v>0</v>
      </c>
      <c r="AT105" s="60">
        <f ca="1">tblBaseCF[[#This Row],[EMLoad]]+tblBaseCF[[#This Row],[PMLoad]]</f>
        <v>0</v>
      </c>
      <c r="AU105" s="60">
        <f ca="1">tblBaseCF[[#This Row],[Load]]*tblBaseCF[[#This Row],[EPAllocChrgRate]]</f>
        <v>0</v>
      </c>
      <c r="AV105" s="60">
        <f ca="1">tblBaseCF[[#This Row],[Load]]-tblBaseCF[[#This Row],[LoadAllocChrg]]</f>
        <v>0</v>
      </c>
      <c r="AW105" s="60">
        <f ca="1">tblBaseCF[[#This Row],[TP]]+tblBaseCF[[#This Row],[EP]]+tblBaseCF[[#This Row],[Load]]</f>
        <v>0</v>
      </c>
      <c r="AX105" s="60">
        <f ca="1">tblBaseCF[[#This Row],[TPAllocChrg]]+tblBaseCF[[#This Row],[EPAllocChrg]]+tblBaseCF[[#This Row],[LoadAllocChrg]]</f>
        <v>0</v>
      </c>
      <c r="AY105" s="60">
        <f ca="1">tblBaseCF[[#This Row],[TPAlloc]]+tblBaseCF[[#This Row],[EPAlloc]]+tblBaseCF[[#This Row],[LoadAlloc]]</f>
        <v>0</v>
      </c>
      <c r="AZ105" s="60">
        <f ca="1">(OFFSET(tblBaseCF[[#This Row],[AccumTotalPrem]],-1,0)+tblBaseCF[[#This Row],[TotalPrem]])*tblBaseCF[[#This Row],[TPTermFlag]]</f>
        <v>0</v>
      </c>
      <c r="BA105" s="62">
        <f ca="1">(tblBaseCF[[#This Row],[StartTAV]]-tblBaseCF[[#This Row],[TAVWithdrawal]]+tblBaseCF[[#This Row],[TPAlloc]])
*tblBaseCF[[#This Row],[ContFlag]]</f>
        <v>0</v>
      </c>
      <c r="BB105" s="59">
        <f ca="1">(tblBaseCF[[#This Row],[StartEAV]]-tblBaseCF[[#This Row],[EAVWithdrawal]]+tblBaseCF[[#This Row],[EPAlloc]]+tblBaseCF[[#This Row],[LoadAlloc]])
*tblBaseCF[[#This Row],[ContFlag]]</f>
        <v>0</v>
      </c>
      <c r="BC105" s="59">
        <f ca="1">tblBaseCF[[#This Row],[TAVAfterWdrlAlloc]]+tblBaseCF[[#This Row],[EAVAfterWdrlAlloc]]</f>
        <v>0</v>
      </c>
      <c r="BD105" s="66">
        <f t="shared" si="10"/>
        <v>0</v>
      </c>
      <c r="BE105" s="67">
        <f>(1+tblBaseCF[[#This Row],[AnnualIntRate]])^(1/12)-1</f>
        <v>0</v>
      </c>
      <c r="BF105" s="68">
        <f>IFERROR(((1+tblBaseCF[[#This Row],[MonthlyIntRate]])^12-1)/12/(1-1/(1+tblBaseCF[[#This Row],[MonthlyIntRate]])),1)/(1+tblBaseCF[[#This Row],[AnnualIntRate]])</f>
        <v>1</v>
      </c>
      <c r="BG105" s="69">
        <f>PV(tblBaseCF[[#This Row],[MonthlyIntRate]],12,-1/12,,1)</f>
        <v>1</v>
      </c>
      <c r="BH105" s="60">
        <f ca="1">MAX(IF(death_tpd_option="A",tblBaseCF[[#This Row],[Ben]]-tblBaseCF[[#This Row],[StartPAV]],tblBaseCF[[#This Row],[Ben]]),0)</f>
        <v>0</v>
      </c>
      <c r="BI105" s="70">
        <f ca="1">IFERROR(INDEX(tblBaseCOIRate[Rate],MATCH(tblBaseCF[[#This Row],[Age]],tblBaseCOIRate[Age],0)),0)</f>
        <v>0.10962</v>
      </c>
      <c r="BJ105" s="60">
        <f ca="1">tblBaseCF[[#This Row],[SAR]]*tblBaseCF[[#This Row],[COIRate]]</f>
        <v>0</v>
      </c>
      <c r="BK105" s="62">
        <f ca="1">em_load*tblBaseCF[[#This Row],[pStandardCOI]]
*tblBaseCF[[#This Row],[EMLoadTermFlag]]</f>
        <v>0</v>
      </c>
      <c r="BL105" s="62">
        <f ca="1">pm_load/1000*tblBaseCF[[#This Row],[SAR]]
*tblBaseCF[[#This Row],[PMLoadTermFlag]]</f>
        <v>0</v>
      </c>
      <c r="BM105" s="60">
        <f ca="1">tblBaseCF[[#This Row],[AccBen]]*monthly_acc_coi*12</f>
        <v>0</v>
      </c>
      <c r="BN105" s="60">
        <f ca="1">tblBaseCF[[#This Row],[pStandardCOI]]+tblBaseCF[[#This Row],[pEMLoadCOI]]+tblBaseCF[[#This Row],[pPMLoadCOI]]+tblBaseCF[[#This Row],[pAccCOI]]</f>
        <v>0</v>
      </c>
      <c r="BO105" s="62">
        <f ca="1">IFERROR(INDEX(tblAdminChrg[Amount],MATCH(tblBaseCF[[#This Row],[CalYear]],tblAdminChrg[Cal_Year],0)),0)
*tblBaseCF[[#This Row],[ContFlag]]</f>
        <v>0</v>
      </c>
      <c r="BP105" s="60">
        <f ca="1">tblBaseCF[[#This Row],[pMonthlyAdminChrg]]*12</f>
        <v>0</v>
      </c>
      <c r="BQ105" s="60">
        <f ca="1">tblBaseCF[[#This Row],[pCOI]]+tblBaseCF[[#This Row],[pAdminChrg]]</f>
        <v>0</v>
      </c>
      <c r="BR105" s="60">
        <f ca="1">tblBaseCF[[#This Row],[pNomDeduct]]*tblBaseCF[[#This Row],[Duean1m12]]</f>
        <v>0</v>
      </c>
      <c r="BS105" s="57">
        <f ca="1">(tblBaseCF[[#This Row],[PAVAfterWdrlAlloc]]&gt;=tblBaseCF[[#This Row],[pNomDeduct]])
*tblBaseCF[[#This Row],[ContFlag]]</f>
        <v>0</v>
      </c>
      <c r="BT105" s="60">
        <f ca="1">tblBaseCF[[#This Row],[pStandardCOI]]*tblBaseCF[[#This Row],[DeductFlag]]</f>
        <v>0</v>
      </c>
      <c r="BU105" s="60">
        <f ca="1">tblBaseCF[[#This Row],[pEMLoadCOI]]*tblBaseCF[[#This Row],[DeductFlag]]</f>
        <v>0</v>
      </c>
      <c r="BV105" s="60">
        <f ca="1">tblBaseCF[[#This Row],[pPMLoadCOI]]*tblBaseCF[[#This Row],[DeductFlag]]</f>
        <v>0</v>
      </c>
      <c r="BW105" s="60">
        <f ca="1">tblBaseCF[[#This Row],[pAccCOI]]*tblBaseCF[[#This Row],[DeductFlag]]</f>
        <v>0</v>
      </c>
      <c r="BX105" s="60">
        <f ca="1">tblBaseCF[[#This Row],[pCOI]]*tblBaseCF[[#This Row],[DeductFlag]]</f>
        <v>0</v>
      </c>
      <c r="BY105" s="60">
        <f ca="1">tblBaseCF[[#This Row],[pMonthlyAdminChrg]]*tblBaseCF[[#This Row],[DeductFlag]]</f>
        <v>0</v>
      </c>
      <c r="BZ105" s="60">
        <f ca="1">tblBaseCF[[#This Row],[pAdminChrg]]*tblBaseCF[[#This Row],[DeductFlag]]</f>
        <v>0</v>
      </c>
      <c r="CA105" s="60">
        <f ca="1">tblBaseCF[[#This Row],[pNomDeduct]]*tblBaseCF[[#This Row],[DeductFlag]]</f>
        <v>0</v>
      </c>
      <c r="CB105" s="60">
        <f ca="1">tblBaseCF[[#This Row],[pDeduct]]*tblBaseCF[[#This Row],[DeductFlag]]</f>
        <v>0</v>
      </c>
      <c r="CC105" s="60">
        <f ca="1">MIN(tblBaseCF[[#This Row],[TAVAfterWdrlAlloc]],tblBaseCF[[#This Row],[Deduct]])</f>
        <v>0</v>
      </c>
      <c r="CD105" s="60">
        <f ca="1">tblBaseCF[[#This Row],[Deduct]]-tblBaseCF[[#This Row],[TAVDeduct]]</f>
        <v>0</v>
      </c>
      <c r="CE105" s="69">
        <f ca="1">(tblBaseCF[[#This Row],[TAVAfterWdrlAlloc]]-tblBaseCF[[#This Row],[TAVDeduct]])*tblBaseCF[[#This Row],[AnnualIntRate]]
*tblBaseCF[[#This Row],[DeductFlag]]</f>
        <v>0</v>
      </c>
      <c r="CF105" s="69">
        <f ca="1">(tblBaseCF[[#This Row],[EAVAfterWdrlAlloc]]-tblBaseCF[[#This Row],[EAVDeduct]])*tblBaseCF[[#This Row],[AnnualIntRate]]
*tblBaseCF[[#This Row],[DeductFlag]]</f>
        <v>0</v>
      </c>
      <c r="CG105" s="69">
        <f ca="1">tblBaseCF[[#This Row],[TAVInt]]+tblBaseCF[[#This Row],[EAVInt]]</f>
        <v>0</v>
      </c>
      <c r="CH105" s="62">
        <f ca="1">IFERROR(INDEX(tblLBRate[Rate],MATCH(tblBaseCF[[#This Row],[Year]],tblLBRate[Year],0)),0)
*tblBaseCF[[#This Row],[DeductFlag]]</f>
        <v>0</v>
      </c>
      <c r="CI105" s="60">
        <f ca="1">IFERROR(SUM(OFFSET(tblBaseCF[[#This Row],[TAVWithdrawal]],0,0,-lb_review_period,1)),0)
*(tblBaseCF[[#This Row],[LBRate]]&gt;0)</f>
        <v>0</v>
      </c>
      <c r="CJ105" s="60">
        <f ca="1">(tblBaseCF[[#This Row],[LBRate]]&gt;0)*(tblBaseCF[[#This Row],[LBTAVWithdrawal]]=0)</f>
        <v>0</v>
      </c>
      <c r="CK105" s="62" cm="1">
        <f t="array" aca="1" ref="CK105" ca="1">IF(tblBaseCF[[#This Row],[LBFlag]],
_xlfn.SWITCH(base,
"ILP1",AVERAGE(OFFSET(tblBaseCF[TP],0,0,-lb_review_period,1)),tp),0)
*tblBaseCF[[#This Row],[LBFlag]]</f>
        <v>0</v>
      </c>
      <c r="CL105" s="62">
        <f ca="1">tblBaseCF[[#This Row],[LBBasis]]*tblBaseCF[[#This Row],[LBRate]]</f>
        <v>0</v>
      </c>
      <c r="CM105" s="57" cm="1">
        <f t="array" aca="1" ref="CM105" ca="1">_xlfn.SWITCH(base,
"ILP1",0,($AF205&lt;500000000)*1
+($AF205&gt;=500000000)*($AF205&lt;1000000000)*2
+($AF205&gt;=1000000000)*3)
*tblBaseCF[[#This Row],[DeductFlag]]</f>
        <v>0</v>
      </c>
      <c r="CN105" s="2" t="str">
        <f ca="1">IF(tblBaseCF[[#This Row],[DeductFlag]],base&amp;"_"&amp;tblBaseCF[[#This Row],[SBCode]]&amp;"_"&amp;tblBaseCF[[#This Row],[Year]],"")</f>
        <v/>
      </c>
      <c r="CO105" s="3">
        <f ca="1">IFERROR(INDEX(tblSBRate[Index],MATCH(tblBaseCF[[#This Row],[SBIndex]],tblSBRate[Rate],0)),0)</f>
        <v>0</v>
      </c>
      <c r="CP105" s="63">
        <f ca="1">IFERROR(SUM(OFFSET(tblBaseCF[[#This Row],[TAVWithdrawal]],0,0,-sb_review_period,1)),0)
*(tblBaseCF[[#This Row],[SBRate]]&gt;0)</f>
        <v>0</v>
      </c>
      <c r="CQ105" s="63">
        <f ca="1">(tblBaseCF[[#This Row],[SBRate]]&gt;0)*(tblBaseCF[[#This Row],[SBTAVWithdrawal]]=0)</f>
        <v>0</v>
      </c>
      <c r="CR105" s="59" cm="1">
        <f t="array" aca="1" ref="CR105" ca="1">IF(tblBaseCF[[#This Row],[LBFlag]],
_xlfn.SWITCH(base,
"ILP1",0,tp),0)*tblBaseCF[[#This Row],[SBFlag]]</f>
        <v>0</v>
      </c>
      <c r="CS105" s="63">
        <f ca="1">tblBaseCF[[#This Row],[SBBasis]]*tblBaseCF[[#This Row],[SBRate]]</f>
        <v>0</v>
      </c>
      <c r="CT105" s="63">
        <f ca="1">tblBaseCF[[#This Row],[LB]]+tblBaseCF[[#This Row],[SB]]</f>
        <v>0</v>
      </c>
      <c r="CU105" s="59">
        <f ca="1">tblBaseCF[[#This Row],[TAVAfterWdrlAlloc]]-tblBaseCF[[#This Row],[TAVDeduct]]+tblBaseCF[[#This Row],[TAVInt]]+tblBaseCF[[#This Row],[Bonus]]</f>
        <v>0</v>
      </c>
      <c r="CV105" s="59">
        <f ca="1">tblBaseCF[[#This Row],[EAVAfterWdrlAlloc]]-tblBaseCF[[#This Row],[EAVDeduct]]+tblBaseCF[[#This Row],[EAVInt]]</f>
        <v>0</v>
      </c>
      <c r="CW105" s="63">
        <f ca="1">tblBaseCF[[#This Row],[EndTAV]]+tblBaseCF[[#This Row],[EndEAV]]</f>
        <v>0</v>
      </c>
      <c r="CX105" s="59">
        <f ca="1">INDEX(tblPlanPrem[TP],2)
*tblBaseCF[[#This Row],[TPTermFlag]]</f>
        <v>0</v>
      </c>
      <c r="CY105" s="59">
        <f ca="1">INDEX(tblPlanPrem[EP],2)
*tblBaseCF[[#This Row],[TPTermFlag]]</f>
        <v>0</v>
      </c>
      <c r="CZ105" s="63">
        <f ca="1">ROUNDUP(tblBaseCF[[#This Row],[UnroundedEMLoad]]*INDEX(tblPlanPrem[Factor],2),-3)</f>
        <v>0</v>
      </c>
      <c r="DA105" s="63">
        <f ca="1">ROUNDUP(tblBaseCF[[#This Row],[UnroundedPMLoad]]*INDEX(tblPlanPrem[Factor],2),-3)</f>
        <v>0</v>
      </c>
      <c r="DB105" s="63">
        <f ca="1">tblBaseCF[[#This Row],[SemiAnnualEMLoad]]+tblBaseCF[[#This Row],[SemiAnnualPMLoad]]</f>
        <v>0</v>
      </c>
      <c r="DC105" s="63">
        <f ca="1">tblBaseCF[[#This Row],[SemiAnnualTP]]+tblBaseCF[[#This Row],[SemiAnnualEP]]+tblBaseCF[[#This Row],[SemiAnnualLoad]]</f>
        <v>0</v>
      </c>
      <c r="DD105" s="59">
        <f ca="1">INDEX(tblPlanPrem[TP],3)
*tblBaseCF[[#This Row],[TPTermFlag]]</f>
        <v>0</v>
      </c>
      <c r="DE105" s="59">
        <f ca="1">INDEX(tblPlanPrem[EP],3)
*tblBaseCF[[#This Row],[TPTermFlag]]</f>
        <v>0</v>
      </c>
      <c r="DF105" s="63">
        <f ca="1">ROUNDUP(tblBaseCF[[#This Row],[UnroundedEMLoad]]*INDEX(tblPlanPrem[Factor],3),-3)</f>
        <v>0</v>
      </c>
      <c r="DG105" s="63">
        <f ca="1">ROUNDUP(tblBaseCF[[#This Row],[UnroundedPMLoad]]*INDEX(tblPlanPrem[Factor],3),-3)</f>
        <v>0</v>
      </c>
      <c r="DH105" s="60">
        <f ca="1">tblBaseCF[[#This Row],[QuarterlyEMLoad]]+tblBaseCF[[#This Row],[QuarterlyPMLoad]]</f>
        <v>0</v>
      </c>
      <c r="DI105" s="60">
        <f ca="1">tblBaseCF[[#This Row],[QuarterlyTP]]+tblBaseCF[[#This Row],[QuarterlyEP]]+tblBaseCF[[#This Row],[QuarterlyLoad]]</f>
        <v>0</v>
      </c>
      <c r="DJ105" s="59">
        <f ca="1">INDEX(tblPlanPrem[TP],4)
*tblBaseCF[[#This Row],[TPTermFlag]]</f>
        <v>0</v>
      </c>
      <c r="DK105" s="59">
        <f ca="1">INDEX(tblPlanPrem[EP],4)
*tblBaseCF[[#This Row],[TPTermFlag]]</f>
        <v>0</v>
      </c>
      <c r="DL105" s="63">
        <f ca="1">ROUNDUP(tblBaseCF[[#This Row],[UnroundedEMLoad]]*INDEX(tblPlanPrem[Factor],4),-3)</f>
        <v>0</v>
      </c>
      <c r="DM105" s="63">
        <f ca="1">ROUNDUP(tblBaseCF[[#This Row],[UnroundedPMLoad]]*INDEX(tblPlanPrem[Factor],4),-3)</f>
        <v>0</v>
      </c>
      <c r="DN105" s="60">
        <f ca="1">tblBaseCF[[#This Row],[MonthlyEMLoad]]+tblBaseCF[[#This Row],[MonthlyPMLoad]]</f>
        <v>0</v>
      </c>
      <c r="DO105" s="63">
        <f ca="1">tblBaseCF[[#This Row],[MonthlyTP]]+tblBaseCF[[#This Row],[MonthlyEP]]+tblBaseCF[[#This Row],[MonthlyLoad]]</f>
        <v>0</v>
      </c>
      <c r="DP105" s="3"/>
      <c r="DS105">
        <f t="shared" si="11"/>
        <v>0</v>
      </c>
      <c r="DT105">
        <f t="shared" si="12"/>
        <v>0</v>
      </c>
      <c r="DU105">
        <f t="shared" si="13"/>
        <v>0</v>
      </c>
      <c r="DV105">
        <f ca="1">tblBaseCF[[#This Row],[Year]]</f>
        <v>85</v>
      </c>
      <c r="DW105">
        <f ca="1">tblBaseCF[[#This Row],[Age]]</f>
        <v>84</v>
      </c>
      <c r="DX105">
        <f ca="1">tblBaseCF[[#This Row],[ContFlag]]</f>
        <v>0</v>
      </c>
      <c r="DY105" t="str">
        <f ca="1">tblBaseCF[[#This Row],[ContLog]]</f>
        <v>Insufficient PAV for deduction - Discontinue.</v>
      </c>
      <c r="DZ105">
        <f ca="1">tblBaseCF[[#This Row],[StartTAV]]</f>
        <v>0</v>
      </c>
      <c r="EA105">
        <f ca="1">tblBaseCF[[#This Row],[StartEAV]]</f>
        <v>0</v>
      </c>
      <c r="EB105">
        <f ca="1">tblBaseCF[[#This Row],[StartPAV]]</f>
        <v>0</v>
      </c>
      <c r="EC105">
        <f ca="1">tblBaseCF[[#This Row],[SVChrg]]</f>
        <v>0</v>
      </c>
      <c r="ED105">
        <f ca="1">tblBaseCF[[#This Row],[SV]]</f>
        <v>0</v>
      </c>
      <c r="EE105">
        <f ca="1">tblBaseCF[[#This Row],[Ben]]</f>
        <v>0</v>
      </c>
      <c r="EF105">
        <f ca="1">tblBaseCF[[#This Row],[AccBen]]</f>
        <v>0</v>
      </c>
      <c r="EG105">
        <f ca="1">tblBaseCF[[#This Row],[WithdrawalInput]]</f>
        <v>0</v>
      </c>
      <c r="EH105" t="str">
        <f ca="1">tblBaseCF[[#This Row],[WithdrawalLog]]</f>
        <v>No withdrawal.</v>
      </c>
      <c r="EI105">
        <f ca="1">tblBaseCF[[#This Row],[TAVWithdrawal]]</f>
        <v>0</v>
      </c>
      <c r="EJ105">
        <f ca="1">tblBaseCF[[#This Row],[EAVWithdrawal]]</f>
        <v>0</v>
      </c>
      <c r="EK105">
        <f ca="1">tblBaseCF[[#This Row],[Withdrawal]]</f>
        <v>0</v>
      </c>
      <c r="EL105">
        <f ca="1">tblBaseCF[[#This Row],[TP]]</f>
        <v>0</v>
      </c>
      <c r="EM105">
        <f ca="1">tblBaseCF[[#This Row],[TPAllocChrg]]</f>
        <v>0</v>
      </c>
      <c r="EN105">
        <f ca="1">tblBaseCF[[#This Row],[TPAlloc]]</f>
        <v>0</v>
      </c>
      <c r="EO105">
        <f ca="1">tblBaseCF[[#This Row],[EP]]</f>
        <v>0</v>
      </c>
      <c r="EP105">
        <f ca="1">tblBaseCF[[#This Row],[EPAllocChrg]]</f>
        <v>0</v>
      </c>
      <c r="EQ105">
        <f ca="1">tblBaseCF[[#This Row],[EPAlloc]]</f>
        <v>0</v>
      </c>
      <c r="ER105">
        <f ca="1">tblBaseCF[[#This Row],[EMLoad]]</f>
        <v>0</v>
      </c>
      <c r="ES105">
        <f ca="1">tblBaseCF[[#This Row],[PMLoad]]</f>
        <v>0</v>
      </c>
      <c r="ET105">
        <f ca="1">tblBaseCF[[#This Row],[Load]]</f>
        <v>0</v>
      </c>
      <c r="EU105">
        <f ca="1">tblBaseCF[[#This Row],[LoadAllocChrg]]</f>
        <v>0</v>
      </c>
      <c r="EV105">
        <f ca="1">tblBaseCF[[#This Row],[LoadAlloc]]</f>
        <v>0</v>
      </c>
      <c r="EW105">
        <f ca="1">tblBaseCF[[#This Row],[TotalPrem]]</f>
        <v>0</v>
      </c>
      <c r="EX105">
        <f ca="1">tblBaseCF[[#This Row],[AllocChrg]]</f>
        <v>0</v>
      </c>
      <c r="EY105">
        <f ca="1">tblBaseCF[[#This Row],[Alloc]]</f>
        <v>0</v>
      </c>
      <c r="EZ105">
        <f ca="1">tblBaseCF[[#This Row],[AccumTotalPrem]]</f>
        <v>0</v>
      </c>
      <c r="FA105">
        <f>tblBaseCF[[#This Row],[AnnualIntRate]]</f>
        <v>0</v>
      </c>
      <c r="FB105" s="50">
        <f>tblBaseCF[[#This Row],[Duean1m12]]</f>
        <v>1</v>
      </c>
      <c r="FC105">
        <f ca="1">tblBaseCF[[#This Row],[DeductFlag]]</f>
        <v>0</v>
      </c>
      <c r="FD105">
        <f ca="1">tblBaseCF[[#This Row],[AdminChrg]]</f>
        <v>0</v>
      </c>
      <c r="FE105">
        <f ca="1">tblBaseCF[[#This Row],[StandardCOI]]</f>
        <v>0</v>
      </c>
      <c r="FF105">
        <f ca="1">tblBaseCF[[#This Row],[EMLoadCOI]]</f>
        <v>0</v>
      </c>
      <c r="FG105">
        <f ca="1">tblBaseCF[[#This Row],[PMLoadCOI]]</f>
        <v>0</v>
      </c>
      <c r="FH105">
        <f ca="1">tblBaseCF[[#This Row],[COI]]</f>
        <v>0</v>
      </c>
      <c r="FI105" s="47">
        <f ca="1">tblBaseCF[[#This Row],[NomDeduct]]</f>
        <v>0</v>
      </c>
      <c r="FJ105">
        <f ca="1">tblBaseCF[[#This Row],[Deduct]]</f>
        <v>0</v>
      </c>
      <c r="FK105">
        <f ca="1">tblBaseCF[[#This Row],[TAVDeduct]]</f>
        <v>0</v>
      </c>
      <c r="FL105">
        <f ca="1">tblBaseCF[[#This Row],[EAVDeduct]]</f>
        <v>0</v>
      </c>
      <c r="FM105" s="24">
        <f ca="1">tblBaseCF[[#This Row],[TAVInt]]</f>
        <v>0</v>
      </c>
      <c r="FN105">
        <f ca="1">tblBaseCF[[#This Row],[EAVInt]]</f>
        <v>0</v>
      </c>
      <c r="FO105" s="47">
        <f ca="1">tblBaseCF[[#This Row],[LB]]</f>
        <v>0</v>
      </c>
      <c r="FP105">
        <f ca="1">tblBaseCF[[#This Row],[SB]]</f>
        <v>0</v>
      </c>
      <c r="FQ105">
        <f ca="1">tblBaseCF[[#This Row],[Bonus]]</f>
        <v>0</v>
      </c>
      <c r="FR105">
        <f ca="1">tblBaseCF[[#This Row],[EndTAV]]</f>
        <v>0</v>
      </c>
      <c r="FS105">
        <f ca="1">tblBaseCF[[#This Row],[EndEAV]]</f>
        <v>0</v>
      </c>
      <c r="FT105">
        <f ca="1">tblBaseCF[[#This Row],[EndPAV]]</f>
        <v>0</v>
      </c>
      <c r="FU105">
        <f ca="1">tblBaseCF[[#This Row],[SemiAnnualTP]]</f>
        <v>0</v>
      </c>
      <c r="FV105">
        <f ca="1">tblBaseCF[[#This Row],[SemiAnnualEP]]</f>
        <v>0</v>
      </c>
      <c r="FW105">
        <f ca="1">tblBaseCF[[#This Row],[SemiAnnualEMLoad]]</f>
        <v>0</v>
      </c>
      <c r="FX105">
        <f ca="1">tblBaseCF[[#This Row],[SemiAnnualPMLoad]]</f>
        <v>0</v>
      </c>
      <c r="FY105">
        <f ca="1">tblBaseCF[[#This Row],[SemiAnnualLoad]]</f>
        <v>0</v>
      </c>
      <c r="FZ105">
        <f ca="1">tblBaseCF[[#This Row],[SemiAnnualTotalPrem]]</f>
        <v>0</v>
      </c>
      <c r="GA105">
        <f ca="1">tblBaseCF[[#This Row],[QuarterlyTP]]</f>
        <v>0</v>
      </c>
      <c r="GB105">
        <f ca="1">tblBaseCF[[#This Row],[QuarterlyEP]]</f>
        <v>0</v>
      </c>
      <c r="GC105">
        <f ca="1">tblBaseCF[[#This Row],[QuarterlyEMLoad]]</f>
        <v>0</v>
      </c>
      <c r="GD105">
        <f ca="1">tblBaseCF[[#This Row],[QuarterlyPMLoad]]</f>
        <v>0</v>
      </c>
      <c r="GE105">
        <f ca="1">tblBaseCF[[#This Row],[QuarterlyLoad]]</f>
        <v>0</v>
      </c>
      <c r="GF105">
        <f ca="1">tblBaseCF[[#This Row],[QuarterlyTotalPrem]]</f>
        <v>0</v>
      </c>
      <c r="GG105">
        <f ca="1">tblBaseCF[[#This Row],[MonthlyTP]]</f>
        <v>0</v>
      </c>
      <c r="GH105">
        <f ca="1">tblBaseCF[[#This Row],[MonthlyEP]]</f>
        <v>0</v>
      </c>
      <c r="GI105">
        <f ca="1">tblBaseCF[[#This Row],[MonthlyEMLoad]]</f>
        <v>0</v>
      </c>
      <c r="GJ105">
        <f ca="1">tblBaseCF[[#This Row],[MonthlyPMLoad]]</f>
        <v>0</v>
      </c>
      <c r="GK105">
        <f ca="1">tblBaseCF[[#This Row],[MonthlyLoad]]</f>
        <v>0</v>
      </c>
      <c r="GL105">
        <f ca="1">tblBaseCF[[#This Row],[MonthlyTotalPrem]]</f>
        <v>0</v>
      </c>
      <c r="GO105" t="s">
        <v>134</v>
      </c>
      <c r="GP105" t="s">
        <v>135</v>
      </c>
      <c r="GQ105" t="s">
        <v>502</v>
      </c>
      <c r="GR105">
        <v>85</v>
      </c>
      <c r="GS105">
        <v>84</v>
      </c>
      <c r="GT105">
        <v>1</v>
      </c>
      <c r="GU105" t="s">
        <v>457</v>
      </c>
      <c r="GV105">
        <v>1389079717.9163599</v>
      </c>
      <c r="GW105">
        <v>12200508236.007299</v>
      </c>
      <c r="GX105">
        <v>13589587953.9237</v>
      </c>
      <c r="GY105">
        <v>0</v>
      </c>
      <c r="GZ105">
        <v>13589587953.9237</v>
      </c>
      <c r="HA105">
        <v>13589587953.9237</v>
      </c>
      <c r="HB105">
        <v>0</v>
      </c>
      <c r="HC105">
        <v>0</v>
      </c>
      <c r="HD105" t="s">
        <v>137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7.0000000000000007E-2</v>
      </c>
      <c r="HX105">
        <v>0.96964931039809399</v>
      </c>
      <c r="HY105">
        <v>1</v>
      </c>
      <c r="HZ105">
        <v>300000</v>
      </c>
      <c r="IA105">
        <v>0</v>
      </c>
      <c r="IB105">
        <v>0</v>
      </c>
      <c r="IC105">
        <v>0</v>
      </c>
      <c r="ID105">
        <v>0</v>
      </c>
      <c r="IE105">
        <v>300000</v>
      </c>
      <c r="IF105">
        <v>290894.79311942798</v>
      </c>
      <c r="IG105">
        <v>290894.79311942798</v>
      </c>
      <c r="IH105">
        <v>0</v>
      </c>
      <c r="II105">
        <v>97215217.618626699</v>
      </c>
      <c r="IJ105">
        <v>854035576.52051198</v>
      </c>
      <c r="IK105">
        <v>0</v>
      </c>
      <c r="IL105">
        <v>0</v>
      </c>
      <c r="IM105">
        <v>0</v>
      </c>
      <c r="IN105">
        <v>1486004040.7418699</v>
      </c>
      <c r="IO105">
        <v>13054543812.5278</v>
      </c>
      <c r="IP105">
        <v>14540547853.269699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</row>
    <row r="106" spans="2:268" customFormat="1" x14ac:dyDescent="0.25">
      <c r="B106" s="2">
        <f ca="1">OFFSET(tblBaseCF[[#This Row],[Year]],-1,0)+1</f>
        <v>86</v>
      </c>
      <c r="C106" s="2">
        <f ca="1">(tblBaseCF[[#This Row],[Year]]&lt;=term)*1</f>
        <v>1</v>
      </c>
      <c r="D106" s="57">
        <f ca="1">(YEAR(rcd)+tblBaseCF[[#This Row],[Year]]-1)
*tblBaseCF[[#This Row],[PolTermFlag]]</f>
        <v>2110</v>
      </c>
      <c r="E106" s="57">
        <f ca="1">(mainLI_entry_age+tblBaseCF[[#This Row],[Year]]-1)
*tblBaseCF[[#This Row],[PolTermFlag]]</f>
        <v>85</v>
      </c>
      <c r="F106" s="57">
        <f ca="1">IF(tblBaseCF[[#This Row],[Year]]=1,1,OFFSET(tblBaseCF[[#This Row],[DeductFlag]],-1,0))
*tblBaseCF[[#This Row],[PolTermFlag]]</f>
        <v>0</v>
      </c>
      <c r="G10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6" s="57">
        <f ca="1">(tblBaseCF[[#This Row],[Year]]&lt;=acc_ben_term)
*tblBaseCF[[#This Row],[ContFlag]]</f>
        <v>0</v>
      </c>
      <c r="I106" s="57">
        <f ca="1">(tblBaseCF[[#This Row],[Year]]&lt;=tp_term)
*tblBaseCF[[#This Row],[ContFlag]]</f>
        <v>0</v>
      </c>
      <c r="J106" s="57">
        <f ca="1">(tblBaseCF[[#This Row],[Year]]&lt;=ep_term)
*tblBaseCF[[#This Row],[ContFlag]]</f>
        <v>0</v>
      </c>
      <c r="K106" s="57">
        <f ca="1">(tblBaseCF[[#This Row],[Year]]&lt;=em_load_term)*1</f>
        <v>0</v>
      </c>
      <c r="L106" s="57">
        <f ca="1">(tblBaseCF[[#This Row],[Year]]&lt;=pm_load_term)*1</f>
        <v>0</v>
      </c>
      <c r="M106" s="59">
        <f ca="1">IF(tblBaseCF[[#This Row],[Year]]=1,si,OFFSET(tblBaseCF[[#This Row],[EndSI]],-1,0))
*tblBaseCF[[#This Row],[ContFlag]]</f>
        <v>0</v>
      </c>
      <c r="N106" s="59">
        <f ca="1">OFFSET(tblBaseCF[[#This Row],[EndTAV]],-1,0)
*tblBaseCF[[#This Row],[ContFlag]]</f>
        <v>0</v>
      </c>
      <c r="O106" s="59">
        <f ca="1">OFFSET(tblBaseCF[[#This Row],[EndEAV]],-1,0)
*tblBaseCF[[#This Row],[ContFlag]]</f>
        <v>0</v>
      </c>
      <c r="P106" s="60">
        <f ca="1">tblBaseCF[[#This Row],[StartEAV]]+tblBaseCF[[#This Row],[StartTAV]]</f>
        <v>0</v>
      </c>
      <c r="Q106" s="61">
        <f ca="1">IFERROR(INDEX(tblJuvenileLienRate[Rate],MATCH(tblBaseCF[[#This Row],[Age]],tblJuvenileLienRate[Age],0)),1)
*tblBaseCF[[#This Row],[ContFlag]]</f>
        <v>0</v>
      </c>
      <c r="R10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6" s="62">
        <f ca="1">tblBaseCF[[#This Row],[StartSI]]*acc_ben_coeff*tblBaseCF[[#This Row],[JuvenileLienRate]]
*tblBaseCF[[#This Row],[AccBenTermFlag]]</f>
        <v>0</v>
      </c>
      <c r="T106" s="61">
        <f ca="1">(IFERROR(INDEX(tblSurrChrgRate[Rate],MATCH(tblBaseCF[[#This Row],[Year]],tblSurrChrgRate[Year],0)),0)
*tblBaseCF[[#This Row],[ContFlag]])</f>
        <v>0</v>
      </c>
      <c r="U106" s="60">
        <f ca="1">tp*tblBaseCF[[#This Row],[SrrChrgRate]]</f>
        <v>0</v>
      </c>
      <c r="V106" s="63">
        <f ca="1">MAX(tblBaseCF[[#This Row],[StartTAV]]-tblBaseCF[[#This Row],[SVChrg]],0)+tblBaseCF[[#This Row],[StartEAV]]</f>
        <v>0</v>
      </c>
      <c r="W106" s="59">
        <f ca="1">IFERROR(INDEX(tblWithdrawal_Output[Amount],MATCH(tblBaseCF[[#This Row],[Year]],tblWithdrawal_Output[Year],0)),0)
*tblBaseCF[[#This Row],[ContFlag]]</f>
        <v>0</v>
      </c>
      <c r="X106" s="59" t="b">
        <f ca="1">tblBaseCF[[#This Row],[WithdrawalInput]]&gt;0</f>
        <v>0</v>
      </c>
      <c r="Y106" s="59" t="b">
        <f ca="1">AND(tblBaseCF[[#This Row],[1stCheckProceed]],tblBaseCF[[#This Row],[WithdrawalInput]]&lt;=tblBaseCF[[#This Row],[StartPAV]])</f>
        <v>0</v>
      </c>
      <c r="Z106" s="59" t="b">
        <f ca="1">AND(tblBaseCF[[#This Row],[2ndCheckAmount]],(tblBaseCF[[#This Row],[StartPAV]]-tblBaseCF[[#This Row],[WithdrawalInput]])&gt;=min_pav_after_withdrawal)</f>
        <v>0</v>
      </c>
      <c r="AA10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6" s="59" t="b">
        <f ca="1">AND(tblBaseCF[[#This Row],[3rdCheckPAV]],tblBaseCF[[#This Row],[endSITest]]&gt;=min_base_si)</f>
        <v>0</v>
      </c>
      <c r="AC106" s="60">
        <f ca="1">tblBaseCF[[#This Row],[WithdrawalInput]]*tblBaseCF[[#This Row],[4thCheckSI]]</f>
        <v>0</v>
      </c>
      <c r="AD106" s="60">
        <f ca="1">MIN(tblBaseCF[[#This Row],[Withdrawal]],tblBaseCF[[#This Row],[StartEAV]])</f>
        <v>0</v>
      </c>
      <c r="AE106" s="60">
        <f ca="1">tblBaseCF[[#This Row],[Withdrawal]]-tblBaseCF[[#This Row],[EAVWithdrawal]]</f>
        <v>0</v>
      </c>
      <c r="AF106" s="60">
        <f ca="1">IF(tblBaseCF[[#This Row],[4thCheckSI]],tblBaseCF[[#This Row],[endSITest]],tblBaseCF[[#This Row],[StartSI]])</f>
        <v>0</v>
      </c>
      <c r="AG10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6" s="65">
        <f ca="1">IFERROR(INDEX(tblTPAllocChrgRate[Rate],MATCH(tblBaseCF[[#This Row],[Year]],tblTPAllocChrgRate[Year],0)),0)</f>
        <v>0.02</v>
      </c>
      <c r="AI106" s="62">
        <f ca="1">(tp+big_case_bonus_tp*(tblBaseCF[[#This Row],[Year]]=1))
*tblBaseCF[[#This Row],[TPTermFlag]]</f>
        <v>0</v>
      </c>
      <c r="AJ106" s="63">
        <f ca="1">tblBaseCF[[#This Row],[TP]]*tblBaseCF[[#This Row],[TPAllocChrgRate]]</f>
        <v>0</v>
      </c>
      <c r="AK106" s="60">
        <f ca="1">tblBaseCF[[#This Row],[TP]]-tblBaseCF[[#This Row],[TPAllocChrg]]</f>
        <v>0</v>
      </c>
      <c r="AL106" s="65">
        <f ca="1">IFERROR(INDEX(tblEPAllocChrgRate[Rate],MATCH(tblBaseCF[[#This Row],[Year]],tblEPAllocChrgRate[Year],0)),0)</f>
        <v>0.02</v>
      </c>
      <c r="AM106" s="60">
        <f ca="1">ep*tblBaseCF[[#This Row],[EPTermFlag]]</f>
        <v>0</v>
      </c>
      <c r="AN106" s="60">
        <f ca="1">tblBaseCF[[#This Row],[EP]]*tblBaseCF[[#This Row],[EPAllocChrgRate]]</f>
        <v>0</v>
      </c>
      <c r="AO106" s="63">
        <f ca="1">tblBaseCF[[#This Row],[EP]]-tblBaseCF[[#This Row],[EPAllocChrg]]</f>
        <v>0</v>
      </c>
      <c r="AP106" s="62">
        <f ca="1">tblBaseCF[[#This Row],[Ben]]*extra_prem_rate*em_load/1000/(1-tblBaseCF[[#This Row],[EPAllocChrgRate]])
*tblBaseCF[[#This Row],[EMLoadTermFlag]]</f>
        <v>0</v>
      </c>
      <c r="AQ106" s="62">
        <f ca="1">tblBaseCF[[#This Row],[Ben]]*pm_load/1000/(1-tblBaseCF[[#This Row],[EPAllocChrgRate]])
*tblBaseCF[[#This Row],[PMLoadTermFlag]]</f>
        <v>0</v>
      </c>
      <c r="AR106" s="60">
        <f ca="1">ROUNDUP(tblBaseCF[[#This Row],[UnroundedEMLoad]],-3)</f>
        <v>0</v>
      </c>
      <c r="AS106" s="62">
        <f ca="1">ROUNDUP(tblBaseCF[[#This Row],[Ben]]*pm_load/1000/(1-tblBaseCF[[#This Row],[EPAllocChrgRate]]),-3)
*tblBaseCF[[#This Row],[PMLoadTermFlag]]</f>
        <v>0</v>
      </c>
      <c r="AT106" s="60">
        <f ca="1">tblBaseCF[[#This Row],[EMLoad]]+tblBaseCF[[#This Row],[PMLoad]]</f>
        <v>0</v>
      </c>
      <c r="AU106" s="60">
        <f ca="1">tblBaseCF[[#This Row],[Load]]*tblBaseCF[[#This Row],[EPAllocChrgRate]]</f>
        <v>0</v>
      </c>
      <c r="AV106" s="60">
        <f ca="1">tblBaseCF[[#This Row],[Load]]-tblBaseCF[[#This Row],[LoadAllocChrg]]</f>
        <v>0</v>
      </c>
      <c r="AW106" s="60">
        <f ca="1">tblBaseCF[[#This Row],[TP]]+tblBaseCF[[#This Row],[EP]]+tblBaseCF[[#This Row],[Load]]</f>
        <v>0</v>
      </c>
      <c r="AX106" s="60">
        <f ca="1">tblBaseCF[[#This Row],[TPAllocChrg]]+tblBaseCF[[#This Row],[EPAllocChrg]]+tblBaseCF[[#This Row],[LoadAllocChrg]]</f>
        <v>0</v>
      </c>
      <c r="AY106" s="60">
        <f ca="1">tblBaseCF[[#This Row],[TPAlloc]]+tblBaseCF[[#This Row],[EPAlloc]]+tblBaseCF[[#This Row],[LoadAlloc]]</f>
        <v>0</v>
      </c>
      <c r="AZ106" s="60">
        <f ca="1">(OFFSET(tblBaseCF[[#This Row],[AccumTotalPrem]],-1,0)+tblBaseCF[[#This Row],[TotalPrem]])*tblBaseCF[[#This Row],[TPTermFlag]]</f>
        <v>0</v>
      </c>
      <c r="BA106" s="62">
        <f ca="1">(tblBaseCF[[#This Row],[StartTAV]]-tblBaseCF[[#This Row],[TAVWithdrawal]]+tblBaseCF[[#This Row],[TPAlloc]])
*tblBaseCF[[#This Row],[ContFlag]]</f>
        <v>0</v>
      </c>
      <c r="BB106" s="59">
        <f ca="1">(tblBaseCF[[#This Row],[StartEAV]]-tblBaseCF[[#This Row],[EAVWithdrawal]]+tblBaseCF[[#This Row],[EPAlloc]]+tblBaseCF[[#This Row],[LoadAlloc]])
*tblBaseCF[[#This Row],[ContFlag]]</f>
        <v>0</v>
      </c>
      <c r="BC106" s="59">
        <f ca="1">tblBaseCF[[#This Row],[TAVAfterWdrlAlloc]]+tblBaseCF[[#This Row],[EAVAfterWdrlAlloc]]</f>
        <v>0</v>
      </c>
      <c r="BD106" s="66">
        <f t="shared" si="10"/>
        <v>0</v>
      </c>
      <c r="BE106" s="67">
        <f>(1+tblBaseCF[[#This Row],[AnnualIntRate]])^(1/12)-1</f>
        <v>0</v>
      </c>
      <c r="BF106" s="68">
        <f>IFERROR(((1+tblBaseCF[[#This Row],[MonthlyIntRate]])^12-1)/12/(1-1/(1+tblBaseCF[[#This Row],[MonthlyIntRate]])),1)/(1+tblBaseCF[[#This Row],[AnnualIntRate]])</f>
        <v>1</v>
      </c>
      <c r="BG106" s="69">
        <f>PV(tblBaseCF[[#This Row],[MonthlyIntRate]],12,-1/12,,1)</f>
        <v>1</v>
      </c>
      <c r="BH106" s="60">
        <f ca="1">MAX(IF(death_tpd_option="A",tblBaseCF[[#This Row],[Ben]]-tblBaseCF[[#This Row],[StartPAV]],tblBaseCF[[#This Row],[Ben]]),0)</f>
        <v>0</v>
      </c>
      <c r="BI106" s="70">
        <f ca="1">IFERROR(INDEX(tblBaseCOIRate[Rate],MATCH(tblBaseCF[[#This Row],[Age]],tblBaseCOIRate[Age],0)),0)</f>
        <v>0.12229</v>
      </c>
      <c r="BJ106" s="60">
        <f ca="1">tblBaseCF[[#This Row],[SAR]]*tblBaseCF[[#This Row],[COIRate]]</f>
        <v>0</v>
      </c>
      <c r="BK106" s="62">
        <f ca="1">em_load*tblBaseCF[[#This Row],[pStandardCOI]]
*tblBaseCF[[#This Row],[EMLoadTermFlag]]</f>
        <v>0</v>
      </c>
      <c r="BL106" s="62">
        <f ca="1">pm_load/1000*tblBaseCF[[#This Row],[SAR]]
*tblBaseCF[[#This Row],[PMLoadTermFlag]]</f>
        <v>0</v>
      </c>
      <c r="BM106" s="60">
        <f ca="1">tblBaseCF[[#This Row],[AccBen]]*monthly_acc_coi*12</f>
        <v>0</v>
      </c>
      <c r="BN106" s="60">
        <f ca="1">tblBaseCF[[#This Row],[pStandardCOI]]+tblBaseCF[[#This Row],[pEMLoadCOI]]+tblBaseCF[[#This Row],[pPMLoadCOI]]+tblBaseCF[[#This Row],[pAccCOI]]</f>
        <v>0</v>
      </c>
      <c r="BO106" s="62">
        <f ca="1">IFERROR(INDEX(tblAdminChrg[Amount],MATCH(tblBaseCF[[#This Row],[CalYear]],tblAdminChrg[Cal_Year],0)),0)
*tblBaseCF[[#This Row],[ContFlag]]</f>
        <v>0</v>
      </c>
      <c r="BP106" s="60">
        <f ca="1">tblBaseCF[[#This Row],[pMonthlyAdminChrg]]*12</f>
        <v>0</v>
      </c>
      <c r="BQ106" s="60">
        <f ca="1">tblBaseCF[[#This Row],[pCOI]]+tblBaseCF[[#This Row],[pAdminChrg]]</f>
        <v>0</v>
      </c>
      <c r="BR106" s="60">
        <f ca="1">tblBaseCF[[#This Row],[pNomDeduct]]*tblBaseCF[[#This Row],[Duean1m12]]</f>
        <v>0</v>
      </c>
      <c r="BS106" s="57">
        <f ca="1">(tblBaseCF[[#This Row],[PAVAfterWdrlAlloc]]&gt;=tblBaseCF[[#This Row],[pNomDeduct]])
*tblBaseCF[[#This Row],[ContFlag]]</f>
        <v>0</v>
      </c>
      <c r="BT106" s="60">
        <f ca="1">tblBaseCF[[#This Row],[pStandardCOI]]*tblBaseCF[[#This Row],[DeductFlag]]</f>
        <v>0</v>
      </c>
      <c r="BU106" s="60">
        <f ca="1">tblBaseCF[[#This Row],[pEMLoadCOI]]*tblBaseCF[[#This Row],[DeductFlag]]</f>
        <v>0</v>
      </c>
      <c r="BV106" s="60">
        <f ca="1">tblBaseCF[[#This Row],[pPMLoadCOI]]*tblBaseCF[[#This Row],[DeductFlag]]</f>
        <v>0</v>
      </c>
      <c r="BW106" s="60">
        <f ca="1">tblBaseCF[[#This Row],[pAccCOI]]*tblBaseCF[[#This Row],[DeductFlag]]</f>
        <v>0</v>
      </c>
      <c r="BX106" s="60">
        <f ca="1">tblBaseCF[[#This Row],[pCOI]]*tblBaseCF[[#This Row],[DeductFlag]]</f>
        <v>0</v>
      </c>
      <c r="BY106" s="60">
        <f ca="1">tblBaseCF[[#This Row],[pMonthlyAdminChrg]]*tblBaseCF[[#This Row],[DeductFlag]]</f>
        <v>0</v>
      </c>
      <c r="BZ106" s="60">
        <f ca="1">tblBaseCF[[#This Row],[pAdminChrg]]*tblBaseCF[[#This Row],[DeductFlag]]</f>
        <v>0</v>
      </c>
      <c r="CA106" s="60">
        <f ca="1">tblBaseCF[[#This Row],[pNomDeduct]]*tblBaseCF[[#This Row],[DeductFlag]]</f>
        <v>0</v>
      </c>
      <c r="CB106" s="60">
        <f ca="1">tblBaseCF[[#This Row],[pDeduct]]*tblBaseCF[[#This Row],[DeductFlag]]</f>
        <v>0</v>
      </c>
      <c r="CC106" s="60">
        <f ca="1">MIN(tblBaseCF[[#This Row],[TAVAfterWdrlAlloc]],tblBaseCF[[#This Row],[Deduct]])</f>
        <v>0</v>
      </c>
      <c r="CD106" s="60">
        <f ca="1">tblBaseCF[[#This Row],[Deduct]]-tblBaseCF[[#This Row],[TAVDeduct]]</f>
        <v>0</v>
      </c>
      <c r="CE106" s="69">
        <f ca="1">(tblBaseCF[[#This Row],[TAVAfterWdrlAlloc]]-tblBaseCF[[#This Row],[TAVDeduct]])*tblBaseCF[[#This Row],[AnnualIntRate]]
*tblBaseCF[[#This Row],[DeductFlag]]</f>
        <v>0</v>
      </c>
      <c r="CF106" s="69">
        <f ca="1">(tblBaseCF[[#This Row],[EAVAfterWdrlAlloc]]-tblBaseCF[[#This Row],[EAVDeduct]])*tblBaseCF[[#This Row],[AnnualIntRate]]
*tblBaseCF[[#This Row],[DeductFlag]]</f>
        <v>0</v>
      </c>
      <c r="CG106" s="69">
        <f ca="1">tblBaseCF[[#This Row],[TAVInt]]+tblBaseCF[[#This Row],[EAVInt]]</f>
        <v>0</v>
      </c>
      <c r="CH106" s="62">
        <f ca="1">IFERROR(INDEX(tblLBRate[Rate],MATCH(tblBaseCF[[#This Row],[Year]],tblLBRate[Year],0)),0)
*tblBaseCF[[#This Row],[DeductFlag]]</f>
        <v>0</v>
      </c>
      <c r="CI106" s="60">
        <f ca="1">IFERROR(SUM(OFFSET(tblBaseCF[[#This Row],[TAVWithdrawal]],0,0,-lb_review_period,1)),0)
*(tblBaseCF[[#This Row],[LBRate]]&gt;0)</f>
        <v>0</v>
      </c>
      <c r="CJ106" s="60">
        <f ca="1">(tblBaseCF[[#This Row],[LBRate]]&gt;0)*(tblBaseCF[[#This Row],[LBTAVWithdrawal]]=0)</f>
        <v>0</v>
      </c>
      <c r="CK106" s="62" cm="1">
        <f t="array" aca="1" ref="CK106" ca="1">IF(tblBaseCF[[#This Row],[LBFlag]],
_xlfn.SWITCH(base,
"ILP1",AVERAGE(OFFSET(tblBaseCF[TP],0,0,-lb_review_period,1)),tp),0)
*tblBaseCF[[#This Row],[LBFlag]]</f>
        <v>0</v>
      </c>
      <c r="CL106" s="62">
        <f ca="1">tblBaseCF[[#This Row],[LBBasis]]*tblBaseCF[[#This Row],[LBRate]]</f>
        <v>0</v>
      </c>
      <c r="CM106" s="57" cm="1">
        <f t="array" aca="1" ref="CM106" ca="1">_xlfn.SWITCH(base,
"ILP1",0,($AF206&lt;500000000)*1
+($AF206&gt;=500000000)*($AF206&lt;1000000000)*2
+($AF206&gt;=1000000000)*3)
*tblBaseCF[[#This Row],[DeductFlag]]</f>
        <v>0</v>
      </c>
      <c r="CN106" s="2" t="str">
        <f ca="1">IF(tblBaseCF[[#This Row],[DeductFlag]],base&amp;"_"&amp;tblBaseCF[[#This Row],[SBCode]]&amp;"_"&amp;tblBaseCF[[#This Row],[Year]],"")</f>
        <v/>
      </c>
      <c r="CO106" s="3">
        <f ca="1">IFERROR(INDEX(tblSBRate[Index],MATCH(tblBaseCF[[#This Row],[SBIndex]],tblSBRate[Rate],0)),0)</f>
        <v>0</v>
      </c>
      <c r="CP106" s="63">
        <f ca="1">IFERROR(SUM(OFFSET(tblBaseCF[[#This Row],[TAVWithdrawal]],0,0,-sb_review_period,1)),0)
*(tblBaseCF[[#This Row],[SBRate]]&gt;0)</f>
        <v>0</v>
      </c>
      <c r="CQ106" s="63">
        <f ca="1">(tblBaseCF[[#This Row],[SBRate]]&gt;0)*(tblBaseCF[[#This Row],[SBTAVWithdrawal]]=0)</f>
        <v>0</v>
      </c>
      <c r="CR106" s="59" cm="1">
        <f t="array" aca="1" ref="CR106" ca="1">IF(tblBaseCF[[#This Row],[LBFlag]],
_xlfn.SWITCH(base,
"ILP1",0,tp),0)*tblBaseCF[[#This Row],[SBFlag]]</f>
        <v>0</v>
      </c>
      <c r="CS106" s="63">
        <f ca="1">tblBaseCF[[#This Row],[SBBasis]]*tblBaseCF[[#This Row],[SBRate]]</f>
        <v>0</v>
      </c>
      <c r="CT106" s="63">
        <f ca="1">tblBaseCF[[#This Row],[LB]]+tblBaseCF[[#This Row],[SB]]</f>
        <v>0</v>
      </c>
      <c r="CU106" s="59">
        <f ca="1">tblBaseCF[[#This Row],[TAVAfterWdrlAlloc]]-tblBaseCF[[#This Row],[TAVDeduct]]+tblBaseCF[[#This Row],[TAVInt]]+tblBaseCF[[#This Row],[Bonus]]</f>
        <v>0</v>
      </c>
      <c r="CV106" s="59">
        <f ca="1">tblBaseCF[[#This Row],[EAVAfterWdrlAlloc]]-tblBaseCF[[#This Row],[EAVDeduct]]+tblBaseCF[[#This Row],[EAVInt]]</f>
        <v>0</v>
      </c>
      <c r="CW106" s="63">
        <f ca="1">tblBaseCF[[#This Row],[EndTAV]]+tblBaseCF[[#This Row],[EndEAV]]</f>
        <v>0</v>
      </c>
      <c r="CX106" s="59">
        <f ca="1">INDEX(tblPlanPrem[TP],2)
*tblBaseCF[[#This Row],[TPTermFlag]]</f>
        <v>0</v>
      </c>
      <c r="CY106" s="59">
        <f ca="1">INDEX(tblPlanPrem[EP],2)
*tblBaseCF[[#This Row],[TPTermFlag]]</f>
        <v>0</v>
      </c>
      <c r="CZ106" s="63">
        <f ca="1">ROUNDUP(tblBaseCF[[#This Row],[UnroundedEMLoad]]*INDEX(tblPlanPrem[Factor],2),-3)</f>
        <v>0</v>
      </c>
      <c r="DA106" s="63">
        <f ca="1">ROUNDUP(tblBaseCF[[#This Row],[UnroundedPMLoad]]*INDEX(tblPlanPrem[Factor],2),-3)</f>
        <v>0</v>
      </c>
      <c r="DB106" s="63">
        <f ca="1">tblBaseCF[[#This Row],[SemiAnnualEMLoad]]+tblBaseCF[[#This Row],[SemiAnnualPMLoad]]</f>
        <v>0</v>
      </c>
      <c r="DC106" s="63">
        <f ca="1">tblBaseCF[[#This Row],[SemiAnnualTP]]+tblBaseCF[[#This Row],[SemiAnnualEP]]+tblBaseCF[[#This Row],[SemiAnnualLoad]]</f>
        <v>0</v>
      </c>
      <c r="DD106" s="59">
        <f ca="1">INDEX(tblPlanPrem[TP],3)
*tblBaseCF[[#This Row],[TPTermFlag]]</f>
        <v>0</v>
      </c>
      <c r="DE106" s="59">
        <f ca="1">INDEX(tblPlanPrem[EP],3)
*tblBaseCF[[#This Row],[TPTermFlag]]</f>
        <v>0</v>
      </c>
      <c r="DF106" s="63">
        <f ca="1">ROUNDUP(tblBaseCF[[#This Row],[UnroundedEMLoad]]*INDEX(tblPlanPrem[Factor],3),-3)</f>
        <v>0</v>
      </c>
      <c r="DG106" s="63">
        <f ca="1">ROUNDUP(tblBaseCF[[#This Row],[UnroundedPMLoad]]*INDEX(tblPlanPrem[Factor],3),-3)</f>
        <v>0</v>
      </c>
      <c r="DH106" s="60">
        <f ca="1">tblBaseCF[[#This Row],[QuarterlyEMLoad]]+tblBaseCF[[#This Row],[QuarterlyPMLoad]]</f>
        <v>0</v>
      </c>
      <c r="DI106" s="60">
        <f ca="1">tblBaseCF[[#This Row],[QuarterlyTP]]+tblBaseCF[[#This Row],[QuarterlyEP]]+tblBaseCF[[#This Row],[QuarterlyLoad]]</f>
        <v>0</v>
      </c>
      <c r="DJ106" s="59">
        <f ca="1">INDEX(tblPlanPrem[TP],4)
*tblBaseCF[[#This Row],[TPTermFlag]]</f>
        <v>0</v>
      </c>
      <c r="DK106" s="59">
        <f ca="1">INDEX(tblPlanPrem[EP],4)
*tblBaseCF[[#This Row],[TPTermFlag]]</f>
        <v>0</v>
      </c>
      <c r="DL106" s="63">
        <f ca="1">ROUNDUP(tblBaseCF[[#This Row],[UnroundedEMLoad]]*INDEX(tblPlanPrem[Factor],4),-3)</f>
        <v>0</v>
      </c>
      <c r="DM106" s="63">
        <f ca="1">ROUNDUP(tblBaseCF[[#This Row],[UnroundedPMLoad]]*INDEX(tblPlanPrem[Factor],4),-3)</f>
        <v>0</v>
      </c>
      <c r="DN106" s="60">
        <f ca="1">tblBaseCF[[#This Row],[MonthlyEMLoad]]+tblBaseCF[[#This Row],[MonthlyPMLoad]]</f>
        <v>0</v>
      </c>
      <c r="DO106" s="63">
        <f ca="1">tblBaseCF[[#This Row],[MonthlyTP]]+tblBaseCF[[#This Row],[MonthlyEP]]+tblBaseCF[[#This Row],[MonthlyLoad]]</f>
        <v>0</v>
      </c>
      <c r="DP106" s="3"/>
      <c r="DS106">
        <f t="shared" si="11"/>
        <v>0</v>
      </c>
      <c r="DT106">
        <f t="shared" si="12"/>
        <v>0</v>
      </c>
      <c r="DU106">
        <f t="shared" si="13"/>
        <v>0</v>
      </c>
      <c r="DV106">
        <f ca="1">tblBaseCF[[#This Row],[Year]]</f>
        <v>86</v>
      </c>
      <c r="DW106">
        <f ca="1">tblBaseCF[[#This Row],[Age]]</f>
        <v>85</v>
      </c>
      <c r="DX106">
        <f ca="1">tblBaseCF[[#This Row],[ContFlag]]</f>
        <v>0</v>
      </c>
      <c r="DY106" t="str">
        <f ca="1">tblBaseCF[[#This Row],[ContLog]]</f>
        <v>Insufficient PAV for deduction - Discontinue.</v>
      </c>
      <c r="DZ106">
        <f ca="1">tblBaseCF[[#This Row],[StartTAV]]</f>
        <v>0</v>
      </c>
      <c r="EA106">
        <f ca="1">tblBaseCF[[#This Row],[StartEAV]]</f>
        <v>0</v>
      </c>
      <c r="EB106">
        <f ca="1">tblBaseCF[[#This Row],[StartPAV]]</f>
        <v>0</v>
      </c>
      <c r="EC106">
        <f ca="1">tblBaseCF[[#This Row],[SVChrg]]</f>
        <v>0</v>
      </c>
      <c r="ED106">
        <f ca="1">tblBaseCF[[#This Row],[SV]]</f>
        <v>0</v>
      </c>
      <c r="EE106">
        <f ca="1">tblBaseCF[[#This Row],[Ben]]</f>
        <v>0</v>
      </c>
      <c r="EF106">
        <f ca="1">tblBaseCF[[#This Row],[AccBen]]</f>
        <v>0</v>
      </c>
      <c r="EG106">
        <f ca="1">tblBaseCF[[#This Row],[WithdrawalInput]]</f>
        <v>0</v>
      </c>
      <c r="EH106" t="str">
        <f ca="1">tblBaseCF[[#This Row],[WithdrawalLog]]</f>
        <v>No withdrawal.</v>
      </c>
      <c r="EI106">
        <f ca="1">tblBaseCF[[#This Row],[TAVWithdrawal]]</f>
        <v>0</v>
      </c>
      <c r="EJ106">
        <f ca="1">tblBaseCF[[#This Row],[EAVWithdrawal]]</f>
        <v>0</v>
      </c>
      <c r="EK106">
        <f ca="1">tblBaseCF[[#This Row],[Withdrawal]]</f>
        <v>0</v>
      </c>
      <c r="EL106">
        <f ca="1">tblBaseCF[[#This Row],[TP]]</f>
        <v>0</v>
      </c>
      <c r="EM106">
        <f ca="1">tblBaseCF[[#This Row],[TPAllocChrg]]</f>
        <v>0</v>
      </c>
      <c r="EN106">
        <f ca="1">tblBaseCF[[#This Row],[TPAlloc]]</f>
        <v>0</v>
      </c>
      <c r="EO106">
        <f ca="1">tblBaseCF[[#This Row],[EP]]</f>
        <v>0</v>
      </c>
      <c r="EP106">
        <f ca="1">tblBaseCF[[#This Row],[EPAllocChrg]]</f>
        <v>0</v>
      </c>
      <c r="EQ106">
        <f ca="1">tblBaseCF[[#This Row],[EPAlloc]]</f>
        <v>0</v>
      </c>
      <c r="ER106">
        <f ca="1">tblBaseCF[[#This Row],[EMLoad]]</f>
        <v>0</v>
      </c>
      <c r="ES106">
        <f ca="1">tblBaseCF[[#This Row],[PMLoad]]</f>
        <v>0</v>
      </c>
      <c r="ET106">
        <f ca="1">tblBaseCF[[#This Row],[Load]]</f>
        <v>0</v>
      </c>
      <c r="EU106">
        <f ca="1">tblBaseCF[[#This Row],[LoadAllocChrg]]</f>
        <v>0</v>
      </c>
      <c r="EV106">
        <f ca="1">tblBaseCF[[#This Row],[LoadAlloc]]</f>
        <v>0</v>
      </c>
      <c r="EW106">
        <f ca="1">tblBaseCF[[#This Row],[TotalPrem]]</f>
        <v>0</v>
      </c>
      <c r="EX106">
        <f ca="1">tblBaseCF[[#This Row],[AllocChrg]]</f>
        <v>0</v>
      </c>
      <c r="EY106">
        <f ca="1">tblBaseCF[[#This Row],[Alloc]]</f>
        <v>0</v>
      </c>
      <c r="EZ106">
        <f ca="1">tblBaseCF[[#This Row],[AccumTotalPrem]]</f>
        <v>0</v>
      </c>
      <c r="FA106">
        <f>tblBaseCF[[#This Row],[AnnualIntRate]]</f>
        <v>0</v>
      </c>
      <c r="FB106" s="50">
        <f>tblBaseCF[[#This Row],[Duean1m12]]</f>
        <v>1</v>
      </c>
      <c r="FC106">
        <f ca="1">tblBaseCF[[#This Row],[DeductFlag]]</f>
        <v>0</v>
      </c>
      <c r="FD106">
        <f ca="1">tblBaseCF[[#This Row],[AdminChrg]]</f>
        <v>0</v>
      </c>
      <c r="FE106">
        <f ca="1">tblBaseCF[[#This Row],[StandardCOI]]</f>
        <v>0</v>
      </c>
      <c r="FF106">
        <f ca="1">tblBaseCF[[#This Row],[EMLoadCOI]]</f>
        <v>0</v>
      </c>
      <c r="FG106">
        <f ca="1">tblBaseCF[[#This Row],[PMLoadCOI]]</f>
        <v>0</v>
      </c>
      <c r="FH106">
        <f ca="1">tblBaseCF[[#This Row],[COI]]</f>
        <v>0</v>
      </c>
      <c r="FI106" s="47">
        <f ca="1">tblBaseCF[[#This Row],[NomDeduct]]</f>
        <v>0</v>
      </c>
      <c r="FJ106">
        <f ca="1">tblBaseCF[[#This Row],[Deduct]]</f>
        <v>0</v>
      </c>
      <c r="FK106">
        <f ca="1">tblBaseCF[[#This Row],[TAVDeduct]]</f>
        <v>0</v>
      </c>
      <c r="FL106">
        <f ca="1">tblBaseCF[[#This Row],[EAVDeduct]]</f>
        <v>0</v>
      </c>
      <c r="FM106" s="24">
        <f ca="1">tblBaseCF[[#This Row],[TAVInt]]</f>
        <v>0</v>
      </c>
      <c r="FN106">
        <f ca="1">tblBaseCF[[#This Row],[EAVInt]]</f>
        <v>0</v>
      </c>
      <c r="FO106" s="47">
        <f ca="1">tblBaseCF[[#This Row],[LB]]</f>
        <v>0</v>
      </c>
      <c r="FP106">
        <f ca="1">tblBaseCF[[#This Row],[SB]]</f>
        <v>0</v>
      </c>
      <c r="FQ106">
        <f ca="1">tblBaseCF[[#This Row],[Bonus]]</f>
        <v>0</v>
      </c>
      <c r="FR106">
        <f ca="1">tblBaseCF[[#This Row],[EndTAV]]</f>
        <v>0</v>
      </c>
      <c r="FS106">
        <f ca="1">tblBaseCF[[#This Row],[EndEAV]]</f>
        <v>0</v>
      </c>
      <c r="FT106">
        <f ca="1">tblBaseCF[[#This Row],[EndPAV]]</f>
        <v>0</v>
      </c>
      <c r="FU106">
        <f ca="1">tblBaseCF[[#This Row],[SemiAnnualTP]]</f>
        <v>0</v>
      </c>
      <c r="FV106">
        <f ca="1">tblBaseCF[[#This Row],[SemiAnnualEP]]</f>
        <v>0</v>
      </c>
      <c r="FW106">
        <f ca="1">tblBaseCF[[#This Row],[SemiAnnualEMLoad]]</f>
        <v>0</v>
      </c>
      <c r="FX106">
        <f ca="1">tblBaseCF[[#This Row],[SemiAnnualPMLoad]]</f>
        <v>0</v>
      </c>
      <c r="FY106">
        <f ca="1">tblBaseCF[[#This Row],[SemiAnnualLoad]]</f>
        <v>0</v>
      </c>
      <c r="FZ106">
        <f ca="1">tblBaseCF[[#This Row],[SemiAnnualTotalPrem]]</f>
        <v>0</v>
      </c>
      <c r="GA106">
        <f ca="1">tblBaseCF[[#This Row],[QuarterlyTP]]</f>
        <v>0</v>
      </c>
      <c r="GB106">
        <f ca="1">tblBaseCF[[#This Row],[QuarterlyEP]]</f>
        <v>0</v>
      </c>
      <c r="GC106">
        <f ca="1">tblBaseCF[[#This Row],[QuarterlyEMLoad]]</f>
        <v>0</v>
      </c>
      <c r="GD106">
        <f ca="1">tblBaseCF[[#This Row],[QuarterlyPMLoad]]</f>
        <v>0</v>
      </c>
      <c r="GE106">
        <f ca="1">tblBaseCF[[#This Row],[QuarterlyLoad]]</f>
        <v>0</v>
      </c>
      <c r="GF106">
        <f ca="1">tblBaseCF[[#This Row],[QuarterlyTotalPrem]]</f>
        <v>0</v>
      </c>
      <c r="GG106">
        <f ca="1">tblBaseCF[[#This Row],[MonthlyTP]]</f>
        <v>0</v>
      </c>
      <c r="GH106">
        <f ca="1">tblBaseCF[[#This Row],[MonthlyEP]]</f>
        <v>0</v>
      </c>
      <c r="GI106">
        <f ca="1">tblBaseCF[[#This Row],[MonthlyEMLoad]]</f>
        <v>0</v>
      </c>
      <c r="GJ106">
        <f ca="1">tblBaseCF[[#This Row],[MonthlyPMLoad]]</f>
        <v>0</v>
      </c>
      <c r="GK106">
        <f ca="1">tblBaseCF[[#This Row],[MonthlyLoad]]</f>
        <v>0</v>
      </c>
      <c r="GL106">
        <f ca="1">tblBaseCF[[#This Row],[MonthlyTotalPrem]]</f>
        <v>0</v>
      </c>
      <c r="GO106" t="s">
        <v>134</v>
      </c>
      <c r="GP106" t="s">
        <v>135</v>
      </c>
      <c r="GQ106" t="s">
        <v>502</v>
      </c>
      <c r="GR106">
        <v>86</v>
      </c>
      <c r="GS106">
        <v>85</v>
      </c>
      <c r="GT106">
        <v>1</v>
      </c>
      <c r="GU106" t="s">
        <v>457</v>
      </c>
      <c r="GV106">
        <v>1486004040.7418699</v>
      </c>
      <c r="GW106">
        <v>13054543812.5278</v>
      </c>
      <c r="GX106">
        <v>14540547853.269699</v>
      </c>
      <c r="GY106">
        <v>0</v>
      </c>
      <c r="GZ106">
        <v>14540547853.269699</v>
      </c>
      <c r="HA106">
        <v>14540547853.269699</v>
      </c>
      <c r="HB106">
        <v>0</v>
      </c>
      <c r="HC106">
        <v>0</v>
      </c>
      <c r="HD106" t="s">
        <v>137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7.0000000000000007E-2</v>
      </c>
      <c r="HX106">
        <v>0.96964931039809399</v>
      </c>
      <c r="HY106">
        <v>1</v>
      </c>
      <c r="HZ106">
        <v>300000</v>
      </c>
      <c r="IA106">
        <v>0</v>
      </c>
      <c r="IB106">
        <v>0</v>
      </c>
      <c r="IC106">
        <v>0</v>
      </c>
      <c r="ID106">
        <v>0</v>
      </c>
      <c r="IE106">
        <v>300000</v>
      </c>
      <c r="IF106">
        <v>290894.79311942798</v>
      </c>
      <c r="IG106">
        <v>290894.79311942798</v>
      </c>
      <c r="IH106">
        <v>0</v>
      </c>
      <c r="II106">
        <v>103999920.21641199</v>
      </c>
      <c r="IJ106">
        <v>913818066.876948</v>
      </c>
      <c r="IK106">
        <v>0</v>
      </c>
      <c r="IL106">
        <v>0</v>
      </c>
      <c r="IM106">
        <v>0</v>
      </c>
      <c r="IN106">
        <v>1589713066.1651599</v>
      </c>
      <c r="IO106">
        <v>13968361879.4048</v>
      </c>
      <c r="IP106">
        <v>15558074945.569901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</row>
    <row r="107" spans="2:268" customFormat="1" x14ac:dyDescent="0.25">
      <c r="B107" s="2">
        <f ca="1">OFFSET(tblBaseCF[[#This Row],[Year]],-1,0)+1</f>
        <v>87</v>
      </c>
      <c r="C107" s="2">
        <f ca="1">(tblBaseCF[[#This Row],[Year]]&lt;=term)*1</f>
        <v>1</v>
      </c>
      <c r="D107" s="57">
        <f ca="1">(YEAR(rcd)+tblBaseCF[[#This Row],[Year]]-1)
*tblBaseCF[[#This Row],[PolTermFlag]]</f>
        <v>2111</v>
      </c>
      <c r="E107" s="57">
        <f ca="1">(mainLI_entry_age+tblBaseCF[[#This Row],[Year]]-1)
*tblBaseCF[[#This Row],[PolTermFlag]]</f>
        <v>86</v>
      </c>
      <c r="F107" s="57">
        <f ca="1">IF(tblBaseCF[[#This Row],[Year]]=1,1,OFFSET(tblBaseCF[[#This Row],[DeductFlag]],-1,0))
*tblBaseCF[[#This Row],[PolTermFlag]]</f>
        <v>0</v>
      </c>
      <c r="G10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7" s="57">
        <f ca="1">(tblBaseCF[[#This Row],[Year]]&lt;=acc_ben_term)
*tblBaseCF[[#This Row],[ContFlag]]</f>
        <v>0</v>
      </c>
      <c r="I107" s="57">
        <f ca="1">(tblBaseCF[[#This Row],[Year]]&lt;=tp_term)
*tblBaseCF[[#This Row],[ContFlag]]</f>
        <v>0</v>
      </c>
      <c r="J107" s="57">
        <f ca="1">(tblBaseCF[[#This Row],[Year]]&lt;=ep_term)
*tblBaseCF[[#This Row],[ContFlag]]</f>
        <v>0</v>
      </c>
      <c r="K107" s="57">
        <f ca="1">(tblBaseCF[[#This Row],[Year]]&lt;=em_load_term)*1</f>
        <v>0</v>
      </c>
      <c r="L107" s="57">
        <f ca="1">(tblBaseCF[[#This Row],[Year]]&lt;=pm_load_term)*1</f>
        <v>0</v>
      </c>
      <c r="M107" s="59">
        <f ca="1">IF(tblBaseCF[[#This Row],[Year]]=1,si,OFFSET(tblBaseCF[[#This Row],[EndSI]],-1,0))
*tblBaseCF[[#This Row],[ContFlag]]</f>
        <v>0</v>
      </c>
      <c r="N107" s="59">
        <f ca="1">OFFSET(tblBaseCF[[#This Row],[EndTAV]],-1,0)
*tblBaseCF[[#This Row],[ContFlag]]</f>
        <v>0</v>
      </c>
      <c r="O107" s="59">
        <f ca="1">OFFSET(tblBaseCF[[#This Row],[EndEAV]],-1,0)
*tblBaseCF[[#This Row],[ContFlag]]</f>
        <v>0</v>
      </c>
      <c r="P107" s="60">
        <f ca="1">tblBaseCF[[#This Row],[StartEAV]]+tblBaseCF[[#This Row],[StartTAV]]</f>
        <v>0</v>
      </c>
      <c r="Q107" s="61">
        <f ca="1">IFERROR(INDEX(tblJuvenileLienRate[Rate],MATCH(tblBaseCF[[#This Row],[Age]],tblJuvenileLienRate[Age],0)),1)
*tblBaseCF[[#This Row],[ContFlag]]</f>
        <v>0</v>
      </c>
      <c r="R10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7" s="62">
        <f ca="1">tblBaseCF[[#This Row],[StartSI]]*acc_ben_coeff*tblBaseCF[[#This Row],[JuvenileLienRate]]
*tblBaseCF[[#This Row],[AccBenTermFlag]]</f>
        <v>0</v>
      </c>
      <c r="T107" s="61">
        <f ca="1">(IFERROR(INDEX(tblSurrChrgRate[Rate],MATCH(tblBaseCF[[#This Row],[Year]],tblSurrChrgRate[Year],0)),0)
*tblBaseCF[[#This Row],[ContFlag]])</f>
        <v>0</v>
      </c>
      <c r="U107" s="60">
        <f ca="1">tp*tblBaseCF[[#This Row],[SrrChrgRate]]</f>
        <v>0</v>
      </c>
      <c r="V107" s="63">
        <f ca="1">MAX(tblBaseCF[[#This Row],[StartTAV]]-tblBaseCF[[#This Row],[SVChrg]],0)+tblBaseCF[[#This Row],[StartEAV]]</f>
        <v>0</v>
      </c>
      <c r="W107" s="59">
        <f ca="1">IFERROR(INDEX(tblWithdrawal_Output[Amount],MATCH(tblBaseCF[[#This Row],[Year]],tblWithdrawal_Output[Year],0)),0)
*tblBaseCF[[#This Row],[ContFlag]]</f>
        <v>0</v>
      </c>
      <c r="X107" s="59" t="b">
        <f ca="1">tblBaseCF[[#This Row],[WithdrawalInput]]&gt;0</f>
        <v>0</v>
      </c>
      <c r="Y107" s="59" t="b">
        <f ca="1">AND(tblBaseCF[[#This Row],[1stCheckProceed]],tblBaseCF[[#This Row],[WithdrawalInput]]&lt;=tblBaseCF[[#This Row],[StartPAV]])</f>
        <v>0</v>
      </c>
      <c r="Z107" s="59" t="b">
        <f ca="1">AND(tblBaseCF[[#This Row],[2ndCheckAmount]],(tblBaseCF[[#This Row],[StartPAV]]-tblBaseCF[[#This Row],[WithdrawalInput]])&gt;=min_pav_after_withdrawal)</f>
        <v>0</v>
      </c>
      <c r="AA10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7" s="59" t="b">
        <f ca="1">AND(tblBaseCF[[#This Row],[3rdCheckPAV]],tblBaseCF[[#This Row],[endSITest]]&gt;=min_base_si)</f>
        <v>0</v>
      </c>
      <c r="AC107" s="60">
        <f ca="1">tblBaseCF[[#This Row],[WithdrawalInput]]*tblBaseCF[[#This Row],[4thCheckSI]]</f>
        <v>0</v>
      </c>
      <c r="AD107" s="60">
        <f ca="1">MIN(tblBaseCF[[#This Row],[Withdrawal]],tblBaseCF[[#This Row],[StartEAV]])</f>
        <v>0</v>
      </c>
      <c r="AE107" s="60">
        <f ca="1">tblBaseCF[[#This Row],[Withdrawal]]-tblBaseCF[[#This Row],[EAVWithdrawal]]</f>
        <v>0</v>
      </c>
      <c r="AF107" s="60">
        <f ca="1">IF(tblBaseCF[[#This Row],[4thCheckSI]],tblBaseCF[[#This Row],[endSITest]],tblBaseCF[[#This Row],[StartSI]])</f>
        <v>0</v>
      </c>
      <c r="AG10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7" s="65">
        <f ca="1">IFERROR(INDEX(tblTPAllocChrgRate[Rate],MATCH(tblBaseCF[[#This Row],[Year]],tblTPAllocChrgRate[Year],0)),0)</f>
        <v>0.02</v>
      </c>
      <c r="AI107" s="62">
        <f ca="1">(tp+big_case_bonus_tp*(tblBaseCF[[#This Row],[Year]]=1))
*tblBaseCF[[#This Row],[TPTermFlag]]</f>
        <v>0</v>
      </c>
      <c r="AJ107" s="63">
        <f ca="1">tblBaseCF[[#This Row],[TP]]*tblBaseCF[[#This Row],[TPAllocChrgRate]]</f>
        <v>0</v>
      </c>
      <c r="AK107" s="60">
        <f ca="1">tblBaseCF[[#This Row],[TP]]-tblBaseCF[[#This Row],[TPAllocChrg]]</f>
        <v>0</v>
      </c>
      <c r="AL107" s="65">
        <f ca="1">IFERROR(INDEX(tblEPAllocChrgRate[Rate],MATCH(tblBaseCF[[#This Row],[Year]],tblEPAllocChrgRate[Year],0)),0)</f>
        <v>0.02</v>
      </c>
      <c r="AM107" s="60">
        <f ca="1">ep*tblBaseCF[[#This Row],[EPTermFlag]]</f>
        <v>0</v>
      </c>
      <c r="AN107" s="60">
        <f ca="1">tblBaseCF[[#This Row],[EP]]*tblBaseCF[[#This Row],[EPAllocChrgRate]]</f>
        <v>0</v>
      </c>
      <c r="AO107" s="63">
        <f ca="1">tblBaseCF[[#This Row],[EP]]-tblBaseCF[[#This Row],[EPAllocChrg]]</f>
        <v>0</v>
      </c>
      <c r="AP107" s="62">
        <f ca="1">tblBaseCF[[#This Row],[Ben]]*extra_prem_rate*em_load/1000/(1-tblBaseCF[[#This Row],[EPAllocChrgRate]])
*tblBaseCF[[#This Row],[EMLoadTermFlag]]</f>
        <v>0</v>
      </c>
      <c r="AQ107" s="62">
        <f ca="1">tblBaseCF[[#This Row],[Ben]]*pm_load/1000/(1-tblBaseCF[[#This Row],[EPAllocChrgRate]])
*tblBaseCF[[#This Row],[PMLoadTermFlag]]</f>
        <v>0</v>
      </c>
      <c r="AR107" s="60">
        <f ca="1">ROUNDUP(tblBaseCF[[#This Row],[UnroundedEMLoad]],-3)</f>
        <v>0</v>
      </c>
      <c r="AS107" s="62">
        <f ca="1">ROUNDUP(tblBaseCF[[#This Row],[Ben]]*pm_load/1000/(1-tblBaseCF[[#This Row],[EPAllocChrgRate]]),-3)
*tblBaseCF[[#This Row],[PMLoadTermFlag]]</f>
        <v>0</v>
      </c>
      <c r="AT107" s="60">
        <f ca="1">tblBaseCF[[#This Row],[EMLoad]]+tblBaseCF[[#This Row],[PMLoad]]</f>
        <v>0</v>
      </c>
      <c r="AU107" s="60">
        <f ca="1">tblBaseCF[[#This Row],[Load]]*tblBaseCF[[#This Row],[EPAllocChrgRate]]</f>
        <v>0</v>
      </c>
      <c r="AV107" s="60">
        <f ca="1">tblBaseCF[[#This Row],[Load]]-tblBaseCF[[#This Row],[LoadAllocChrg]]</f>
        <v>0</v>
      </c>
      <c r="AW107" s="60">
        <f ca="1">tblBaseCF[[#This Row],[TP]]+tblBaseCF[[#This Row],[EP]]+tblBaseCF[[#This Row],[Load]]</f>
        <v>0</v>
      </c>
      <c r="AX107" s="60">
        <f ca="1">tblBaseCF[[#This Row],[TPAllocChrg]]+tblBaseCF[[#This Row],[EPAllocChrg]]+tblBaseCF[[#This Row],[LoadAllocChrg]]</f>
        <v>0</v>
      </c>
      <c r="AY107" s="60">
        <f ca="1">tblBaseCF[[#This Row],[TPAlloc]]+tblBaseCF[[#This Row],[EPAlloc]]+tblBaseCF[[#This Row],[LoadAlloc]]</f>
        <v>0</v>
      </c>
      <c r="AZ107" s="60">
        <f ca="1">(OFFSET(tblBaseCF[[#This Row],[AccumTotalPrem]],-1,0)+tblBaseCF[[#This Row],[TotalPrem]])*tblBaseCF[[#This Row],[TPTermFlag]]</f>
        <v>0</v>
      </c>
      <c r="BA107" s="62">
        <f ca="1">(tblBaseCF[[#This Row],[StartTAV]]-tblBaseCF[[#This Row],[TAVWithdrawal]]+tblBaseCF[[#This Row],[TPAlloc]])
*tblBaseCF[[#This Row],[ContFlag]]</f>
        <v>0</v>
      </c>
      <c r="BB107" s="59">
        <f ca="1">(tblBaseCF[[#This Row],[StartEAV]]-tblBaseCF[[#This Row],[EAVWithdrawal]]+tblBaseCF[[#This Row],[EPAlloc]]+tblBaseCF[[#This Row],[LoadAlloc]])
*tblBaseCF[[#This Row],[ContFlag]]</f>
        <v>0</v>
      </c>
      <c r="BC107" s="59">
        <f ca="1">tblBaseCF[[#This Row],[TAVAfterWdrlAlloc]]+tblBaseCF[[#This Row],[EAVAfterWdrlAlloc]]</f>
        <v>0</v>
      </c>
      <c r="BD107" s="66">
        <f t="shared" si="10"/>
        <v>0</v>
      </c>
      <c r="BE107" s="67">
        <f>(1+tblBaseCF[[#This Row],[AnnualIntRate]])^(1/12)-1</f>
        <v>0</v>
      </c>
      <c r="BF107" s="68">
        <f>IFERROR(((1+tblBaseCF[[#This Row],[MonthlyIntRate]])^12-1)/12/(1-1/(1+tblBaseCF[[#This Row],[MonthlyIntRate]])),1)/(1+tblBaseCF[[#This Row],[AnnualIntRate]])</f>
        <v>1</v>
      </c>
      <c r="BG107" s="69">
        <f>PV(tblBaseCF[[#This Row],[MonthlyIntRate]],12,-1/12,,1)</f>
        <v>1</v>
      </c>
      <c r="BH107" s="60">
        <f ca="1">MAX(IF(death_tpd_option="A",tblBaseCF[[#This Row],[Ben]]-tblBaseCF[[#This Row],[StartPAV]],tblBaseCF[[#This Row],[Ben]]),0)</f>
        <v>0</v>
      </c>
      <c r="BI107" s="70">
        <f ca="1">IFERROR(INDEX(tblBaseCOIRate[Rate],MATCH(tblBaseCF[[#This Row],[Age]],tblBaseCOIRate[Age],0)),0)</f>
        <v>0.13582</v>
      </c>
      <c r="BJ107" s="60">
        <f ca="1">tblBaseCF[[#This Row],[SAR]]*tblBaseCF[[#This Row],[COIRate]]</f>
        <v>0</v>
      </c>
      <c r="BK107" s="62">
        <f ca="1">em_load*tblBaseCF[[#This Row],[pStandardCOI]]
*tblBaseCF[[#This Row],[EMLoadTermFlag]]</f>
        <v>0</v>
      </c>
      <c r="BL107" s="62">
        <f ca="1">pm_load/1000*tblBaseCF[[#This Row],[SAR]]
*tblBaseCF[[#This Row],[PMLoadTermFlag]]</f>
        <v>0</v>
      </c>
      <c r="BM107" s="60">
        <f ca="1">tblBaseCF[[#This Row],[AccBen]]*monthly_acc_coi*12</f>
        <v>0</v>
      </c>
      <c r="BN107" s="60">
        <f ca="1">tblBaseCF[[#This Row],[pStandardCOI]]+tblBaseCF[[#This Row],[pEMLoadCOI]]+tblBaseCF[[#This Row],[pPMLoadCOI]]+tblBaseCF[[#This Row],[pAccCOI]]</f>
        <v>0</v>
      </c>
      <c r="BO107" s="62">
        <f ca="1">IFERROR(INDEX(tblAdminChrg[Amount],MATCH(tblBaseCF[[#This Row],[CalYear]],tblAdminChrg[Cal_Year],0)),0)
*tblBaseCF[[#This Row],[ContFlag]]</f>
        <v>0</v>
      </c>
      <c r="BP107" s="60">
        <f ca="1">tblBaseCF[[#This Row],[pMonthlyAdminChrg]]*12</f>
        <v>0</v>
      </c>
      <c r="BQ107" s="60">
        <f ca="1">tblBaseCF[[#This Row],[pCOI]]+tblBaseCF[[#This Row],[pAdminChrg]]</f>
        <v>0</v>
      </c>
      <c r="BR107" s="60">
        <f ca="1">tblBaseCF[[#This Row],[pNomDeduct]]*tblBaseCF[[#This Row],[Duean1m12]]</f>
        <v>0</v>
      </c>
      <c r="BS107" s="57">
        <f ca="1">(tblBaseCF[[#This Row],[PAVAfterWdrlAlloc]]&gt;=tblBaseCF[[#This Row],[pNomDeduct]])
*tblBaseCF[[#This Row],[ContFlag]]</f>
        <v>0</v>
      </c>
      <c r="BT107" s="60">
        <f ca="1">tblBaseCF[[#This Row],[pStandardCOI]]*tblBaseCF[[#This Row],[DeductFlag]]</f>
        <v>0</v>
      </c>
      <c r="BU107" s="60">
        <f ca="1">tblBaseCF[[#This Row],[pEMLoadCOI]]*tblBaseCF[[#This Row],[DeductFlag]]</f>
        <v>0</v>
      </c>
      <c r="BV107" s="60">
        <f ca="1">tblBaseCF[[#This Row],[pPMLoadCOI]]*tblBaseCF[[#This Row],[DeductFlag]]</f>
        <v>0</v>
      </c>
      <c r="BW107" s="60">
        <f ca="1">tblBaseCF[[#This Row],[pAccCOI]]*tblBaseCF[[#This Row],[DeductFlag]]</f>
        <v>0</v>
      </c>
      <c r="BX107" s="60">
        <f ca="1">tblBaseCF[[#This Row],[pCOI]]*tblBaseCF[[#This Row],[DeductFlag]]</f>
        <v>0</v>
      </c>
      <c r="BY107" s="60">
        <f ca="1">tblBaseCF[[#This Row],[pMonthlyAdminChrg]]*tblBaseCF[[#This Row],[DeductFlag]]</f>
        <v>0</v>
      </c>
      <c r="BZ107" s="60">
        <f ca="1">tblBaseCF[[#This Row],[pAdminChrg]]*tblBaseCF[[#This Row],[DeductFlag]]</f>
        <v>0</v>
      </c>
      <c r="CA107" s="60">
        <f ca="1">tblBaseCF[[#This Row],[pNomDeduct]]*tblBaseCF[[#This Row],[DeductFlag]]</f>
        <v>0</v>
      </c>
      <c r="CB107" s="60">
        <f ca="1">tblBaseCF[[#This Row],[pDeduct]]*tblBaseCF[[#This Row],[DeductFlag]]</f>
        <v>0</v>
      </c>
      <c r="CC107" s="60">
        <f ca="1">MIN(tblBaseCF[[#This Row],[TAVAfterWdrlAlloc]],tblBaseCF[[#This Row],[Deduct]])</f>
        <v>0</v>
      </c>
      <c r="CD107" s="60">
        <f ca="1">tblBaseCF[[#This Row],[Deduct]]-tblBaseCF[[#This Row],[TAVDeduct]]</f>
        <v>0</v>
      </c>
      <c r="CE107" s="69">
        <f ca="1">(tblBaseCF[[#This Row],[TAVAfterWdrlAlloc]]-tblBaseCF[[#This Row],[TAVDeduct]])*tblBaseCF[[#This Row],[AnnualIntRate]]
*tblBaseCF[[#This Row],[DeductFlag]]</f>
        <v>0</v>
      </c>
      <c r="CF107" s="69">
        <f ca="1">(tblBaseCF[[#This Row],[EAVAfterWdrlAlloc]]-tblBaseCF[[#This Row],[EAVDeduct]])*tblBaseCF[[#This Row],[AnnualIntRate]]
*tblBaseCF[[#This Row],[DeductFlag]]</f>
        <v>0</v>
      </c>
      <c r="CG107" s="69">
        <f ca="1">tblBaseCF[[#This Row],[TAVInt]]+tblBaseCF[[#This Row],[EAVInt]]</f>
        <v>0</v>
      </c>
      <c r="CH107" s="62">
        <f ca="1">IFERROR(INDEX(tblLBRate[Rate],MATCH(tblBaseCF[[#This Row],[Year]],tblLBRate[Year],0)),0)
*tblBaseCF[[#This Row],[DeductFlag]]</f>
        <v>0</v>
      </c>
      <c r="CI107" s="60">
        <f ca="1">IFERROR(SUM(OFFSET(tblBaseCF[[#This Row],[TAVWithdrawal]],0,0,-lb_review_period,1)),0)
*(tblBaseCF[[#This Row],[LBRate]]&gt;0)</f>
        <v>0</v>
      </c>
      <c r="CJ107" s="60">
        <f ca="1">(tblBaseCF[[#This Row],[LBRate]]&gt;0)*(tblBaseCF[[#This Row],[LBTAVWithdrawal]]=0)</f>
        <v>0</v>
      </c>
      <c r="CK107" s="62" cm="1">
        <f t="array" aca="1" ref="CK107" ca="1">IF(tblBaseCF[[#This Row],[LBFlag]],
_xlfn.SWITCH(base,
"ILP1",AVERAGE(OFFSET(tblBaseCF[TP],0,0,-lb_review_period,1)),tp),0)
*tblBaseCF[[#This Row],[LBFlag]]</f>
        <v>0</v>
      </c>
      <c r="CL107" s="62">
        <f ca="1">tblBaseCF[[#This Row],[LBBasis]]*tblBaseCF[[#This Row],[LBRate]]</f>
        <v>0</v>
      </c>
      <c r="CM107" s="57" cm="1">
        <f t="array" aca="1" ref="CM107" ca="1">_xlfn.SWITCH(base,
"ILP1",0,($AF207&lt;500000000)*1
+($AF207&gt;=500000000)*($AF207&lt;1000000000)*2
+($AF207&gt;=1000000000)*3)
*tblBaseCF[[#This Row],[DeductFlag]]</f>
        <v>0</v>
      </c>
      <c r="CN107" s="2" t="str">
        <f ca="1">IF(tblBaseCF[[#This Row],[DeductFlag]],base&amp;"_"&amp;tblBaseCF[[#This Row],[SBCode]]&amp;"_"&amp;tblBaseCF[[#This Row],[Year]],"")</f>
        <v/>
      </c>
      <c r="CO107" s="3">
        <f ca="1">IFERROR(INDEX(tblSBRate[Index],MATCH(tblBaseCF[[#This Row],[SBIndex]],tblSBRate[Rate],0)),0)</f>
        <v>0</v>
      </c>
      <c r="CP107" s="63">
        <f ca="1">IFERROR(SUM(OFFSET(tblBaseCF[[#This Row],[TAVWithdrawal]],0,0,-sb_review_period,1)),0)
*(tblBaseCF[[#This Row],[SBRate]]&gt;0)</f>
        <v>0</v>
      </c>
      <c r="CQ107" s="63">
        <f ca="1">(tblBaseCF[[#This Row],[SBRate]]&gt;0)*(tblBaseCF[[#This Row],[SBTAVWithdrawal]]=0)</f>
        <v>0</v>
      </c>
      <c r="CR107" s="59" cm="1">
        <f t="array" aca="1" ref="CR107" ca="1">IF(tblBaseCF[[#This Row],[LBFlag]],
_xlfn.SWITCH(base,
"ILP1",0,tp),0)*tblBaseCF[[#This Row],[SBFlag]]</f>
        <v>0</v>
      </c>
      <c r="CS107" s="63">
        <f ca="1">tblBaseCF[[#This Row],[SBBasis]]*tblBaseCF[[#This Row],[SBRate]]</f>
        <v>0</v>
      </c>
      <c r="CT107" s="63">
        <f ca="1">tblBaseCF[[#This Row],[LB]]+tblBaseCF[[#This Row],[SB]]</f>
        <v>0</v>
      </c>
      <c r="CU107" s="59">
        <f ca="1">tblBaseCF[[#This Row],[TAVAfterWdrlAlloc]]-tblBaseCF[[#This Row],[TAVDeduct]]+tblBaseCF[[#This Row],[TAVInt]]+tblBaseCF[[#This Row],[Bonus]]</f>
        <v>0</v>
      </c>
      <c r="CV107" s="59">
        <f ca="1">tblBaseCF[[#This Row],[EAVAfterWdrlAlloc]]-tblBaseCF[[#This Row],[EAVDeduct]]+tblBaseCF[[#This Row],[EAVInt]]</f>
        <v>0</v>
      </c>
      <c r="CW107" s="63">
        <f ca="1">tblBaseCF[[#This Row],[EndTAV]]+tblBaseCF[[#This Row],[EndEAV]]</f>
        <v>0</v>
      </c>
      <c r="CX107" s="59">
        <f ca="1">INDEX(tblPlanPrem[TP],2)
*tblBaseCF[[#This Row],[TPTermFlag]]</f>
        <v>0</v>
      </c>
      <c r="CY107" s="59">
        <f ca="1">INDEX(tblPlanPrem[EP],2)
*tblBaseCF[[#This Row],[TPTermFlag]]</f>
        <v>0</v>
      </c>
      <c r="CZ107" s="63">
        <f ca="1">ROUNDUP(tblBaseCF[[#This Row],[UnroundedEMLoad]]*INDEX(tblPlanPrem[Factor],2),-3)</f>
        <v>0</v>
      </c>
      <c r="DA107" s="63">
        <f ca="1">ROUNDUP(tblBaseCF[[#This Row],[UnroundedPMLoad]]*INDEX(tblPlanPrem[Factor],2),-3)</f>
        <v>0</v>
      </c>
      <c r="DB107" s="63">
        <f ca="1">tblBaseCF[[#This Row],[SemiAnnualEMLoad]]+tblBaseCF[[#This Row],[SemiAnnualPMLoad]]</f>
        <v>0</v>
      </c>
      <c r="DC107" s="63">
        <f ca="1">tblBaseCF[[#This Row],[SemiAnnualTP]]+tblBaseCF[[#This Row],[SemiAnnualEP]]+tblBaseCF[[#This Row],[SemiAnnualLoad]]</f>
        <v>0</v>
      </c>
      <c r="DD107" s="59">
        <f ca="1">INDEX(tblPlanPrem[TP],3)
*tblBaseCF[[#This Row],[TPTermFlag]]</f>
        <v>0</v>
      </c>
      <c r="DE107" s="59">
        <f ca="1">INDEX(tblPlanPrem[EP],3)
*tblBaseCF[[#This Row],[TPTermFlag]]</f>
        <v>0</v>
      </c>
      <c r="DF107" s="63">
        <f ca="1">ROUNDUP(tblBaseCF[[#This Row],[UnroundedEMLoad]]*INDEX(tblPlanPrem[Factor],3),-3)</f>
        <v>0</v>
      </c>
      <c r="DG107" s="63">
        <f ca="1">ROUNDUP(tblBaseCF[[#This Row],[UnroundedPMLoad]]*INDEX(tblPlanPrem[Factor],3),-3)</f>
        <v>0</v>
      </c>
      <c r="DH107" s="60">
        <f ca="1">tblBaseCF[[#This Row],[QuarterlyEMLoad]]+tblBaseCF[[#This Row],[QuarterlyPMLoad]]</f>
        <v>0</v>
      </c>
      <c r="DI107" s="60">
        <f ca="1">tblBaseCF[[#This Row],[QuarterlyTP]]+tblBaseCF[[#This Row],[QuarterlyEP]]+tblBaseCF[[#This Row],[QuarterlyLoad]]</f>
        <v>0</v>
      </c>
      <c r="DJ107" s="59">
        <f ca="1">INDEX(tblPlanPrem[TP],4)
*tblBaseCF[[#This Row],[TPTermFlag]]</f>
        <v>0</v>
      </c>
      <c r="DK107" s="59">
        <f ca="1">INDEX(tblPlanPrem[EP],4)
*tblBaseCF[[#This Row],[TPTermFlag]]</f>
        <v>0</v>
      </c>
      <c r="DL107" s="63">
        <f ca="1">ROUNDUP(tblBaseCF[[#This Row],[UnroundedEMLoad]]*INDEX(tblPlanPrem[Factor],4),-3)</f>
        <v>0</v>
      </c>
      <c r="DM107" s="63">
        <f ca="1">ROUNDUP(tblBaseCF[[#This Row],[UnroundedPMLoad]]*INDEX(tblPlanPrem[Factor],4),-3)</f>
        <v>0</v>
      </c>
      <c r="DN107" s="60">
        <f ca="1">tblBaseCF[[#This Row],[MonthlyEMLoad]]+tblBaseCF[[#This Row],[MonthlyPMLoad]]</f>
        <v>0</v>
      </c>
      <c r="DO107" s="63">
        <f ca="1">tblBaseCF[[#This Row],[MonthlyTP]]+tblBaseCF[[#This Row],[MonthlyEP]]+tblBaseCF[[#This Row],[MonthlyLoad]]</f>
        <v>0</v>
      </c>
      <c r="DP107" s="3"/>
      <c r="DS107">
        <f t="shared" si="11"/>
        <v>0</v>
      </c>
      <c r="DT107">
        <f t="shared" si="12"/>
        <v>0</v>
      </c>
      <c r="DU107">
        <f t="shared" si="13"/>
        <v>0</v>
      </c>
      <c r="DV107">
        <f ca="1">tblBaseCF[[#This Row],[Year]]</f>
        <v>87</v>
      </c>
      <c r="DW107">
        <f ca="1">tblBaseCF[[#This Row],[Age]]</f>
        <v>86</v>
      </c>
      <c r="DX107">
        <f ca="1">tblBaseCF[[#This Row],[ContFlag]]</f>
        <v>0</v>
      </c>
      <c r="DY107" t="str">
        <f ca="1">tblBaseCF[[#This Row],[ContLog]]</f>
        <v>Insufficient PAV for deduction - Discontinue.</v>
      </c>
      <c r="DZ107">
        <f ca="1">tblBaseCF[[#This Row],[StartTAV]]</f>
        <v>0</v>
      </c>
      <c r="EA107">
        <f ca="1">tblBaseCF[[#This Row],[StartEAV]]</f>
        <v>0</v>
      </c>
      <c r="EB107">
        <f ca="1">tblBaseCF[[#This Row],[StartPAV]]</f>
        <v>0</v>
      </c>
      <c r="EC107">
        <f ca="1">tblBaseCF[[#This Row],[SVChrg]]</f>
        <v>0</v>
      </c>
      <c r="ED107">
        <f ca="1">tblBaseCF[[#This Row],[SV]]</f>
        <v>0</v>
      </c>
      <c r="EE107">
        <f ca="1">tblBaseCF[[#This Row],[Ben]]</f>
        <v>0</v>
      </c>
      <c r="EF107">
        <f ca="1">tblBaseCF[[#This Row],[AccBen]]</f>
        <v>0</v>
      </c>
      <c r="EG107">
        <f ca="1">tblBaseCF[[#This Row],[WithdrawalInput]]</f>
        <v>0</v>
      </c>
      <c r="EH107" t="str">
        <f ca="1">tblBaseCF[[#This Row],[WithdrawalLog]]</f>
        <v>No withdrawal.</v>
      </c>
      <c r="EI107">
        <f ca="1">tblBaseCF[[#This Row],[TAVWithdrawal]]</f>
        <v>0</v>
      </c>
      <c r="EJ107">
        <f ca="1">tblBaseCF[[#This Row],[EAVWithdrawal]]</f>
        <v>0</v>
      </c>
      <c r="EK107">
        <f ca="1">tblBaseCF[[#This Row],[Withdrawal]]</f>
        <v>0</v>
      </c>
      <c r="EL107">
        <f ca="1">tblBaseCF[[#This Row],[TP]]</f>
        <v>0</v>
      </c>
      <c r="EM107">
        <f ca="1">tblBaseCF[[#This Row],[TPAllocChrg]]</f>
        <v>0</v>
      </c>
      <c r="EN107">
        <f ca="1">tblBaseCF[[#This Row],[TPAlloc]]</f>
        <v>0</v>
      </c>
      <c r="EO107">
        <f ca="1">tblBaseCF[[#This Row],[EP]]</f>
        <v>0</v>
      </c>
      <c r="EP107">
        <f ca="1">tblBaseCF[[#This Row],[EPAllocChrg]]</f>
        <v>0</v>
      </c>
      <c r="EQ107">
        <f ca="1">tblBaseCF[[#This Row],[EPAlloc]]</f>
        <v>0</v>
      </c>
      <c r="ER107">
        <f ca="1">tblBaseCF[[#This Row],[EMLoad]]</f>
        <v>0</v>
      </c>
      <c r="ES107">
        <f ca="1">tblBaseCF[[#This Row],[PMLoad]]</f>
        <v>0</v>
      </c>
      <c r="ET107">
        <f ca="1">tblBaseCF[[#This Row],[Load]]</f>
        <v>0</v>
      </c>
      <c r="EU107">
        <f ca="1">tblBaseCF[[#This Row],[LoadAllocChrg]]</f>
        <v>0</v>
      </c>
      <c r="EV107">
        <f ca="1">tblBaseCF[[#This Row],[LoadAlloc]]</f>
        <v>0</v>
      </c>
      <c r="EW107">
        <f ca="1">tblBaseCF[[#This Row],[TotalPrem]]</f>
        <v>0</v>
      </c>
      <c r="EX107">
        <f ca="1">tblBaseCF[[#This Row],[AllocChrg]]</f>
        <v>0</v>
      </c>
      <c r="EY107">
        <f ca="1">tblBaseCF[[#This Row],[Alloc]]</f>
        <v>0</v>
      </c>
      <c r="EZ107">
        <f ca="1">tblBaseCF[[#This Row],[AccumTotalPrem]]</f>
        <v>0</v>
      </c>
      <c r="FA107">
        <f>tblBaseCF[[#This Row],[AnnualIntRate]]</f>
        <v>0</v>
      </c>
      <c r="FB107" s="50">
        <f>tblBaseCF[[#This Row],[Duean1m12]]</f>
        <v>1</v>
      </c>
      <c r="FC107">
        <f ca="1">tblBaseCF[[#This Row],[DeductFlag]]</f>
        <v>0</v>
      </c>
      <c r="FD107">
        <f ca="1">tblBaseCF[[#This Row],[AdminChrg]]</f>
        <v>0</v>
      </c>
      <c r="FE107">
        <f ca="1">tblBaseCF[[#This Row],[StandardCOI]]</f>
        <v>0</v>
      </c>
      <c r="FF107">
        <f ca="1">tblBaseCF[[#This Row],[EMLoadCOI]]</f>
        <v>0</v>
      </c>
      <c r="FG107">
        <f ca="1">tblBaseCF[[#This Row],[PMLoadCOI]]</f>
        <v>0</v>
      </c>
      <c r="FH107">
        <f ca="1">tblBaseCF[[#This Row],[COI]]</f>
        <v>0</v>
      </c>
      <c r="FI107" s="47">
        <f ca="1">tblBaseCF[[#This Row],[NomDeduct]]</f>
        <v>0</v>
      </c>
      <c r="FJ107">
        <f ca="1">tblBaseCF[[#This Row],[Deduct]]</f>
        <v>0</v>
      </c>
      <c r="FK107">
        <f ca="1">tblBaseCF[[#This Row],[TAVDeduct]]</f>
        <v>0</v>
      </c>
      <c r="FL107">
        <f ca="1">tblBaseCF[[#This Row],[EAVDeduct]]</f>
        <v>0</v>
      </c>
      <c r="FM107" s="24">
        <f ca="1">tblBaseCF[[#This Row],[TAVInt]]</f>
        <v>0</v>
      </c>
      <c r="FN107">
        <f ca="1">tblBaseCF[[#This Row],[EAVInt]]</f>
        <v>0</v>
      </c>
      <c r="FO107" s="47">
        <f ca="1">tblBaseCF[[#This Row],[LB]]</f>
        <v>0</v>
      </c>
      <c r="FP107">
        <f ca="1">tblBaseCF[[#This Row],[SB]]</f>
        <v>0</v>
      </c>
      <c r="FQ107">
        <f ca="1">tblBaseCF[[#This Row],[Bonus]]</f>
        <v>0</v>
      </c>
      <c r="FR107">
        <f ca="1">tblBaseCF[[#This Row],[EndTAV]]</f>
        <v>0</v>
      </c>
      <c r="FS107">
        <f ca="1">tblBaseCF[[#This Row],[EndEAV]]</f>
        <v>0</v>
      </c>
      <c r="FT107">
        <f ca="1">tblBaseCF[[#This Row],[EndPAV]]</f>
        <v>0</v>
      </c>
      <c r="FU107">
        <f ca="1">tblBaseCF[[#This Row],[SemiAnnualTP]]</f>
        <v>0</v>
      </c>
      <c r="FV107">
        <f ca="1">tblBaseCF[[#This Row],[SemiAnnualEP]]</f>
        <v>0</v>
      </c>
      <c r="FW107">
        <f ca="1">tblBaseCF[[#This Row],[SemiAnnualEMLoad]]</f>
        <v>0</v>
      </c>
      <c r="FX107">
        <f ca="1">tblBaseCF[[#This Row],[SemiAnnualPMLoad]]</f>
        <v>0</v>
      </c>
      <c r="FY107">
        <f ca="1">tblBaseCF[[#This Row],[SemiAnnualLoad]]</f>
        <v>0</v>
      </c>
      <c r="FZ107">
        <f ca="1">tblBaseCF[[#This Row],[SemiAnnualTotalPrem]]</f>
        <v>0</v>
      </c>
      <c r="GA107">
        <f ca="1">tblBaseCF[[#This Row],[QuarterlyTP]]</f>
        <v>0</v>
      </c>
      <c r="GB107">
        <f ca="1">tblBaseCF[[#This Row],[QuarterlyEP]]</f>
        <v>0</v>
      </c>
      <c r="GC107">
        <f ca="1">tblBaseCF[[#This Row],[QuarterlyEMLoad]]</f>
        <v>0</v>
      </c>
      <c r="GD107">
        <f ca="1">tblBaseCF[[#This Row],[QuarterlyPMLoad]]</f>
        <v>0</v>
      </c>
      <c r="GE107">
        <f ca="1">tblBaseCF[[#This Row],[QuarterlyLoad]]</f>
        <v>0</v>
      </c>
      <c r="GF107">
        <f ca="1">tblBaseCF[[#This Row],[QuarterlyTotalPrem]]</f>
        <v>0</v>
      </c>
      <c r="GG107">
        <f ca="1">tblBaseCF[[#This Row],[MonthlyTP]]</f>
        <v>0</v>
      </c>
      <c r="GH107">
        <f ca="1">tblBaseCF[[#This Row],[MonthlyEP]]</f>
        <v>0</v>
      </c>
      <c r="GI107">
        <f ca="1">tblBaseCF[[#This Row],[MonthlyEMLoad]]</f>
        <v>0</v>
      </c>
      <c r="GJ107">
        <f ca="1">tblBaseCF[[#This Row],[MonthlyPMLoad]]</f>
        <v>0</v>
      </c>
      <c r="GK107">
        <f ca="1">tblBaseCF[[#This Row],[MonthlyLoad]]</f>
        <v>0</v>
      </c>
      <c r="GL107">
        <f ca="1">tblBaseCF[[#This Row],[MonthlyTotalPrem]]</f>
        <v>0</v>
      </c>
      <c r="GO107" t="s">
        <v>134</v>
      </c>
      <c r="GP107" t="s">
        <v>135</v>
      </c>
      <c r="GQ107" t="s">
        <v>502</v>
      </c>
      <c r="GR107">
        <v>87</v>
      </c>
      <c r="GS107">
        <v>86</v>
      </c>
      <c r="GT107">
        <v>1</v>
      </c>
      <c r="GU107" t="s">
        <v>457</v>
      </c>
      <c r="GV107">
        <v>1589713066.1651599</v>
      </c>
      <c r="GW107">
        <v>13968361879.4048</v>
      </c>
      <c r="GX107">
        <v>15558074945.569901</v>
      </c>
      <c r="GY107">
        <v>0</v>
      </c>
      <c r="GZ107">
        <v>15558074945.569901</v>
      </c>
      <c r="HA107">
        <v>15558074945.569901</v>
      </c>
      <c r="HB107">
        <v>0</v>
      </c>
      <c r="HC107">
        <v>0</v>
      </c>
      <c r="HD107" t="s">
        <v>137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7.0000000000000007E-2</v>
      </c>
      <c r="HX107">
        <v>0.96964931039809399</v>
      </c>
      <c r="HY107">
        <v>1</v>
      </c>
      <c r="HZ107">
        <v>300000</v>
      </c>
      <c r="IA107">
        <v>0</v>
      </c>
      <c r="IB107">
        <v>0</v>
      </c>
      <c r="IC107">
        <v>0</v>
      </c>
      <c r="ID107">
        <v>0</v>
      </c>
      <c r="IE107">
        <v>300000</v>
      </c>
      <c r="IF107">
        <v>290894.79311942798</v>
      </c>
      <c r="IG107">
        <v>290894.79311942798</v>
      </c>
      <c r="IH107">
        <v>0</v>
      </c>
      <c r="II107">
        <v>111259551.996043</v>
      </c>
      <c r="IJ107">
        <v>977785331.55833495</v>
      </c>
      <c r="IK107">
        <v>0</v>
      </c>
      <c r="IL107">
        <v>0</v>
      </c>
      <c r="IM107">
        <v>0</v>
      </c>
      <c r="IN107">
        <v>1700681723.3680799</v>
      </c>
      <c r="IO107">
        <v>14946147210.9631</v>
      </c>
      <c r="IP107">
        <v>16646828934.3312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</row>
    <row r="108" spans="2:268" customFormat="1" x14ac:dyDescent="0.25">
      <c r="B108" s="2">
        <f ca="1">OFFSET(tblBaseCF[[#This Row],[Year]],-1,0)+1</f>
        <v>88</v>
      </c>
      <c r="C108" s="2">
        <f ca="1">(tblBaseCF[[#This Row],[Year]]&lt;=term)*1</f>
        <v>1</v>
      </c>
      <c r="D108" s="57">
        <f ca="1">(YEAR(rcd)+tblBaseCF[[#This Row],[Year]]-1)
*tblBaseCF[[#This Row],[PolTermFlag]]</f>
        <v>2112</v>
      </c>
      <c r="E108" s="57">
        <f ca="1">(mainLI_entry_age+tblBaseCF[[#This Row],[Year]]-1)
*tblBaseCF[[#This Row],[PolTermFlag]]</f>
        <v>87</v>
      </c>
      <c r="F108" s="57">
        <f ca="1">IF(tblBaseCF[[#This Row],[Year]]=1,1,OFFSET(tblBaseCF[[#This Row],[DeductFlag]],-1,0))
*tblBaseCF[[#This Row],[PolTermFlag]]</f>
        <v>0</v>
      </c>
      <c r="G10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8" s="57">
        <f ca="1">(tblBaseCF[[#This Row],[Year]]&lt;=acc_ben_term)
*tblBaseCF[[#This Row],[ContFlag]]</f>
        <v>0</v>
      </c>
      <c r="I108" s="57">
        <f ca="1">(tblBaseCF[[#This Row],[Year]]&lt;=tp_term)
*tblBaseCF[[#This Row],[ContFlag]]</f>
        <v>0</v>
      </c>
      <c r="J108" s="57">
        <f ca="1">(tblBaseCF[[#This Row],[Year]]&lt;=ep_term)
*tblBaseCF[[#This Row],[ContFlag]]</f>
        <v>0</v>
      </c>
      <c r="K108" s="57">
        <f ca="1">(tblBaseCF[[#This Row],[Year]]&lt;=em_load_term)*1</f>
        <v>0</v>
      </c>
      <c r="L108" s="57">
        <f ca="1">(tblBaseCF[[#This Row],[Year]]&lt;=pm_load_term)*1</f>
        <v>0</v>
      </c>
      <c r="M108" s="59">
        <f ca="1">IF(tblBaseCF[[#This Row],[Year]]=1,si,OFFSET(tblBaseCF[[#This Row],[EndSI]],-1,0))
*tblBaseCF[[#This Row],[ContFlag]]</f>
        <v>0</v>
      </c>
      <c r="N108" s="59">
        <f ca="1">OFFSET(tblBaseCF[[#This Row],[EndTAV]],-1,0)
*tblBaseCF[[#This Row],[ContFlag]]</f>
        <v>0</v>
      </c>
      <c r="O108" s="59">
        <f ca="1">OFFSET(tblBaseCF[[#This Row],[EndEAV]],-1,0)
*tblBaseCF[[#This Row],[ContFlag]]</f>
        <v>0</v>
      </c>
      <c r="P108" s="60">
        <f ca="1">tblBaseCF[[#This Row],[StartEAV]]+tblBaseCF[[#This Row],[StartTAV]]</f>
        <v>0</v>
      </c>
      <c r="Q108" s="61">
        <f ca="1">IFERROR(INDEX(tblJuvenileLienRate[Rate],MATCH(tblBaseCF[[#This Row],[Age]],tblJuvenileLienRate[Age],0)),1)
*tblBaseCF[[#This Row],[ContFlag]]</f>
        <v>0</v>
      </c>
      <c r="R10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8" s="62">
        <f ca="1">tblBaseCF[[#This Row],[StartSI]]*acc_ben_coeff*tblBaseCF[[#This Row],[JuvenileLienRate]]
*tblBaseCF[[#This Row],[AccBenTermFlag]]</f>
        <v>0</v>
      </c>
      <c r="T108" s="61">
        <f ca="1">(IFERROR(INDEX(tblSurrChrgRate[Rate],MATCH(tblBaseCF[[#This Row],[Year]],tblSurrChrgRate[Year],0)),0)
*tblBaseCF[[#This Row],[ContFlag]])</f>
        <v>0</v>
      </c>
      <c r="U108" s="60">
        <f ca="1">tp*tblBaseCF[[#This Row],[SrrChrgRate]]</f>
        <v>0</v>
      </c>
      <c r="V108" s="63">
        <f ca="1">MAX(tblBaseCF[[#This Row],[StartTAV]]-tblBaseCF[[#This Row],[SVChrg]],0)+tblBaseCF[[#This Row],[StartEAV]]</f>
        <v>0</v>
      </c>
      <c r="W108" s="59">
        <f ca="1">IFERROR(INDEX(tblWithdrawal_Output[Amount],MATCH(tblBaseCF[[#This Row],[Year]],tblWithdrawal_Output[Year],0)),0)
*tblBaseCF[[#This Row],[ContFlag]]</f>
        <v>0</v>
      </c>
      <c r="X108" s="59" t="b">
        <f ca="1">tblBaseCF[[#This Row],[WithdrawalInput]]&gt;0</f>
        <v>0</v>
      </c>
      <c r="Y108" s="59" t="b">
        <f ca="1">AND(tblBaseCF[[#This Row],[1stCheckProceed]],tblBaseCF[[#This Row],[WithdrawalInput]]&lt;=tblBaseCF[[#This Row],[StartPAV]])</f>
        <v>0</v>
      </c>
      <c r="Z108" s="59" t="b">
        <f ca="1">AND(tblBaseCF[[#This Row],[2ndCheckAmount]],(tblBaseCF[[#This Row],[StartPAV]]-tblBaseCF[[#This Row],[WithdrawalInput]])&gt;=min_pav_after_withdrawal)</f>
        <v>0</v>
      </c>
      <c r="AA10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8" s="59" t="b">
        <f ca="1">AND(tblBaseCF[[#This Row],[3rdCheckPAV]],tblBaseCF[[#This Row],[endSITest]]&gt;=min_base_si)</f>
        <v>0</v>
      </c>
      <c r="AC108" s="60">
        <f ca="1">tblBaseCF[[#This Row],[WithdrawalInput]]*tblBaseCF[[#This Row],[4thCheckSI]]</f>
        <v>0</v>
      </c>
      <c r="AD108" s="60">
        <f ca="1">MIN(tblBaseCF[[#This Row],[Withdrawal]],tblBaseCF[[#This Row],[StartEAV]])</f>
        <v>0</v>
      </c>
      <c r="AE108" s="60">
        <f ca="1">tblBaseCF[[#This Row],[Withdrawal]]-tblBaseCF[[#This Row],[EAVWithdrawal]]</f>
        <v>0</v>
      </c>
      <c r="AF108" s="60">
        <f ca="1">IF(tblBaseCF[[#This Row],[4thCheckSI]],tblBaseCF[[#This Row],[endSITest]],tblBaseCF[[#This Row],[StartSI]])</f>
        <v>0</v>
      </c>
      <c r="AG10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8" s="65">
        <f ca="1">IFERROR(INDEX(tblTPAllocChrgRate[Rate],MATCH(tblBaseCF[[#This Row],[Year]],tblTPAllocChrgRate[Year],0)),0)</f>
        <v>0.02</v>
      </c>
      <c r="AI108" s="62">
        <f ca="1">(tp+big_case_bonus_tp*(tblBaseCF[[#This Row],[Year]]=1))
*tblBaseCF[[#This Row],[TPTermFlag]]</f>
        <v>0</v>
      </c>
      <c r="AJ108" s="63">
        <f ca="1">tblBaseCF[[#This Row],[TP]]*tblBaseCF[[#This Row],[TPAllocChrgRate]]</f>
        <v>0</v>
      </c>
      <c r="AK108" s="60">
        <f ca="1">tblBaseCF[[#This Row],[TP]]-tblBaseCF[[#This Row],[TPAllocChrg]]</f>
        <v>0</v>
      </c>
      <c r="AL108" s="65">
        <f ca="1">IFERROR(INDEX(tblEPAllocChrgRate[Rate],MATCH(tblBaseCF[[#This Row],[Year]],tblEPAllocChrgRate[Year],0)),0)</f>
        <v>0.02</v>
      </c>
      <c r="AM108" s="60">
        <f ca="1">ep*tblBaseCF[[#This Row],[EPTermFlag]]</f>
        <v>0</v>
      </c>
      <c r="AN108" s="60">
        <f ca="1">tblBaseCF[[#This Row],[EP]]*tblBaseCF[[#This Row],[EPAllocChrgRate]]</f>
        <v>0</v>
      </c>
      <c r="AO108" s="63">
        <f ca="1">tblBaseCF[[#This Row],[EP]]-tblBaseCF[[#This Row],[EPAllocChrg]]</f>
        <v>0</v>
      </c>
      <c r="AP108" s="62">
        <f ca="1">tblBaseCF[[#This Row],[Ben]]*extra_prem_rate*em_load/1000/(1-tblBaseCF[[#This Row],[EPAllocChrgRate]])
*tblBaseCF[[#This Row],[EMLoadTermFlag]]</f>
        <v>0</v>
      </c>
      <c r="AQ108" s="62">
        <f ca="1">tblBaseCF[[#This Row],[Ben]]*pm_load/1000/(1-tblBaseCF[[#This Row],[EPAllocChrgRate]])
*tblBaseCF[[#This Row],[PMLoadTermFlag]]</f>
        <v>0</v>
      </c>
      <c r="AR108" s="60">
        <f ca="1">ROUNDUP(tblBaseCF[[#This Row],[UnroundedEMLoad]],-3)</f>
        <v>0</v>
      </c>
      <c r="AS108" s="62">
        <f ca="1">ROUNDUP(tblBaseCF[[#This Row],[Ben]]*pm_load/1000/(1-tblBaseCF[[#This Row],[EPAllocChrgRate]]),-3)
*tblBaseCF[[#This Row],[PMLoadTermFlag]]</f>
        <v>0</v>
      </c>
      <c r="AT108" s="60">
        <f ca="1">tblBaseCF[[#This Row],[EMLoad]]+tblBaseCF[[#This Row],[PMLoad]]</f>
        <v>0</v>
      </c>
      <c r="AU108" s="60">
        <f ca="1">tblBaseCF[[#This Row],[Load]]*tblBaseCF[[#This Row],[EPAllocChrgRate]]</f>
        <v>0</v>
      </c>
      <c r="AV108" s="60">
        <f ca="1">tblBaseCF[[#This Row],[Load]]-tblBaseCF[[#This Row],[LoadAllocChrg]]</f>
        <v>0</v>
      </c>
      <c r="AW108" s="60">
        <f ca="1">tblBaseCF[[#This Row],[TP]]+tblBaseCF[[#This Row],[EP]]+tblBaseCF[[#This Row],[Load]]</f>
        <v>0</v>
      </c>
      <c r="AX108" s="60">
        <f ca="1">tblBaseCF[[#This Row],[TPAllocChrg]]+tblBaseCF[[#This Row],[EPAllocChrg]]+tblBaseCF[[#This Row],[LoadAllocChrg]]</f>
        <v>0</v>
      </c>
      <c r="AY108" s="60">
        <f ca="1">tblBaseCF[[#This Row],[TPAlloc]]+tblBaseCF[[#This Row],[EPAlloc]]+tblBaseCF[[#This Row],[LoadAlloc]]</f>
        <v>0</v>
      </c>
      <c r="AZ108" s="60">
        <f ca="1">(OFFSET(tblBaseCF[[#This Row],[AccumTotalPrem]],-1,0)+tblBaseCF[[#This Row],[TotalPrem]])*tblBaseCF[[#This Row],[TPTermFlag]]</f>
        <v>0</v>
      </c>
      <c r="BA108" s="62">
        <f ca="1">(tblBaseCF[[#This Row],[StartTAV]]-tblBaseCF[[#This Row],[TAVWithdrawal]]+tblBaseCF[[#This Row],[TPAlloc]])
*tblBaseCF[[#This Row],[ContFlag]]</f>
        <v>0</v>
      </c>
      <c r="BB108" s="59">
        <f ca="1">(tblBaseCF[[#This Row],[StartEAV]]-tblBaseCF[[#This Row],[EAVWithdrawal]]+tblBaseCF[[#This Row],[EPAlloc]]+tblBaseCF[[#This Row],[LoadAlloc]])
*tblBaseCF[[#This Row],[ContFlag]]</f>
        <v>0</v>
      </c>
      <c r="BC108" s="59">
        <f ca="1">tblBaseCF[[#This Row],[TAVAfterWdrlAlloc]]+tblBaseCF[[#This Row],[EAVAfterWdrlAlloc]]</f>
        <v>0</v>
      </c>
      <c r="BD108" s="66">
        <f t="shared" si="10"/>
        <v>0</v>
      </c>
      <c r="BE108" s="67">
        <f>(1+tblBaseCF[[#This Row],[AnnualIntRate]])^(1/12)-1</f>
        <v>0</v>
      </c>
      <c r="BF108" s="68">
        <f>IFERROR(((1+tblBaseCF[[#This Row],[MonthlyIntRate]])^12-1)/12/(1-1/(1+tblBaseCF[[#This Row],[MonthlyIntRate]])),1)/(1+tblBaseCF[[#This Row],[AnnualIntRate]])</f>
        <v>1</v>
      </c>
      <c r="BG108" s="69">
        <f>PV(tblBaseCF[[#This Row],[MonthlyIntRate]],12,-1/12,,1)</f>
        <v>1</v>
      </c>
      <c r="BH108" s="60">
        <f ca="1">MAX(IF(death_tpd_option="A",tblBaseCF[[#This Row],[Ben]]-tblBaseCF[[#This Row],[StartPAV]],tblBaseCF[[#This Row],[Ben]]),0)</f>
        <v>0</v>
      </c>
      <c r="BI108" s="70">
        <f ca="1">IFERROR(INDEX(tblBaseCOIRate[Rate],MATCH(tblBaseCF[[#This Row],[Age]],tblBaseCOIRate[Age],0)),0)</f>
        <v>0.15018000000000001</v>
      </c>
      <c r="BJ108" s="60">
        <f ca="1">tblBaseCF[[#This Row],[SAR]]*tblBaseCF[[#This Row],[COIRate]]</f>
        <v>0</v>
      </c>
      <c r="BK108" s="62">
        <f ca="1">em_load*tblBaseCF[[#This Row],[pStandardCOI]]
*tblBaseCF[[#This Row],[EMLoadTermFlag]]</f>
        <v>0</v>
      </c>
      <c r="BL108" s="62">
        <f ca="1">pm_load/1000*tblBaseCF[[#This Row],[SAR]]
*tblBaseCF[[#This Row],[PMLoadTermFlag]]</f>
        <v>0</v>
      </c>
      <c r="BM108" s="60">
        <f ca="1">tblBaseCF[[#This Row],[AccBen]]*monthly_acc_coi*12</f>
        <v>0</v>
      </c>
      <c r="BN108" s="60">
        <f ca="1">tblBaseCF[[#This Row],[pStandardCOI]]+tblBaseCF[[#This Row],[pEMLoadCOI]]+tblBaseCF[[#This Row],[pPMLoadCOI]]+tblBaseCF[[#This Row],[pAccCOI]]</f>
        <v>0</v>
      </c>
      <c r="BO108" s="62">
        <f ca="1">IFERROR(INDEX(tblAdminChrg[Amount],MATCH(tblBaseCF[[#This Row],[CalYear]],tblAdminChrg[Cal_Year],0)),0)
*tblBaseCF[[#This Row],[ContFlag]]</f>
        <v>0</v>
      </c>
      <c r="BP108" s="60">
        <f ca="1">tblBaseCF[[#This Row],[pMonthlyAdminChrg]]*12</f>
        <v>0</v>
      </c>
      <c r="BQ108" s="60">
        <f ca="1">tblBaseCF[[#This Row],[pCOI]]+tblBaseCF[[#This Row],[pAdminChrg]]</f>
        <v>0</v>
      </c>
      <c r="BR108" s="60">
        <f ca="1">tblBaseCF[[#This Row],[pNomDeduct]]*tblBaseCF[[#This Row],[Duean1m12]]</f>
        <v>0</v>
      </c>
      <c r="BS108" s="57">
        <f ca="1">(tblBaseCF[[#This Row],[PAVAfterWdrlAlloc]]&gt;=tblBaseCF[[#This Row],[pNomDeduct]])
*tblBaseCF[[#This Row],[ContFlag]]</f>
        <v>0</v>
      </c>
      <c r="BT108" s="60">
        <f ca="1">tblBaseCF[[#This Row],[pStandardCOI]]*tblBaseCF[[#This Row],[DeductFlag]]</f>
        <v>0</v>
      </c>
      <c r="BU108" s="60">
        <f ca="1">tblBaseCF[[#This Row],[pEMLoadCOI]]*tblBaseCF[[#This Row],[DeductFlag]]</f>
        <v>0</v>
      </c>
      <c r="BV108" s="60">
        <f ca="1">tblBaseCF[[#This Row],[pPMLoadCOI]]*tblBaseCF[[#This Row],[DeductFlag]]</f>
        <v>0</v>
      </c>
      <c r="BW108" s="60">
        <f ca="1">tblBaseCF[[#This Row],[pAccCOI]]*tblBaseCF[[#This Row],[DeductFlag]]</f>
        <v>0</v>
      </c>
      <c r="BX108" s="60">
        <f ca="1">tblBaseCF[[#This Row],[pCOI]]*tblBaseCF[[#This Row],[DeductFlag]]</f>
        <v>0</v>
      </c>
      <c r="BY108" s="60">
        <f ca="1">tblBaseCF[[#This Row],[pMonthlyAdminChrg]]*tblBaseCF[[#This Row],[DeductFlag]]</f>
        <v>0</v>
      </c>
      <c r="BZ108" s="60">
        <f ca="1">tblBaseCF[[#This Row],[pAdminChrg]]*tblBaseCF[[#This Row],[DeductFlag]]</f>
        <v>0</v>
      </c>
      <c r="CA108" s="60">
        <f ca="1">tblBaseCF[[#This Row],[pNomDeduct]]*tblBaseCF[[#This Row],[DeductFlag]]</f>
        <v>0</v>
      </c>
      <c r="CB108" s="60">
        <f ca="1">tblBaseCF[[#This Row],[pDeduct]]*tblBaseCF[[#This Row],[DeductFlag]]</f>
        <v>0</v>
      </c>
      <c r="CC108" s="60">
        <f ca="1">MIN(tblBaseCF[[#This Row],[TAVAfterWdrlAlloc]],tblBaseCF[[#This Row],[Deduct]])</f>
        <v>0</v>
      </c>
      <c r="CD108" s="60">
        <f ca="1">tblBaseCF[[#This Row],[Deduct]]-tblBaseCF[[#This Row],[TAVDeduct]]</f>
        <v>0</v>
      </c>
      <c r="CE108" s="69">
        <f ca="1">(tblBaseCF[[#This Row],[TAVAfterWdrlAlloc]]-tblBaseCF[[#This Row],[TAVDeduct]])*tblBaseCF[[#This Row],[AnnualIntRate]]
*tblBaseCF[[#This Row],[DeductFlag]]</f>
        <v>0</v>
      </c>
      <c r="CF108" s="69">
        <f ca="1">(tblBaseCF[[#This Row],[EAVAfterWdrlAlloc]]-tblBaseCF[[#This Row],[EAVDeduct]])*tblBaseCF[[#This Row],[AnnualIntRate]]
*tblBaseCF[[#This Row],[DeductFlag]]</f>
        <v>0</v>
      </c>
      <c r="CG108" s="69">
        <f ca="1">tblBaseCF[[#This Row],[TAVInt]]+tblBaseCF[[#This Row],[EAVInt]]</f>
        <v>0</v>
      </c>
      <c r="CH108" s="62">
        <f ca="1">IFERROR(INDEX(tblLBRate[Rate],MATCH(tblBaseCF[[#This Row],[Year]],tblLBRate[Year],0)),0)
*tblBaseCF[[#This Row],[DeductFlag]]</f>
        <v>0</v>
      </c>
      <c r="CI108" s="60">
        <f ca="1">IFERROR(SUM(OFFSET(tblBaseCF[[#This Row],[TAVWithdrawal]],0,0,-lb_review_period,1)),0)
*(tblBaseCF[[#This Row],[LBRate]]&gt;0)</f>
        <v>0</v>
      </c>
      <c r="CJ108" s="60">
        <f ca="1">(tblBaseCF[[#This Row],[LBRate]]&gt;0)*(tblBaseCF[[#This Row],[LBTAVWithdrawal]]=0)</f>
        <v>0</v>
      </c>
      <c r="CK108" s="62" cm="1">
        <f t="array" aca="1" ref="CK108" ca="1">IF(tblBaseCF[[#This Row],[LBFlag]],
_xlfn.SWITCH(base,
"ILP1",AVERAGE(OFFSET(tblBaseCF[TP],0,0,-lb_review_period,1)),tp),0)
*tblBaseCF[[#This Row],[LBFlag]]</f>
        <v>0</v>
      </c>
      <c r="CL108" s="62">
        <f ca="1">tblBaseCF[[#This Row],[LBBasis]]*tblBaseCF[[#This Row],[LBRate]]</f>
        <v>0</v>
      </c>
      <c r="CM108" s="57" cm="1">
        <f t="array" aca="1" ref="CM108" ca="1">_xlfn.SWITCH(base,
"ILP1",0,($AF208&lt;500000000)*1
+($AF208&gt;=500000000)*($AF208&lt;1000000000)*2
+($AF208&gt;=1000000000)*3)
*tblBaseCF[[#This Row],[DeductFlag]]</f>
        <v>0</v>
      </c>
      <c r="CN108" s="2" t="str">
        <f ca="1">IF(tblBaseCF[[#This Row],[DeductFlag]],base&amp;"_"&amp;tblBaseCF[[#This Row],[SBCode]]&amp;"_"&amp;tblBaseCF[[#This Row],[Year]],"")</f>
        <v/>
      </c>
      <c r="CO108" s="3">
        <f ca="1">IFERROR(INDEX(tblSBRate[Index],MATCH(tblBaseCF[[#This Row],[SBIndex]],tblSBRate[Rate],0)),0)</f>
        <v>0</v>
      </c>
      <c r="CP108" s="63">
        <f ca="1">IFERROR(SUM(OFFSET(tblBaseCF[[#This Row],[TAVWithdrawal]],0,0,-sb_review_period,1)),0)
*(tblBaseCF[[#This Row],[SBRate]]&gt;0)</f>
        <v>0</v>
      </c>
      <c r="CQ108" s="63">
        <f ca="1">(tblBaseCF[[#This Row],[SBRate]]&gt;0)*(tblBaseCF[[#This Row],[SBTAVWithdrawal]]=0)</f>
        <v>0</v>
      </c>
      <c r="CR108" s="59" cm="1">
        <f t="array" aca="1" ref="CR108" ca="1">IF(tblBaseCF[[#This Row],[LBFlag]],
_xlfn.SWITCH(base,
"ILP1",0,tp),0)*tblBaseCF[[#This Row],[SBFlag]]</f>
        <v>0</v>
      </c>
      <c r="CS108" s="63">
        <f ca="1">tblBaseCF[[#This Row],[SBBasis]]*tblBaseCF[[#This Row],[SBRate]]</f>
        <v>0</v>
      </c>
      <c r="CT108" s="63">
        <f ca="1">tblBaseCF[[#This Row],[LB]]+tblBaseCF[[#This Row],[SB]]</f>
        <v>0</v>
      </c>
      <c r="CU108" s="59">
        <f ca="1">tblBaseCF[[#This Row],[TAVAfterWdrlAlloc]]-tblBaseCF[[#This Row],[TAVDeduct]]+tblBaseCF[[#This Row],[TAVInt]]+tblBaseCF[[#This Row],[Bonus]]</f>
        <v>0</v>
      </c>
      <c r="CV108" s="59">
        <f ca="1">tblBaseCF[[#This Row],[EAVAfterWdrlAlloc]]-tblBaseCF[[#This Row],[EAVDeduct]]+tblBaseCF[[#This Row],[EAVInt]]</f>
        <v>0</v>
      </c>
      <c r="CW108" s="63">
        <f ca="1">tblBaseCF[[#This Row],[EndTAV]]+tblBaseCF[[#This Row],[EndEAV]]</f>
        <v>0</v>
      </c>
      <c r="CX108" s="59">
        <f ca="1">INDEX(tblPlanPrem[TP],2)
*tblBaseCF[[#This Row],[TPTermFlag]]</f>
        <v>0</v>
      </c>
      <c r="CY108" s="59">
        <f ca="1">INDEX(tblPlanPrem[EP],2)
*tblBaseCF[[#This Row],[TPTermFlag]]</f>
        <v>0</v>
      </c>
      <c r="CZ108" s="63">
        <f ca="1">ROUNDUP(tblBaseCF[[#This Row],[UnroundedEMLoad]]*INDEX(tblPlanPrem[Factor],2),-3)</f>
        <v>0</v>
      </c>
      <c r="DA108" s="63">
        <f ca="1">ROUNDUP(tblBaseCF[[#This Row],[UnroundedPMLoad]]*INDEX(tblPlanPrem[Factor],2),-3)</f>
        <v>0</v>
      </c>
      <c r="DB108" s="63">
        <f ca="1">tblBaseCF[[#This Row],[SemiAnnualEMLoad]]+tblBaseCF[[#This Row],[SemiAnnualPMLoad]]</f>
        <v>0</v>
      </c>
      <c r="DC108" s="63">
        <f ca="1">tblBaseCF[[#This Row],[SemiAnnualTP]]+tblBaseCF[[#This Row],[SemiAnnualEP]]+tblBaseCF[[#This Row],[SemiAnnualLoad]]</f>
        <v>0</v>
      </c>
      <c r="DD108" s="59">
        <f ca="1">INDEX(tblPlanPrem[TP],3)
*tblBaseCF[[#This Row],[TPTermFlag]]</f>
        <v>0</v>
      </c>
      <c r="DE108" s="59">
        <f ca="1">INDEX(tblPlanPrem[EP],3)
*tblBaseCF[[#This Row],[TPTermFlag]]</f>
        <v>0</v>
      </c>
      <c r="DF108" s="63">
        <f ca="1">ROUNDUP(tblBaseCF[[#This Row],[UnroundedEMLoad]]*INDEX(tblPlanPrem[Factor],3),-3)</f>
        <v>0</v>
      </c>
      <c r="DG108" s="63">
        <f ca="1">ROUNDUP(tblBaseCF[[#This Row],[UnroundedPMLoad]]*INDEX(tblPlanPrem[Factor],3),-3)</f>
        <v>0</v>
      </c>
      <c r="DH108" s="60">
        <f ca="1">tblBaseCF[[#This Row],[QuarterlyEMLoad]]+tblBaseCF[[#This Row],[QuarterlyPMLoad]]</f>
        <v>0</v>
      </c>
      <c r="DI108" s="60">
        <f ca="1">tblBaseCF[[#This Row],[QuarterlyTP]]+tblBaseCF[[#This Row],[QuarterlyEP]]+tblBaseCF[[#This Row],[QuarterlyLoad]]</f>
        <v>0</v>
      </c>
      <c r="DJ108" s="59">
        <f ca="1">INDEX(tblPlanPrem[TP],4)
*tblBaseCF[[#This Row],[TPTermFlag]]</f>
        <v>0</v>
      </c>
      <c r="DK108" s="59">
        <f ca="1">INDEX(tblPlanPrem[EP],4)
*tblBaseCF[[#This Row],[TPTermFlag]]</f>
        <v>0</v>
      </c>
      <c r="DL108" s="63">
        <f ca="1">ROUNDUP(tblBaseCF[[#This Row],[UnroundedEMLoad]]*INDEX(tblPlanPrem[Factor],4),-3)</f>
        <v>0</v>
      </c>
      <c r="DM108" s="63">
        <f ca="1">ROUNDUP(tblBaseCF[[#This Row],[UnroundedPMLoad]]*INDEX(tblPlanPrem[Factor],4),-3)</f>
        <v>0</v>
      </c>
      <c r="DN108" s="60">
        <f ca="1">tblBaseCF[[#This Row],[MonthlyEMLoad]]+tblBaseCF[[#This Row],[MonthlyPMLoad]]</f>
        <v>0</v>
      </c>
      <c r="DO108" s="63">
        <f ca="1">tblBaseCF[[#This Row],[MonthlyTP]]+tblBaseCF[[#This Row],[MonthlyEP]]+tblBaseCF[[#This Row],[MonthlyLoad]]</f>
        <v>0</v>
      </c>
      <c r="DP108" s="3"/>
      <c r="DS108">
        <f t="shared" si="11"/>
        <v>0</v>
      </c>
      <c r="DT108">
        <f t="shared" si="12"/>
        <v>0</v>
      </c>
      <c r="DU108">
        <f t="shared" si="13"/>
        <v>0</v>
      </c>
      <c r="DV108">
        <f ca="1">tblBaseCF[[#This Row],[Year]]</f>
        <v>88</v>
      </c>
      <c r="DW108">
        <f ca="1">tblBaseCF[[#This Row],[Age]]</f>
        <v>87</v>
      </c>
      <c r="DX108">
        <f ca="1">tblBaseCF[[#This Row],[ContFlag]]</f>
        <v>0</v>
      </c>
      <c r="DY108" t="str">
        <f ca="1">tblBaseCF[[#This Row],[ContLog]]</f>
        <v>Insufficient PAV for deduction - Discontinue.</v>
      </c>
      <c r="DZ108">
        <f ca="1">tblBaseCF[[#This Row],[StartTAV]]</f>
        <v>0</v>
      </c>
      <c r="EA108">
        <f ca="1">tblBaseCF[[#This Row],[StartEAV]]</f>
        <v>0</v>
      </c>
      <c r="EB108">
        <f ca="1">tblBaseCF[[#This Row],[StartPAV]]</f>
        <v>0</v>
      </c>
      <c r="EC108">
        <f ca="1">tblBaseCF[[#This Row],[SVChrg]]</f>
        <v>0</v>
      </c>
      <c r="ED108">
        <f ca="1">tblBaseCF[[#This Row],[SV]]</f>
        <v>0</v>
      </c>
      <c r="EE108">
        <f ca="1">tblBaseCF[[#This Row],[Ben]]</f>
        <v>0</v>
      </c>
      <c r="EF108">
        <f ca="1">tblBaseCF[[#This Row],[AccBen]]</f>
        <v>0</v>
      </c>
      <c r="EG108">
        <f ca="1">tblBaseCF[[#This Row],[WithdrawalInput]]</f>
        <v>0</v>
      </c>
      <c r="EH108" t="str">
        <f ca="1">tblBaseCF[[#This Row],[WithdrawalLog]]</f>
        <v>No withdrawal.</v>
      </c>
      <c r="EI108">
        <f ca="1">tblBaseCF[[#This Row],[TAVWithdrawal]]</f>
        <v>0</v>
      </c>
      <c r="EJ108">
        <f ca="1">tblBaseCF[[#This Row],[EAVWithdrawal]]</f>
        <v>0</v>
      </c>
      <c r="EK108">
        <f ca="1">tblBaseCF[[#This Row],[Withdrawal]]</f>
        <v>0</v>
      </c>
      <c r="EL108">
        <f ca="1">tblBaseCF[[#This Row],[TP]]</f>
        <v>0</v>
      </c>
      <c r="EM108">
        <f ca="1">tblBaseCF[[#This Row],[TPAllocChrg]]</f>
        <v>0</v>
      </c>
      <c r="EN108">
        <f ca="1">tblBaseCF[[#This Row],[TPAlloc]]</f>
        <v>0</v>
      </c>
      <c r="EO108">
        <f ca="1">tblBaseCF[[#This Row],[EP]]</f>
        <v>0</v>
      </c>
      <c r="EP108">
        <f ca="1">tblBaseCF[[#This Row],[EPAllocChrg]]</f>
        <v>0</v>
      </c>
      <c r="EQ108">
        <f ca="1">tblBaseCF[[#This Row],[EPAlloc]]</f>
        <v>0</v>
      </c>
      <c r="ER108">
        <f ca="1">tblBaseCF[[#This Row],[EMLoad]]</f>
        <v>0</v>
      </c>
      <c r="ES108">
        <f ca="1">tblBaseCF[[#This Row],[PMLoad]]</f>
        <v>0</v>
      </c>
      <c r="ET108">
        <f ca="1">tblBaseCF[[#This Row],[Load]]</f>
        <v>0</v>
      </c>
      <c r="EU108">
        <f ca="1">tblBaseCF[[#This Row],[LoadAllocChrg]]</f>
        <v>0</v>
      </c>
      <c r="EV108">
        <f ca="1">tblBaseCF[[#This Row],[LoadAlloc]]</f>
        <v>0</v>
      </c>
      <c r="EW108">
        <f ca="1">tblBaseCF[[#This Row],[TotalPrem]]</f>
        <v>0</v>
      </c>
      <c r="EX108">
        <f ca="1">tblBaseCF[[#This Row],[AllocChrg]]</f>
        <v>0</v>
      </c>
      <c r="EY108">
        <f ca="1">tblBaseCF[[#This Row],[Alloc]]</f>
        <v>0</v>
      </c>
      <c r="EZ108">
        <f ca="1">tblBaseCF[[#This Row],[AccumTotalPrem]]</f>
        <v>0</v>
      </c>
      <c r="FA108">
        <f>tblBaseCF[[#This Row],[AnnualIntRate]]</f>
        <v>0</v>
      </c>
      <c r="FB108" s="50">
        <f>tblBaseCF[[#This Row],[Duean1m12]]</f>
        <v>1</v>
      </c>
      <c r="FC108">
        <f ca="1">tblBaseCF[[#This Row],[DeductFlag]]</f>
        <v>0</v>
      </c>
      <c r="FD108">
        <f ca="1">tblBaseCF[[#This Row],[AdminChrg]]</f>
        <v>0</v>
      </c>
      <c r="FE108">
        <f ca="1">tblBaseCF[[#This Row],[StandardCOI]]</f>
        <v>0</v>
      </c>
      <c r="FF108">
        <f ca="1">tblBaseCF[[#This Row],[EMLoadCOI]]</f>
        <v>0</v>
      </c>
      <c r="FG108">
        <f ca="1">tblBaseCF[[#This Row],[PMLoadCOI]]</f>
        <v>0</v>
      </c>
      <c r="FH108">
        <f ca="1">tblBaseCF[[#This Row],[COI]]</f>
        <v>0</v>
      </c>
      <c r="FI108" s="47">
        <f ca="1">tblBaseCF[[#This Row],[NomDeduct]]</f>
        <v>0</v>
      </c>
      <c r="FJ108">
        <f ca="1">tblBaseCF[[#This Row],[Deduct]]</f>
        <v>0</v>
      </c>
      <c r="FK108">
        <f ca="1">tblBaseCF[[#This Row],[TAVDeduct]]</f>
        <v>0</v>
      </c>
      <c r="FL108">
        <f ca="1">tblBaseCF[[#This Row],[EAVDeduct]]</f>
        <v>0</v>
      </c>
      <c r="FM108" s="24">
        <f ca="1">tblBaseCF[[#This Row],[TAVInt]]</f>
        <v>0</v>
      </c>
      <c r="FN108">
        <f ca="1">tblBaseCF[[#This Row],[EAVInt]]</f>
        <v>0</v>
      </c>
      <c r="FO108" s="47">
        <f ca="1">tblBaseCF[[#This Row],[LB]]</f>
        <v>0</v>
      </c>
      <c r="FP108">
        <f ca="1">tblBaseCF[[#This Row],[SB]]</f>
        <v>0</v>
      </c>
      <c r="FQ108">
        <f ca="1">tblBaseCF[[#This Row],[Bonus]]</f>
        <v>0</v>
      </c>
      <c r="FR108">
        <f ca="1">tblBaseCF[[#This Row],[EndTAV]]</f>
        <v>0</v>
      </c>
      <c r="FS108">
        <f ca="1">tblBaseCF[[#This Row],[EndEAV]]</f>
        <v>0</v>
      </c>
      <c r="FT108">
        <f ca="1">tblBaseCF[[#This Row],[EndPAV]]</f>
        <v>0</v>
      </c>
      <c r="FU108">
        <f ca="1">tblBaseCF[[#This Row],[SemiAnnualTP]]</f>
        <v>0</v>
      </c>
      <c r="FV108">
        <f ca="1">tblBaseCF[[#This Row],[SemiAnnualEP]]</f>
        <v>0</v>
      </c>
      <c r="FW108">
        <f ca="1">tblBaseCF[[#This Row],[SemiAnnualEMLoad]]</f>
        <v>0</v>
      </c>
      <c r="FX108">
        <f ca="1">tblBaseCF[[#This Row],[SemiAnnualPMLoad]]</f>
        <v>0</v>
      </c>
      <c r="FY108">
        <f ca="1">tblBaseCF[[#This Row],[SemiAnnualLoad]]</f>
        <v>0</v>
      </c>
      <c r="FZ108">
        <f ca="1">tblBaseCF[[#This Row],[SemiAnnualTotalPrem]]</f>
        <v>0</v>
      </c>
      <c r="GA108">
        <f ca="1">tblBaseCF[[#This Row],[QuarterlyTP]]</f>
        <v>0</v>
      </c>
      <c r="GB108">
        <f ca="1">tblBaseCF[[#This Row],[QuarterlyEP]]</f>
        <v>0</v>
      </c>
      <c r="GC108">
        <f ca="1">tblBaseCF[[#This Row],[QuarterlyEMLoad]]</f>
        <v>0</v>
      </c>
      <c r="GD108">
        <f ca="1">tblBaseCF[[#This Row],[QuarterlyPMLoad]]</f>
        <v>0</v>
      </c>
      <c r="GE108">
        <f ca="1">tblBaseCF[[#This Row],[QuarterlyLoad]]</f>
        <v>0</v>
      </c>
      <c r="GF108">
        <f ca="1">tblBaseCF[[#This Row],[QuarterlyTotalPrem]]</f>
        <v>0</v>
      </c>
      <c r="GG108">
        <f ca="1">tblBaseCF[[#This Row],[MonthlyTP]]</f>
        <v>0</v>
      </c>
      <c r="GH108">
        <f ca="1">tblBaseCF[[#This Row],[MonthlyEP]]</f>
        <v>0</v>
      </c>
      <c r="GI108">
        <f ca="1">tblBaseCF[[#This Row],[MonthlyEMLoad]]</f>
        <v>0</v>
      </c>
      <c r="GJ108">
        <f ca="1">tblBaseCF[[#This Row],[MonthlyPMLoad]]</f>
        <v>0</v>
      </c>
      <c r="GK108">
        <f ca="1">tblBaseCF[[#This Row],[MonthlyLoad]]</f>
        <v>0</v>
      </c>
      <c r="GL108">
        <f ca="1">tblBaseCF[[#This Row],[MonthlyTotalPrem]]</f>
        <v>0</v>
      </c>
      <c r="GO108" t="s">
        <v>134</v>
      </c>
      <c r="GP108" t="s">
        <v>135</v>
      </c>
      <c r="GQ108" t="s">
        <v>502</v>
      </c>
      <c r="GR108">
        <v>88</v>
      </c>
      <c r="GS108">
        <v>87</v>
      </c>
      <c r="GT108">
        <v>1</v>
      </c>
      <c r="GU108" t="s">
        <v>457</v>
      </c>
      <c r="GV108">
        <v>1700681723.3680799</v>
      </c>
      <c r="GW108">
        <v>14946147210.9631</v>
      </c>
      <c r="GX108">
        <v>16646828934.3312</v>
      </c>
      <c r="GY108">
        <v>0</v>
      </c>
      <c r="GZ108">
        <v>16646828934.3312</v>
      </c>
      <c r="HA108">
        <v>16646828934.3312</v>
      </c>
      <c r="HB108">
        <v>0</v>
      </c>
      <c r="HC108">
        <v>0</v>
      </c>
      <c r="HD108" t="s">
        <v>137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7.0000000000000007E-2</v>
      </c>
      <c r="HX108">
        <v>0.96964931039809399</v>
      </c>
      <c r="HY108">
        <v>1</v>
      </c>
      <c r="HZ108">
        <v>300000</v>
      </c>
      <c r="IA108">
        <v>0</v>
      </c>
      <c r="IB108">
        <v>0</v>
      </c>
      <c r="IC108">
        <v>0</v>
      </c>
      <c r="ID108">
        <v>0</v>
      </c>
      <c r="IE108">
        <v>300000</v>
      </c>
      <c r="IF108">
        <v>290894.79311942798</v>
      </c>
      <c r="IG108">
        <v>290894.79311942798</v>
      </c>
      <c r="IH108">
        <v>0</v>
      </c>
      <c r="II108">
        <v>119027358.000247</v>
      </c>
      <c r="IJ108">
        <v>1046230304.7674201</v>
      </c>
      <c r="IK108">
        <v>0</v>
      </c>
      <c r="IL108">
        <v>0</v>
      </c>
      <c r="IM108">
        <v>0</v>
      </c>
      <c r="IN108">
        <v>1819418186.5752101</v>
      </c>
      <c r="IO108">
        <v>15992377515.730499</v>
      </c>
      <c r="IP108">
        <v>17811795702.305698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</row>
    <row r="109" spans="2:268" customFormat="1" x14ac:dyDescent="0.25">
      <c r="B109" s="2">
        <f ca="1">OFFSET(tblBaseCF[[#This Row],[Year]],-1,0)+1</f>
        <v>89</v>
      </c>
      <c r="C109" s="2">
        <f ca="1">(tblBaseCF[[#This Row],[Year]]&lt;=term)*1</f>
        <v>1</v>
      </c>
      <c r="D109" s="57">
        <f ca="1">(YEAR(rcd)+tblBaseCF[[#This Row],[Year]]-1)
*tblBaseCF[[#This Row],[PolTermFlag]]</f>
        <v>2113</v>
      </c>
      <c r="E109" s="57">
        <f ca="1">(mainLI_entry_age+tblBaseCF[[#This Row],[Year]]-1)
*tblBaseCF[[#This Row],[PolTermFlag]]</f>
        <v>88</v>
      </c>
      <c r="F109" s="57">
        <f ca="1">IF(tblBaseCF[[#This Row],[Year]]=1,1,OFFSET(tblBaseCF[[#This Row],[DeductFlag]],-1,0))
*tblBaseCF[[#This Row],[PolTermFlag]]</f>
        <v>0</v>
      </c>
      <c r="G10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09" s="57">
        <f ca="1">(tblBaseCF[[#This Row],[Year]]&lt;=acc_ben_term)
*tblBaseCF[[#This Row],[ContFlag]]</f>
        <v>0</v>
      </c>
      <c r="I109" s="57">
        <f ca="1">(tblBaseCF[[#This Row],[Year]]&lt;=tp_term)
*tblBaseCF[[#This Row],[ContFlag]]</f>
        <v>0</v>
      </c>
      <c r="J109" s="57">
        <f ca="1">(tblBaseCF[[#This Row],[Year]]&lt;=ep_term)
*tblBaseCF[[#This Row],[ContFlag]]</f>
        <v>0</v>
      </c>
      <c r="K109" s="57">
        <f ca="1">(tblBaseCF[[#This Row],[Year]]&lt;=em_load_term)*1</f>
        <v>0</v>
      </c>
      <c r="L109" s="57">
        <f ca="1">(tblBaseCF[[#This Row],[Year]]&lt;=pm_load_term)*1</f>
        <v>0</v>
      </c>
      <c r="M109" s="59">
        <f ca="1">IF(tblBaseCF[[#This Row],[Year]]=1,si,OFFSET(tblBaseCF[[#This Row],[EndSI]],-1,0))
*tblBaseCF[[#This Row],[ContFlag]]</f>
        <v>0</v>
      </c>
      <c r="N109" s="59">
        <f ca="1">OFFSET(tblBaseCF[[#This Row],[EndTAV]],-1,0)
*tblBaseCF[[#This Row],[ContFlag]]</f>
        <v>0</v>
      </c>
      <c r="O109" s="59">
        <f ca="1">OFFSET(tblBaseCF[[#This Row],[EndEAV]],-1,0)
*tblBaseCF[[#This Row],[ContFlag]]</f>
        <v>0</v>
      </c>
      <c r="P109" s="60">
        <f ca="1">tblBaseCF[[#This Row],[StartEAV]]+tblBaseCF[[#This Row],[StartTAV]]</f>
        <v>0</v>
      </c>
      <c r="Q109" s="61">
        <f ca="1">IFERROR(INDEX(tblJuvenileLienRate[Rate],MATCH(tblBaseCF[[#This Row],[Age]],tblJuvenileLienRate[Age],0)),1)
*tblBaseCF[[#This Row],[ContFlag]]</f>
        <v>0</v>
      </c>
      <c r="R10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09" s="62">
        <f ca="1">tblBaseCF[[#This Row],[StartSI]]*acc_ben_coeff*tblBaseCF[[#This Row],[JuvenileLienRate]]
*tblBaseCF[[#This Row],[AccBenTermFlag]]</f>
        <v>0</v>
      </c>
      <c r="T109" s="61">
        <f ca="1">(IFERROR(INDEX(tblSurrChrgRate[Rate],MATCH(tblBaseCF[[#This Row],[Year]],tblSurrChrgRate[Year],0)),0)
*tblBaseCF[[#This Row],[ContFlag]])</f>
        <v>0</v>
      </c>
      <c r="U109" s="60">
        <f ca="1">tp*tblBaseCF[[#This Row],[SrrChrgRate]]</f>
        <v>0</v>
      </c>
      <c r="V109" s="63">
        <f ca="1">MAX(tblBaseCF[[#This Row],[StartTAV]]-tblBaseCF[[#This Row],[SVChrg]],0)+tblBaseCF[[#This Row],[StartEAV]]</f>
        <v>0</v>
      </c>
      <c r="W109" s="59">
        <f ca="1">IFERROR(INDEX(tblWithdrawal_Output[Amount],MATCH(tblBaseCF[[#This Row],[Year]],tblWithdrawal_Output[Year],0)),0)
*tblBaseCF[[#This Row],[ContFlag]]</f>
        <v>0</v>
      </c>
      <c r="X109" s="59" t="b">
        <f ca="1">tblBaseCF[[#This Row],[WithdrawalInput]]&gt;0</f>
        <v>0</v>
      </c>
      <c r="Y109" s="59" t="b">
        <f ca="1">AND(tblBaseCF[[#This Row],[1stCheckProceed]],tblBaseCF[[#This Row],[WithdrawalInput]]&lt;=tblBaseCF[[#This Row],[StartPAV]])</f>
        <v>0</v>
      </c>
      <c r="Z109" s="59" t="b">
        <f ca="1">AND(tblBaseCF[[#This Row],[2ndCheckAmount]],(tblBaseCF[[#This Row],[StartPAV]]-tblBaseCF[[#This Row],[WithdrawalInput]])&gt;=min_pav_after_withdrawal)</f>
        <v>0</v>
      </c>
      <c r="AA10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09" s="59" t="b">
        <f ca="1">AND(tblBaseCF[[#This Row],[3rdCheckPAV]],tblBaseCF[[#This Row],[endSITest]]&gt;=min_base_si)</f>
        <v>0</v>
      </c>
      <c r="AC109" s="60">
        <f ca="1">tblBaseCF[[#This Row],[WithdrawalInput]]*tblBaseCF[[#This Row],[4thCheckSI]]</f>
        <v>0</v>
      </c>
      <c r="AD109" s="60">
        <f ca="1">MIN(tblBaseCF[[#This Row],[Withdrawal]],tblBaseCF[[#This Row],[StartEAV]])</f>
        <v>0</v>
      </c>
      <c r="AE109" s="60">
        <f ca="1">tblBaseCF[[#This Row],[Withdrawal]]-tblBaseCF[[#This Row],[EAVWithdrawal]]</f>
        <v>0</v>
      </c>
      <c r="AF109" s="60">
        <f ca="1">IF(tblBaseCF[[#This Row],[4thCheckSI]],tblBaseCF[[#This Row],[endSITest]],tblBaseCF[[#This Row],[StartSI]])</f>
        <v>0</v>
      </c>
      <c r="AG10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09" s="65">
        <f ca="1">IFERROR(INDEX(tblTPAllocChrgRate[Rate],MATCH(tblBaseCF[[#This Row],[Year]],tblTPAllocChrgRate[Year],0)),0)</f>
        <v>0.02</v>
      </c>
      <c r="AI109" s="62">
        <f ca="1">(tp+big_case_bonus_tp*(tblBaseCF[[#This Row],[Year]]=1))
*tblBaseCF[[#This Row],[TPTermFlag]]</f>
        <v>0</v>
      </c>
      <c r="AJ109" s="63">
        <f ca="1">tblBaseCF[[#This Row],[TP]]*tblBaseCF[[#This Row],[TPAllocChrgRate]]</f>
        <v>0</v>
      </c>
      <c r="AK109" s="60">
        <f ca="1">tblBaseCF[[#This Row],[TP]]-tblBaseCF[[#This Row],[TPAllocChrg]]</f>
        <v>0</v>
      </c>
      <c r="AL109" s="65">
        <f ca="1">IFERROR(INDEX(tblEPAllocChrgRate[Rate],MATCH(tblBaseCF[[#This Row],[Year]],tblEPAllocChrgRate[Year],0)),0)</f>
        <v>0.02</v>
      </c>
      <c r="AM109" s="60">
        <f ca="1">ep*tblBaseCF[[#This Row],[EPTermFlag]]</f>
        <v>0</v>
      </c>
      <c r="AN109" s="60">
        <f ca="1">tblBaseCF[[#This Row],[EP]]*tblBaseCF[[#This Row],[EPAllocChrgRate]]</f>
        <v>0</v>
      </c>
      <c r="AO109" s="63">
        <f ca="1">tblBaseCF[[#This Row],[EP]]-tblBaseCF[[#This Row],[EPAllocChrg]]</f>
        <v>0</v>
      </c>
      <c r="AP109" s="62">
        <f ca="1">tblBaseCF[[#This Row],[Ben]]*extra_prem_rate*em_load/1000/(1-tblBaseCF[[#This Row],[EPAllocChrgRate]])
*tblBaseCF[[#This Row],[EMLoadTermFlag]]</f>
        <v>0</v>
      </c>
      <c r="AQ109" s="62">
        <f ca="1">tblBaseCF[[#This Row],[Ben]]*pm_load/1000/(1-tblBaseCF[[#This Row],[EPAllocChrgRate]])
*tblBaseCF[[#This Row],[PMLoadTermFlag]]</f>
        <v>0</v>
      </c>
      <c r="AR109" s="60">
        <f ca="1">ROUNDUP(tblBaseCF[[#This Row],[UnroundedEMLoad]],-3)</f>
        <v>0</v>
      </c>
      <c r="AS109" s="62">
        <f ca="1">ROUNDUP(tblBaseCF[[#This Row],[Ben]]*pm_load/1000/(1-tblBaseCF[[#This Row],[EPAllocChrgRate]]),-3)
*tblBaseCF[[#This Row],[PMLoadTermFlag]]</f>
        <v>0</v>
      </c>
      <c r="AT109" s="60">
        <f ca="1">tblBaseCF[[#This Row],[EMLoad]]+tblBaseCF[[#This Row],[PMLoad]]</f>
        <v>0</v>
      </c>
      <c r="AU109" s="60">
        <f ca="1">tblBaseCF[[#This Row],[Load]]*tblBaseCF[[#This Row],[EPAllocChrgRate]]</f>
        <v>0</v>
      </c>
      <c r="AV109" s="60">
        <f ca="1">tblBaseCF[[#This Row],[Load]]-tblBaseCF[[#This Row],[LoadAllocChrg]]</f>
        <v>0</v>
      </c>
      <c r="AW109" s="60">
        <f ca="1">tblBaseCF[[#This Row],[TP]]+tblBaseCF[[#This Row],[EP]]+tblBaseCF[[#This Row],[Load]]</f>
        <v>0</v>
      </c>
      <c r="AX109" s="60">
        <f ca="1">tblBaseCF[[#This Row],[TPAllocChrg]]+tblBaseCF[[#This Row],[EPAllocChrg]]+tblBaseCF[[#This Row],[LoadAllocChrg]]</f>
        <v>0</v>
      </c>
      <c r="AY109" s="60">
        <f ca="1">tblBaseCF[[#This Row],[TPAlloc]]+tblBaseCF[[#This Row],[EPAlloc]]+tblBaseCF[[#This Row],[LoadAlloc]]</f>
        <v>0</v>
      </c>
      <c r="AZ109" s="60">
        <f ca="1">(OFFSET(tblBaseCF[[#This Row],[AccumTotalPrem]],-1,0)+tblBaseCF[[#This Row],[TotalPrem]])*tblBaseCF[[#This Row],[TPTermFlag]]</f>
        <v>0</v>
      </c>
      <c r="BA109" s="62">
        <f ca="1">(tblBaseCF[[#This Row],[StartTAV]]-tblBaseCF[[#This Row],[TAVWithdrawal]]+tblBaseCF[[#This Row],[TPAlloc]])
*tblBaseCF[[#This Row],[ContFlag]]</f>
        <v>0</v>
      </c>
      <c r="BB109" s="59">
        <f ca="1">(tblBaseCF[[#This Row],[StartEAV]]-tblBaseCF[[#This Row],[EAVWithdrawal]]+tblBaseCF[[#This Row],[EPAlloc]]+tblBaseCF[[#This Row],[LoadAlloc]])
*tblBaseCF[[#This Row],[ContFlag]]</f>
        <v>0</v>
      </c>
      <c r="BC109" s="59">
        <f ca="1">tblBaseCF[[#This Row],[TAVAfterWdrlAlloc]]+tblBaseCF[[#This Row],[EAVAfterWdrlAlloc]]</f>
        <v>0</v>
      </c>
      <c r="BD109" s="66">
        <f t="shared" si="10"/>
        <v>0</v>
      </c>
      <c r="BE109" s="67">
        <f>(1+tblBaseCF[[#This Row],[AnnualIntRate]])^(1/12)-1</f>
        <v>0</v>
      </c>
      <c r="BF109" s="68">
        <f>IFERROR(((1+tblBaseCF[[#This Row],[MonthlyIntRate]])^12-1)/12/(1-1/(1+tblBaseCF[[#This Row],[MonthlyIntRate]])),1)/(1+tblBaseCF[[#This Row],[AnnualIntRate]])</f>
        <v>1</v>
      </c>
      <c r="BG109" s="69">
        <f>PV(tblBaseCF[[#This Row],[MonthlyIntRate]],12,-1/12,,1)</f>
        <v>1</v>
      </c>
      <c r="BH109" s="60">
        <f ca="1">MAX(IF(death_tpd_option="A",tblBaseCF[[#This Row],[Ben]]-tblBaseCF[[#This Row],[StartPAV]],tblBaseCF[[#This Row],[Ben]]),0)</f>
        <v>0</v>
      </c>
      <c r="BI109" s="70">
        <f ca="1">IFERROR(INDEX(tblBaseCOIRate[Rate],MATCH(tblBaseCF[[#This Row],[Age]],tblBaseCOIRate[Age],0)),0)</f>
        <v>0.16538</v>
      </c>
      <c r="BJ109" s="60">
        <f ca="1">tblBaseCF[[#This Row],[SAR]]*tblBaseCF[[#This Row],[COIRate]]</f>
        <v>0</v>
      </c>
      <c r="BK109" s="62">
        <f ca="1">em_load*tblBaseCF[[#This Row],[pStandardCOI]]
*tblBaseCF[[#This Row],[EMLoadTermFlag]]</f>
        <v>0</v>
      </c>
      <c r="BL109" s="62">
        <f ca="1">pm_load/1000*tblBaseCF[[#This Row],[SAR]]
*tblBaseCF[[#This Row],[PMLoadTermFlag]]</f>
        <v>0</v>
      </c>
      <c r="BM109" s="60">
        <f ca="1">tblBaseCF[[#This Row],[AccBen]]*monthly_acc_coi*12</f>
        <v>0</v>
      </c>
      <c r="BN109" s="60">
        <f ca="1">tblBaseCF[[#This Row],[pStandardCOI]]+tblBaseCF[[#This Row],[pEMLoadCOI]]+tblBaseCF[[#This Row],[pPMLoadCOI]]+tblBaseCF[[#This Row],[pAccCOI]]</f>
        <v>0</v>
      </c>
      <c r="BO109" s="62">
        <f ca="1">IFERROR(INDEX(tblAdminChrg[Amount],MATCH(tblBaseCF[[#This Row],[CalYear]],tblAdminChrg[Cal_Year],0)),0)
*tblBaseCF[[#This Row],[ContFlag]]</f>
        <v>0</v>
      </c>
      <c r="BP109" s="60">
        <f ca="1">tblBaseCF[[#This Row],[pMonthlyAdminChrg]]*12</f>
        <v>0</v>
      </c>
      <c r="BQ109" s="60">
        <f ca="1">tblBaseCF[[#This Row],[pCOI]]+tblBaseCF[[#This Row],[pAdminChrg]]</f>
        <v>0</v>
      </c>
      <c r="BR109" s="60">
        <f ca="1">tblBaseCF[[#This Row],[pNomDeduct]]*tblBaseCF[[#This Row],[Duean1m12]]</f>
        <v>0</v>
      </c>
      <c r="BS109" s="57">
        <f ca="1">(tblBaseCF[[#This Row],[PAVAfterWdrlAlloc]]&gt;=tblBaseCF[[#This Row],[pNomDeduct]])
*tblBaseCF[[#This Row],[ContFlag]]</f>
        <v>0</v>
      </c>
      <c r="BT109" s="60">
        <f ca="1">tblBaseCF[[#This Row],[pStandardCOI]]*tblBaseCF[[#This Row],[DeductFlag]]</f>
        <v>0</v>
      </c>
      <c r="BU109" s="60">
        <f ca="1">tblBaseCF[[#This Row],[pEMLoadCOI]]*tblBaseCF[[#This Row],[DeductFlag]]</f>
        <v>0</v>
      </c>
      <c r="BV109" s="60">
        <f ca="1">tblBaseCF[[#This Row],[pPMLoadCOI]]*tblBaseCF[[#This Row],[DeductFlag]]</f>
        <v>0</v>
      </c>
      <c r="BW109" s="60">
        <f ca="1">tblBaseCF[[#This Row],[pAccCOI]]*tblBaseCF[[#This Row],[DeductFlag]]</f>
        <v>0</v>
      </c>
      <c r="BX109" s="60">
        <f ca="1">tblBaseCF[[#This Row],[pCOI]]*tblBaseCF[[#This Row],[DeductFlag]]</f>
        <v>0</v>
      </c>
      <c r="BY109" s="60">
        <f ca="1">tblBaseCF[[#This Row],[pMonthlyAdminChrg]]*tblBaseCF[[#This Row],[DeductFlag]]</f>
        <v>0</v>
      </c>
      <c r="BZ109" s="60">
        <f ca="1">tblBaseCF[[#This Row],[pAdminChrg]]*tblBaseCF[[#This Row],[DeductFlag]]</f>
        <v>0</v>
      </c>
      <c r="CA109" s="60">
        <f ca="1">tblBaseCF[[#This Row],[pNomDeduct]]*tblBaseCF[[#This Row],[DeductFlag]]</f>
        <v>0</v>
      </c>
      <c r="CB109" s="60">
        <f ca="1">tblBaseCF[[#This Row],[pDeduct]]*tblBaseCF[[#This Row],[DeductFlag]]</f>
        <v>0</v>
      </c>
      <c r="CC109" s="60">
        <f ca="1">MIN(tblBaseCF[[#This Row],[TAVAfterWdrlAlloc]],tblBaseCF[[#This Row],[Deduct]])</f>
        <v>0</v>
      </c>
      <c r="CD109" s="60">
        <f ca="1">tblBaseCF[[#This Row],[Deduct]]-tblBaseCF[[#This Row],[TAVDeduct]]</f>
        <v>0</v>
      </c>
      <c r="CE109" s="69">
        <f ca="1">(tblBaseCF[[#This Row],[TAVAfterWdrlAlloc]]-tblBaseCF[[#This Row],[TAVDeduct]])*tblBaseCF[[#This Row],[AnnualIntRate]]
*tblBaseCF[[#This Row],[DeductFlag]]</f>
        <v>0</v>
      </c>
      <c r="CF109" s="69">
        <f ca="1">(tblBaseCF[[#This Row],[EAVAfterWdrlAlloc]]-tblBaseCF[[#This Row],[EAVDeduct]])*tblBaseCF[[#This Row],[AnnualIntRate]]
*tblBaseCF[[#This Row],[DeductFlag]]</f>
        <v>0</v>
      </c>
      <c r="CG109" s="69">
        <f ca="1">tblBaseCF[[#This Row],[TAVInt]]+tblBaseCF[[#This Row],[EAVInt]]</f>
        <v>0</v>
      </c>
      <c r="CH109" s="62">
        <f ca="1">IFERROR(INDEX(tblLBRate[Rate],MATCH(tblBaseCF[[#This Row],[Year]],tblLBRate[Year],0)),0)
*tblBaseCF[[#This Row],[DeductFlag]]</f>
        <v>0</v>
      </c>
      <c r="CI109" s="60">
        <f ca="1">IFERROR(SUM(OFFSET(tblBaseCF[[#This Row],[TAVWithdrawal]],0,0,-lb_review_period,1)),0)
*(tblBaseCF[[#This Row],[LBRate]]&gt;0)</f>
        <v>0</v>
      </c>
      <c r="CJ109" s="60">
        <f ca="1">(tblBaseCF[[#This Row],[LBRate]]&gt;0)*(tblBaseCF[[#This Row],[LBTAVWithdrawal]]=0)</f>
        <v>0</v>
      </c>
      <c r="CK109" s="62" cm="1">
        <f t="array" aca="1" ref="CK109" ca="1">IF(tblBaseCF[[#This Row],[LBFlag]],
_xlfn.SWITCH(base,
"ILP1",AVERAGE(OFFSET(tblBaseCF[TP],0,0,-lb_review_period,1)),tp),0)
*tblBaseCF[[#This Row],[LBFlag]]</f>
        <v>0</v>
      </c>
      <c r="CL109" s="62">
        <f ca="1">tblBaseCF[[#This Row],[LBBasis]]*tblBaseCF[[#This Row],[LBRate]]</f>
        <v>0</v>
      </c>
      <c r="CM109" s="57" cm="1">
        <f t="array" aca="1" ref="CM109" ca="1">_xlfn.SWITCH(base,
"ILP1",0,($AF209&lt;500000000)*1
+($AF209&gt;=500000000)*($AF209&lt;1000000000)*2
+($AF209&gt;=1000000000)*3)
*tblBaseCF[[#This Row],[DeductFlag]]</f>
        <v>0</v>
      </c>
      <c r="CN109" s="2" t="str">
        <f ca="1">IF(tblBaseCF[[#This Row],[DeductFlag]],base&amp;"_"&amp;tblBaseCF[[#This Row],[SBCode]]&amp;"_"&amp;tblBaseCF[[#This Row],[Year]],"")</f>
        <v/>
      </c>
      <c r="CO109" s="3">
        <f ca="1">IFERROR(INDEX(tblSBRate[Index],MATCH(tblBaseCF[[#This Row],[SBIndex]],tblSBRate[Rate],0)),0)</f>
        <v>0</v>
      </c>
      <c r="CP109" s="63">
        <f ca="1">IFERROR(SUM(OFFSET(tblBaseCF[[#This Row],[TAVWithdrawal]],0,0,-sb_review_period,1)),0)
*(tblBaseCF[[#This Row],[SBRate]]&gt;0)</f>
        <v>0</v>
      </c>
      <c r="CQ109" s="63">
        <f ca="1">(tblBaseCF[[#This Row],[SBRate]]&gt;0)*(tblBaseCF[[#This Row],[SBTAVWithdrawal]]=0)</f>
        <v>0</v>
      </c>
      <c r="CR109" s="59" cm="1">
        <f t="array" aca="1" ref="CR109" ca="1">IF(tblBaseCF[[#This Row],[LBFlag]],
_xlfn.SWITCH(base,
"ILP1",0,tp),0)*tblBaseCF[[#This Row],[SBFlag]]</f>
        <v>0</v>
      </c>
      <c r="CS109" s="63">
        <f ca="1">tblBaseCF[[#This Row],[SBBasis]]*tblBaseCF[[#This Row],[SBRate]]</f>
        <v>0</v>
      </c>
      <c r="CT109" s="63">
        <f ca="1">tblBaseCF[[#This Row],[LB]]+tblBaseCF[[#This Row],[SB]]</f>
        <v>0</v>
      </c>
      <c r="CU109" s="59">
        <f ca="1">tblBaseCF[[#This Row],[TAVAfterWdrlAlloc]]-tblBaseCF[[#This Row],[TAVDeduct]]+tblBaseCF[[#This Row],[TAVInt]]+tblBaseCF[[#This Row],[Bonus]]</f>
        <v>0</v>
      </c>
      <c r="CV109" s="59">
        <f ca="1">tblBaseCF[[#This Row],[EAVAfterWdrlAlloc]]-tblBaseCF[[#This Row],[EAVDeduct]]+tblBaseCF[[#This Row],[EAVInt]]</f>
        <v>0</v>
      </c>
      <c r="CW109" s="63">
        <f ca="1">tblBaseCF[[#This Row],[EndTAV]]+tblBaseCF[[#This Row],[EndEAV]]</f>
        <v>0</v>
      </c>
      <c r="CX109" s="59">
        <f ca="1">INDEX(tblPlanPrem[TP],2)
*tblBaseCF[[#This Row],[TPTermFlag]]</f>
        <v>0</v>
      </c>
      <c r="CY109" s="59">
        <f ca="1">INDEX(tblPlanPrem[EP],2)
*tblBaseCF[[#This Row],[TPTermFlag]]</f>
        <v>0</v>
      </c>
      <c r="CZ109" s="63">
        <f ca="1">ROUNDUP(tblBaseCF[[#This Row],[UnroundedEMLoad]]*INDEX(tblPlanPrem[Factor],2),-3)</f>
        <v>0</v>
      </c>
      <c r="DA109" s="63">
        <f ca="1">ROUNDUP(tblBaseCF[[#This Row],[UnroundedPMLoad]]*INDEX(tblPlanPrem[Factor],2),-3)</f>
        <v>0</v>
      </c>
      <c r="DB109" s="63">
        <f ca="1">tblBaseCF[[#This Row],[SemiAnnualEMLoad]]+tblBaseCF[[#This Row],[SemiAnnualPMLoad]]</f>
        <v>0</v>
      </c>
      <c r="DC109" s="63">
        <f ca="1">tblBaseCF[[#This Row],[SemiAnnualTP]]+tblBaseCF[[#This Row],[SemiAnnualEP]]+tblBaseCF[[#This Row],[SemiAnnualLoad]]</f>
        <v>0</v>
      </c>
      <c r="DD109" s="59">
        <f ca="1">INDEX(tblPlanPrem[TP],3)
*tblBaseCF[[#This Row],[TPTermFlag]]</f>
        <v>0</v>
      </c>
      <c r="DE109" s="59">
        <f ca="1">INDEX(tblPlanPrem[EP],3)
*tblBaseCF[[#This Row],[TPTermFlag]]</f>
        <v>0</v>
      </c>
      <c r="DF109" s="63">
        <f ca="1">ROUNDUP(tblBaseCF[[#This Row],[UnroundedEMLoad]]*INDEX(tblPlanPrem[Factor],3),-3)</f>
        <v>0</v>
      </c>
      <c r="DG109" s="63">
        <f ca="1">ROUNDUP(tblBaseCF[[#This Row],[UnroundedPMLoad]]*INDEX(tblPlanPrem[Factor],3),-3)</f>
        <v>0</v>
      </c>
      <c r="DH109" s="60">
        <f ca="1">tblBaseCF[[#This Row],[QuarterlyEMLoad]]+tblBaseCF[[#This Row],[QuarterlyPMLoad]]</f>
        <v>0</v>
      </c>
      <c r="DI109" s="60">
        <f ca="1">tblBaseCF[[#This Row],[QuarterlyTP]]+tblBaseCF[[#This Row],[QuarterlyEP]]+tblBaseCF[[#This Row],[QuarterlyLoad]]</f>
        <v>0</v>
      </c>
      <c r="DJ109" s="59">
        <f ca="1">INDEX(tblPlanPrem[TP],4)
*tblBaseCF[[#This Row],[TPTermFlag]]</f>
        <v>0</v>
      </c>
      <c r="DK109" s="59">
        <f ca="1">INDEX(tblPlanPrem[EP],4)
*tblBaseCF[[#This Row],[TPTermFlag]]</f>
        <v>0</v>
      </c>
      <c r="DL109" s="63">
        <f ca="1">ROUNDUP(tblBaseCF[[#This Row],[UnroundedEMLoad]]*INDEX(tblPlanPrem[Factor],4),-3)</f>
        <v>0</v>
      </c>
      <c r="DM109" s="63">
        <f ca="1">ROUNDUP(tblBaseCF[[#This Row],[UnroundedPMLoad]]*INDEX(tblPlanPrem[Factor],4),-3)</f>
        <v>0</v>
      </c>
      <c r="DN109" s="60">
        <f ca="1">tblBaseCF[[#This Row],[MonthlyEMLoad]]+tblBaseCF[[#This Row],[MonthlyPMLoad]]</f>
        <v>0</v>
      </c>
      <c r="DO109" s="63">
        <f ca="1">tblBaseCF[[#This Row],[MonthlyTP]]+tblBaseCF[[#This Row],[MonthlyEP]]+tblBaseCF[[#This Row],[MonthlyLoad]]</f>
        <v>0</v>
      </c>
      <c r="DP109" s="3"/>
      <c r="DS109">
        <f t="shared" si="11"/>
        <v>0</v>
      </c>
      <c r="DT109">
        <f t="shared" si="12"/>
        <v>0</v>
      </c>
      <c r="DU109">
        <f t="shared" si="13"/>
        <v>0</v>
      </c>
      <c r="DV109">
        <f ca="1">tblBaseCF[[#This Row],[Year]]</f>
        <v>89</v>
      </c>
      <c r="DW109">
        <f ca="1">tblBaseCF[[#This Row],[Age]]</f>
        <v>88</v>
      </c>
      <c r="DX109">
        <f ca="1">tblBaseCF[[#This Row],[ContFlag]]</f>
        <v>0</v>
      </c>
      <c r="DY109" t="str">
        <f ca="1">tblBaseCF[[#This Row],[ContLog]]</f>
        <v>Insufficient PAV for deduction - Discontinue.</v>
      </c>
      <c r="DZ109">
        <f ca="1">tblBaseCF[[#This Row],[StartTAV]]</f>
        <v>0</v>
      </c>
      <c r="EA109">
        <f ca="1">tblBaseCF[[#This Row],[StartEAV]]</f>
        <v>0</v>
      </c>
      <c r="EB109">
        <f ca="1">tblBaseCF[[#This Row],[StartPAV]]</f>
        <v>0</v>
      </c>
      <c r="EC109">
        <f ca="1">tblBaseCF[[#This Row],[SVChrg]]</f>
        <v>0</v>
      </c>
      <c r="ED109">
        <f ca="1">tblBaseCF[[#This Row],[SV]]</f>
        <v>0</v>
      </c>
      <c r="EE109">
        <f ca="1">tblBaseCF[[#This Row],[Ben]]</f>
        <v>0</v>
      </c>
      <c r="EF109">
        <f ca="1">tblBaseCF[[#This Row],[AccBen]]</f>
        <v>0</v>
      </c>
      <c r="EG109">
        <f ca="1">tblBaseCF[[#This Row],[WithdrawalInput]]</f>
        <v>0</v>
      </c>
      <c r="EH109" t="str">
        <f ca="1">tblBaseCF[[#This Row],[WithdrawalLog]]</f>
        <v>No withdrawal.</v>
      </c>
      <c r="EI109">
        <f ca="1">tblBaseCF[[#This Row],[TAVWithdrawal]]</f>
        <v>0</v>
      </c>
      <c r="EJ109">
        <f ca="1">tblBaseCF[[#This Row],[EAVWithdrawal]]</f>
        <v>0</v>
      </c>
      <c r="EK109">
        <f ca="1">tblBaseCF[[#This Row],[Withdrawal]]</f>
        <v>0</v>
      </c>
      <c r="EL109">
        <f ca="1">tblBaseCF[[#This Row],[TP]]</f>
        <v>0</v>
      </c>
      <c r="EM109">
        <f ca="1">tblBaseCF[[#This Row],[TPAllocChrg]]</f>
        <v>0</v>
      </c>
      <c r="EN109">
        <f ca="1">tblBaseCF[[#This Row],[TPAlloc]]</f>
        <v>0</v>
      </c>
      <c r="EO109">
        <f ca="1">tblBaseCF[[#This Row],[EP]]</f>
        <v>0</v>
      </c>
      <c r="EP109">
        <f ca="1">tblBaseCF[[#This Row],[EPAllocChrg]]</f>
        <v>0</v>
      </c>
      <c r="EQ109">
        <f ca="1">tblBaseCF[[#This Row],[EPAlloc]]</f>
        <v>0</v>
      </c>
      <c r="ER109">
        <f ca="1">tblBaseCF[[#This Row],[EMLoad]]</f>
        <v>0</v>
      </c>
      <c r="ES109">
        <f ca="1">tblBaseCF[[#This Row],[PMLoad]]</f>
        <v>0</v>
      </c>
      <c r="ET109">
        <f ca="1">tblBaseCF[[#This Row],[Load]]</f>
        <v>0</v>
      </c>
      <c r="EU109">
        <f ca="1">tblBaseCF[[#This Row],[LoadAllocChrg]]</f>
        <v>0</v>
      </c>
      <c r="EV109">
        <f ca="1">tblBaseCF[[#This Row],[LoadAlloc]]</f>
        <v>0</v>
      </c>
      <c r="EW109">
        <f ca="1">tblBaseCF[[#This Row],[TotalPrem]]</f>
        <v>0</v>
      </c>
      <c r="EX109">
        <f ca="1">tblBaseCF[[#This Row],[AllocChrg]]</f>
        <v>0</v>
      </c>
      <c r="EY109">
        <f ca="1">tblBaseCF[[#This Row],[Alloc]]</f>
        <v>0</v>
      </c>
      <c r="EZ109">
        <f ca="1">tblBaseCF[[#This Row],[AccumTotalPrem]]</f>
        <v>0</v>
      </c>
      <c r="FA109">
        <f>tblBaseCF[[#This Row],[AnnualIntRate]]</f>
        <v>0</v>
      </c>
      <c r="FB109" s="50">
        <f>tblBaseCF[[#This Row],[Duean1m12]]</f>
        <v>1</v>
      </c>
      <c r="FC109">
        <f ca="1">tblBaseCF[[#This Row],[DeductFlag]]</f>
        <v>0</v>
      </c>
      <c r="FD109">
        <f ca="1">tblBaseCF[[#This Row],[AdminChrg]]</f>
        <v>0</v>
      </c>
      <c r="FE109">
        <f ca="1">tblBaseCF[[#This Row],[StandardCOI]]</f>
        <v>0</v>
      </c>
      <c r="FF109">
        <f ca="1">tblBaseCF[[#This Row],[EMLoadCOI]]</f>
        <v>0</v>
      </c>
      <c r="FG109">
        <f ca="1">tblBaseCF[[#This Row],[PMLoadCOI]]</f>
        <v>0</v>
      </c>
      <c r="FH109">
        <f ca="1">tblBaseCF[[#This Row],[COI]]</f>
        <v>0</v>
      </c>
      <c r="FI109" s="47">
        <f ca="1">tblBaseCF[[#This Row],[NomDeduct]]</f>
        <v>0</v>
      </c>
      <c r="FJ109">
        <f ca="1">tblBaseCF[[#This Row],[Deduct]]</f>
        <v>0</v>
      </c>
      <c r="FK109">
        <f ca="1">tblBaseCF[[#This Row],[TAVDeduct]]</f>
        <v>0</v>
      </c>
      <c r="FL109">
        <f ca="1">tblBaseCF[[#This Row],[EAVDeduct]]</f>
        <v>0</v>
      </c>
      <c r="FM109" s="24">
        <f ca="1">tblBaseCF[[#This Row],[TAVInt]]</f>
        <v>0</v>
      </c>
      <c r="FN109">
        <f ca="1">tblBaseCF[[#This Row],[EAVInt]]</f>
        <v>0</v>
      </c>
      <c r="FO109" s="47">
        <f ca="1">tblBaseCF[[#This Row],[LB]]</f>
        <v>0</v>
      </c>
      <c r="FP109">
        <f ca="1">tblBaseCF[[#This Row],[SB]]</f>
        <v>0</v>
      </c>
      <c r="FQ109">
        <f ca="1">tblBaseCF[[#This Row],[Bonus]]</f>
        <v>0</v>
      </c>
      <c r="FR109">
        <f ca="1">tblBaseCF[[#This Row],[EndTAV]]</f>
        <v>0</v>
      </c>
      <c r="FS109">
        <f ca="1">tblBaseCF[[#This Row],[EndEAV]]</f>
        <v>0</v>
      </c>
      <c r="FT109">
        <f ca="1">tblBaseCF[[#This Row],[EndPAV]]</f>
        <v>0</v>
      </c>
      <c r="FU109">
        <f ca="1">tblBaseCF[[#This Row],[SemiAnnualTP]]</f>
        <v>0</v>
      </c>
      <c r="FV109">
        <f ca="1">tblBaseCF[[#This Row],[SemiAnnualEP]]</f>
        <v>0</v>
      </c>
      <c r="FW109">
        <f ca="1">tblBaseCF[[#This Row],[SemiAnnualEMLoad]]</f>
        <v>0</v>
      </c>
      <c r="FX109">
        <f ca="1">tblBaseCF[[#This Row],[SemiAnnualPMLoad]]</f>
        <v>0</v>
      </c>
      <c r="FY109">
        <f ca="1">tblBaseCF[[#This Row],[SemiAnnualLoad]]</f>
        <v>0</v>
      </c>
      <c r="FZ109">
        <f ca="1">tblBaseCF[[#This Row],[SemiAnnualTotalPrem]]</f>
        <v>0</v>
      </c>
      <c r="GA109">
        <f ca="1">tblBaseCF[[#This Row],[QuarterlyTP]]</f>
        <v>0</v>
      </c>
      <c r="GB109">
        <f ca="1">tblBaseCF[[#This Row],[QuarterlyEP]]</f>
        <v>0</v>
      </c>
      <c r="GC109">
        <f ca="1">tblBaseCF[[#This Row],[QuarterlyEMLoad]]</f>
        <v>0</v>
      </c>
      <c r="GD109">
        <f ca="1">tblBaseCF[[#This Row],[QuarterlyPMLoad]]</f>
        <v>0</v>
      </c>
      <c r="GE109">
        <f ca="1">tblBaseCF[[#This Row],[QuarterlyLoad]]</f>
        <v>0</v>
      </c>
      <c r="GF109">
        <f ca="1">tblBaseCF[[#This Row],[QuarterlyTotalPrem]]</f>
        <v>0</v>
      </c>
      <c r="GG109">
        <f ca="1">tblBaseCF[[#This Row],[MonthlyTP]]</f>
        <v>0</v>
      </c>
      <c r="GH109">
        <f ca="1">tblBaseCF[[#This Row],[MonthlyEP]]</f>
        <v>0</v>
      </c>
      <c r="GI109">
        <f ca="1">tblBaseCF[[#This Row],[MonthlyEMLoad]]</f>
        <v>0</v>
      </c>
      <c r="GJ109">
        <f ca="1">tblBaseCF[[#This Row],[MonthlyPMLoad]]</f>
        <v>0</v>
      </c>
      <c r="GK109">
        <f ca="1">tblBaseCF[[#This Row],[MonthlyLoad]]</f>
        <v>0</v>
      </c>
      <c r="GL109">
        <f ca="1">tblBaseCF[[#This Row],[MonthlyTotalPrem]]</f>
        <v>0</v>
      </c>
      <c r="GO109" t="s">
        <v>134</v>
      </c>
      <c r="GP109" t="s">
        <v>135</v>
      </c>
      <c r="GQ109" t="s">
        <v>502</v>
      </c>
      <c r="GR109">
        <v>89</v>
      </c>
      <c r="GS109">
        <v>88</v>
      </c>
      <c r="GT109">
        <v>1</v>
      </c>
      <c r="GU109" t="s">
        <v>457</v>
      </c>
      <c r="GV109">
        <v>1819418186.5752101</v>
      </c>
      <c r="GW109">
        <v>15992377515.730499</v>
      </c>
      <c r="GX109">
        <v>17811795702.305698</v>
      </c>
      <c r="GY109">
        <v>0</v>
      </c>
      <c r="GZ109">
        <v>17811795702.305698</v>
      </c>
      <c r="HA109">
        <v>17811795702.305698</v>
      </c>
      <c r="HB109">
        <v>0</v>
      </c>
      <c r="HC109">
        <v>0</v>
      </c>
      <c r="HD109" t="s">
        <v>137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7.0000000000000007E-2</v>
      </c>
      <c r="HX109">
        <v>0.96964931039809399</v>
      </c>
      <c r="HY109">
        <v>1</v>
      </c>
      <c r="HZ109">
        <v>300000</v>
      </c>
      <c r="IA109">
        <v>0</v>
      </c>
      <c r="IB109">
        <v>0</v>
      </c>
      <c r="IC109">
        <v>0</v>
      </c>
      <c r="ID109">
        <v>0</v>
      </c>
      <c r="IE109">
        <v>300000</v>
      </c>
      <c r="IF109">
        <v>290894.79311942798</v>
      </c>
      <c r="IG109">
        <v>290894.79311942798</v>
      </c>
      <c r="IH109">
        <v>0</v>
      </c>
      <c r="II109">
        <v>127338910.42474601</v>
      </c>
      <c r="IJ109">
        <v>1119466426.10114</v>
      </c>
      <c r="IK109">
        <v>0</v>
      </c>
      <c r="IL109">
        <v>0</v>
      </c>
      <c r="IM109">
        <v>0</v>
      </c>
      <c r="IN109">
        <v>1946466202.20684</v>
      </c>
      <c r="IO109">
        <v>17111843941.831699</v>
      </c>
      <c r="IP109">
        <v>19058310144.038502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</row>
    <row r="110" spans="2:268" customFormat="1" x14ac:dyDescent="0.25">
      <c r="B110" s="2">
        <f ca="1">OFFSET(tblBaseCF[[#This Row],[Year]],-1,0)+1</f>
        <v>90</v>
      </c>
      <c r="C110" s="2">
        <f ca="1">(tblBaseCF[[#This Row],[Year]]&lt;=term)*1</f>
        <v>1</v>
      </c>
      <c r="D110" s="57">
        <f ca="1">(YEAR(rcd)+tblBaseCF[[#This Row],[Year]]-1)
*tblBaseCF[[#This Row],[PolTermFlag]]</f>
        <v>2114</v>
      </c>
      <c r="E110" s="57">
        <f ca="1">(mainLI_entry_age+tblBaseCF[[#This Row],[Year]]-1)
*tblBaseCF[[#This Row],[PolTermFlag]]</f>
        <v>89</v>
      </c>
      <c r="F110" s="57">
        <f ca="1">IF(tblBaseCF[[#This Row],[Year]]=1,1,OFFSET(tblBaseCF[[#This Row],[DeductFlag]],-1,0))
*tblBaseCF[[#This Row],[PolTermFlag]]</f>
        <v>0</v>
      </c>
      <c r="G11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0" s="57">
        <f ca="1">(tblBaseCF[[#This Row],[Year]]&lt;=acc_ben_term)
*tblBaseCF[[#This Row],[ContFlag]]</f>
        <v>0</v>
      </c>
      <c r="I110" s="57">
        <f ca="1">(tblBaseCF[[#This Row],[Year]]&lt;=tp_term)
*tblBaseCF[[#This Row],[ContFlag]]</f>
        <v>0</v>
      </c>
      <c r="J110" s="57">
        <f ca="1">(tblBaseCF[[#This Row],[Year]]&lt;=ep_term)
*tblBaseCF[[#This Row],[ContFlag]]</f>
        <v>0</v>
      </c>
      <c r="K110" s="57">
        <f ca="1">(tblBaseCF[[#This Row],[Year]]&lt;=em_load_term)*1</f>
        <v>0</v>
      </c>
      <c r="L110" s="57">
        <f ca="1">(tblBaseCF[[#This Row],[Year]]&lt;=pm_load_term)*1</f>
        <v>0</v>
      </c>
      <c r="M110" s="59">
        <f ca="1">IF(tblBaseCF[[#This Row],[Year]]=1,si,OFFSET(tblBaseCF[[#This Row],[EndSI]],-1,0))
*tblBaseCF[[#This Row],[ContFlag]]</f>
        <v>0</v>
      </c>
      <c r="N110" s="59">
        <f ca="1">OFFSET(tblBaseCF[[#This Row],[EndTAV]],-1,0)
*tblBaseCF[[#This Row],[ContFlag]]</f>
        <v>0</v>
      </c>
      <c r="O110" s="59">
        <f ca="1">OFFSET(tblBaseCF[[#This Row],[EndEAV]],-1,0)
*tblBaseCF[[#This Row],[ContFlag]]</f>
        <v>0</v>
      </c>
      <c r="P110" s="60">
        <f ca="1">tblBaseCF[[#This Row],[StartEAV]]+tblBaseCF[[#This Row],[StartTAV]]</f>
        <v>0</v>
      </c>
      <c r="Q110" s="61">
        <f ca="1">IFERROR(INDEX(tblJuvenileLienRate[Rate],MATCH(tblBaseCF[[#This Row],[Age]],tblJuvenileLienRate[Age],0)),1)
*tblBaseCF[[#This Row],[ContFlag]]</f>
        <v>0</v>
      </c>
      <c r="R11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0" s="62">
        <f ca="1">tblBaseCF[[#This Row],[StartSI]]*acc_ben_coeff*tblBaseCF[[#This Row],[JuvenileLienRate]]
*tblBaseCF[[#This Row],[AccBenTermFlag]]</f>
        <v>0</v>
      </c>
      <c r="T110" s="61">
        <f ca="1">(IFERROR(INDEX(tblSurrChrgRate[Rate],MATCH(tblBaseCF[[#This Row],[Year]],tblSurrChrgRate[Year],0)),0)
*tblBaseCF[[#This Row],[ContFlag]])</f>
        <v>0</v>
      </c>
      <c r="U110" s="60">
        <f ca="1">tp*tblBaseCF[[#This Row],[SrrChrgRate]]</f>
        <v>0</v>
      </c>
      <c r="V110" s="63">
        <f ca="1">MAX(tblBaseCF[[#This Row],[StartTAV]]-tblBaseCF[[#This Row],[SVChrg]],0)+tblBaseCF[[#This Row],[StartEAV]]</f>
        <v>0</v>
      </c>
      <c r="W110" s="59">
        <f ca="1">IFERROR(INDEX(tblWithdrawal_Output[Amount],MATCH(tblBaseCF[[#This Row],[Year]],tblWithdrawal_Output[Year],0)),0)
*tblBaseCF[[#This Row],[ContFlag]]</f>
        <v>0</v>
      </c>
      <c r="X110" s="59" t="b">
        <f ca="1">tblBaseCF[[#This Row],[WithdrawalInput]]&gt;0</f>
        <v>0</v>
      </c>
      <c r="Y110" s="59" t="b">
        <f ca="1">AND(tblBaseCF[[#This Row],[1stCheckProceed]],tblBaseCF[[#This Row],[WithdrawalInput]]&lt;=tblBaseCF[[#This Row],[StartPAV]])</f>
        <v>0</v>
      </c>
      <c r="Z110" s="59" t="b">
        <f ca="1">AND(tblBaseCF[[#This Row],[2ndCheckAmount]],(tblBaseCF[[#This Row],[StartPAV]]-tblBaseCF[[#This Row],[WithdrawalInput]])&gt;=min_pav_after_withdrawal)</f>
        <v>0</v>
      </c>
      <c r="AA11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0" s="59" t="b">
        <f ca="1">AND(tblBaseCF[[#This Row],[3rdCheckPAV]],tblBaseCF[[#This Row],[endSITest]]&gt;=min_base_si)</f>
        <v>0</v>
      </c>
      <c r="AC110" s="60">
        <f ca="1">tblBaseCF[[#This Row],[WithdrawalInput]]*tblBaseCF[[#This Row],[4thCheckSI]]</f>
        <v>0</v>
      </c>
      <c r="AD110" s="60">
        <f ca="1">MIN(tblBaseCF[[#This Row],[Withdrawal]],tblBaseCF[[#This Row],[StartEAV]])</f>
        <v>0</v>
      </c>
      <c r="AE110" s="60">
        <f ca="1">tblBaseCF[[#This Row],[Withdrawal]]-tblBaseCF[[#This Row],[EAVWithdrawal]]</f>
        <v>0</v>
      </c>
      <c r="AF110" s="60">
        <f ca="1">IF(tblBaseCF[[#This Row],[4thCheckSI]],tblBaseCF[[#This Row],[endSITest]],tblBaseCF[[#This Row],[StartSI]])</f>
        <v>0</v>
      </c>
      <c r="AG11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0" s="65">
        <f ca="1">IFERROR(INDEX(tblTPAllocChrgRate[Rate],MATCH(tblBaseCF[[#This Row],[Year]],tblTPAllocChrgRate[Year],0)),0)</f>
        <v>0.02</v>
      </c>
      <c r="AI110" s="62">
        <f ca="1">(tp+big_case_bonus_tp*(tblBaseCF[[#This Row],[Year]]=1))
*tblBaseCF[[#This Row],[TPTermFlag]]</f>
        <v>0</v>
      </c>
      <c r="AJ110" s="63">
        <f ca="1">tblBaseCF[[#This Row],[TP]]*tblBaseCF[[#This Row],[TPAllocChrgRate]]</f>
        <v>0</v>
      </c>
      <c r="AK110" s="60">
        <f ca="1">tblBaseCF[[#This Row],[TP]]-tblBaseCF[[#This Row],[TPAllocChrg]]</f>
        <v>0</v>
      </c>
      <c r="AL110" s="65">
        <f ca="1">IFERROR(INDEX(tblEPAllocChrgRate[Rate],MATCH(tblBaseCF[[#This Row],[Year]],tblEPAllocChrgRate[Year],0)),0)</f>
        <v>0.02</v>
      </c>
      <c r="AM110" s="60">
        <f ca="1">ep*tblBaseCF[[#This Row],[EPTermFlag]]</f>
        <v>0</v>
      </c>
      <c r="AN110" s="60">
        <f ca="1">tblBaseCF[[#This Row],[EP]]*tblBaseCF[[#This Row],[EPAllocChrgRate]]</f>
        <v>0</v>
      </c>
      <c r="AO110" s="63">
        <f ca="1">tblBaseCF[[#This Row],[EP]]-tblBaseCF[[#This Row],[EPAllocChrg]]</f>
        <v>0</v>
      </c>
      <c r="AP110" s="62">
        <f ca="1">tblBaseCF[[#This Row],[Ben]]*extra_prem_rate*em_load/1000/(1-tblBaseCF[[#This Row],[EPAllocChrgRate]])
*tblBaseCF[[#This Row],[EMLoadTermFlag]]</f>
        <v>0</v>
      </c>
      <c r="AQ110" s="62">
        <f ca="1">tblBaseCF[[#This Row],[Ben]]*pm_load/1000/(1-tblBaseCF[[#This Row],[EPAllocChrgRate]])
*tblBaseCF[[#This Row],[PMLoadTermFlag]]</f>
        <v>0</v>
      </c>
      <c r="AR110" s="60">
        <f ca="1">ROUNDUP(tblBaseCF[[#This Row],[UnroundedEMLoad]],-3)</f>
        <v>0</v>
      </c>
      <c r="AS110" s="62">
        <f ca="1">ROUNDUP(tblBaseCF[[#This Row],[Ben]]*pm_load/1000/(1-tblBaseCF[[#This Row],[EPAllocChrgRate]]),-3)
*tblBaseCF[[#This Row],[PMLoadTermFlag]]</f>
        <v>0</v>
      </c>
      <c r="AT110" s="60">
        <f ca="1">tblBaseCF[[#This Row],[EMLoad]]+tblBaseCF[[#This Row],[PMLoad]]</f>
        <v>0</v>
      </c>
      <c r="AU110" s="60">
        <f ca="1">tblBaseCF[[#This Row],[Load]]*tblBaseCF[[#This Row],[EPAllocChrgRate]]</f>
        <v>0</v>
      </c>
      <c r="AV110" s="60">
        <f ca="1">tblBaseCF[[#This Row],[Load]]-tblBaseCF[[#This Row],[LoadAllocChrg]]</f>
        <v>0</v>
      </c>
      <c r="AW110" s="60">
        <f ca="1">tblBaseCF[[#This Row],[TP]]+tblBaseCF[[#This Row],[EP]]+tblBaseCF[[#This Row],[Load]]</f>
        <v>0</v>
      </c>
      <c r="AX110" s="60">
        <f ca="1">tblBaseCF[[#This Row],[TPAllocChrg]]+tblBaseCF[[#This Row],[EPAllocChrg]]+tblBaseCF[[#This Row],[LoadAllocChrg]]</f>
        <v>0</v>
      </c>
      <c r="AY110" s="60">
        <f ca="1">tblBaseCF[[#This Row],[TPAlloc]]+tblBaseCF[[#This Row],[EPAlloc]]+tblBaseCF[[#This Row],[LoadAlloc]]</f>
        <v>0</v>
      </c>
      <c r="AZ110" s="60">
        <f ca="1">(OFFSET(tblBaseCF[[#This Row],[AccumTotalPrem]],-1,0)+tblBaseCF[[#This Row],[TotalPrem]])*tblBaseCF[[#This Row],[TPTermFlag]]</f>
        <v>0</v>
      </c>
      <c r="BA110" s="62">
        <f ca="1">(tblBaseCF[[#This Row],[StartTAV]]-tblBaseCF[[#This Row],[TAVWithdrawal]]+tblBaseCF[[#This Row],[TPAlloc]])
*tblBaseCF[[#This Row],[ContFlag]]</f>
        <v>0</v>
      </c>
      <c r="BB110" s="59">
        <f ca="1">(tblBaseCF[[#This Row],[StartEAV]]-tblBaseCF[[#This Row],[EAVWithdrawal]]+tblBaseCF[[#This Row],[EPAlloc]]+tblBaseCF[[#This Row],[LoadAlloc]])
*tblBaseCF[[#This Row],[ContFlag]]</f>
        <v>0</v>
      </c>
      <c r="BC110" s="59">
        <f ca="1">tblBaseCF[[#This Row],[TAVAfterWdrlAlloc]]+tblBaseCF[[#This Row],[EAVAfterWdrlAlloc]]</f>
        <v>0</v>
      </c>
      <c r="BD110" s="66">
        <f t="shared" si="10"/>
        <v>0</v>
      </c>
      <c r="BE110" s="67">
        <f>(1+tblBaseCF[[#This Row],[AnnualIntRate]])^(1/12)-1</f>
        <v>0</v>
      </c>
      <c r="BF110" s="68">
        <f>IFERROR(((1+tblBaseCF[[#This Row],[MonthlyIntRate]])^12-1)/12/(1-1/(1+tblBaseCF[[#This Row],[MonthlyIntRate]])),1)/(1+tblBaseCF[[#This Row],[AnnualIntRate]])</f>
        <v>1</v>
      </c>
      <c r="BG110" s="69">
        <f>PV(tblBaseCF[[#This Row],[MonthlyIntRate]],12,-1/12,,1)</f>
        <v>1</v>
      </c>
      <c r="BH110" s="60">
        <f ca="1">MAX(IF(death_tpd_option="A",tblBaseCF[[#This Row],[Ben]]-tblBaseCF[[#This Row],[StartPAV]],tblBaseCF[[#This Row],[Ben]]),0)</f>
        <v>0</v>
      </c>
      <c r="BI110" s="70">
        <f ca="1">IFERROR(INDEX(tblBaseCOIRate[Rate],MATCH(tblBaseCF[[#This Row],[Age]],tblBaseCOIRate[Age],0)),0)</f>
        <v>0.18154000000000001</v>
      </c>
      <c r="BJ110" s="60">
        <f ca="1">tblBaseCF[[#This Row],[SAR]]*tblBaseCF[[#This Row],[COIRate]]</f>
        <v>0</v>
      </c>
      <c r="BK110" s="62">
        <f ca="1">em_load*tblBaseCF[[#This Row],[pStandardCOI]]
*tblBaseCF[[#This Row],[EMLoadTermFlag]]</f>
        <v>0</v>
      </c>
      <c r="BL110" s="62">
        <f ca="1">pm_load/1000*tblBaseCF[[#This Row],[SAR]]
*tblBaseCF[[#This Row],[PMLoadTermFlag]]</f>
        <v>0</v>
      </c>
      <c r="BM110" s="60">
        <f ca="1">tblBaseCF[[#This Row],[AccBen]]*monthly_acc_coi*12</f>
        <v>0</v>
      </c>
      <c r="BN110" s="60">
        <f ca="1">tblBaseCF[[#This Row],[pStandardCOI]]+tblBaseCF[[#This Row],[pEMLoadCOI]]+tblBaseCF[[#This Row],[pPMLoadCOI]]+tblBaseCF[[#This Row],[pAccCOI]]</f>
        <v>0</v>
      </c>
      <c r="BO110" s="62">
        <f ca="1">IFERROR(INDEX(tblAdminChrg[Amount],MATCH(tblBaseCF[[#This Row],[CalYear]],tblAdminChrg[Cal_Year],0)),0)
*tblBaseCF[[#This Row],[ContFlag]]</f>
        <v>0</v>
      </c>
      <c r="BP110" s="60">
        <f ca="1">tblBaseCF[[#This Row],[pMonthlyAdminChrg]]*12</f>
        <v>0</v>
      </c>
      <c r="BQ110" s="60">
        <f ca="1">tblBaseCF[[#This Row],[pCOI]]+tblBaseCF[[#This Row],[pAdminChrg]]</f>
        <v>0</v>
      </c>
      <c r="BR110" s="60">
        <f ca="1">tblBaseCF[[#This Row],[pNomDeduct]]*tblBaseCF[[#This Row],[Duean1m12]]</f>
        <v>0</v>
      </c>
      <c r="BS110" s="57">
        <f ca="1">(tblBaseCF[[#This Row],[PAVAfterWdrlAlloc]]&gt;=tblBaseCF[[#This Row],[pNomDeduct]])
*tblBaseCF[[#This Row],[ContFlag]]</f>
        <v>0</v>
      </c>
      <c r="BT110" s="60">
        <f ca="1">tblBaseCF[[#This Row],[pStandardCOI]]*tblBaseCF[[#This Row],[DeductFlag]]</f>
        <v>0</v>
      </c>
      <c r="BU110" s="60">
        <f ca="1">tblBaseCF[[#This Row],[pEMLoadCOI]]*tblBaseCF[[#This Row],[DeductFlag]]</f>
        <v>0</v>
      </c>
      <c r="BV110" s="60">
        <f ca="1">tblBaseCF[[#This Row],[pPMLoadCOI]]*tblBaseCF[[#This Row],[DeductFlag]]</f>
        <v>0</v>
      </c>
      <c r="BW110" s="60">
        <f ca="1">tblBaseCF[[#This Row],[pAccCOI]]*tblBaseCF[[#This Row],[DeductFlag]]</f>
        <v>0</v>
      </c>
      <c r="BX110" s="60">
        <f ca="1">tblBaseCF[[#This Row],[pCOI]]*tblBaseCF[[#This Row],[DeductFlag]]</f>
        <v>0</v>
      </c>
      <c r="BY110" s="60">
        <f ca="1">tblBaseCF[[#This Row],[pMonthlyAdminChrg]]*tblBaseCF[[#This Row],[DeductFlag]]</f>
        <v>0</v>
      </c>
      <c r="BZ110" s="60">
        <f ca="1">tblBaseCF[[#This Row],[pAdminChrg]]*tblBaseCF[[#This Row],[DeductFlag]]</f>
        <v>0</v>
      </c>
      <c r="CA110" s="60">
        <f ca="1">tblBaseCF[[#This Row],[pNomDeduct]]*tblBaseCF[[#This Row],[DeductFlag]]</f>
        <v>0</v>
      </c>
      <c r="CB110" s="60">
        <f ca="1">tblBaseCF[[#This Row],[pDeduct]]*tblBaseCF[[#This Row],[DeductFlag]]</f>
        <v>0</v>
      </c>
      <c r="CC110" s="60">
        <f ca="1">MIN(tblBaseCF[[#This Row],[TAVAfterWdrlAlloc]],tblBaseCF[[#This Row],[Deduct]])</f>
        <v>0</v>
      </c>
      <c r="CD110" s="60">
        <f ca="1">tblBaseCF[[#This Row],[Deduct]]-tblBaseCF[[#This Row],[TAVDeduct]]</f>
        <v>0</v>
      </c>
      <c r="CE110" s="69">
        <f ca="1">(tblBaseCF[[#This Row],[TAVAfterWdrlAlloc]]-tblBaseCF[[#This Row],[TAVDeduct]])*tblBaseCF[[#This Row],[AnnualIntRate]]
*tblBaseCF[[#This Row],[DeductFlag]]</f>
        <v>0</v>
      </c>
      <c r="CF110" s="69">
        <f ca="1">(tblBaseCF[[#This Row],[EAVAfterWdrlAlloc]]-tblBaseCF[[#This Row],[EAVDeduct]])*tblBaseCF[[#This Row],[AnnualIntRate]]
*tblBaseCF[[#This Row],[DeductFlag]]</f>
        <v>0</v>
      </c>
      <c r="CG110" s="69">
        <f ca="1">tblBaseCF[[#This Row],[TAVInt]]+tblBaseCF[[#This Row],[EAVInt]]</f>
        <v>0</v>
      </c>
      <c r="CH110" s="62">
        <f ca="1">IFERROR(INDEX(tblLBRate[Rate],MATCH(tblBaseCF[[#This Row],[Year]],tblLBRate[Year],0)),0)
*tblBaseCF[[#This Row],[DeductFlag]]</f>
        <v>0</v>
      </c>
      <c r="CI110" s="60">
        <f ca="1">IFERROR(SUM(OFFSET(tblBaseCF[[#This Row],[TAVWithdrawal]],0,0,-lb_review_period,1)),0)
*(tblBaseCF[[#This Row],[LBRate]]&gt;0)</f>
        <v>0</v>
      </c>
      <c r="CJ110" s="60">
        <f ca="1">(tblBaseCF[[#This Row],[LBRate]]&gt;0)*(tblBaseCF[[#This Row],[LBTAVWithdrawal]]=0)</f>
        <v>0</v>
      </c>
      <c r="CK110" s="62" cm="1">
        <f t="array" aca="1" ref="CK110" ca="1">IF(tblBaseCF[[#This Row],[LBFlag]],
_xlfn.SWITCH(base,
"ILP1",AVERAGE(OFFSET(tblBaseCF[TP],0,0,-lb_review_period,1)),tp),0)
*tblBaseCF[[#This Row],[LBFlag]]</f>
        <v>0</v>
      </c>
      <c r="CL110" s="62">
        <f ca="1">tblBaseCF[[#This Row],[LBBasis]]*tblBaseCF[[#This Row],[LBRate]]</f>
        <v>0</v>
      </c>
      <c r="CM110" s="57" cm="1">
        <f t="array" aca="1" ref="CM110" ca="1">_xlfn.SWITCH(base,
"ILP1",0,($AF210&lt;500000000)*1
+($AF210&gt;=500000000)*($AF210&lt;1000000000)*2
+($AF210&gt;=1000000000)*3)
*tblBaseCF[[#This Row],[DeductFlag]]</f>
        <v>0</v>
      </c>
      <c r="CN110" s="2" t="str">
        <f ca="1">IF(tblBaseCF[[#This Row],[DeductFlag]],base&amp;"_"&amp;tblBaseCF[[#This Row],[SBCode]]&amp;"_"&amp;tblBaseCF[[#This Row],[Year]],"")</f>
        <v/>
      </c>
      <c r="CO110" s="3">
        <f ca="1">IFERROR(INDEX(tblSBRate[Index],MATCH(tblBaseCF[[#This Row],[SBIndex]],tblSBRate[Rate],0)),0)</f>
        <v>0</v>
      </c>
      <c r="CP110" s="63">
        <f ca="1">IFERROR(SUM(OFFSET(tblBaseCF[[#This Row],[TAVWithdrawal]],0,0,-sb_review_period,1)),0)
*(tblBaseCF[[#This Row],[SBRate]]&gt;0)</f>
        <v>0</v>
      </c>
      <c r="CQ110" s="63">
        <f ca="1">(tblBaseCF[[#This Row],[SBRate]]&gt;0)*(tblBaseCF[[#This Row],[SBTAVWithdrawal]]=0)</f>
        <v>0</v>
      </c>
      <c r="CR110" s="59" cm="1">
        <f t="array" aca="1" ref="CR110" ca="1">IF(tblBaseCF[[#This Row],[LBFlag]],
_xlfn.SWITCH(base,
"ILP1",0,tp),0)*tblBaseCF[[#This Row],[SBFlag]]</f>
        <v>0</v>
      </c>
      <c r="CS110" s="63">
        <f ca="1">tblBaseCF[[#This Row],[SBBasis]]*tblBaseCF[[#This Row],[SBRate]]</f>
        <v>0</v>
      </c>
      <c r="CT110" s="63">
        <f ca="1">tblBaseCF[[#This Row],[LB]]+tblBaseCF[[#This Row],[SB]]</f>
        <v>0</v>
      </c>
      <c r="CU110" s="59">
        <f ca="1">tblBaseCF[[#This Row],[TAVAfterWdrlAlloc]]-tblBaseCF[[#This Row],[TAVDeduct]]+tblBaseCF[[#This Row],[TAVInt]]+tblBaseCF[[#This Row],[Bonus]]</f>
        <v>0</v>
      </c>
      <c r="CV110" s="59">
        <f ca="1">tblBaseCF[[#This Row],[EAVAfterWdrlAlloc]]-tblBaseCF[[#This Row],[EAVDeduct]]+tblBaseCF[[#This Row],[EAVInt]]</f>
        <v>0</v>
      </c>
      <c r="CW110" s="63">
        <f ca="1">tblBaseCF[[#This Row],[EndTAV]]+tblBaseCF[[#This Row],[EndEAV]]</f>
        <v>0</v>
      </c>
      <c r="CX110" s="59">
        <f ca="1">INDEX(tblPlanPrem[TP],2)
*tblBaseCF[[#This Row],[TPTermFlag]]</f>
        <v>0</v>
      </c>
      <c r="CY110" s="59">
        <f ca="1">INDEX(tblPlanPrem[EP],2)
*tblBaseCF[[#This Row],[TPTermFlag]]</f>
        <v>0</v>
      </c>
      <c r="CZ110" s="63">
        <f ca="1">ROUNDUP(tblBaseCF[[#This Row],[UnroundedEMLoad]]*INDEX(tblPlanPrem[Factor],2),-3)</f>
        <v>0</v>
      </c>
      <c r="DA110" s="63">
        <f ca="1">ROUNDUP(tblBaseCF[[#This Row],[UnroundedPMLoad]]*INDEX(tblPlanPrem[Factor],2),-3)</f>
        <v>0</v>
      </c>
      <c r="DB110" s="63">
        <f ca="1">tblBaseCF[[#This Row],[SemiAnnualEMLoad]]+tblBaseCF[[#This Row],[SemiAnnualPMLoad]]</f>
        <v>0</v>
      </c>
      <c r="DC110" s="63">
        <f ca="1">tblBaseCF[[#This Row],[SemiAnnualTP]]+tblBaseCF[[#This Row],[SemiAnnualEP]]+tblBaseCF[[#This Row],[SemiAnnualLoad]]</f>
        <v>0</v>
      </c>
      <c r="DD110" s="59">
        <f ca="1">INDEX(tblPlanPrem[TP],3)
*tblBaseCF[[#This Row],[TPTermFlag]]</f>
        <v>0</v>
      </c>
      <c r="DE110" s="59">
        <f ca="1">INDEX(tblPlanPrem[EP],3)
*tblBaseCF[[#This Row],[TPTermFlag]]</f>
        <v>0</v>
      </c>
      <c r="DF110" s="63">
        <f ca="1">ROUNDUP(tblBaseCF[[#This Row],[UnroundedEMLoad]]*INDEX(tblPlanPrem[Factor],3),-3)</f>
        <v>0</v>
      </c>
      <c r="DG110" s="63">
        <f ca="1">ROUNDUP(tblBaseCF[[#This Row],[UnroundedPMLoad]]*INDEX(tblPlanPrem[Factor],3),-3)</f>
        <v>0</v>
      </c>
      <c r="DH110" s="60">
        <f ca="1">tblBaseCF[[#This Row],[QuarterlyEMLoad]]+tblBaseCF[[#This Row],[QuarterlyPMLoad]]</f>
        <v>0</v>
      </c>
      <c r="DI110" s="60">
        <f ca="1">tblBaseCF[[#This Row],[QuarterlyTP]]+tblBaseCF[[#This Row],[QuarterlyEP]]+tblBaseCF[[#This Row],[QuarterlyLoad]]</f>
        <v>0</v>
      </c>
      <c r="DJ110" s="59">
        <f ca="1">INDEX(tblPlanPrem[TP],4)
*tblBaseCF[[#This Row],[TPTermFlag]]</f>
        <v>0</v>
      </c>
      <c r="DK110" s="59">
        <f ca="1">INDEX(tblPlanPrem[EP],4)
*tblBaseCF[[#This Row],[TPTermFlag]]</f>
        <v>0</v>
      </c>
      <c r="DL110" s="63">
        <f ca="1">ROUNDUP(tblBaseCF[[#This Row],[UnroundedEMLoad]]*INDEX(tblPlanPrem[Factor],4),-3)</f>
        <v>0</v>
      </c>
      <c r="DM110" s="63">
        <f ca="1">ROUNDUP(tblBaseCF[[#This Row],[UnroundedPMLoad]]*INDEX(tblPlanPrem[Factor],4),-3)</f>
        <v>0</v>
      </c>
      <c r="DN110" s="60">
        <f ca="1">tblBaseCF[[#This Row],[MonthlyEMLoad]]+tblBaseCF[[#This Row],[MonthlyPMLoad]]</f>
        <v>0</v>
      </c>
      <c r="DO110" s="63">
        <f ca="1">tblBaseCF[[#This Row],[MonthlyTP]]+tblBaseCF[[#This Row],[MonthlyEP]]+tblBaseCF[[#This Row],[MonthlyLoad]]</f>
        <v>0</v>
      </c>
      <c r="DP110" s="3"/>
      <c r="DS110">
        <f t="shared" si="11"/>
        <v>0</v>
      </c>
      <c r="DT110">
        <f t="shared" si="12"/>
        <v>0</v>
      </c>
      <c r="DU110">
        <f t="shared" si="13"/>
        <v>0</v>
      </c>
      <c r="DV110">
        <f ca="1">tblBaseCF[[#This Row],[Year]]</f>
        <v>90</v>
      </c>
      <c r="DW110">
        <f ca="1">tblBaseCF[[#This Row],[Age]]</f>
        <v>89</v>
      </c>
      <c r="DX110">
        <f ca="1">tblBaseCF[[#This Row],[ContFlag]]</f>
        <v>0</v>
      </c>
      <c r="DY110" t="str">
        <f ca="1">tblBaseCF[[#This Row],[ContLog]]</f>
        <v>Insufficient PAV for deduction - Discontinue.</v>
      </c>
      <c r="DZ110">
        <f ca="1">tblBaseCF[[#This Row],[StartTAV]]</f>
        <v>0</v>
      </c>
      <c r="EA110">
        <f ca="1">tblBaseCF[[#This Row],[StartEAV]]</f>
        <v>0</v>
      </c>
      <c r="EB110">
        <f ca="1">tblBaseCF[[#This Row],[StartPAV]]</f>
        <v>0</v>
      </c>
      <c r="EC110">
        <f ca="1">tblBaseCF[[#This Row],[SVChrg]]</f>
        <v>0</v>
      </c>
      <c r="ED110">
        <f ca="1">tblBaseCF[[#This Row],[SV]]</f>
        <v>0</v>
      </c>
      <c r="EE110">
        <f ca="1">tblBaseCF[[#This Row],[Ben]]</f>
        <v>0</v>
      </c>
      <c r="EF110">
        <f ca="1">tblBaseCF[[#This Row],[AccBen]]</f>
        <v>0</v>
      </c>
      <c r="EG110">
        <f ca="1">tblBaseCF[[#This Row],[WithdrawalInput]]</f>
        <v>0</v>
      </c>
      <c r="EH110" t="str">
        <f ca="1">tblBaseCF[[#This Row],[WithdrawalLog]]</f>
        <v>No withdrawal.</v>
      </c>
      <c r="EI110">
        <f ca="1">tblBaseCF[[#This Row],[TAVWithdrawal]]</f>
        <v>0</v>
      </c>
      <c r="EJ110">
        <f ca="1">tblBaseCF[[#This Row],[EAVWithdrawal]]</f>
        <v>0</v>
      </c>
      <c r="EK110">
        <f ca="1">tblBaseCF[[#This Row],[Withdrawal]]</f>
        <v>0</v>
      </c>
      <c r="EL110">
        <f ca="1">tblBaseCF[[#This Row],[TP]]</f>
        <v>0</v>
      </c>
      <c r="EM110">
        <f ca="1">tblBaseCF[[#This Row],[TPAllocChrg]]</f>
        <v>0</v>
      </c>
      <c r="EN110">
        <f ca="1">tblBaseCF[[#This Row],[TPAlloc]]</f>
        <v>0</v>
      </c>
      <c r="EO110">
        <f ca="1">tblBaseCF[[#This Row],[EP]]</f>
        <v>0</v>
      </c>
      <c r="EP110">
        <f ca="1">tblBaseCF[[#This Row],[EPAllocChrg]]</f>
        <v>0</v>
      </c>
      <c r="EQ110">
        <f ca="1">tblBaseCF[[#This Row],[EPAlloc]]</f>
        <v>0</v>
      </c>
      <c r="ER110">
        <f ca="1">tblBaseCF[[#This Row],[EMLoad]]</f>
        <v>0</v>
      </c>
      <c r="ES110">
        <f ca="1">tblBaseCF[[#This Row],[PMLoad]]</f>
        <v>0</v>
      </c>
      <c r="ET110">
        <f ca="1">tblBaseCF[[#This Row],[Load]]</f>
        <v>0</v>
      </c>
      <c r="EU110">
        <f ca="1">tblBaseCF[[#This Row],[LoadAllocChrg]]</f>
        <v>0</v>
      </c>
      <c r="EV110">
        <f ca="1">tblBaseCF[[#This Row],[LoadAlloc]]</f>
        <v>0</v>
      </c>
      <c r="EW110">
        <f ca="1">tblBaseCF[[#This Row],[TotalPrem]]</f>
        <v>0</v>
      </c>
      <c r="EX110">
        <f ca="1">tblBaseCF[[#This Row],[AllocChrg]]</f>
        <v>0</v>
      </c>
      <c r="EY110">
        <f ca="1">tblBaseCF[[#This Row],[Alloc]]</f>
        <v>0</v>
      </c>
      <c r="EZ110">
        <f ca="1">tblBaseCF[[#This Row],[AccumTotalPrem]]</f>
        <v>0</v>
      </c>
      <c r="FA110">
        <f>tblBaseCF[[#This Row],[AnnualIntRate]]</f>
        <v>0</v>
      </c>
      <c r="FB110" s="50">
        <f>tblBaseCF[[#This Row],[Duean1m12]]</f>
        <v>1</v>
      </c>
      <c r="FC110">
        <f ca="1">tblBaseCF[[#This Row],[DeductFlag]]</f>
        <v>0</v>
      </c>
      <c r="FD110">
        <f ca="1">tblBaseCF[[#This Row],[AdminChrg]]</f>
        <v>0</v>
      </c>
      <c r="FE110">
        <f ca="1">tblBaseCF[[#This Row],[StandardCOI]]</f>
        <v>0</v>
      </c>
      <c r="FF110">
        <f ca="1">tblBaseCF[[#This Row],[EMLoadCOI]]</f>
        <v>0</v>
      </c>
      <c r="FG110">
        <f ca="1">tblBaseCF[[#This Row],[PMLoadCOI]]</f>
        <v>0</v>
      </c>
      <c r="FH110">
        <f ca="1">tblBaseCF[[#This Row],[COI]]</f>
        <v>0</v>
      </c>
      <c r="FI110" s="47">
        <f ca="1">tblBaseCF[[#This Row],[NomDeduct]]</f>
        <v>0</v>
      </c>
      <c r="FJ110">
        <f ca="1">tblBaseCF[[#This Row],[Deduct]]</f>
        <v>0</v>
      </c>
      <c r="FK110">
        <f ca="1">tblBaseCF[[#This Row],[TAVDeduct]]</f>
        <v>0</v>
      </c>
      <c r="FL110">
        <f ca="1">tblBaseCF[[#This Row],[EAVDeduct]]</f>
        <v>0</v>
      </c>
      <c r="FM110" s="24">
        <f ca="1">tblBaseCF[[#This Row],[TAVInt]]</f>
        <v>0</v>
      </c>
      <c r="FN110">
        <f ca="1">tblBaseCF[[#This Row],[EAVInt]]</f>
        <v>0</v>
      </c>
      <c r="FO110" s="47">
        <f ca="1">tblBaseCF[[#This Row],[LB]]</f>
        <v>0</v>
      </c>
      <c r="FP110">
        <f ca="1">tblBaseCF[[#This Row],[SB]]</f>
        <v>0</v>
      </c>
      <c r="FQ110">
        <f ca="1">tblBaseCF[[#This Row],[Bonus]]</f>
        <v>0</v>
      </c>
      <c r="FR110">
        <f ca="1">tblBaseCF[[#This Row],[EndTAV]]</f>
        <v>0</v>
      </c>
      <c r="FS110">
        <f ca="1">tblBaseCF[[#This Row],[EndEAV]]</f>
        <v>0</v>
      </c>
      <c r="FT110">
        <f ca="1">tblBaseCF[[#This Row],[EndPAV]]</f>
        <v>0</v>
      </c>
      <c r="FU110">
        <f ca="1">tblBaseCF[[#This Row],[SemiAnnualTP]]</f>
        <v>0</v>
      </c>
      <c r="FV110">
        <f ca="1">tblBaseCF[[#This Row],[SemiAnnualEP]]</f>
        <v>0</v>
      </c>
      <c r="FW110">
        <f ca="1">tblBaseCF[[#This Row],[SemiAnnualEMLoad]]</f>
        <v>0</v>
      </c>
      <c r="FX110">
        <f ca="1">tblBaseCF[[#This Row],[SemiAnnualPMLoad]]</f>
        <v>0</v>
      </c>
      <c r="FY110">
        <f ca="1">tblBaseCF[[#This Row],[SemiAnnualLoad]]</f>
        <v>0</v>
      </c>
      <c r="FZ110">
        <f ca="1">tblBaseCF[[#This Row],[SemiAnnualTotalPrem]]</f>
        <v>0</v>
      </c>
      <c r="GA110">
        <f ca="1">tblBaseCF[[#This Row],[QuarterlyTP]]</f>
        <v>0</v>
      </c>
      <c r="GB110">
        <f ca="1">tblBaseCF[[#This Row],[QuarterlyEP]]</f>
        <v>0</v>
      </c>
      <c r="GC110">
        <f ca="1">tblBaseCF[[#This Row],[QuarterlyEMLoad]]</f>
        <v>0</v>
      </c>
      <c r="GD110">
        <f ca="1">tblBaseCF[[#This Row],[QuarterlyPMLoad]]</f>
        <v>0</v>
      </c>
      <c r="GE110">
        <f ca="1">tblBaseCF[[#This Row],[QuarterlyLoad]]</f>
        <v>0</v>
      </c>
      <c r="GF110">
        <f ca="1">tblBaseCF[[#This Row],[QuarterlyTotalPrem]]</f>
        <v>0</v>
      </c>
      <c r="GG110">
        <f ca="1">tblBaseCF[[#This Row],[MonthlyTP]]</f>
        <v>0</v>
      </c>
      <c r="GH110">
        <f ca="1">tblBaseCF[[#This Row],[MonthlyEP]]</f>
        <v>0</v>
      </c>
      <c r="GI110">
        <f ca="1">tblBaseCF[[#This Row],[MonthlyEMLoad]]</f>
        <v>0</v>
      </c>
      <c r="GJ110">
        <f ca="1">tblBaseCF[[#This Row],[MonthlyPMLoad]]</f>
        <v>0</v>
      </c>
      <c r="GK110">
        <f ca="1">tblBaseCF[[#This Row],[MonthlyLoad]]</f>
        <v>0</v>
      </c>
      <c r="GL110">
        <f ca="1">tblBaseCF[[#This Row],[MonthlyTotalPrem]]</f>
        <v>0</v>
      </c>
      <c r="GO110" t="s">
        <v>134</v>
      </c>
      <c r="GP110" t="s">
        <v>135</v>
      </c>
      <c r="GQ110" t="s">
        <v>502</v>
      </c>
      <c r="GR110">
        <v>90</v>
      </c>
      <c r="GS110">
        <v>89</v>
      </c>
      <c r="GT110">
        <v>1</v>
      </c>
      <c r="GU110" t="s">
        <v>457</v>
      </c>
      <c r="GV110">
        <v>1946466202.20684</v>
      </c>
      <c r="GW110">
        <v>17111843941.831699</v>
      </c>
      <c r="GX110">
        <v>19058310144.038502</v>
      </c>
      <c r="GY110">
        <v>0</v>
      </c>
      <c r="GZ110">
        <v>19058310144.038502</v>
      </c>
      <c r="HA110">
        <v>19058310144.038502</v>
      </c>
      <c r="HB110">
        <v>0</v>
      </c>
      <c r="HC110">
        <v>0</v>
      </c>
      <c r="HD110" t="s">
        <v>137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7.0000000000000007E-2</v>
      </c>
      <c r="HX110">
        <v>0.96964931039809399</v>
      </c>
      <c r="HY110">
        <v>1</v>
      </c>
      <c r="HZ110">
        <v>300000</v>
      </c>
      <c r="IA110">
        <v>0</v>
      </c>
      <c r="IB110">
        <v>0</v>
      </c>
      <c r="IC110">
        <v>0</v>
      </c>
      <c r="ID110">
        <v>0</v>
      </c>
      <c r="IE110">
        <v>300000</v>
      </c>
      <c r="IF110">
        <v>290894.79311942798</v>
      </c>
      <c r="IG110">
        <v>290894.79311942798</v>
      </c>
      <c r="IH110">
        <v>0</v>
      </c>
      <c r="II110">
        <v>136232271.51896</v>
      </c>
      <c r="IJ110">
        <v>1197829075.92822</v>
      </c>
      <c r="IK110">
        <v>0</v>
      </c>
      <c r="IL110">
        <v>0</v>
      </c>
      <c r="IM110">
        <v>0</v>
      </c>
      <c r="IN110">
        <v>2082407578.9326799</v>
      </c>
      <c r="IO110">
        <v>18309673017.759899</v>
      </c>
      <c r="IP110">
        <v>20392080596.6926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</row>
    <row r="111" spans="2:268" customFormat="1" x14ac:dyDescent="0.25">
      <c r="B111" s="2">
        <f ca="1">OFFSET(tblBaseCF[[#This Row],[Year]],-1,0)+1</f>
        <v>91</v>
      </c>
      <c r="C111" s="2">
        <f ca="1">(tblBaseCF[[#This Row],[Year]]&lt;=term)*1</f>
        <v>1</v>
      </c>
      <c r="D111" s="57">
        <f ca="1">(YEAR(rcd)+tblBaseCF[[#This Row],[Year]]-1)
*tblBaseCF[[#This Row],[PolTermFlag]]</f>
        <v>2115</v>
      </c>
      <c r="E111" s="57">
        <f ca="1">(mainLI_entry_age+tblBaseCF[[#This Row],[Year]]-1)
*tblBaseCF[[#This Row],[PolTermFlag]]</f>
        <v>90</v>
      </c>
      <c r="F111" s="57">
        <f ca="1">IF(tblBaseCF[[#This Row],[Year]]=1,1,OFFSET(tblBaseCF[[#This Row],[DeductFlag]],-1,0))
*tblBaseCF[[#This Row],[PolTermFlag]]</f>
        <v>0</v>
      </c>
      <c r="G111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1" s="57">
        <f ca="1">(tblBaseCF[[#This Row],[Year]]&lt;=acc_ben_term)
*tblBaseCF[[#This Row],[ContFlag]]</f>
        <v>0</v>
      </c>
      <c r="I111" s="57">
        <f ca="1">(tblBaseCF[[#This Row],[Year]]&lt;=tp_term)
*tblBaseCF[[#This Row],[ContFlag]]</f>
        <v>0</v>
      </c>
      <c r="J111" s="57">
        <f ca="1">(tblBaseCF[[#This Row],[Year]]&lt;=ep_term)
*tblBaseCF[[#This Row],[ContFlag]]</f>
        <v>0</v>
      </c>
      <c r="K111" s="57">
        <f ca="1">(tblBaseCF[[#This Row],[Year]]&lt;=em_load_term)*1</f>
        <v>0</v>
      </c>
      <c r="L111" s="57">
        <f ca="1">(tblBaseCF[[#This Row],[Year]]&lt;=pm_load_term)*1</f>
        <v>0</v>
      </c>
      <c r="M111" s="59">
        <f ca="1">IF(tblBaseCF[[#This Row],[Year]]=1,si,OFFSET(tblBaseCF[[#This Row],[EndSI]],-1,0))
*tblBaseCF[[#This Row],[ContFlag]]</f>
        <v>0</v>
      </c>
      <c r="N111" s="59">
        <f ca="1">OFFSET(tblBaseCF[[#This Row],[EndTAV]],-1,0)
*tblBaseCF[[#This Row],[ContFlag]]</f>
        <v>0</v>
      </c>
      <c r="O111" s="59">
        <f ca="1">OFFSET(tblBaseCF[[#This Row],[EndEAV]],-1,0)
*tblBaseCF[[#This Row],[ContFlag]]</f>
        <v>0</v>
      </c>
      <c r="P111" s="60">
        <f ca="1">tblBaseCF[[#This Row],[StartEAV]]+tblBaseCF[[#This Row],[StartTAV]]</f>
        <v>0</v>
      </c>
      <c r="Q111" s="61">
        <f ca="1">IFERROR(INDEX(tblJuvenileLienRate[Rate],MATCH(tblBaseCF[[#This Row],[Age]],tblJuvenileLienRate[Age],0)),1)
*tblBaseCF[[#This Row],[ContFlag]]</f>
        <v>0</v>
      </c>
      <c r="R111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1" s="62">
        <f ca="1">tblBaseCF[[#This Row],[StartSI]]*acc_ben_coeff*tblBaseCF[[#This Row],[JuvenileLienRate]]
*tblBaseCF[[#This Row],[AccBenTermFlag]]</f>
        <v>0</v>
      </c>
      <c r="T111" s="61">
        <f ca="1">(IFERROR(INDEX(tblSurrChrgRate[Rate],MATCH(tblBaseCF[[#This Row],[Year]],tblSurrChrgRate[Year],0)),0)
*tblBaseCF[[#This Row],[ContFlag]])</f>
        <v>0</v>
      </c>
      <c r="U111" s="60">
        <f ca="1">tp*tblBaseCF[[#This Row],[SrrChrgRate]]</f>
        <v>0</v>
      </c>
      <c r="V111" s="63">
        <f ca="1">MAX(tblBaseCF[[#This Row],[StartTAV]]-tblBaseCF[[#This Row],[SVChrg]],0)+tblBaseCF[[#This Row],[StartEAV]]</f>
        <v>0</v>
      </c>
      <c r="W111" s="59">
        <f ca="1">IFERROR(INDEX(tblWithdrawal_Output[Amount],MATCH(tblBaseCF[[#This Row],[Year]],tblWithdrawal_Output[Year],0)),0)
*tblBaseCF[[#This Row],[ContFlag]]</f>
        <v>0</v>
      </c>
      <c r="X111" s="59" t="b">
        <f ca="1">tblBaseCF[[#This Row],[WithdrawalInput]]&gt;0</f>
        <v>0</v>
      </c>
      <c r="Y111" s="59" t="b">
        <f ca="1">AND(tblBaseCF[[#This Row],[1stCheckProceed]],tblBaseCF[[#This Row],[WithdrawalInput]]&lt;=tblBaseCF[[#This Row],[StartPAV]])</f>
        <v>0</v>
      </c>
      <c r="Z111" s="59" t="b">
        <f ca="1">AND(tblBaseCF[[#This Row],[2ndCheckAmount]],(tblBaseCF[[#This Row],[StartPAV]]-tblBaseCF[[#This Row],[WithdrawalInput]])&gt;=min_pav_after_withdrawal)</f>
        <v>0</v>
      </c>
      <c r="AA111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1" s="59" t="b">
        <f ca="1">AND(tblBaseCF[[#This Row],[3rdCheckPAV]],tblBaseCF[[#This Row],[endSITest]]&gt;=min_base_si)</f>
        <v>0</v>
      </c>
      <c r="AC111" s="60">
        <f ca="1">tblBaseCF[[#This Row],[WithdrawalInput]]*tblBaseCF[[#This Row],[4thCheckSI]]</f>
        <v>0</v>
      </c>
      <c r="AD111" s="60">
        <f ca="1">MIN(tblBaseCF[[#This Row],[Withdrawal]],tblBaseCF[[#This Row],[StartEAV]])</f>
        <v>0</v>
      </c>
      <c r="AE111" s="60">
        <f ca="1">tblBaseCF[[#This Row],[Withdrawal]]-tblBaseCF[[#This Row],[EAVWithdrawal]]</f>
        <v>0</v>
      </c>
      <c r="AF111" s="60">
        <f ca="1">IF(tblBaseCF[[#This Row],[4thCheckSI]],tblBaseCF[[#This Row],[endSITest]],tblBaseCF[[#This Row],[StartSI]])</f>
        <v>0</v>
      </c>
      <c r="AG111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1" s="65">
        <f ca="1">IFERROR(INDEX(tblTPAllocChrgRate[Rate],MATCH(tblBaseCF[[#This Row],[Year]],tblTPAllocChrgRate[Year],0)),0)</f>
        <v>0.02</v>
      </c>
      <c r="AI111" s="62">
        <f ca="1">(tp+big_case_bonus_tp*(tblBaseCF[[#This Row],[Year]]=1))
*tblBaseCF[[#This Row],[TPTermFlag]]</f>
        <v>0</v>
      </c>
      <c r="AJ111" s="63">
        <f ca="1">tblBaseCF[[#This Row],[TP]]*tblBaseCF[[#This Row],[TPAllocChrgRate]]</f>
        <v>0</v>
      </c>
      <c r="AK111" s="60">
        <f ca="1">tblBaseCF[[#This Row],[TP]]-tblBaseCF[[#This Row],[TPAllocChrg]]</f>
        <v>0</v>
      </c>
      <c r="AL111" s="65">
        <f ca="1">IFERROR(INDEX(tblEPAllocChrgRate[Rate],MATCH(tblBaseCF[[#This Row],[Year]],tblEPAllocChrgRate[Year],0)),0)</f>
        <v>0.02</v>
      </c>
      <c r="AM111" s="60">
        <f ca="1">ep*tblBaseCF[[#This Row],[EPTermFlag]]</f>
        <v>0</v>
      </c>
      <c r="AN111" s="60">
        <f ca="1">tblBaseCF[[#This Row],[EP]]*tblBaseCF[[#This Row],[EPAllocChrgRate]]</f>
        <v>0</v>
      </c>
      <c r="AO111" s="63">
        <f ca="1">tblBaseCF[[#This Row],[EP]]-tblBaseCF[[#This Row],[EPAllocChrg]]</f>
        <v>0</v>
      </c>
      <c r="AP111" s="62">
        <f ca="1">tblBaseCF[[#This Row],[Ben]]*extra_prem_rate*em_load/1000/(1-tblBaseCF[[#This Row],[EPAllocChrgRate]])
*tblBaseCF[[#This Row],[EMLoadTermFlag]]</f>
        <v>0</v>
      </c>
      <c r="AQ111" s="62">
        <f ca="1">tblBaseCF[[#This Row],[Ben]]*pm_load/1000/(1-tblBaseCF[[#This Row],[EPAllocChrgRate]])
*tblBaseCF[[#This Row],[PMLoadTermFlag]]</f>
        <v>0</v>
      </c>
      <c r="AR111" s="60">
        <f ca="1">ROUNDUP(tblBaseCF[[#This Row],[UnroundedEMLoad]],-3)</f>
        <v>0</v>
      </c>
      <c r="AS111" s="62">
        <f ca="1">ROUNDUP(tblBaseCF[[#This Row],[Ben]]*pm_load/1000/(1-tblBaseCF[[#This Row],[EPAllocChrgRate]]),-3)
*tblBaseCF[[#This Row],[PMLoadTermFlag]]</f>
        <v>0</v>
      </c>
      <c r="AT111" s="60">
        <f ca="1">tblBaseCF[[#This Row],[EMLoad]]+tblBaseCF[[#This Row],[PMLoad]]</f>
        <v>0</v>
      </c>
      <c r="AU111" s="60">
        <f ca="1">tblBaseCF[[#This Row],[Load]]*tblBaseCF[[#This Row],[EPAllocChrgRate]]</f>
        <v>0</v>
      </c>
      <c r="AV111" s="60">
        <f ca="1">tblBaseCF[[#This Row],[Load]]-tblBaseCF[[#This Row],[LoadAllocChrg]]</f>
        <v>0</v>
      </c>
      <c r="AW111" s="60">
        <f ca="1">tblBaseCF[[#This Row],[TP]]+tblBaseCF[[#This Row],[EP]]+tblBaseCF[[#This Row],[Load]]</f>
        <v>0</v>
      </c>
      <c r="AX111" s="60">
        <f ca="1">tblBaseCF[[#This Row],[TPAllocChrg]]+tblBaseCF[[#This Row],[EPAllocChrg]]+tblBaseCF[[#This Row],[LoadAllocChrg]]</f>
        <v>0</v>
      </c>
      <c r="AY111" s="60">
        <f ca="1">tblBaseCF[[#This Row],[TPAlloc]]+tblBaseCF[[#This Row],[EPAlloc]]+tblBaseCF[[#This Row],[LoadAlloc]]</f>
        <v>0</v>
      </c>
      <c r="AZ111" s="60">
        <f ca="1">(OFFSET(tblBaseCF[[#This Row],[AccumTotalPrem]],-1,0)+tblBaseCF[[#This Row],[TotalPrem]])*tblBaseCF[[#This Row],[TPTermFlag]]</f>
        <v>0</v>
      </c>
      <c r="BA111" s="62">
        <f ca="1">(tblBaseCF[[#This Row],[StartTAV]]-tblBaseCF[[#This Row],[TAVWithdrawal]]+tblBaseCF[[#This Row],[TPAlloc]])
*tblBaseCF[[#This Row],[ContFlag]]</f>
        <v>0</v>
      </c>
      <c r="BB111" s="59">
        <f ca="1">(tblBaseCF[[#This Row],[StartEAV]]-tblBaseCF[[#This Row],[EAVWithdrawal]]+tblBaseCF[[#This Row],[EPAlloc]]+tblBaseCF[[#This Row],[LoadAlloc]])
*tblBaseCF[[#This Row],[ContFlag]]</f>
        <v>0</v>
      </c>
      <c r="BC111" s="59">
        <f ca="1">tblBaseCF[[#This Row],[TAVAfterWdrlAlloc]]+tblBaseCF[[#This Row],[EAVAfterWdrlAlloc]]</f>
        <v>0</v>
      </c>
      <c r="BD111" s="66">
        <f t="shared" si="10"/>
        <v>0</v>
      </c>
      <c r="BE111" s="67">
        <f>(1+tblBaseCF[[#This Row],[AnnualIntRate]])^(1/12)-1</f>
        <v>0</v>
      </c>
      <c r="BF111" s="68">
        <f>IFERROR(((1+tblBaseCF[[#This Row],[MonthlyIntRate]])^12-1)/12/(1-1/(1+tblBaseCF[[#This Row],[MonthlyIntRate]])),1)/(1+tblBaseCF[[#This Row],[AnnualIntRate]])</f>
        <v>1</v>
      </c>
      <c r="BG111" s="69">
        <f>PV(tblBaseCF[[#This Row],[MonthlyIntRate]],12,-1/12,,1)</f>
        <v>1</v>
      </c>
      <c r="BH111" s="60">
        <f ca="1">MAX(IF(death_tpd_option="A",tblBaseCF[[#This Row],[Ben]]-tblBaseCF[[#This Row],[StartPAV]],tblBaseCF[[#This Row],[Ben]]),0)</f>
        <v>0</v>
      </c>
      <c r="BI111" s="70">
        <f ca="1">IFERROR(INDEX(tblBaseCOIRate[Rate],MATCH(tblBaseCF[[#This Row],[Age]],tblBaseCOIRate[Age],0)),0)</f>
        <v>0.19885</v>
      </c>
      <c r="BJ111" s="60">
        <f ca="1">tblBaseCF[[#This Row],[SAR]]*tblBaseCF[[#This Row],[COIRate]]</f>
        <v>0</v>
      </c>
      <c r="BK111" s="62">
        <f ca="1">em_load*tblBaseCF[[#This Row],[pStandardCOI]]
*tblBaseCF[[#This Row],[EMLoadTermFlag]]</f>
        <v>0</v>
      </c>
      <c r="BL111" s="62">
        <f ca="1">pm_load/1000*tblBaseCF[[#This Row],[SAR]]
*tblBaseCF[[#This Row],[PMLoadTermFlag]]</f>
        <v>0</v>
      </c>
      <c r="BM111" s="60">
        <f ca="1">tblBaseCF[[#This Row],[AccBen]]*monthly_acc_coi*12</f>
        <v>0</v>
      </c>
      <c r="BN111" s="60">
        <f ca="1">tblBaseCF[[#This Row],[pStandardCOI]]+tblBaseCF[[#This Row],[pEMLoadCOI]]+tblBaseCF[[#This Row],[pPMLoadCOI]]+tblBaseCF[[#This Row],[pAccCOI]]</f>
        <v>0</v>
      </c>
      <c r="BO111" s="62">
        <f ca="1">IFERROR(INDEX(tblAdminChrg[Amount],MATCH(tblBaseCF[[#This Row],[CalYear]],tblAdminChrg[Cal_Year],0)),0)
*tblBaseCF[[#This Row],[ContFlag]]</f>
        <v>0</v>
      </c>
      <c r="BP111" s="60">
        <f ca="1">tblBaseCF[[#This Row],[pMonthlyAdminChrg]]*12</f>
        <v>0</v>
      </c>
      <c r="BQ111" s="60">
        <f ca="1">tblBaseCF[[#This Row],[pCOI]]+tblBaseCF[[#This Row],[pAdminChrg]]</f>
        <v>0</v>
      </c>
      <c r="BR111" s="60">
        <f ca="1">tblBaseCF[[#This Row],[pNomDeduct]]*tblBaseCF[[#This Row],[Duean1m12]]</f>
        <v>0</v>
      </c>
      <c r="BS111" s="57">
        <f ca="1">(tblBaseCF[[#This Row],[PAVAfterWdrlAlloc]]&gt;=tblBaseCF[[#This Row],[pNomDeduct]])
*tblBaseCF[[#This Row],[ContFlag]]</f>
        <v>0</v>
      </c>
      <c r="BT111" s="60">
        <f ca="1">tblBaseCF[[#This Row],[pStandardCOI]]*tblBaseCF[[#This Row],[DeductFlag]]</f>
        <v>0</v>
      </c>
      <c r="BU111" s="60">
        <f ca="1">tblBaseCF[[#This Row],[pEMLoadCOI]]*tblBaseCF[[#This Row],[DeductFlag]]</f>
        <v>0</v>
      </c>
      <c r="BV111" s="60">
        <f ca="1">tblBaseCF[[#This Row],[pPMLoadCOI]]*tblBaseCF[[#This Row],[DeductFlag]]</f>
        <v>0</v>
      </c>
      <c r="BW111" s="60">
        <f ca="1">tblBaseCF[[#This Row],[pAccCOI]]*tblBaseCF[[#This Row],[DeductFlag]]</f>
        <v>0</v>
      </c>
      <c r="BX111" s="60">
        <f ca="1">tblBaseCF[[#This Row],[pCOI]]*tblBaseCF[[#This Row],[DeductFlag]]</f>
        <v>0</v>
      </c>
      <c r="BY111" s="60">
        <f ca="1">tblBaseCF[[#This Row],[pMonthlyAdminChrg]]*tblBaseCF[[#This Row],[DeductFlag]]</f>
        <v>0</v>
      </c>
      <c r="BZ111" s="60">
        <f ca="1">tblBaseCF[[#This Row],[pAdminChrg]]*tblBaseCF[[#This Row],[DeductFlag]]</f>
        <v>0</v>
      </c>
      <c r="CA111" s="60">
        <f ca="1">tblBaseCF[[#This Row],[pNomDeduct]]*tblBaseCF[[#This Row],[DeductFlag]]</f>
        <v>0</v>
      </c>
      <c r="CB111" s="60">
        <f ca="1">tblBaseCF[[#This Row],[pDeduct]]*tblBaseCF[[#This Row],[DeductFlag]]</f>
        <v>0</v>
      </c>
      <c r="CC111" s="60">
        <f ca="1">MIN(tblBaseCF[[#This Row],[TAVAfterWdrlAlloc]],tblBaseCF[[#This Row],[Deduct]])</f>
        <v>0</v>
      </c>
      <c r="CD111" s="60">
        <f ca="1">tblBaseCF[[#This Row],[Deduct]]-tblBaseCF[[#This Row],[TAVDeduct]]</f>
        <v>0</v>
      </c>
      <c r="CE111" s="69">
        <f ca="1">(tblBaseCF[[#This Row],[TAVAfterWdrlAlloc]]-tblBaseCF[[#This Row],[TAVDeduct]])*tblBaseCF[[#This Row],[AnnualIntRate]]
*tblBaseCF[[#This Row],[DeductFlag]]</f>
        <v>0</v>
      </c>
      <c r="CF111" s="69">
        <f ca="1">(tblBaseCF[[#This Row],[EAVAfterWdrlAlloc]]-tblBaseCF[[#This Row],[EAVDeduct]])*tblBaseCF[[#This Row],[AnnualIntRate]]
*tblBaseCF[[#This Row],[DeductFlag]]</f>
        <v>0</v>
      </c>
      <c r="CG111" s="69">
        <f ca="1">tblBaseCF[[#This Row],[TAVInt]]+tblBaseCF[[#This Row],[EAVInt]]</f>
        <v>0</v>
      </c>
      <c r="CH111" s="62">
        <f ca="1">IFERROR(INDEX(tblLBRate[Rate],MATCH(tblBaseCF[[#This Row],[Year]],tblLBRate[Year],0)),0)
*tblBaseCF[[#This Row],[DeductFlag]]</f>
        <v>0</v>
      </c>
      <c r="CI111" s="60">
        <f ca="1">IFERROR(SUM(OFFSET(tblBaseCF[[#This Row],[TAVWithdrawal]],0,0,-lb_review_period,1)),0)
*(tblBaseCF[[#This Row],[LBRate]]&gt;0)</f>
        <v>0</v>
      </c>
      <c r="CJ111" s="60">
        <f ca="1">(tblBaseCF[[#This Row],[LBRate]]&gt;0)*(tblBaseCF[[#This Row],[LBTAVWithdrawal]]=0)</f>
        <v>0</v>
      </c>
      <c r="CK111" s="62" cm="1">
        <f t="array" aca="1" ref="CK111" ca="1">IF(tblBaseCF[[#This Row],[LBFlag]],
_xlfn.SWITCH(base,
"ILP1",AVERAGE(OFFSET(tblBaseCF[TP],0,0,-lb_review_period,1)),tp),0)
*tblBaseCF[[#This Row],[LBFlag]]</f>
        <v>0</v>
      </c>
      <c r="CL111" s="62">
        <f ca="1">tblBaseCF[[#This Row],[LBBasis]]*tblBaseCF[[#This Row],[LBRate]]</f>
        <v>0</v>
      </c>
      <c r="CM111" s="57" cm="1">
        <f t="array" aca="1" ref="CM111" ca="1">_xlfn.SWITCH(base,
"ILP1",0,($AF211&lt;500000000)*1
+($AF211&gt;=500000000)*($AF211&lt;1000000000)*2
+($AF211&gt;=1000000000)*3)
*tblBaseCF[[#This Row],[DeductFlag]]</f>
        <v>0</v>
      </c>
      <c r="CN111" s="2" t="str">
        <f ca="1">IF(tblBaseCF[[#This Row],[DeductFlag]],base&amp;"_"&amp;tblBaseCF[[#This Row],[SBCode]]&amp;"_"&amp;tblBaseCF[[#This Row],[Year]],"")</f>
        <v/>
      </c>
      <c r="CO111" s="3">
        <f ca="1">IFERROR(INDEX(tblSBRate[Index],MATCH(tblBaseCF[[#This Row],[SBIndex]],tblSBRate[Rate],0)),0)</f>
        <v>0</v>
      </c>
      <c r="CP111" s="63">
        <f ca="1">IFERROR(SUM(OFFSET(tblBaseCF[[#This Row],[TAVWithdrawal]],0,0,-sb_review_period,1)),0)
*(tblBaseCF[[#This Row],[SBRate]]&gt;0)</f>
        <v>0</v>
      </c>
      <c r="CQ111" s="63">
        <f ca="1">(tblBaseCF[[#This Row],[SBRate]]&gt;0)*(tblBaseCF[[#This Row],[SBTAVWithdrawal]]=0)</f>
        <v>0</v>
      </c>
      <c r="CR111" s="59" cm="1">
        <f t="array" aca="1" ref="CR111" ca="1">IF(tblBaseCF[[#This Row],[LBFlag]],
_xlfn.SWITCH(base,
"ILP1",0,tp),0)*tblBaseCF[[#This Row],[SBFlag]]</f>
        <v>0</v>
      </c>
      <c r="CS111" s="63">
        <f ca="1">tblBaseCF[[#This Row],[SBBasis]]*tblBaseCF[[#This Row],[SBRate]]</f>
        <v>0</v>
      </c>
      <c r="CT111" s="63">
        <f ca="1">tblBaseCF[[#This Row],[LB]]+tblBaseCF[[#This Row],[SB]]</f>
        <v>0</v>
      </c>
      <c r="CU111" s="59">
        <f ca="1">tblBaseCF[[#This Row],[TAVAfterWdrlAlloc]]-tblBaseCF[[#This Row],[TAVDeduct]]+tblBaseCF[[#This Row],[TAVInt]]+tblBaseCF[[#This Row],[Bonus]]</f>
        <v>0</v>
      </c>
      <c r="CV111" s="59">
        <f ca="1">tblBaseCF[[#This Row],[EAVAfterWdrlAlloc]]-tblBaseCF[[#This Row],[EAVDeduct]]+tblBaseCF[[#This Row],[EAVInt]]</f>
        <v>0</v>
      </c>
      <c r="CW111" s="63">
        <f ca="1">tblBaseCF[[#This Row],[EndTAV]]+tblBaseCF[[#This Row],[EndEAV]]</f>
        <v>0</v>
      </c>
      <c r="CX111" s="59">
        <f ca="1">INDEX(tblPlanPrem[TP],2)
*tblBaseCF[[#This Row],[TPTermFlag]]</f>
        <v>0</v>
      </c>
      <c r="CY111" s="59">
        <f ca="1">INDEX(tblPlanPrem[EP],2)
*tblBaseCF[[#This Row],[TPTermFlag]]</f>
        <v>0</v>
      </c>
      <c r="CZ111" s="63">
        <f ca="1">ROUNDUP(tblBaseCF[[#This Row],[UnroundedEMLoad]]*INDEX(tblPlanPrem[Factor],2),-3)</f>
        <v>0</v>
      </c>
      <c r="DA111" s="63">
        <f ca="1">ROUNDUP(tblBaseCF[[#This Row],[UnroundedPMLoad]]*INDEX(tblPlanPrem[Factor],2),-3)</f>
        <v>0</v>
      </c>
      <c r="DB111" s="63">
        <f ca="1">tblBaseCF[[#This Row],[SemiAnnualEMLoad]]+tblBaseCF[[#This Row],[SemiAnnualPMLoad]]</f>
        <v>0</v>
      </c>
      <c r="DC111" s="63">
        <f ca="1">tblBaseCF[[#This Row],[SemiAnnualTP]]+tblBaseCF[[#This Row],[SemiAnnualEP]]+tblBaseCF[[#This Row],[SemiAnnualLoad]]</f>
        <v>0</v>
      </c>
      <c r="DD111" s="59">
        <f ca="1">INDEX(tblPlanPrem[TP],3)
*tblBaseCF[[#This Row],[TPTermFlag]]</f>
        <v>0</v>
      </c>
      <c r="DE111" s="59">
        <f ca="1">INDEX(tblPlanPrem[EP],3)
*tblBaseCF[[#This Row],[TPTermFlag]]</f>
        <v>0</v>
      </c>
      <c r="DF111" s="63">
        <f ca="1">ROUNDUP(tblBaseCF[[#This Row],[UnroundedEMLoad]]*INDEX(tblPlanPrem[Factor],3),-3)</f>
        <v>0</v>
      </c>
      <c r="DG111" s="63">
        <f ca="1">ROUNDUP(tblBaseCF[[#This Row],[UnroundedPMLoad]]*INDEX(tblPlanPrem[Factor],3),-3)</f>
        <v>0</v>
      </c>
      <c r="DH111" s="60">
        <f ca="1">tblBaseCF[[#This Row],[QuarterlyEMLoad]]+tblBaseCF[[#This Row],[QuarterlyPMLoad]]</f>
        <v>0</v>
      </c>
      <c r="DI111" s="60">
        <f ca="1">tblBaseCF[[#This Row],[QuarterlyTP]]+tblBaseCF[[#This Row],[QuarterlyEP]]+tblBaseCF[[#This Row],[QuarterlyLoad]]</f>
        <v>0</v>
      </c>
      <c r="DJ111" s="59">
        <f ca="1">INDEX(tblPlanPrem[TP],4)
*tblBaseCF[[#This Row],[TPTermFlag]]</f>
        <v>0</v>
      </c>
      <c r="DK111" s="59">
        <f ca="1">INDEX(tblPlanPrem[EP],4)
*tblBaseCF[[#This Row],[TPTermFlag]]</f>
        <v>0</v>
      </c>
      <c r="DL111" s="63">
        <f ca="1">ROUNDUP(tblBaseCF[[#This Row],[UnroundedEMLoad]]*INDEX(tblPlanPrem[Factor],4),-3)</f>
        <v>0</v>
      </c>
      <c r="DM111" s="63">
        <f ca="1">ROUNDUP(tblBaseCF[[#This Row],[UnroundedPMLoad]]*INDEX(tblPlanPrem[Factor],4),-3)</f>
        <v>0</v>
      </c>
      <c r="DN111" s="60">
        <f ca="1">tblBaseCF[[#This Row],[MonthlyEMLoad]]+tblBaseCF[[#This Row],[MonthlyPMLoad]]</f>
        <v>0</v>
      </c>
      <c r="DO111" s="63">
        <f ca="1">tblBaseCF[[#This Row],[MonthlyTP]]+tblBaseCF[[#This Row],[MonthlyEP]]+tblBaseCF[[#This Row],[MonthlyLoad]]</f>
        <v>0</v>
      </c>
      <c r="DP111" s="3"/>
      <c r="DS111">
        <f t="shared" si="11"/>
        <v>0</v>
      </c>
      <c r="DT111">
        <f t="shared" si="12"/>
        <v>0</v>
      </c>
      <c r="DU111">
        <f t="shared" si="13"/>
        <v>0</v>
      </c>
      <c r="DV111">
        <f ca="1">tblBaseCF[[#This Row],[Year]]</f>
        <v>91</v>
      </c>
      <c r="DW111">
        <f ca="1">tblBaseCF[[#This Row],[Age]]</f>
        <v>90</v>
      </c>
      <c r="DX111">
        <f ca="1">tblBaseCF[[#This Row],[ContFlag]]</f>
        <v>0</v>
      </c>
      <c r="DY111" t="str">
        <f ca="1">tblBaseCF[[#This Row],[ContLog]]</f>
        <v>Insufficient PAV for deduction - Discontinue.</v>
      </c>
      <c r="DZ111">
        <f ca="1">tblBaseCF[[#This Row],[StartTAV]]</f>
        <v>0</v>
      </c>
      <c r="EA111">
        <f ca="1">tblBaseCF[[#This Row],[StartEAV]]</f>
        <v>0</v>
      </c>
      <c r="EB111">
        <f ca="1">tblBaseCF[[#This Row],[StartPAV]]</f>
        <v>0</v>
      </c>
      <c r="EC111">
        <f ca="1">tblBaseCF[[#This Row],[SVChrg]]</f>
        <v>0</v>
      </c>
      <c r="ED111">
        <f ca="1">tblBaseCF[[#This Row],[SV]]</f>
        <v>0</v>
      </c>
      <c r="EE111">
        <f ca="1">tblBaseCF[[#This Row],[Ben]]</f>
        <v>0</v>
      </c>
      <c r="EF111">
        <f ca="1">tblBaseCF[[#This Row],[AccBen]]</f>
        <v>0</v>
      </c>
      <c r="EG111">
        <f ca="1">tblBaseCF[[#This Row],[WithdrawalInput]]</f>
        <v>0</v>
      </c>
      <c r="EH111" t="str">
        <f ca="1">tblBaseCF[[#This Row],[WithdrawalLog]]</f>
        <v>No withdrawal.</v>
      </c>
      <c r="EI111">
        <f ca="1">tblBaseCF[[#This Row],[TAVWithdrawal]]</f>
        <v>0</v>
      </c>
      <c r="EJ111">
        <f ca="1">tblBaseCF[[#This Row],[EAVWithdrawal]]</f>
        <v>0</v>
      </c>
      <c r="EK111">
        <f ca="1">tblBaseCF[[#This Row],[Withdrawal]]</f>
        <v>0</v>
      </c>
      <c r="EL111">
        <f ca="1">tblBaseCF[[#This Row],[TP]]</f>
        <v>0</v>
      </c>
      <c r="EM111">
        <f ca="1">tblBaseCF[[#This Row],[TPAllocChrg]]</f>
        <v>0</v>
      </c>
      <c r="EN111">
        <f ca="1">tblBaseCF[[#This Row],[TPAlloc]]</f>
        <v>0</v>
      </c>
      <c r="EO111">
        <f ca="1">tblBaseCF[[#This Row],[EP]]</f>
        <v>0</v>
      </c>
      <c r="EP111">
        <f ca="1">tblBaseCF[[#This Row],[EPAllocChrg]]</f>
        <v>0</v>
      </c>
      <c r="EQ111">
        <f ca="1">tblBaseCF[[#This Row],[EPAlloc]]</f>
        <v>0</v>
      </c>
      <c r="ER111">
        <f ca="1">tblBaseCF[[#This Row],[EMLoad]]</f>
        <v>0</v>
      </c>
      <c r="ES111">
        <f ca="1">tblBaseCF[[#This Row],[PMLoad]]</f>
        <v>0</v>
      </c>
      <c r="ET111">
        <f ca="1">tblBaseCF[[#This Row],[Load]]</f>
        <v>0</v>
      </c>
      <c r="EU111">
        <f ca="1">tblBaseCF[[#This Row],[LoadAllocChrg]]</f>
        <v>0</v>
      </c>
      <c r="EV111">
        <f ca="1">tblBaseCF[[#This Row],[LoadAlloc]]</f>
        <v>0</v>
      </c>
      <c r="EW111">
        <f ca="1">tblBaseCF[[#This Row],[TotalPrem]]</f>
        <v>0</v>
      </c>
      <c r="EX111">
        <f ca="1">tblBaseCF[[#This Row],[AllocChrg]]</f>
        <v>0</v>
      </c>
      <c r="EY111">
        <f ca="1">tblBaseCF[[#This Row],[Alloc]]</f>
        <v>0</v>
      </c>
      <c r="EZ111">
        <f ca="1">tblBaseCF[[#This Row],[AccumTotalPrem]]</f>
        <v>0</v>
      </c>
      <c r="FA111">
        <f>tblBaseCF[[#This Row],[AnnualIntRate]]</f>
        <v>0</v>
      </c>
      <c r="FB111" s="50">
        <f>tblBaseCF[[#This Row],[Duean1m12]]</f>
        <v>1</v>
      </c>
      <c r="FC111">
        <f ca="1">tblBaseCF[[#This Row],[DeductFlag]]</f>
        <v>0</v>
      </c>
      <c r="FD111">
        <f ca="1">tblBaseCF[[#This Row],[AdminChrg]]</f>
        <v>0</v>
      </c>
      <c r="FE111">
        <f ca="1">tblBaseCF[[#This Row],[StandardCOI]]</f>
        <v>0</v>
      </c>
      <c r="FF111">
        <f ca="1">tblBaseCF[[#This Row],[EMLoadCOI]]</f>
        <v>0</v>
      </c>
      <c r="FG111">
        <f ca="1">tblBaseCF[[#This Row],[PMLoadCOI]]</f>
        <v>0</v>
      </c>
      <c r="FH111">
        <f ca="1">tblBaseCF[[#This Row],[COI]]</f>
        <v>0</v>
      </c>
      <c r="FI111" s="47">
        <f ca="1">tblBaseCF[[#This Row],[NomDeduct]]</f>
        <v>0</v>
      </c>
      <c r="FJ111">
        <f ca="1">tblBaseCF[[#This Row],[Deduct]]</f>
        <v>0</v>
      </c>
      <c r="FK111">
        <f ca="1">tblBaseCF[[#This Row],[TAVDeduct]]</f>
        <v>0</v>
      </c>
      <c r="FL111">
        <f ca="1">tblBaseCF[[#This Row],[EAVDeduct]]</f>
        <v>0</v>
      </c>
      <c r="FM111" s="24">
        <f ca="1">tblBaseCF[[#This Row],[TAVInt]]</f>
        <v>0</v>
      </c>
      <c r="FN111">
        <f ca="1">tblBaseCF[[#This Row],[EAVInt]]</f>
        <v>0</v>
      </c>
      <c r="FO111" s="47">
        <f ca="1">tblBaseCF[[#This Row],[LB]]</f>
        <v>0</v>
      </c>
      <c r="FP111">
        <f ca="1">tblBaseCF[[#This Row],[SB]]</f>
        <v>0</v>
      </c>
      <c r="FQ111">
        <f ca="1">tblBaseCF[[#This Row],[Bonus]]</f>
        <v>0</v>
      </c>
      <c r="FR111">
        <f ca="1">tblBaseCF[[#This Row],[EndTAV]]</f>
        <v>0</v>
      </c>
      <c r="FS111">
        <f ca="1">tblBaseCF[[#This Row],[EndEAV]]</f>
        <v>0</v>
      </c>
      <c r="FT111">
        <f ca="1">tblBaseCF[[#This Row],[EndPAV]]</f>
        <v>0</v>
      </c>
      <c r="FU111">
        <f ca="1">tblBaseCF[[#This Row],[SemiAnnualTP]]</f>
        <v>0</v>
      </c>
      <c r="FV111">
        <f ca="1">tblBaseCF[[#This Row],[SemiAnnualEP]]</f>
        <v>0</v>
      </c>
      <c r="FW111">
        <f ca="1">tblBaseCF[[#This Row],[SemiAnnualEMLoad]]</f>
        <v>0</v>
      </c>
      <c r="FX111">
        <f ca="1">tblBaseCF[[#This Row],[SemiAnnualPMLoad]]</f>
        <v>0</v>
      </c>
      <c r="FY111">
        <f ca="1">tblBaseCF[[#This Row],[SemiAnnualLoad]]</f>
        <v>0</v>
      </c>
      <c r="FZ111">
        <f ca="1">tblBaseCF[[#This Row],[SemiAnnualTotalPrem]]</f>
        <v>0</v>
      </c>
      <c r="GA111">
        <f ca="1">tblBaseCF[[#This Row],[QuarterlyTP]]</f>
        <v>0</v>
      </c>
      <c r="GB111">
        <f ca="1">tblBaseCF[[#This Row],[QuarterlyEP]]</f>
        <v>0</v>
      </c>
      <c r="GC111">
        <f ca="1">tblBaseCF[[#This Row],[QuarterlyEMLoad]]</f>
        <v>0</v>
      </c>
      <c r="GD111">
        <f ca="1">tblBaseCF[[#This Row],[QuarterlyPMLoad]]</f>
        <v>0</v>
      </c>
      <c r="GE111">
        <f ca="1">tblBaseCF[[#This Row],[QuarterlyLoad]]</f>
        <v>0</v>
      </c>
      <c r="GF111">
        <f ca="1">tblBaseCF[[#This Row],[QuarterlyTotalPrem]]</f>
        <v>0</v>
      </c>
      <c r="GG111">
        <f ca="1">tblBaseCF[[#This Row],[MonthlyTP]]</f>
        <v>0</v>
      </c>
      <c r="GH111">
        <f ca="1">tblBaseCF[[#This Row],[MonthlyEP]]</f>
        <v>0</v>
      </c>
      <c r="GI111">
        <f ca="1">tblBaseCF[[#This Row],[MonthlyEMLoad]]</f>
        <v>0</v>
      </c>
      <c r="GJ111">
        <f ca="1">tblBaseCF[[#This Row],[MonthlyPMLoad]]</f>
        <v>0</v>
      </c>
      <c r="GK111">
        <f ca="1">tblBaseCF[[#This Row],[MonthlyLoad]]</f>
        <v>0</v>
      </c>
      <c r="GL111">
        <f ca="1">tblBaseCF[[#This Row],[MonthlyTotalPrem]]</f>
        <v>0</v>
      </c>
      <c r="GO111" t="s">
        <v>134</v>
      </c>
      <c r="GP111" t="s">
        <v>135</v>
      </c>
      <c r="GQ111" t="s">
        <v>502</v>
      </c>
      <c r="GR111">
        <v>91</v>
      </c>
      <c r="GS111">
        <v>90</v>
      </c>
      <c r="GT111">
        <v>1</v>
      </c>
      <c r="GU111" t="s">
        <v>457</v>
      </c>
      <c r="GV111">
        <v>2082407578.9326799</v>
      </c>
      <c r="GW111">
        <v>18309673017.759899</v>
      </c>
      <c r="GX111">
        <v>20392080596.6926</v>
      </c>
      <c r="GY111">
        <v>0</v>
      </c>
      <c r="GZ111">
        <v>20392080596.6926</v>
      </c>
      <c r="HA111">
        <v>20392080596.6926</v>
      </c>
      <c r="HB111">
        <v>0</v>
      </c>
      <c r="HC111">
        <v>0</v>
      </c>
      <c r="HD111" t="s">
        <v>137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7.0000000000000007E-2</v>
      </c>
      <c r="HX111">
        <v>0.96964931039809399</v>
      </c>
      <c r="HY111">
        <v>1</v>
      </c>
      <c r="HZ111">
        <v>300000</v>
      </c>
      <c r="IA111">
        <v>0</v>
      </c>
      <c r="IB111">
        <v>0</v>
      </c>
      <c r="IC111">
        <v>0</v>
      </c>
      <c r="ID111">
        <v>0</v>
      </c>
      <c r="IE111">
        <v>300000</v>
      </c>
      <c r="IF111">
        <v>290894.79311942798</v>
      </c>
      <c r="IG111">
        <v>290894.79311942798</v>
      </c>
      <c r="IH111">
        <v>0</v>
      </c>
      <c r="II111">
        <v>145748167.88976899</v>
      </c>
      <c r="IJ111">
        <v>1281677111.2431901</v>
      </c>
      <c r="IK111">
        <v>0</v>
      </c>
      <c r="IL111">
        <v>0</v>
      </c>
      <c r="IM111">
        <v>0</v>
      </c>
      <c r="IN111">
        <v>2227864852.0293298</v>
      </c>
      <c r="IO111">
        <v>19591350129.003101</v>
      </c>
      <c r="IP111">
        <v>21819214981.032398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</row>
    <row r="112" spans="2:268" customFormat="1" x14ac:dyDescent="0.25">
      <c r="B112" s="2">
        <f ca="1">OFFSET(tblBaseCF[[#This Row],[Year]],-1,0)+1</f>
        <v>92</v>
      </c>
      <c r="C112" s="2">
        <f ca="1">(tblBaseCF[[#This Row],[Year]]&lt;=term)*1</f>
        <v>1</v>
      </c>
      <c r="D112" s="57">
        <f ca="1">(YEAR(rcd)+tblBaseCF[[#This Row],[Year]]-1)
*tblBaseCF[[#This Row],[PolTermFlag]]</f>
        <v>2116</v>
      </c>
      <c r="E112" s="57">
        <f ca="1">(mainLI_entry_age+tblBaseCF[[#This Row],[Year]]-1)
*tblBaseCF[[#This Row],[PolTermFlag]]</f>
        <v>91</v>
      </c>
      <c r="F112" s="57">
        <f ca="1">IF(tblBaseCF[[#This Row],[Year]]=1,1,OFFSET(tblBaseCF[[#This Row],[DeductFlag]],-1,0))
*tblBaseCF[[#This Row],[PolTermFlag]]</f>
        <v>0</v>
      </c>
      <c r="G112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2" s="57">
        <f ca="1">(tblBaseCF[[#This Row],[Year]]&lt;=acc_ben_term)
*tblBaseCF[[#This Row],[ContFlag]]</f>
        <v>0</v>
      </c>
      <c r="I112" s="57">
        <f ca="1">(tblBaseCF[[#This Row],[Year]]&lt;=tp_term)
*tblBaseCF[[#This Row],[ContFlag]]</f>
        <v>0</v>
      </c>
      <c r="J112" s="57">
        <f ca="1">(tblBaseCF[[#This Row],[Year]]&lt;=ep_term)
*tblBaseCF[[#This Row],[ContFlag]]</f>
        <v>0</v>
      </c>
      <c r="K112" s="57">
        <f ca="1">(tblBaseCF[[#This Row],[Year]]&lt;=em_load_term)*1</f>
        <v>0</v>
      </c>
      <c r="L112" s="57">
        <f ca="1">(tblBaseCF[[#This Row],[Year]]&lt;=pm_load_term)*1</f>
        <v>0</v>
      </c>
      <c r="M112" s="59">
        <f ca="1">IF(tblBaseCF[[#This Row],[Year]]=1,si,OFFSET(tblBaseCF[[#This Row],[EndSI]],-1,0))
*tblBaseCF[[#This Row],[ContFlag]]</f>
        <v>0</v>
      </c>
      <c r="N112" s="59">
        <f ca="1">OFFSET(tblBaseCF[[#This Row],[EndTAV]],-1,0)
*tblBaseCF[[#This Row],[ContFlag]]</f>
        <v>0</v>
      </c>
      <c r="O112" s="59">
        <f ca="1">OFFSET(tblBaseCF[[#This Row],[EndEAV]],-1,0)
*tblBaseCF[[#This Row],[ContFlag]]</f>
        <v>0</v>
      </c>
      <c r="P112" s="60">
        <f ca="1">tblBaseCF[[#This Row],[StartEAV]]+tblBaseCF[[#This Row],[StartTAV]]</f>
        <v>0</v>
      </c>
      <c r="Q112" s="61">
        <f ca="1">IFERROR(INDEX(tblJuvenileLienRate[Rate],MATCH(tblBaseCF[[#This Row],[Age]],tblJuvenileLienRate[Age],0)),1)
*tblBaseCF[[#This Row],[ContFlag]]</f>
        <v>0</v>
      </c>
      <c r="R112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2" s="62">
        <f ca="1">tblBaseCF[[#This Row],[StartSI]]*acc_ben_coeff*tblBaseCF[[#This Row],[JuvenileLienRate]]
*tblBaseCF[[#This Row],[AccBenTermFlag]]</f>
        <v>0</v>
      </c>
      <c r="T112" s="61">
        <f ca="1">(IFERROR(INDEX(tblSurrChrgRate[Rate],MATCH(tblBaseCF[[#This Row],[Year]],tblSurrChrgRate[Year],0)),0)
*tblBaseCF[[#This Row],[ContFlag]])</f>
        <v>0</v>
      </c>
      <c r="U112" s="60">
        <f ca="1">tp*tblBaseCF[[#This Row],[SrrChrgRate]]</f>
        <v>0</v>
      </c>
      <c r="V112" s="63">
        <f ca="1">MAX(tblBaseCF[[#This Row],[StartTAV]]-tblBaseCF[[#This Row],[SVChrg]],0)+tblBaseCF[[#This Row],[StartEAV]]</f>
        <v>0</v>
      </c>
      <c r="W112" s="59">
        <f ca="1">IFERROR(INDEX(tblWithdrawal_Output[Amount],MATCH(tblBaseCF[[#This Row],[Year]],tblWithdrawal_Output[Year],0)),0)
*tblBaseCF[[#This Row],[ContFlag]]</f>
        <v>0</v>
      </c>
      <c r="X112" s="59" t="b">
        <f ca="1">tblBaseCF[[#This Row],[WithdrawalInput]]&gt;0</f>
        <v>0</v>
      </c>
      <c r="Y112" s="59" t="b">
        <f ca="1">AND(tblBaseCF[[#This Row],[1stCheckProceed]],tblBaseCF[[#This Row],[WithdrawalInput]]&lt;=tblBaseCF[[#This Row],[StartPAV]])</f>
        <v>0</v>
      </c>
      <c r="Z112" s="59" t="b">
        <f ca="1">AND(tblBaseCF[[#This Row],[2ndCheckAmount]],(tblBaseCF[[#This Row],[StartPAV]]-tblBaseCF[[#This Row],[WithdrawalInput]])&gt;=min_pav_after_withdrawal)</f>
        <v>0</v>
      </c>
      <c r="AA112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2" s="59" t="b">
        <f ca="1">AND(tblBaseCF[[#This Row],[3rdCheckPAV]],tblBaseCF[[#This Row],[endSITest]]&gt;=min_base_si)</f>
        <v>0</v>
      </c>
      <c r="AC112" s="60">
        <f ca="1">tblBaseCF[[#This Row],[WithdrawalInput]]*tblBaseCF[[#This Row],[4thCheckSI]]</f>
        <v>0</v>
      </c>
      <c r="AD112" s="60">
        <f ca="1">MIN(tblBaseCF[[#This Row],[Withdrawal]],tblBaseCF[[#This Row],[StartEAV]])</f>
        <v>0</v>
      </c>
      <c r="AE112" s="60">
        <f ca="1">tblBaseCF[[#This Row],[Withdrawal]]-tblBaseCF[[#This Row],[EAVWithdrawal]]</f>
        <v>0</v>
      </c>
      <c r="AF112" s="60">
        <f ca="1">IF(tblBaseCF[[#This Row],[4thCheckSI]],tblBaseCF[[#This Row],[endSITest]],tblBaseCF[[#This Row],[StartSI]])</f>
        <v>0</v>
      </c>
      <c r="AG112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2" s="65">
        <f ca="1">IFERROR(INDEX(tblTPAllocChrgRate[Rate],MATCH(tblBaseCF[[#This Row],[Year]],tblTPAllocChrgRate[Year],0)),0)</f>
        <v>0.02</v>
      </c>
      <c r="AI112" s="62">
        <f ca="1">(tp+big_case_bonus_tp*(tblBaseCF[[#This Row],[Year]]=1))
*tblBaseCF[[#This Row],[TPTermFlag]]</f>
        <v>0</v>
      </c>
      <c r="AJ112" s="63">
        <f ca="1">tblBaseCF[[#This Row],[TP]]*tblBaseCF[[#This Row],[TPAllocChrgRate]]</f>
        <v>0</v>
      </c>
      <c r="AK112" s="60">
        <f ca="1">tblBaseCF[[#This Row],[TP]]-tblBaseCF[[#This Row],[TPAllocChrg]]</f>
        <v>0</v>
      </c>
      <c r="AL112" s="65">
        <f ca="1">IFERROR(INDEX(tblEPAllocChrgRate[Rate],MATCH(tblBaseCF[[#This Row],[Year]],tblEPAllocChrgRate[Year],0)),0)</f>
        <v>0.02</v>
      </c>
      <c r="AM112" s="60">
        <f ca="1">ep*tblBaseCF[[#This Row],[EPTermFlag]]</f>
        <v>0</v>
      </c>
      <c r="AN112" s="60">
        <f ca="1">tblBaseCF[[#This Row],[EP]]*tblBaseCF[[#This Row],[EPAllocChrgRate]]</f>
        <v>0</v>
      </c>
      <c r="AO112" s="63">
        <f ca="1">tblBaseCF[[#This Row],[EP]]-tblBaseCF[[#This Row],[EPAllocChrg]]</f>
        <v>0</v>
      </c>
      <c r="AP112" s="62">
        <f ca="1">tblBaseCF[[#This Row],[Ben]]*extra_prem_rate*em_load/1000/(1-tblBaseCF[[#This Row],[EPAllocChrgRate]])
*tblBaseCF[[#This Row],[EMLoadTermFlag]]</f>
        <v>0</v>
      </c>
      <c r="AQ112" s="62">
        <f ca="1">tblBaseCF[[#This Row],[Ben]]*pm_load/1000/(1-tblBaseCF[[#This Row],[EPAllocChrgRate]])
*tblBaseCF[[#This Row],[PMLoadTermFlag]]</f>
        <v>0</v>
      </c>
      <c r="AR112" s="60">
        <f ca="1">ROUNDUP(tblBaseCF[[#This Row],[UnroundedEMLoad]],-3)</f>
        <v>0</v>
      </c>
      <c r="AS112" s="62">
        <f ca="1">ROUNDUP(tblBaseCF[[#This Row],[Ben]]*pm_load/1000/(1-tblBaseCF[[#This Row],[EPAllocChrgRate]]),-3)
*tblBaseCF[[#This Row],[PMLoadTermFlag]]</f>
        <v>0</v>
      </c>
      <c r="AT112" s="60">
        <f ca="1">tblBaseCF[[#This Row],[EMLoad]]+tblBaseCF[[#This Row],[PMLoad]]</f>
        <v>0</v>
      </c>
      <c r="AU112" s="60">
        <f ca="1">tblBaseCF[[#This Row],[Load]]*tblBaseCF[[#This Row],[EPAllocChrgRate]]</f>
        <v>0</v>
      </c>
      <c r="AV112" s="60">
        <f ca="1">tblBaseCF[[#This Row],[Load]]-tblBaseCF[[#This Row],[LoadAllocChrg]]</f>
        <v>0</v>
      </c>
      <c r="AW112" s="60">
        <f ca="1">tblBaseCF[[#This Row],[TP]]+tblBaseCF[[#This Row],[EP]]+tblBaseCF[[#This Row],[Load]]</f>
        <v>0</v>
      </c>
      <c r="AX112" s="60">
        <f ca="1">tblBaseCF[[#This Row],[TPAllocChrg]]+tblBaseCF[[#This Row],[EPAllocChrg]]+tblBaseCF[[#This Row],[LoadAllocChrg]]</f>
        <v>0</v>
      </c>
      <c r="AY112" s="60">
        <f ca="1">tblBaseCF[[#This Row],[TPAlloc]]+tblBaseCF[[#This Row],[EPAlloc]]+tblBaseCF[[#This Row],[LoadAlloc]]</f>
        <v>0</v>
      </c>
      <c r="AZ112" s="60">
        <f ca="1">(OFFSET(tblBaseCF[[#This Row],[AccumTotalPrem]],-1,0)+tblBaseCF[[#This Row],[TotalPrem]])*tblBaseCF[[#This Row],[TPTermFlag]]</f>
        <v>0</v>
      </c>
      <c r="BA112" s="62">
        <f ca="1">(tblBaseCF[[#This Row],[StartTAV]]-tblBaseCF[[#This Row],[TAVWithdrawal]]+tblBaseCF[[#This Row],[TPAlloc]])
*tblBaseCF[[#This Row],[ContFlag]]</f>
        <v>0</v>
      </c>
      <c r="BB112" s="59">
        <f ca="1">(tblBaseCF[[#This Row],[StartEAV]]-tblBaseCF[[#This Row],[EAVWithdrawal]]+tblBaseCF[[#This Row],[EPAlloc]]+tblBaseCF[[#This Row],[LoadAlloc]])
*tblBaseCF[[#This Row],[ContFlag]]</f>
        <v>0</v>
      </c>
      <c r="BC112" s="59">
        <f ca="1">tblBaseCF[[#This Row],[TAVAfterWdrlAlloc]]+tblBaseCF[[#This Row],[EAVAfterWdrlAlloc]]</f>
        <v>0</v>
      </c>
      <c r="BD112" s="66">
        <f t="shared" si="10"/>
        <v>0</v>
      </c>
      <c r="BE112" s="67">
        <f>(1+tblBaseCF[[#This Row],[AnnualIntRate]])^(1/12)-1</f>
        <v>0</v>
      </c>
      <c r="BF112" s="68">
        <f>IFERROR(((1+tblBaseCF[[#This Row],[MonthlyIntRate]])^12-1)/12/(1-1/(1+tblBaseCF[[#This Row],[MonthlyIntRate]])),1)/(1+tblBaseCF[[#This Row],[AnnualIntRate]])</f>
        <v>1</v>
      </c>
      <c r="BG112" s="69">
        <f>PV(tblBaseCF[[#This Row],[MonthlyIntRate]],12,-1/12,,1)</f>
        <v>1</v>
      </c>
      <c r="BH112" s="60">
        <f ca="1">MAX(IF(death_tpd_option="A",tblBaseCF[[#This Row],[Ben]]-tblBaseCF[[#This Row],[StartPAV]],tblBaseCF[[#This Row],[Ben]]),0)</f>
        <v>0</v>
      </c>
      <c r="BI112" s="70">
        <f ca="1">IFERROR(INDEX(tblBaseCOIRate[Rate],MATCH(tblBaseCF[[#This Row],[Age]],tblBaseCOIRate[Age],0)),0)</f>
        <v>0.21768000000000001</v>
      </c>
      <c r="BJ112" s="60">
        <f ca="1">tblBaseCF[[#This Row],[SAR]]*tblBaseCF[[#This Row],[COIRate]]</f>
        <v>0</v>
      </c>
      <c r="BK112" s="62">
        <f ca="1">em_load*tblBaseCF[[#This Row],[pStandardCOI]]
*tblBaseCF[[#This Row],[EMLoadTermFlag]]</f>
        <v>0</v>
      </c>
      <c r="BL112" s="62">
        <f ca="1">pm_load/1000*tblBaseCF[[#This Row],[SAR]]
*tblBaseCF[[#This Row],[PMLoadTermFlag]]</f>
        <v>0</v>
      </c>
      <c r="BM112" s="60">
        <f ca="1">tblBaseCF[[#This Row],[AccBen]]*monthly_acc_coi*12</f>
        <v>0</v>
      </c>
      <c r="BN112" s="60">
        <f ca="1">tblBaseCF[[#This Row],[pStandardCOI]]+tblBaseCF[[#This Row],[pEMLoadCOI]]+tblBaseCF[[#This Row],[pPMLoadCOI]]+tblBaseCF[[#This Row],[pAccCOI]]</f>
        <v>0</v>
      </c>
      <c r="BO112" s="62">
        <f ca="1">IFERROR(INDEX(tblAdminChrg[Amount],MATCH(tblBaseCF[[#This Row],[CalYear]],tblAdminChrg[Cal_Year],0)),0)
*tblBaseCF[[#This Row],[ContFlag]]</f>
        <v>0</v>
      </c>
      <c r="BP112" s="60">
        <f ca="1">tblBaseCF[[#This Row],[pMonthlyAdminChrg]]*12</f>
        <v>0</v>
      </c>
      <c r="BQ112" s="60">
        <f ca="1">tblBaseCF[[#This Row],[pCOI]]+tblBaseCF[[#This Row],[pAdminChrg]]</f>
        <v>0</v>
      </c>
      <c r="BR112" s="60">
        <f ca="1">tblBaseCF[[#This Row],[pNomDeduct]]*tblBaseCF[[#This Row],[Duean1m12]]</f>
        <v>0</v>
      </c>
      <c r="BS112" s="57">
        <f ca="1">(tblBaseCF[[#This Row],[PAVAfterWdrlAlloc]]&gt;=tblBaseCF[[#This Row],[pNomDeduct]])
*tblBaseCF[[#This Row],[ContFlag]]</f>
        <v>0</v>
      </c>
      <c r="BT112" s="60">
        <f ca="1">tblBaseCF[[#This Row],[pStandardCOI]]*tblBaseCF[[#This Row],[DeductFlag]]</f>
        <v>0</v>
      </c>
      <c r="BU112" s="60">
        <f ca="1">tblBaseCF[[#This Row],[pEMLoadCOI]]*tblBaseCF[[#This Row],[DeductFlag]]</f>
        <v>0</v>
      </c>
      <c r="BV112" s="60">
        <f ca="1">tblBaseCF[[#This Row],[pPMLoadCOI]]*tblBaseCF[[#This Row],[DeductFlag]]</f>
        <v>0</v>
      </c>
      <c r="BW112" s="60">
        <f ca="1">tblBaseCF[[#This Row],[pAccCOI]]*tblBaseCF[[#This Row],[DeductFlag]]</f>
        <v>0</v>
      </c>
      <c r="BX112" s="60">
        <f ca="1">tblBaseCF[[#This Row],[pCOI]]*tblBaseCF[[#This Row],[DeductFlag]]</f>
        <v>0</v>
      </c>
      <c r="BY112" s="60">
        <f ca="1">tblBaseCF[[#This Row],[pMonthlyAdminChrg]]*tblBaseCF[[#This Row],[DeductFlag]]</f>
        <v>0</v>
      </c>
      <c r="BZ112" s="60">
        <f ca="1">tblBaseCF[[#This Row],[pAdminChrg]]*tblBaseCF[[#This Row],[DeductFlag]]</f>
        <v>0</v>
      </c>
      <c r="CA112" s="60">
        <f ca="1">tblBaseCF[[#This Row],[pNomDeduct]]*tblBaseCF[[#This Row],[DeductFlag]]</f>
        <v>0</v>
      </c>
      <c r="CB112" s="60">
        <f ca="1">tblBaseCF[[#This Row],[pDeduct]]*tblBaseCF[[#This Row],[DeductFlag]]</f>
        <v>0</v>
      </c>
      <c r="CC112" s="60">
        <f ca="1">MIN(tblBaseCF[[#This Row],[TAVAfterWdrlAlloc]],tblBaseCF[[#This Row],[Deduct]])</f>
        <v>0</v>
      </c>
      <c r="CD112" s="60">
        <f ca="1">tblBaseCF[[#This Row],[Deduct]]-tblBaseCF[[#This Row],[TAVDeduct]]</f>
        <v>0</v>
      </c>
      <c r="CE112" s="69">
        <f ca="1">(tblBaseCF[[#This Row],[TAVAfterWdrlAlloc]]-tblBaseCF[[#This Row],[TAVDeduct]])*tblBaseCF[[#This Row],[AnnualIntRate]]
*tblBaseCF[[#This Row],[DeductFlag]]</f>
        <v>0</v>
      </c>
      <c r="CF112" s="69">
        <f ca="1">(tblBaseCF[[#This Row],[EAVAfterWdrlAlloc]]-tblBaseCF[[#This Row],[EAVDeduct]])*tblBaseCF[[#This Row],[AnnualIntRate]]
*tblBaseCF[[#This Row],[DeductFlag]]</f>
        <v>0</v>
      </c>
      <c r="CG112" s="69">
        <f ca="1">tblBaseCF[[#This Row],[TAVInt]]+tblBaseCF[[#This Row],[EAVInt]]</f>
        <v>0</v>
      </c>
      <c r="CH112" s="62">
        <f ca="1">IFERROR(INDEX(tblLBRate[Rate],MATCH(tblBaseCF[[#This Row],[Year]],tblLBRate[Year],0)),0)
*tblBaseCF[[#This Row],[DeductFlag]]</f>
        <v>0</v>
      </c>
      <c r="CI112" s="60">
        <f ca="1">IFERROR(SUM(OFFSET(tblBaseCF[[#This Row],[TAVWithdrawal]],0,0,-lb_review_period,1)),0)
*(tblBaseCF[[#This Row],[LBRate]]&gt;0)</f>
        <v>0</v>
      </c>
      <c r="CJ112" s="60">
        <f ca="1">(tblBaseCF[[#This Row],[LBRate]]&gt;0)*(tblBaseCF[[#This Row],[LBTAVWithdrawal]]=0)</f>
        <v>0</v>
      </c>
      <c r="CK112" s="62" cm="1">
        <f t="array" aca="1" ref="CK112" ca="1">IF(tblBaseCF[[#This Row],[LBFlag]],
_xlfn.SWITCH(base,
"ILP1",AVERAGE(OFFSET(tblBaseCF[TP],0,0,-lb_review_period,1)),tp),0)
*tblBaseCF[[#This Row],[LBFlag]]</f>
        <v>0</v>
      </c>
      <c r="CL112" s="62">
        <f ca="1">tblBaseCF[[#This Row],[LBBasis]]*tblBaseCF[[#This Row],[LBRate]]</f>
        <v>0</v>
      </c>
      <c r="CM112" s="57" cm="1">
        <f t="array" aca="1" ref="CM112" ca="1">_xlfn.SWITCH(base,
"ILP1",0,($AF212&lt;500000000)*1
+($AF212&gt;=500000000)*($AF212&lt;1000000000)*2
+($AF212&gt;=1000000000)*3)
*tblBaseCF[[#This Row],[DeductFlag]]</f>
        <v>0</v>
      </c>
      <c r="CN112" s="2" t="str">
        <f ca="1">IF(tblBaseCF[[#This Row],[DeductFlag]],base&amp;"_"&amp;tblBaseCF[[#This Row],[SBCode]]&amp;"_"&amp;tblBaseCF[[#This Row],[Year]],"")</f>
        <v/>
      </c>
      <c r="CO112" s="3">
        <f ca="1">IFERROR(INDEX(tblSBRate[Index],MATCH(tblBaseCF[[#This Row],[SBIndex]],tblSBRate[Rate],0)),0)</f>
        <v>0</v>
      </c>
      <c r="CP112" s="63">
        <f ca="1">IFERROR(SUM(OFFSET(tblBaseCF[[#This Row],[TAVWithdrawal]],0,0,-sb_review_period,1)),0)
*(tblBaseCF[[#This Row],[SBRate]]&gt;0)</f>
        <v>0</v>
      </c>
      <c r="CQ112" s="63">
        <f ca="1">(tblBaseCF[[#This Row],[SBRate]]&gt;0)*(tblBaseCF[[#This Row],[SBTAVWithdrawal]]=0)</f>
        <v>0</v>
      </c>
      <c r="CR112" s="59" cm="1">
        <f t="array" aca="1" ref="CR112" ca="1">IF(tblBaseCF[[#This Row],[LBFlag]],
_xlfn.SWITCH(base,
"ILP1",0,tp),0)*tblBaseCF[[#This Row],[SBFlag]]</f>
        <v>0</v>
      </c>
      <c r="CS112" s="63">
        <f ca="1">tblBaseCF[[#This Row],[SBBasis]]*tblBaseCF[[#This Row],[SBRate]]</f>
        <v>0</v>
      </c>
      <c r="CT112" s="63">
        <f ca="1">tblBaseCF[[#This Row],[LB]]+tblBaseCF[[#This Row],[SB]]</f>
        <v>0</v>
      </c>
      <c r="CU112" s="59">
        <f ca="1">tblBaseCF[[#This Row],[TAVAfterWdrlAlloc]]-tblBaseCF[[#This Row],[TAVDeduct]]+tblBaseCF[[#This Row],[TAVInt]]+tblBaseCF[[#This Row],[Bonus]]</f>
        <v>0</v>
      </c>
      <c r="CV112" s="59">
        <f ca="1">tblBaseCF[[#This Row],[EAVAfterWdrlAlloc]]-tblBaseCF[[#This Row],[EAVDeduct]]+tblBaseCF[[#This Row],[EAVInt]]</f>
        <v>0</v>
      </c>
      <c r="CW112" s="63">
        <f ca="1">tblBaseCF[[#This Row],[EndTAV]]+tblBaseCF[[#This Row],[EndEAV]]</f>
        <v>0</v>
      </c>
      <c r="CX112" s="59">
        <f ca="1">INDEX(tblPlanPrem[TP],2)
*tblBaseCF[[#This Row],[TPTermFlag]]</f>
        <v>0</v>
      </c>
      <c r="CY112" s="59">
        <f ca="1">INDEX(tblPlanPrem[EP],2)
*tblBaseCF[[#This Row],[TPTermFlag]]</f>
        <v>0</v>
      </c>
      <c r="CZ112" s="63">
        <f ca="1">ROUNDUP(tblBaseCF[[#This Row],[UnroundedEMLoad]]*INDEX(tblPlanPrem[Factor],2),-3)</f>
        <v>0</v>
      </c>
      <c r="DA112" s="63">
        <f ca="1">ROUNDUP(tblBaseCF[[#This Row],[UnroundedPMLoad]]*INDEX(tblPlanPrem[Factor],2),-3)</f>
        <v>0</v>
      </c>
      <c r="DB112" s="63">
        <f ca="1">tblBaseCF[[#This Row],[SemiAnnualEMLoad]]+tblBaseCF[[#This Row],[SemiAnnualPMLoad]]</f>
        <v>0</v>
      </c>
      <c r="DC112" s="63">
        <f ca="1">tblBaseCF[[#This Row],[SemiAnnualTP]]+tblBaseCF[[#This Row],[SemiAnnualEP]]+tblBaseCF[[#This Row],[SemiAnnualLoad]]</f>
        <v>0</v>
      </c>
      <c r="DD112" s="59">
        <f ca="1">INDEX(tblPlanPrem[TP],3)
*tblBaseCF[[#This Row],[TPTermFlag]]</f>
        <v>0</v>
      </c>
      <c r="DE112" s="59">
        <f ca="1">INDEX(tblPlanPrem[EP],3)
*tblBaseCF[[#This Row],[TPTermFlag]]</f>
        <v>0</v>
      </c>
      <c r="DF112" s="63">
        <f ca="1">ROUNDUP(tblBaseCF[[#This Row],[UnroundedEMLoad]]*INDEX(tblPlanPrem[Factor],3),-3)</f>
        <v>0</v>
      </c>
      <c r="DG112" s="63">
        <f ca="1">ROUNDUP(tblBaseCF[[#This Row],[UnroundedPMLoad]]*INDEX(tblPlanPrem[Factor],3),-3)</f>
        <v>0</v>
      </c>
      <c r="DH112" s="60">
        <f ca="1">tblBaseCF[[#This Row],[QuarterlyEMLoad]]+tblBaseCF[[#This Row],[QuarterlyPMLoad]]</f>
        <v>0</v>
      </c>
      <c r="DI112" s="60">
        <f ca="1">tblBaseCF[[#This Row],[QuarterlyTP]]+tblBaseCF[[#This Row],[QuarterlyEP]]+tblBaseCF[[#This Row],[QuarterlyLoad]]</f>
        <v>0</v>
      </c>
      <c r="DJ112" s="59">
        <f ca="1">INDEX(tblPlanPrem[TP],4)
*tblBaseCF[[#This Row],[TPTermFlag]]</f>
        <v>0</v>
      </c>
      <c r="DK112" s="59">
        <f ca="1">INDEX(tblPlanPrem[EP],4)
*tblBaseCF[[#This Row],[TPTermFlag]]</f>
        <v>0</v>
      </c>
      <c r="DL112" s="63">
        <f ca="1">ROUNDUP(tblBaseCF[[#This Row],[UnroundedEMLoad]]*INDEX(tblPlanPrem[Factor],4),-3)</f>
        <v>0</v>
      </c>
      <c r="DM112" s="63">
        <f ca="1">ROUNDUP(tblBaseCF[[#This Row],[UnroundedPMLoad]]*INDEX(tblPlanPrem[Factor],4),-3)</f>
        <v>0</v>
      </c>
      <c r="DN112" s="60">
        <f ca="1">tblBaseCF[[#This Row],[MonthlyEMLoad]]+tblBaseCF[[#This Row],[MonthlyPMLoad]]</f>
        <v>0</v>
      </c>
      <c r="DO112" s="63">
        <f ca="1">tblBaseCF[[#This Row],[MonthlyTP]]+tblBaseCF[[#This Row],[MonthlyEP]]+tblBaseCF[[#This Row],[MonthlyLoad]]</f>
        <v>0</v>
      </c>
      <c r="DP112" s="3"/>
      <c r="DS112">
        <f t="shared" si="11"/>
        <v>0</v>
      </c>
      <c r="DT112">
        <f t="shared" si="12"/>
        <v>0</v>
      </c>
      <c r="DU112">
        <f t="shared" si="13"/>
        <v>0</v>
      </c>
      <c r="DV112">
        <f ca="1">tblBaseCF[[#This Row],[Year]]</f>
        <v>92</v>
      </c>
      <c r="DW112">
        <f ca="1">tblBaseCF[[#This Row],[Age]]</f>
        <v>91</v>
      </c>
      <c r="DX112">
        <f ca="1">tblBaseCF[[#This Row],[ContFlag]]</f>
        <v>0</v>
      </c>
      <c r="DY112" t="str">
        <f ca="1">tblBaseCF[[#This Row],[ContLog]]</f>
        <v>Insufficient PAV for deduction - Discontinue.</v>
      </c>
      <c r="DZ112">
        <f ca="1">tblBaseCF[[#This Row],[StartTAV]]</f>
        <v>0</v>
      </c>
      <c r="EA112">
        <f ca="1">tblBaseCF[[#This Row],[StartEAV]]</f>
        <v>0</v>
      </c>
      <c r="EB112">
        <f ca="1">tblBaseCF[[#This Row],[StartPAV]]</f>
        <v>0</v>
      </c>
      <c r="EC112">
        <f ca="1">tblBaseCF[[#This Row],[SVChrg]]</f>
        <v>0</v>
      </c>
      <c r="ED112">
        <f ca="1">tblBaseCF[[#This Row],[SV]]</f>
        <v>0</v>
      </c>
      <c r="EE112">
        <f ca="1">tblBaseCF[[#This Row],[Ben]]</f>
        <v>0</v>
      </c>
      <c r="EF112">
        <f ca="1">tblBaseCF[[#This Row],[AccBen]]</f>
        <v>0</v>
      </c>
      <c r="EG112">
        <f ca="1">tblBaseCF[[#This Row],[WithdrawalInput]]</f>
        <v>0</v>
      </c>
      <c r="EH112" t="str">
        <f ca="1">tblBaseCF[[#This Row],[WithdrawalLog]]</f>
        <v>No withdrawal.</v>
      </c>
      <c r="EI112">
        <f ca="1">tblBaseCF[[#This Row],[TAVWithdrawal]]</f>
        <v>0</v>
      </c>
      <c r="EJ112">
        <f ca="1">tblBaseCF[[#This Row],[EAVWithdrawal]]</f>
        <v>0</v>
      </c>
      <c r="EK112">
        <f ca="1">tblBaseCF[[#This Row],[Withdrawal]]</f>
        <v>0</v>
      </c>
      <c r="EL112">
        <f ca="1">tblBaseCF[[#This Row],[TP]]</f>
        <v>0</v>
      </c>
      <c r="EM112">
        <f ca="1">tblBaseCF[[#This Row],[TPAllocChrg]]</f>
        <v>0</v>
      </c>
      <c r="EN112">
        <f ca="1">tblBaseCF[[#This Row],[TPAlloc]]</f>
        <v>0</v>
      </c>
      <c r="EO112">
        <f ca="1">tblBaseCF[[#This Row],[EP]]</f>
        <v>0</v>
      </c>
      <c r="EP112">
        <f ca="1">tblBaseCF[[#This Row],[EPAllocChrg]]</f>
        <v>0</v>
      </c>
      <c r="EQ112">
        <f ca="1">tblBaseCF[[#This Row],[EPAlloc]]</f>
        <v>0</v>
      </c>
      <c r="ER112">
        <f ca="1">tblBaseCF[[#This Row],[EMLoad]]</f>
        <v>0</v>
      </c>
      <c r="ES112">
        <f ca="1">tblBaseCF[[#This Row],[PMLoad]]</f>
        <v>0</v>
      </c>
      <c r="ET112">
        <f ca="1">tblBaseCF[[#This Row],[Load]]</f>
        <v>0</v>
      </c>
      <c r="EU112">
        <f ca="1">tblBaseCF[[#This Row],[LoadAllocChrg]]</f>
        <v>0</v>
      </c>
      <c r="EV112">
        <f ca="1">tblBaseCF[[#This Row],[LoadAlloc]]</f>
        <v>0</v>
      </c>
      <c r="EW112">
        <f ca="1">tblBaseCF[[#This Row],[TotalPrem]]</f>
        <v>0</v>
      </c>
      <c r="EX112">
        <f ca="1">tblBaseCF[[#This Row],[AllocChrg]]</f>
        <v>0</v>
      </c>
      <c r="EY112">
        <f ca="1">tblBaseCF[[#This Row],[Alloc]]</f>
        <v>0</v>
      </c>
      <c r="EZ112">
        <f ca="1">tblBaseCF[[#This Row],[AccumTotalPrem]]</f>
        <v>0</v>
      </c>
      <c r="FA112">
        <f>tblBaseCF[[#This Row],[AnnualIntRate]]</f>
        <v>0</v>
      </c>
      <c r="FB112" s="50">
        <f>tblBaseCF[[#This Row],[Duean1m12]]</f>
        <v>1</v>
      </c>
      <c r="FC112">
        <f ca="1">tblBaseCF[[#This Row],[DeductFlag]]</f>
        <v>0</v>
      </c>
      <c r="FD112">
        <f ca="1">tblBaseCF[[#This Row],[AdminChrg]]</f>
        <v>0</v>
      </c>
      <c r="FE112">
        <f ca="1">tblBaseCF[[#This Row],[StandardCOI]]</f>
        <v>0</v>
      </c>
      <c r="FF112">
        <f ca="1">tblBaseCF[[#This Row],[EMLoadCOI]]</f>
        <v>0</v>
      </c>
      <c r="FG112">
        <f ca="1">tblBaseCF[[#This Row],[PMLoadCOI]]</f>
        <v>0</v>
      </c>
      <c r="FH112">
        <f ca="1">tblBaseCF[[#This Row],[COI]]</f>
        <v>0</v>
      </c>
      <c r="FI112" s="47">
        <f ca="1">tblBaseCF[[#This Row],[NomDeduct]]</f>
        <v>0</v>
      </c>
      <c r="FJ112">
        <f ca="1">tblBaseCF[[#This Row],[Deduct]]</f>
        <v>0</v>
      </c>
      <c r="FK112">
        <f ca="1">tblBaseCF[[#This Row],[TAVDeduct]]</f>
        <v>0</v>
      </c>
      <c r="FL112">
        <f ca="1">tblBaseCF[[#This Row],[EAVDeduct]]</f>
        <v>0</v>
      </c>
      <c r="FM112" s="24">
        <f ca="1">tblBaseCF[[#This Row],[TAVInt]]</f>
        <v>0</v>
      </c>
      <c r="FN112">
        <f ca="1">tblBaseCF[[#This Row],[EAVInt]]</f>
        <v>0</v>
      </c>
      <c r="FO112" s="47">
        <f ca="1">tblBaseCF[[#This Row],[LB]]</f>
        <v>0</v>
      </c>
      <c r="FP112">
        <f ca="1">tblBaseCF[[#This Row],[SB]]</f>
        <v>0</v>
      </c>
      <c r="FQ112">
        <f ca="1">tblBaseCF[[#This Row],[Bonus]]</f>
        <v>0</v>
      </c>
      <c r="FR112">
        <f ca="1">tblBaseCF[[#This Row],[EndTAV]]</f>
        <v>0</v>
      </c>
      <c r="FS112">
        <f ca="1">tblBaseCF[[#This Row],[EndEAV]]</f>
        <v>0</v>
      </c>
      <c r="FT112">
        <f ca="1">tblBaseCF[[#This Row],[EndPAV]]</f>
        <v>0</v>
      </c>
      <c r="FU112">
        <f ca="1">tblBaseCF[[#This Row],[SemiAnnualTP]]</f>
        <v>0</v>
      </c>
      <c r="FV112">
        <f ca="1">tblBaseCF[[#This Row],[SemiAnnualEP]]</f>
        <v>0</v>
      </c>
      <c r="FW112">
        <f ca="1">tblBaseCF[[#This Row],[SemiAnnualEMLoad]]</f>
        <v>0</v>
      </c>
      <c r="FX112">
        <f ca="1">tblBaseCF[[#This Row],[SemiAnnualPMLoad]]</f>
        <v>0</v>
      </c>
      <c r="FY112">
        <f ca="1">tblBaseCF[[#This Row],[SemiAnnualLoad]]</f>
        <v>0</v>
      </c>
      <c r="FZ112">
        <f ca="1">tblBaseCF[[#This Row],[SemiAnnualTotalPrem]]</f>
        <v>0</v>
      </c>
      <c r="GA112">
        <f ca="1">tblBaseCF[[#This Row],[QuarterlyTP]]</f>
        <v>0</v>
      </c>
      <c r="GB112">
        <f ca="1">tblBaseCF[[#This Row],[QuarterlyEP]]</f>
        <v>0</v>
      </c>
      <c r="GC112">
        <f ca="1">tblBaseCF[[#This Row],[QuarterlyEMLoad]]</f>
        <v>0</v>
      </c>
      <c r="GD112">
        <f ca="1">tblBaseCF[[#This Row],[QuarterlyPMLoad]]</f>
        <v>0</v>
      </c>
      <c r="GE112">
        <f ca="1">tblBaseCF[[#This Row],[QuarterlyLoad]]</f>
        <v>0</v>
      </c>
      <c r="GF112">
        <f ca="1">tblBaseCF[[#This Row],[QuarterlyTotalPrem]]</f>
        <v>0</v>
      </c>
      <c r="GG112">
        <f ca="1">tblBaseCF[[#This Row],[MonthlyTP]]</f>
        <v>0</v>
      </c>
      <c r="GH112">
        <f ca="1">tblBaseCF[[#This Row],[MonthlyEP]]</f>
        <v>0</v>
      </c>
      <c r="GI112">
        <f ca="1">tblBaseCF[[#This Row],[MonthlyEMLoad]]</f>
        <v>0</v>
      </c>
      <c r="GJ112">
        <f ca="1">tblBaseCF[[#This Row],[MonthlyPMLoad]]</f>
        <v>0</v>
      </c>
      <c r="GK112">
        <f ca="1">tblBaseCF[[#This Row],[MonthlyLoad]]</f>
        <v>0</v>
      </c>
      <c r="GL112">
        <f ca="1">tblBaseCF[[#This Row],[MonthlyTotalPrem]]</f>
        <v>0</v>
      </c>
      <c r="GO112" t="s">
        <v>134</v>
      </c>
      <c r="GP112" t="s">
        <v>135</v>
      </c>
      <c r="GQ112" t="s">
        <v>502</v>
      </c>
      <c r="GR112">
        <v>92</v>
      </c>
      <c r="GS112">
        <v>91</v>
      </c>
      <c r="GT112">
        <v>1</v>
      </c>
      <c r="GU112" t="s">
        <v>457</v>
      </c>
      <c r="GV112">
        <v>2227864852.0293298</v>
      </c>
      <c r="GW112">
        <v>19591350129.003101</v>
      </c>
      <c r="GX112">
        <v>21819214981.032398</v>
      </c>
      <c r="GY112">
        <v>0</v>
      </c>
      <c r="GZ112">
        <v>21819214981.032398</v>
      </c>
      <c r="HA112">
        <v>21819214981.032398</v>
      </c>
      <c r="HB112">
        <v>0</v>
      </c>
      <c r="HC112">
        <v>0</v>
      </c>
      <c r="HD112" t="s">
        <v>137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7.0000000000000007E-2</v>
      </c>
      <c r="HX112">
        <v>0.96964931039809399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155950539.64205301</v>
      </c>
      <c r="IJ112">
        <v>1371394509.03022</v>
      </c>
      <c r="IK112">
        <v>0</v>
      </c>
      <c r="IL112">
        <v>0</v>
      </c>
      <c r="IM112">
        <v>0</v>
      </c>
      <c r="IN112">
        <v>2383815391.67138</v>
      </c>
      <c r="IO112">
        <v>20962744638.033298</v>
      </c>
      <c r="IP112">
        <v>23346560029.7047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</row>
    <row r="113" spans="2:268" customFormat="1" x14ac:dyDescent="0.25">
      <c r="B113" s="2">
        <f ca="1">OFFSET(tblBaseCF[[#This Row],[Year]],-1,0)+1</f>
        <v>93</v>
      </c>
      <c r="C113" s="2">
        <f ca="1">(tblBaseCF[[#This Row],[Year]]&lt;=term)*1</f>
        <v>1</v>
      </c>
      <c r="D113" s="57">
        <f ca="1">(YEAR(rcd)+tblBaseCF[[#This Row],[Year]]-1)
*tblBaseCF[[#This Row],[PolTermFlag]]</f>
        <v>2117</v>
      </c>
      <c r="E113" s="57">
        <f ca="1">(mainLI_entry_age+tblBaseCF[[#This Row],[Year]]-1)
*tblBaseCF[[#This Row],[PolTermFlag]]</f>
        <v>92</v>
      </c>
      <c r="F113" s="57">
        <f ca="1">IF(tblBaseCF[[#This Row],[Year]]=1,1,OFFSET(tblBaseCF[[#This Row],[DeductFlag]],-1,0))
*tblBaseCF[[#This Row],[PolTermFlag]]</f>
        <v>0</v>
      </c>
      <c r="G113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3" s="57">
        <f ca="1">(tblBaseCF[[#This Row],[Year]]&lt;=acc_ben_term)
*tblBaseCF[[#This Row],[ContFlag]]</f>
        <v>0</v>
      </c>
      <c r="I113" s="57">
        <f ca="1">(tblBaseCF[[#This Row],[Year]]&lt;=tp_term)
*tblBaseCF[[#This Row],[ContFlag]]</f>
        <v>0</v>
      </c>
      <c r="J113" s="57">
        <f ca="1">(tblBaseCF[[#This Row],[Year]]&lt;=ep_term)
*tblBaseCF[[#This Row],[ContFlag]]</f>
        <v>0</v>
      </c>
      <c r="K113" s="57">
        <f ca="1">(tblBaseCF[[#This Row],[Year]]&lt;=em_load_term)*1</f>
        <v>0</v>
      </c>
      <c r="L113" s="57">
        <f ca="1">(tblBaseCF[[#This Row],[Year]]&lt;=pm_load_term)*1</f>
        <v>0</v>
      </c>
      <c r="M113" s="59">
        <f ca="1">IF(tblBaseCF[[#This Row],[Year]]=1,si,OFFSET(tblBaseCF[[#This Row],[EndSI]],-1,0))
*tblBaseCF[[#This Row],[ContFlag]]</f>
        <v>0</v>
      </c>
      <c r="N113" s="59">
        <f ca="1">OFFSET(tblBaseCF[[#This Row],[EndTAV]],-1,0)
*tblBaseCF[[#This Row],[ContFlag]]</f>
        <v>0</v>
      </c>
      <c r="O113" s="59">
        <f ca="1">OFFSET(tblBaseCF[[#This Row],[EndEAV]],-1,0)
*tblBaseCF[[#This Row],[ContFlag]]</f>
        <v>0</v>
      </c>
      <c r="P113" s="60">
        <f ca="1">tblBaseCF[[#This Row],[StartEAV]]+tblBaseCF[[#This Row],[StartTAV]]</f>
        <v>0</v>
      </c>
      <c r="Q113" s="61">
        <f ca="1">IFERROR(INDEX(tblJuvenileLienRate[Rate],MATCH(tblBaseCF[[#This Row],[Age]],tblJuvenileLienRate[Age],0)),1)
*tblBaseCF[[#This Row],[ContFlag]]</f>
        <v>0</v>
      </c>
      <c r="R113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3" s="62">
        <f ca="1">tblBaseCF[[#This Row],[StartSI]]*acc_ben_coeff*tblBaseCF[[#This Row],[JuvenileLienRate]]
*tblBaseCF[[#This Row],[AccBenTermFlag]]</f>
        <v>0</v>
      </c>
      <c r="T113" s="61">
        <f ca="1">(IFERROR(INDEX(tblSurrChrgRate[Rate],MATCH(tblBaseCF[[#This Row],[Year]],tblSurrChrgRate[Year],0)),0)
*tblBaseCF[[#This Row],[ContFlag]])</f>
        <v>0</v>
      </c>
      <c r="U113" s="60">
        <f ca="1">tp*tblBaseCF[[#This Row],[SrrChrgRate]]</f>
        <v>0</v>
      </c>
      <c r="V113" s="63">
        <f ca="1">MAX(tblBaseCF[[#This Row],[StartTAV]]-tblBaseCF[[#This Row],[SVChrg]],0)+tblBaseCF[[#This Row],[StartEAV]]</f>
        <v>0</v>
      </c>
      <c r="W113" s="59">
        <f ca="1">IFERROR(INDEX(tblWithdrawal_Output[Amount],MATCH(tblBaseCF[[#This Row],[Year]],tblWithdrawal_Output[Year],0)),0)
*tblBaseCF[[#This Row],[ContFlag]]</f>
        <v>0</v>
      </c>
      <c r="X113" s="59" t="b">
        <f ca="1">tblBaseCF[[#This Row],[WithdrawalInput]]&gt;0</f>
        <v>0</v>
      </c>
      <c r="Y113" s="59" t="b">
        <f ca="1">AND(tblBaseCF[[#This Row],[1stCheckProceed]],tblBaseCF[[#This Row],[WithdrawalInput]]&lt;=tblBaseCF[[#This Row],[StartPAV]])</f>
        <v>0</v>
      </c>
      <c r="Z113" s="59" t="b">
        <f ca="1">AND(tblBaseCF[[#This Row],[2ndCheckAmount]],(tblBaseCF[[#This Row],[StartPAV]]-tblBaseCF[[#This Row],[WithdrawalInput]])&gt;=min_pav_after_withdrawal)</f>
        <v>0</v>
      </c>
      <c r="AA113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3" s="59" t="b">
        <f ca="1">AND(tblBaseCF[[#This Row],[3rdCheckPAV]],tblBaseCF[[#This Row],[endSITest]]&gt;=min_base_si)</f>
        <v>0</v>
      </c>
      <c r="AC113" s="60">
        <f ca="1">tblBaseCF[[#This Row],[WithdrawalInput]]*tblBaseCF[[#This Row],[4thCheckSI]]</f>
        <v>0</v>
      </c>
      <c r="AD113" s="60">
        <f ca="1">MIN(tblBaseCF[[#This Row],[Withdrawal]],tblBaseCF[[#This Row],[StartEAV]])</f>
        <v>0</v>
      </c>
      <c r="AE113" s="60">
        <f ca="1">tblBaseCF[[#This Row],[Withdrawal]]-tblBaseCF[[#This Row],[EAVWithdrawal]]</f>
        <v>0</v>
      </c>
      <c r="AF113" s="60">
        <f ca="1">IF(tblBaseCF[[#This Row],[4thCheckSI]],tblBaseCF[[#This Row],[endSITest]],tblBaseCF[[#This Row],[StartSI]])</f>
        <v>0</v>
      </c>
      <c r="AG113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3" s="65">
        <f ca="1">IFERROR(INDEX(tblTPAllocChrgRate[Rate],MATCH(tblBaseCF[[#This Row],[Year]],tblTPAllocChrgRate[Year],0)),0)</f>
        <v>0.02</v>
      </c>
      <c r="AI113" s="62">
        <f ca="1">(tp+big_case_bonus_tp*(tblBaseCF[[#This Row],[Year]]=1))
*tblBaseCF[[#This Row],[TPTermFlag]]</f>
        <v>0</v>
      </c>
      <c r="AJ113" s="63">
        <f ca="1">tblBaseCF[[#This Row],[TP]]*tblBaseCF[[#This Row],[TPAllocChrgRate]]</f>
        <v>0</v>
      </c>
      <c r="AK113" s="60">
        <f ca="1">tblBaseCF[[#This Row],[TP]]-tblBaseCF[[#This Row],[TPAllocChrg]]</f>
        <v>0</v>
      </c>
      <c r="AL113" s="65">
        <f ca="1">IFERROR(INDEX(tblEPAllocChrgRate[Rate],MATCH(tblBaseCF[[#This Row],[Year]],tblEPAllocChrgRate[Year],0)),0)</f>
        <v>0.02</v>
      </c>
      <c r="AM113" s="60">
        <f ca="1">ep*tblBaseCF[[#This Row],[EPTermFlag]]</f>
        <v>0</v>
      </c>
      <c r="AN113" s="60">
        <f ca="1">tblBaseCF[[#This Row],[EP]]*tblBaseCF[[#This Row],[EPAllocChrgRate]]</f>
        <v>0</v>
      </c>
      <c r="AO113" s="63">
        <f ca="1">tblBaseCF[[#This Row],[EP]]-tblBaseCF[[#This Row],[EPAllocChrg]]</f>
        <v>0</v>
      </c>
      <c r="AP113" s="62">
        <f ca="1">tblBaseCF[[#This Row],[Ben]]*extra_prem_rate*em_load/1000/(1-tblBaseCF[[#This Row],[EPAllocChrgRate]])
*tblBaseCF[[#This Row],[EMLoadTermFlag]]</f>
        <v>0</v>
      </c>
      <c r="AQ113" s="62">
        <f ca="1">tblBaseCF[[#This Row],[Ben]]*pm_load/1000/(1-tblBaseCF[[#This Row],[EPAllocChrgRate]])
*tblBaseCF[[#This Row],[PMLoadTermFlag]]</f>
        <v>0</v>
      </c>
      <c r="AR113" s="60">
        <f ca="1">ROUNDUP(tblBaseCF[[#This Row],[UnroundedEMLoad]],-3)</f>
        <v>0</v>
      </c>
      <c r="AS113" s="62">
        <f ca="1">ROUNDUP(tblBaseCF[[#This Row],[Ben]]*pm_load/1000/(1-tblBaseCF[[#This Row],[EPAllocChrgRate]]),-3)
*tblBaseCF[[#This Row],[PMLoadTermFlag]]</f>
        <v>0</v>
      </c>
      <c r="AT113" s="60">
        <f ca="1">tblBaseCF[[#This Row],[EMLoad]]+tblBaseCF[[#This Row],[PMLoad]]</f>
        <v>0</v>
      </c>
      <c r="AU113" s="60">
        <f ca="1">tblBaseCF[[#This Row],[Load]]*tblBaseCF[[#This Row],[EPAllocChrgRate]]</f>
        <v>0</v>
      </c>
      <c r="AV113" s="60">
        <f ca="1">tblBaseCF[[#This Row],[Load]]-tblBaseCF[[#This Row],[LoadAllocChrg]]</f>
        <v>0</v>
      </c>
      <c r="AW113" s="60">
        <f ca="1">tblBaseCF[[#This Row],[TP]]+tblBaseCF[[#This Row],[EP]]+tblBaseCF[[#This Row],[Load]]</f>
        <v>0</v>
      </c>
      <c r="AX113" s="60">
        <f ca="1">tblBaseCF[[#This Row],[TPAllocChrg]]+tblBaseCF[[#This Row],[EPAllocChrg]]+tblBaseCF[[#This Row],[LoadAllocChrg]]</f>
        <v>0</v>
      </c>
      <c r="AY113" s="60">
        <f ca="1">tblBaseCF[[#This Row],[TPAlloc]]+tblBaseCF[[#This Row],[EPAlloc]]+tblBaseCF[[#This Row],[LoadAlloc]]</f>
        <v>0</v>
      </c>
      <c r="AZ113" s="60">
        <f ca="1">(OFFSET(tblBaseCF[[#This Row],[AccumTotalPrem]],-1,0)+tblBaseCF[[#This Row],[TotalPrem]])*tblBaseCF[[#This Row],[TPTermFlag]]</f>
        <v>0</v>
      </c>
      <c r="BA113" s="62">
        <f ca="1">(tblBaseCF[[#This Row],[StartTAV]]-tblBaseCF[[#This Row],[TAVWithdrawal]]+tblBaseCF[[#This Row],[TPAlloc]])
*tblBaseCF[[#This Row],[ContFlag]]</f>
        <v>0</v>
      </c>
      <c r="BB113" s="59">
        <f ca="1">(tblBaseCF[[#This Row],[StartEAV]]-tblBaseCF[[#This Row],[EAVWithdrawal]]+tblBaseCF[[#This Row],[EPAlloc]]+tblBaseCF[[#This Row],[LoadAlloc]])
*tblBaseCF[[#This Row],[ContFlag]]</f>
        <v>0</v>
      </c>
      <c r="BC113" s="59">
        <f ca="1">tblBaseCF[[#This Row],[TAVAfterWdrlAlloc]]+tblBaseCF[[#This Row],[EAVAfterWdrlAlloc]]</f>
        <v>0</v>
      </c>
      <c r="BD113" s="66">
        <f t="shared" si="10"/>
        <v>0</v>
      </c>
      <c r="BE113" s="67">
        <f>(1+tblBaseCF[[#This Row],[AnnualIntRate]])^(1/12)-1</f>
        <v>0</v>
      </c>
      <c r="BF113" s="68">
        <f>IFERROR(((1+tblBaseCF[[#This Row],[MonthlyIntRate]])^12-1)/12/(1-1/(1+tblBaseCF[[#This Row],[MonthlyIntRate]])),1)/(1+tblBaseCF[[#This Row],[AnnualIntRate]])</f>
        <v>1</v>
      </c>
      <c r="BG113" s="69">
        <f>PV(tblBaseCF[[#This Row],[MonthlyIntRate]],12,-1/12,,1)</f>
        <v>1</v>
      </c>
      <c r="BH113" s="60">
        <f ca="1">MAX(IF(death_tpd_option="A",tblBaseCF[[#This Row],[Ben]]-tblBaseCF[[#This Row],[StartPAV]],tblBaseCF[[#This Row],[Ben]]),0)</f>
        <v>0</v>
      </c>
      <c r="BI113" s="70">
        <f ca="1">IFERROR(INDEX(tblBaseCOIRate[Rate],MATCH(tblBaseCF[[#This Row],[Age]],tblBaseCOIRate[Age],0)),0)</f>
        <v>0.23869000000000001</v>
      </c>
      <c r="BJ113" s="60">
        <f ca="1">tblBaseCF[[#This Row],[SAR]]*tblBaseCF[[#This Row],[COIRate]]</f>
        <v>0</v>
      </c>
      <c r="BK113" s="62">
        <f ca="1">em_load*tblBaseCF[[#This Row],[pStandardCOI]]
*tblBaseCF[[#This Row],[EMLoadTermFlag]]</f>
        <v>0</v>
      </c>
      <c r="BL113" s="62">
        <f ca="1">pm_load/1000*tblBaseCF[[#This Row],[SAR]]
*tblBaseCF[[#This Row],[PMLoadTermFlag]]</f>
        <v>0</v>
      </c>
      <c r="BM113" s="60">
        <f ca="1">tblBaseCF[[#This Row],[AccBen]]*monthly_acc_coi*12</f>
        <v>0</v>
      </c>
      <c r="BN113" s="60">
        <f ca="1">tblBaseCF[[#This Row],[pStandardCOI]]+tblBaseCF[[#This Row],[pEMLoadCOI]]+tblBaseCF[[#This Row],[pPMLoadCOI]]+tblBaseCF[[#This Row],[pAccCOI]]</f>
        <v>0</v>
      </c>
      <c r="BO113" s="62">
        <f ca="1">IFERROR(INDEX(tblAdminChrg[Amount],MATCH(tblBaseCF[[#This Row],[CalYear]],tblAdminChrg[Cal_Year],0)),0)
*tblBaseCF[[#This Row],[ContFlag]]</f>
        <v>0</v>
      </c>
      <c r="BP113" s="60">
        <f ca="1">tblBaseCF[[#This Row],[pMonthlyAdminChrg]]*12</f>
        <v>0</v>
      </c>
      <c r="BQ113" s="60">
        <f ca="1">tblBaseCF[[#This Row],[pCOI]]+tblBaseCF[[#This Row],[pAdminChrg]]</f>
        <v>0</v>
      </c>
      <c r="BR113" s="60">
        <f ca="1">tblBaseCF[[#This Row],[pNomDeduct]]*tblBaseCF[[#This Row],[Duean1m12]]</f>
        <v>0</v>
      </c>
      <c r="BS113" s="57">
        <f ca="1">(tblBaseCF[[#This Row],[PAVAfterWdrlAlloc]]&gt;=tblBaseCF[[#This Row],[pNomDeduct]])
*tblBaseCF[[#This Row],[ContFlag]]</f>
        <v>0</v>
      </c>
      <c r="BT113" s="60">
        <f ca="1">tblBaseCF[[#This Row],[pStandardCOI]]*tblBaseCF[[#This Row],[DeductFlag]]</f>
        <v>0</v>
      </c>
      <c r="BU113" s="60">
        <f ca="1">tblBaseCF[[#This Row],[pEMLoadCOI]]*tblBaseCF[[#This Row],[DeductFlag]]</f>
        <v>0</v>
      </c>
      <c r="BV113" s="60">
        <f ca="1">tblBaseCF[[#This Row],[pPMLoadCOI]]*tblBaseCF[[#This Row],[DeductFlag]]</f>
        <v>0</v>
      </c>
      <c r="BW113" s="60">
        <f ca="1">tblBaseCF[[#This Row],[pAccCOI]]*tblBaseCF[[#This Row],[DeductFlag]]</f>
        <v>0</v>
      </c>
      <c r="BX113" s="60">
        <f ca="1">tblBaseCF[[#This Row],[pCOI]]*tblBaseCF[[#This Row],[DeductFlag]]</f>
        <v>0</v>
      </c>
      <c r="BY113" s="60">
        <f ca="1">tblBaseCF[[#This Row],[pMonthlyAdminChrg]]*tblBaseCF[[#This Row],[DeductFlag]]</f>
        <v>0</v>
      </c>
      <c r="BZ113" s="60">
        <f ca="1">tblBaseCF[[#This Row],[pAdminChrg]]*tblBaseCF[[#This Row],[DeductFlag]]</f>
        <v>0</v>
      </c>
      <c r="CA113" s="60">
        <f ca="1">tblBaseCF[[#This Row],[pNomDeduct]]*tblBaseCF[[#This Row],[DeductFlag]]</f>
        <v>0</v>
      </c>
      <c r="CB113" s="60">
        <f ca="1">tblBaseCF[[#This Row],[pDeduct]]*tblBaseCF[[#This Row],[DeductFlag]]</f>
        <v>0</v>
      </c>
      <c r="CC113" s="60">
        <f ca="1">MIN(tblBaseCF[[#This Row],[TAVAfterWdrlAlloc]],tblBaseCF[[#This Row],[Deduct]])</f>
        <v>0</v>
      </c>
      <c r="CD113" s="60">
        <f ca="1">tblBaseCF[[#This Row],[Deduct]]-tblBaseCF[[#This Row],[TAVDeduct]]</f>
        <v>0</v>
      </c>
      <c r="CE113" s="69">
        <f ca="1">(tblBaseCF[[#This Row],[TAVAfterWdrlAlloc]]-tblBaseCF[[#This Row],[TAVDeduct]])*tblBaseCF[[#This Row],[AnnualIntRate]]
*tblBaseCF[[#This Row],[DeductFlag]]</f>
        <v>0</v>
      </c>
      <c r="CF113" s="69">
        <f ca="1">(tblBaseCF[[#This Row],[EAVAfterWdrlAlloc]]-tblBaseCF[[#This Row],[EAVDeduct]])*tblBaseCF[[#This Row],[AnnualIntRate]]
*tblBaseCF[[#This Row],[DeductFlag]]</f>
        <v>0</v>
      </c>
      <c r="CG113" s="69">
        <f ca="1">tblBaseCF[[#This Row],[TAVInt]]+tblBaseCF[[#This Row],[EAVInt]]</f>
        <v>0</v>
      </c>
      <c r="CH113" s="62">
        <f ca="1">IFERROR(INDEX(tblLBRate[Rate],MATCH(tblBaseCF[[#This Row],[Year]],tblLBRate[Year],0)),0)
*tblBaseCF[[#This Row],[DeductFlag]]</f>
        <v>0</v>
      </c>
      <c r="CI113" s="60">
        <f ca="1">IFERROR(SUM(OFFSET(tblBaseCF[[#This Row],[TAVWithdrawal]],0,0,-lb_review_period,1)),0)
*(tblBaseCF[[#This Row],[LBRate]]&gt;0)</f>
        <v>0</v>
      </c>
      <c r="CJ113" s="60">
        <f ca="1">(tblBaseCF[[#This Row],[LBRate]]&gt;0)*(tblBaseCF[[#This Row],[LBTAVWithdrawal]]=0)</f>
        <v>0</v>
      </c>
      <c r="CK113" s="62" cm="1">
        <f t="array" aca="1" ref="CK113" ca="1">IF(tblBaseCF[[#This Row],[LBFlag]],
_xlfn.SWITCH(base,
"ILP1",AVERAGE(OFFSET(tblBaseCF[TP],0,0,-lb_review_period,1)),tp),0)
*tblBaseCF[[#This Row],[LBFlag]]</f>
        <v>0</v>
      </c>
      <c r="CL113" s="62">
        <f ca="1">tblBaseCF[[#This Row],[LBBasis]]*tblBaseCF[[#This Row],[LBRate]]</f>
        <v>0</v>
      </c>
      <c r="CM113" s="57" cm="1">
        <f t="array" aca="1" ref="CM113" ca="1">_xlfn.SWITCH(base,
"ILP1",0,($AF213&lt;500000000)*1
+($AF213&gt;=500000000)*($AF213&lt;1000000000)*2
+($AF213&gt;=1000000000)*3)
*tblBaseCF[[#This Row],[DeductFlag]]</f>
        <v>0</v>
      </c>
      <c r="CN113" s="2" t="str">
        <f ca="1">IF(tblBaseCF[[#This Row],[DeductFlag]],base&amp;"_"&amp;tblBaseCF[[#This Row],[SBCode]]&amp;"_"&amp;tblBaseCF[[#This Row],[Year]],"")</f>
        <v/>
      </c>
      <c r="CO113" s="3">
        <f ca="1">IFERROR(INDEX(tblSBRate[Index],MATCH(tblBaseCF[[#This Row],[SBIndex]],tblSBRate[Rate],0)),0)</f>
        <v>0</v>
      </c>
      <c r="CP113" s="63">
        <f ca="1">IFERROR(SUM(OFFSET(tblBaseCF[[#This Row],[TAVWithdrawal]],0,0,-sb_review_period,1)),0)
*(tblBaseCF[[#This Row],[SBRate]]&gt;0)</f>
        <v>0</v>
      </c>
      <c r="CQ113" s="63">
        <f ca="1">(tblBaseCF[[#This Row],[SBRate]]&gt;0)*(tblBaseCF[[#This Row],[SBTAVWithdrawal]]=0)</f>
        <v>0</v>
      </c>
      <c r="CR113" s="59" cm="1">
        <f t="array" aca="1" ref="CR113" ca="1">IF(tblBaseCF[[#This Row],[LBFlag]],
_xlfn.SWITCH(base,
"ILP1",0,tp),0)*tblBaseCF[[#This Row],[SBFlag]]</f>
        <v>0</v>
      </c>
      <c r="CS113" s="63">
        <f ca="1">tblBaseCF[[#This Row],[SBBasis]]*tblBaseCF[[#This Row],[SBRate]]</f>
        <v>0</v>
      </c>
      <c r="CT113" s="63">
        <f ca="1">tblBaseCF[[#This Row],[LB]]+tblBaseCF[[#This Row],[SB]]</f>
        <v>0</v>
      </c>
      <c r="CU113" s="59">
        <f ca="1">tblBaseCF[[#This Row],[TAVAfterWdrlAlloc]]-tblBaseCF[[#This Row],[TAVDeduct]]+tblBaseCF[[#This Row],[TAVInt]]+tblBaseCF[[#This Row],[Bonus]]</f>
        <v>0</v>
      </c>
      <c r="CV113" s="59">
        <f ca="1">tblBaseCF[[#This Row],[EAVAfterWdrlAlloc]]-tblBaseCF[[#This Row],[EAVDeduct]]+tblBaseCF[[#This Row],[EAVInt]]</f>
        <v>0</v>
      </c>
      <c r="CW113" s="63">
        <f ca="1">tblBaseCF[[#This Row],[EndTAV]]+tblBaseCF[[#This Row],[EndEAV]]</f>
        <v>0</v>
      </c>
      <c r="CX113" s="59">
        <f ca="1">INDEX(tblPlanPrem[TP],2)
*tblBaseCF[[#This Row],[TPTermFlag]]</f>
        <v>0</v>
      </c>
      <c r="CY113" s="59">
        <f ca="1">INDEX(tblPlanPrem[EP],2)
*tblBaseCF[[#This Row],[TPTermFlag]]</f>
        <v>0</v>
      </c>
      <c r="CZ113" s="63">
        <f ca="1">ROUNDUP(tblBaseCF[[#This Row],[UnroundedEMLoad]]*INDEX(tblPlanPrem[Factor],2),-3)</f>
        <v>0</v>
      </c>
      <c r="DA113" s="63">
        <f ca="1">ROUNDUP(tblBaseCF[[#This Row],[UnroundedPMLoad]]*INDEX(tblPlanPrem[Factor],2),-3)</f>
        <v>0</v>
      </c>
      <c r="DB113" s="63">
        <f ca="1">tblBaseCF[[#This Row],[SemiAnnualEMLoad]]+tblBaseCF[[#This Row],[SemiAnnualPMLoad]]</f>
        <v>0</v>
      </c>
      <c r="DC113" s="63">
        <f ca="1">tblBaseCF[[#This Row],[SemiAnnualTP]]+tblBaseCF[[#This Row],[SemiAnnualEP]]+tblBaseCF[[#This Row],[SemiAnnualLoad]]</f>
        <v>0</v>
      </c>
      <c r="DD113" s="59">
        <f ca="1">INDEX(tblPlanPrem[TP],3)
*tblBaseCF[[#This Row],[TPTermFlag]]</f>
        <v>0</v>
      </c>
      <c r="DE113" s="59">
        <f ca="1">INDEX(tblPlanPrem[EP],3)
*tblBaseCF[[#This Row],[TPTermFlag]]</f>
        <v>0</v>
      </c>
      <c r="DF113" s="63">
        <f ca="1">ROUNDUP(tblBaseCF[[#This Row],[UnroundedEMLoad]]*INDEX(tblPlanPrem[Factor],3),-3)</f>
        <v>0</v>
      </c>
      <c r="DG113" s="63">
        <f ca="1">ROUNDUP(tblBaseCF[[#This Row],[UnroundedPMLoad]]*INDEX(tblPlanPrem[Factor],3),-3)</f>
        <v>0</v>
      </c>
      <c r="DH113" s="60">
        <f ca="1">tblBaseCF[[#This Row],[QuarterlyEMLoad]]+tblBaseCF[[#This Row],[QuarterlyPMLoad]]</f>
        <v>0</v>
      </c>
      <c r="DI113" s="60">
        <f ca="1">tblBaseCF[[#This Row],[QuarterlyTP]]+tblBaseCF[[#This Row],[QuarterlyEP]]+tblBaseCF[[#This Row],[QuarterlyLoad]]</f>
        <v>0</v>
      </c>
      <c r="DJ113" s="59">
        <f ca="1">INDEX(tblPlanPrem[TP],4)
*tblBaseCF[[#This Row],[TPTermFlag]]</f>
        <v>0</v>
      </c>
      <c r="DK113" s="59">
        <f ca="1">INDEX(tblPlanPrem[EP],4)
*tblBaseCF[[#This Row],[TPTermFlag]]</f>
        <v>0</v>
      </c>
      <c r="DL113" s="63">
        <f ca="1">ROUNDUP(tblBaseCF[[#This Row],[UnroundedEMLoad]]*INDEX(tblPlanPrem[Factor],4),-3)</f>
        <v>0</v>
      </c>
      <c r="DM113" s="63">
        <f ca="1">ROUNDUP(tblBaseCF[[#This Row],[UnroundedPMLoad]]*INDEX(tblPlanPrem[Factor],4),-3)</f>
        <v>0</v>
      </c>
      <c r="DN113" s="60">
        <f ca="1">tblBaseCF[[#This Row],[MonthlyEMLoad]]+tblBaseCF[[#This Row],[MonthlyPMLoad]]</f>
        <v>0</v>
      </c>
      <c r="DO113" s="63">
        <f ca="1">tblBaseCF[[#This Row],[MonthlyTP]]+tblBaseCF[[#This Row],[MonthlyEP]]+tblBaseCF[[#This Row],[MonthlyLoad]]</f>
        <v>0</v>
      </c>
      <c r="DP113" s="3"/>
      <c r="DS113">
        <f t="shared" si="11"/>
        <v>0</v>
      </c>
      <c r="DT113">
        <f t="shared" si="12"/>
        <v>0</v>
      </c>
      <c r="DU113">
        <f t="shared" si="13"/>
        <v>0</v>
      </c>
      <c r="DV113">
        <f ca="1">tblBaseCF[[#This Row],[Year]]</f>
        <v>93</v>
      </c>
      <c r="DW113">
        <f ca="1">tblBaseCF[[#This Row],[Age]]</f>
        <v>92</v>
      </c>
      <c r="DX113">
        <f ca="1">tblBaseCF[[#This Row],[ContFlag]]</f>
        <v>0</v>
      </c>
      <c r="DY113" t="str">
        <f ca="1">tblBaseCF[[#This Row],[ContLog]]</f>
        <v>Insufficient PAV for deduction - Discontinue.</v>
      </c>
      <c r="DZ113">
        <f ca="1">tblBaseCF[[#This Row],[StartTAV]]</f>
        <v>0</v>
      </c>
      <c r="EA113">
        <f ca="1">tblBaseCF[[#This Row],[StartEAV]]</f>
        <v>0</v>
      </c>
      <c r="EB113">
        <f ca="1">tblBaseCF[[#This Row],[StartPAV]]</f>
        <v>0</v>
      </c>
      <c r="EC113">
        <f ca="1">tblBaseCF[[#This Row],[SVChrg]]</f>
        <v>0</v>
      </c>
      <c r="ED113">
        <f ca="1">tblBaseCF[[#This Row],[SV]]</f>
        <v>0</v>
      </c>
      <c r="EE113">
        <f ca="1">tblBaseCF[[#This Row],[Ben]]</f>
        <v>0</v>
      </c>
      <c r="EF113">
        <f ca="1">tblBaseCF[[#This Row],[AccBen]]</f>
        <v>0</v>
      </c>
      <c r="EG113">
        <f ca="1">tblBaseCF[[#This Row],[WithdrawalInput]]</f>
        <v>0</v>
      </c>
      <c r="EH113" t="str">
        <f ca="1">tblBaseCF[[#This Row],[WithdrawalLog]]</f>
        <v>No withdrawal.</v>
      </c>
      <c r="EI113">
        <f ca="1">tblBaseCF[[#This Row],[TAVWithdrawal]]</f>
        <v>0</v>
      </c>
      <c r="EJ113">
        <f ca="1">tblBaseCF[[#This Row],[EAVWithdrawal]]</f>
        <v>0</v>
      </c>
      <c r="EK113">
        <f ca="1">tblBaseCF[[#This Row],[Withdrawal]]</f>
        <v>0</v>
      </c>
      <c r="EL113">
        <f ca="1">tblBaseCF[[#This Row],[TP]]</f>
        <v>0</v>
      </c>
      <c r="EM113">
        <f ca="1">tblBaseCF[[#This Row],[TPAllocChrg]]</f>
        <v>0</v>
      </c>
      <c r="EN113">
        <f ca="1">tblBaseCF[[#This Row],[TPAlloc]]</f>
        <v>0</v>
      </c>
      <c r="EO113">
        <f ca="1">tblBaseCF[[#This Row],[EP]]</f>
        <v>0</v>
      </c>
      <c r="EP113">
        <f ca="1">tblBaseCF[[#This Row],[EPAllocChrg]]</f>
        <v>0</v>
      </c>
      <c r="EQ113">
        <f ca="1">tblBaseCF[[#This Row],[EPAlloc]]</f>
        <v>0</v>
      </c>
      <c r="ER113">
        <f ca="1">tblBaseCF[[#This Row],[EMLoad]]</f>
        <v>0</v>
      </c>
      <c r="ES113">
        <f ca="1">tblBaseCF[[#This Row],[PMLoad]]</f>
        <v>0</v>
      </c>
      <c r="ET113">
        <f ca="1">tblBaseCF[[#This Row],[Load]]</f>
        <v>0</v>
      </c>
      <c r="EU113">
        <f ca="1">tblBaseCF[[#This Row],[LoadAllocChrg]]</f>
        <v>0</v>
      </c>
      <c r="EV113">
        <f ca="1">tblBaseCF[[#This Row],[LoadAlloc]]</f>
        <v>0</v>
      </c>
      <c r="EW113">
        <f ca="1">tblBaseCF[[#This Row],[TotalPrem]]</f>
        <v>0</v>
      </c>
      <c r="EX113">
        <f ca="1">tblBaseCF[[#This Row],[AllocChrg]]</f>
        <v>0</v>
      </c>
      <c r="EY113">
        <f ca="1">tblBaseCF[[#This Row],[Alloc]]</f>
        <v>0</v>
      </c>
      <c r="EZ113">
        <f ca="1">tblBaseCF[[#This Row],[AccumTotalPrem]]</f>
        <v>0</v>
      </c>
      <c r="FA113">
        <f>tblBaseCF[[#This Row],[AnnualIntRate]]</f>
        <v>0</v>
      </c>
      <c r="FB113" s="50">
        <f>tblBaseCF[[#This Row],[Duean1m12]]</f>
        <v>1</v>
      </c>
      <c r="FC113">
        <f ca="1">tblBaseCF[[#This Row],[DeductFlag]]</f>
        <v>0</v>
      </c>
      <c r="FD113">
        <f ca="1">tblBaseCF[[#This Row],[AdminChrg]]</f>
        <v>0</v>
      </c>
      <c r="FE113">
        <f ca="1">tblBaseCF[[#This Row],[StandardCOI]]</f>
        <v>0</v>
      </c>
      <c r="FF113">
        <f ca="1">tblBaseCF[[#This Row],[EMLoadCOI]]</f>
        <v>0</v>
      </c>
      <c r="FG113">
        <f ca="1">tblBaseCF[[#This Row],[PMLoadCOI]]</f>
        <v>0</v>
      </c>
      <c r="FH113">
        <f ca="1">tblBaseCF[[#This Row],[COI]]</f>
        <v>0</v>
      </c>
      <c r="FI113" s="47">
        <f ca="1">tblBaseCF[[#This Row],[NomDeduct]]</f>
        <v>0</v>
      </c>
      <c r="FJ113">
        <f ca="1">tblBaseCF[[#This Row],[Deduct]]</f>
        <v>0</v>
      </c>
      <c r="FK113">
        <f ca="1">tblBaseCF[[#This Row],[TAVDeduct]]</f>
        <v>0</v>
      </c>
      <c r="FL113">
        <f ca="1">tblBaseCF[[#This Row],[EAVDeduct]]</f>
        <v>0</v>
      </c>
      <c r="FM113" s="24">
        <f ca="1">tblBaseCF[[#This Row],[TAVInt]]</f>
        <v>0</v>
      </c>
      <c r="FN113">
        <f ca="1">tblBaseCF[[#This Row],[EAVInt]]</f>
        <v>0</v>
      </c>
      <c r="FO113" s="47">
        <f ca="1">tblBaseCF[[#This Row],[LB]]</f>
        <v>0</v>
      </c>
      <c r="FP113">
        <f ca="1">tblBaseCF[[#This Row],[SB]]</f>
        <v>0</v>
      </c>
      <c r="FQ113">
        <f ca="1">tblBaseCF[[#This Row],[Bonus]]</f>
        <v>0</v>
      </c>
      <c r="FR113">
        <f ca="1">tblBaseCF[[#This Row],[EndTAV]]</f>
        <v>0</v>
      </c>
      <c r="FS113">
        <f ca="1">tblBaseCF[[#This Row],[EndEAV]]</f>
        <v>0</v>
      </c>
      <c r="FT113">
        <f ca="1">tblBaseCF[[#This Row],[EndPAV]]</f>
        <v>0</v>
      </c>
      <c r="FU113">
        <f ca="1">tblBaseCF[[#This Row],[SemiAnnualTP]]</f>
        <v>0</v>
      </c>
      <c r="FV113">
        <f ca="1">tblBaseCF[[#This Row],[SemiAnnualEP]]</f>
        <v>0</v>
      </c>
      <c r="FW113">
        <f ca="1">tblBaseCF[[#This Row],[SemiAnnualEMLoad]]</f>
        <v>0</v>
      </c>
      <c r="FX113">
        <f ca="1">tblBaseCF[[#This Row],[SemiAnnualPMLoad]]</f>
        <v>0</v>
      </c>
      <c r="FY113">
        <f ca="1">tblBaseCF[[#This Row],[SemiAnnualLoad]]</f>
        <v>0</v>
      </c>
      <c r="FZ113">
        <f ca="1">tblBaseCF[[#This Row],[SemiAnnualTotalPrem]]</f>
        <v>0</v>
      </c>
      <c r="GA113">
        <f ca="1">tblBaseCF[[#This Row],[QuarterlyTP]]</f>
        <v>0</v>
      </c>
      <c r="GB113">
        <f ca="1">tblBaseCF[[#This Row],[QuarterlyEP]]</f>
        <v>0</v>
      </c>
      <c r="GC113">
        <f ca="1">tblBaseCF[[#This Row],[QuarterlyEMLoad]]</f>
        <v>0</v>
      </c>
      <c r="GD113">
        <f ca="1">tblBaseCF[[#This Row],[QuarterlyPMLoad]]</f>
        <v>0</v>
      </c>
      <c r="GE113">
        <f ca="1">tblBaseCF[[#This Row],[QuarterlyLoad]]</f>
        <v>0</v>
      </c>
      <c r="GF113">
        <f ca="1">tblBaseCF[[#This Row],[QuarterlyTotalPrem]]</f>
        <v>0</v>
      </c>
      <c r="GG113">
        <f ca="1">tblBaseCF[[#This Row],[MonthlyTP]]</f>
        <v>0</v>
      </c>
      <c r="GH113">
        <f ca="1">tblBaseCF[[#This Row],[MonthlyEP]]</f>
        <v>0</v>
      </c>
      <c r="GI113">
        <f ca="1">tblBaseCF[[#This Row],[MonthlyEMLoad]]</f>
        <v>0</v>
      </c>
      <c r="GJ113">
        <f ca="1">tblBaseCF[[#This Row],[MonthlyPMLoad]]</f>
        <v>0</v>
      </c>
      <c r="GK113">
        <f ca="1">tblBaseCF[[#This Row],[MonthlyLoad]]</f>
        <v>0</v>
      </c>
      <c r="GL113">
        <f ca="1">tblBaseCF[[#This Row],[MonthlyTotalPrem]]</f>
        <v>0</v>
      </c>
      <c r="GO113" t="s">
        <v>134</v>
      </c>
      <c r="GP113" t="s">
        <v>135</v>
      </c>
      <c r="GQ113" t="s">
        <v>502</v>
      </c>
      <c r="GR113">
        <v>93</v>
      </c>
      <c r="GS113">
        <v>92</v>
      </c>
      <c r="GT113">
        <v>1</v>
      </c>
      <c r="GU113" t="s">
        <v>457</v>
      </c>
      <c r="GV113">
        <v>2383815391.67138</v>
      </c>
      <c r="GW113">
        <v>20962744638.033298</v>
      </c>
      <c r="GX113">
        <v>23346560029.7047</v>
      </c>
      <c r="GY113">
        <v>0</v>
      </c>
      <c r="GZ113">
        <v>23346560029.7047</v>
      </c>
      <c r="HA113">
        <v>23346560029.7047</v>
      </c>
      <c r="HB113">
        <v>0</v>
      </c>
      <c r="HC113">
        <v>0</v>
      </c>
      <c r="HD113" t="s">
        <v>137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7.0000000000000007E-2</v>
      </c>
      <c r="HX113">
        <v>0.96964931039809399</v>
      </c>
      <c r="HY113">
        <v>1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166867077.41699699</v>
      </c>
      <c r="IJ113">
        <v>1467392124.6623299</v>
      </c>
      <c r="IK113">
        <v>0</v>
      </c>
      <c r="IL113">
        <v>0</v>
      </c>
      <c r="IM113">
        <v>0</v>
      </c>
      <c r="IN113">
        <v>2550682469.0883799</v>
      </c>
      <c r="IO113">
        <v>22430136762.695599</v>
      </c>
      <c r="IP113">
        <v>24980819231.784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</row>
    <row r="114" spans="2:268" customFormat="1" x14ac:dyDescent="0.25">
      <c r="B114" s="2">
        <f ca="1">OFFSET(tblBaseCF[[#This Row],[Year]],-1,0)+1</f>
        <v>94</v>
      </c>
      <c r="C114" s="2">
        <f ca="1">(tblBaseCF[[#This Row],[Year]]&lt;=term)*1</f>
        <v>1</v>
      </c>
      <c r="D114" s="57">
        <f ca="1">(YEAR(rcd)+tblBaseCF[[#This Row],[Year]]-1)
*tblBaseCF[[#This Row],[PolTermFlag]]</f>
        <v>2118</v>
      </c>
      <c r="E114" s="57">
        <f ca="1">(mainLI_entry_age+tblBaseCF[[#This Row],[Year]]-1)
*tblBaseCF[[#This Row],[PolTermFlag]]</f>
        <v>93</v>
      </c>
      <c r="F114" s="57">
        <f ca="1">IF(tblBaseCF[[#This Row],[Year]]=1,1,OFFSET(tblBaseCF[[#This Row],[DeductFlag]],-1,0))
*tblBaseCF[[#This Row],[PolTermFlag]]</f>
        <v>0</v>
      </c>
      <c r="G114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4" s="57">
        <f ca="1">(tblBaseCF[[#This Row],[Year]]&lt;=acc_ben_term)
*tblBaseCF[[#This Row],[ContFlag]]</f>
        <v>0</v>
      </c>
      <c r="I114" s="57">
        <f ca="1">(tblBaseCF[[#This Row],[Year]]&lt;=tp_term)
*tblBaseCF[[#This Row],[ContFlag]]</f>
        <v>0</v>
      </c>
      <c r="J114" s="57">
        <f ca="1">(tblBaseCF[[#This Row],[Year]]&lt;=ep_term)
*tblBaseCF[[#This Row],[ContFlag]]</f>
        <v>0</v>
      </c>
      <c r="K114" s="57">
        <f ca="1">(tblBaseCF[[#This Row],[Year]]&lt;=em_load_term)*1</f>
        <v>0</v>
      </c>
      <c r="L114" s="57">
        <f ca="1">(tblBaseCF[[#This Row],[Year]]&lt;=pm_load_term)*1</f>
        <v>0</v>
      </c>
      <c r="M114" s="59">
        <f ca="1">IF(tblBaseCF[[#This Row],[Year]]=1,si,OFFSET(tblBaseCF[[#This Row],[EndSI]],-1,0))
*tblBaseCF[[#This Row],[ContFlag]]</f>
        <v>0</v>
      </c>
      <c r="N114" s="59">
        <f ca="1">OFFSET(tblBaseCF[[#This Row],[EndTAV]],-1,0)
*tblBaseCF[[#This Row],[ContFlag]]</f>
        <v>0</v>
      </c>
      <c r="O114" s="59">
        <f ca="1">OFFSET(tblBaseCF[[#This Row],[EndEAV]],-1,0)
*tblBaseCF[[#This Row],[ContFlag]]</f>
        <v>0</v>
      </c>
      <c r="P114" s="60">
        <f ca="1">tblBaseCF[[#This Row],[StartEAV]]+tblBaseCF[[#This Row],[StartTAV]]</f>
        <v>0</v>
      </c>
      <c r="Q114" s="61">
        <f ca="1">IFERROR(INDEX(tblJuvenileLienRate[Rate],MATCH(tblBaseCF[[#This Row],[Age]],tblJuvenileLienRate[Age],0)),1)
*tblBaseCF[[#This Row],[ContFlag]]</f>
        <v>0</v>
      </c>
      <c r="R114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4" s="62">
        <f ca="1">tblBaseCF[[#This Row],[StartSI]]*acc_ben_coeff*tblBaseCF[[#This Row],[JuvenileLienRate]]
*tblBaseCF[[#This Row],[AccBenTermFlag]]</f>
        <v>0</v>
      </c>
      <c r="T114" s="61">
        <f ca="1">(IFERROR(INDEX(tblSurrChrgRate[Rate],MATCH(tblBaseCF[[#This Row],[Year]],tblSurrChrgRate[Year],0)),0)
*tblBaseCF[[#This Row],[ContFlag]])</f>
        <v>0</v>
      </c>
      <c r="U114" s="60">
        <f ca="1">tp*tblBaseCF[[#This Row],[SrrChrgRate]]</f>
        <v>0</v>
      </c>
      <c r="V114" s="63">
        <f ca="1">MAX(tblBaseCF[[#This Row],[StartTAV]]-tblBaseCF[[#This Row],[SVChrg]],0)+tblBaseCF[[#This Row],[StartEAV]]</f>
        <v>0</v>
      </c>
      <c r="W114" s="59">
        <f ca="1">IFERROR(INDEX(tblWithdrawal_Output[Amount],MATCH(tblBaseCF[[#This Row],[Year]],tblWithdrawal_Output[Year],0)),0)
*tblBaseCF[[#This Row],[ContFlag]]</f>
        <v>0</v>
      </c>
      <c r="X114" s="59" t="b">
        <f ca="1">tblBaseCF[[#This Row],[WithdrawalInput]]&gt;0</f>
        <v>0</v>
      </c>
      <c r="Y114" s="59" t="b">
        <f ca="1">AND(tblBaseCF[[#This Row],[1stCheckProceed]],tblBaseCF[[#This Row],[WithdrawalInput]]&lt;=tblBaseCF[[#This Row],[StartPAV]])</f>
        <v>0</v>
      </c>
      <c r="Z114" s="59" t="b">
        <f ca="1">AND(tblBaseCF[[#This Row],[2ndCheckAmount]],(tblBaseCF[[#This Row],[StartPAV]]-tblBaseCF[[#This Row],[WithdrawalInput]])&gt;=min_pav_after_withdrawal)</f>
        <v>0</v>
      </c>
      <c r="AA114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4" s="59" t="b">
        <f ca="1">AND(tblBaseCF[[#This Row],[3rdCheckPAV]],tblBaseCF[[#This Row],[endSITest]]&gt;=min_base_si)</f>
        <v>0</v>
      </c>
      <c r="AC114" s="60">
        <f ca="1">tblBaseCF[[#This Row],[WithdrawalInput]]*tblBaseCF[[#This Row],[4thCheckSI]]</f>
        <v>0</v>
      </c>
      <c r="AD114" s="60">
        <f ca="1">MIN(tblBaseCF[[#This Row],[Withdrawal]],tblBaseCF[[#This Row],[StartEAV]])</f>
        <v>0</v>
      </c>
      <c r="AE114" s="60">
        <f ca="1">tblBaseCF[[#This Row],[Withdrawal]]-tblBaseCF[[#This Row],[EAVWithdrawal]]</f>
        <v>0</v>
      </c>
      <c r="AF114" s="60">
        <f ca="1">IF(tblBaseCF[[#This Row],[4thCheckSI]],tblBaseCF[[#This Row],[endSITest]],tblBaseCF[[#This Row],[StartSI]])</f>
        <v>0</v>
      </c>
      <c r="AG114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4" s="65">
        <f ca="1">IFERROR(INDEX(tblTPAllocChrgRate[Rate],MATCH(tblBaseCF[[#This Row],[Year]],tblTPAllocChrgRate[Year],0)),0)</f>
        <v>0.02</v>
      </c>
      <c r="AI114" s="62">
        <f ca="1">(tp+big_case_bonus_tp*(tblBaseCF[[#This Row],[Year]]=1))
*tblBaseCF[[#This Row],[TPTermFlag]]</f>
        <v>0</v>
      </c>
      <c r="AJ114" s="63">
        <f ca="1">tblBaseCF[[#This Row],[TP]]*tblBaseCF[[#This Row],[TPAllocChrgRate]]</f>
        <v>0</v>
      </c>
      <c r="AK114" s="60">
        <f ca="1">tblBaseCF[[#This Row],[TP]]-tblBaseCF[[#This Row],[TPAllocChrg]]</f>
        <v>0</v>
      </c>
      <c r="AL114" s="65">
        <f ca="1">IFERROR(INDEX(tblEPAllocChrgRate[Rate],MATCH(tblBaseCF[[#This Row],[Year]],tblEPAllocChrgRate[Year],0)),0)</f>
        <v>0.02</v>
      </c>
      <c r="AM114" s="60">
        <f ca="1">ep*tblBaseCF[[#This Row],[EPTermFlag]]</f>
        <v>0</v>
      </c>
      <c r="AN114" s="60">
        <f ca="1">tblBaseCF[[#This Row],[EP]]*tblBaseCF[[#This Row],[EPAllocChrgRate]]</f>
        <v>0</v>
      </c>
      <c r="AO114" s="63">
        <f ca="1">tblBaseCF[[#This Row],[EP]]-tblBaseCF[[#This Row],[EPAllocChrg]]</f>
        <v>0</v>
      </c>
      <c r="AP114" s="62">
        <f ca="1">tblBaseCF[[#This Row],[Ben]]*extra_prem_rate*em_load/1000/(1-tblBaseCF[[#This Row],[EPAllocChrgRate]])
*tblBaseCF[[#This Row],[EMLoadTermFlag]]</f>
        <v>0</v>
      </c>
      <c r="AQ114" s="62">
        <f ca="1">tblBaseCF[[#This Row],[Ben]]*pm_load/1000/(1-tblBaseCF[[#This Row],[EPAllocChrgRate]])
*tblBaseCF[[#This Row],[PMLoadTermFlag]]</f>
        <v>0</v>
      </c>
      <c r="AR114" s="60">
        <f ca="1">ROUNDUP(tblBaseCF[[#This Row],[UnroundedEMLoad]],-3)</f>
        <v>0</v>
      </c>
      <c r="AS114" s="62">
        <f ca="1">ROUNDUP(tblBaseCF[[#This Row],[Ben]]*pm_load/1000/(1-tblBaseCF[[#This Row],[EPAllocChrgRate]]),-3)
*tblBaseCF[[#This Row],[PMLoadTermFlag]]</f>
        <v>0</v>
      </c>
      <c r="AT114" s="60">
        <f ca="1">tblBaseCF[[#This Row],[EMLoad]]+tblBaseCF[[#This Row],[PMLoad]]</f>
        <v>0</v>
      </c>
      <c r="AU114" s="60">
        <f ca="1">tblBaseCF[[#This Row],[Load]]*tblBaseCF[[#This Row],[EPAllocChrgRate]]</f>
        <v>0</v>
      </c>
      <c r="AV114" s="60">
        <f ca="1">tblBaseCF[[#This Row],[Load]]-tblBaseCF[[#This Row],[LoadAllocChrg]]</f>
        <v>0</v>
      </c>
      <c r="AW114" s="60">
        <f ca="1">tblBaseCF[[#This Row],[TP]]+tblBaseCF[[#This Row],[EP]]+tblBaseCF[[#This Row],[Load]]</f>
        <v>0</v>
      </c>
      <c r="AX114" s="60">
        <f ca="1">tblBaseCF[[#This Row],[TPAllocChrg]]+tblBaseCF[[#This Row],[EPAllocChrg]]+tblBaseCF[[#This Row],[LoadAllocChrg]]</f>
        <v>0</v>
      </c>
      <c r="AY114" s="60">
        <f ca="1">tblBaseCF[[#This Row],[TPAlloc]]+tblBaseCF[[#This Row],[EPAlloc]]+tblBaseCF[[#This Row],[LoadAlloc]]</f>
        <v>0</v>
      </c>
      <c r="AZ114" s="60">
        <f ca="1">(OFFSET(tblBaseCF[[#This Row],[AccumTotalPrem]],-1,0)+tblBaseCF[[#This Row],[TotalPrem]])*tblBaseCF[[#This Row],[TPTermFlag]]</f>
        <v>0</v>
      </c>
      <c r="BA114" s="62">
        <f ca="1">(tblBaseCF[[#This Row],[StartTAV]]-tblBaseCF[[#This Row],[TAVWithdrawal]]+tblBaseCF[[#This Row],[TPAlloc]])
*tblBaseCF[[#This Row],[ContFlag]]</f>
        <v>0</v>
      </c>
      <c r="BB114" s="59">
        <f ca="1">(tblBaseCF[[#This Row],[StartEAV]]-tblBaseCF[[#This Row],[EAVWithdrawal]]+tblBaseCF[[#This Row],[EPAlloc]]+tblBaseCF[[#This Row],[LoadAlloc]])
*tblBaseCF[[#This Row],[ContFlag]]</f>
        <v>0</v>
      </c>
      <c r="BC114" s="59">
        <f ca="1">tblBaseCF[[#This Row],[TAVAfterWdrlAlloc]]+tblBaseCF[[#This Row],[EAVAfterWdrlAlloc]]</f>
        <v>0</v>
      </c>
      <c r="BD114" s="66">
        <f t="shared" si="10"/>
        <v>0</v>
      </c>
      <c r="BE114" s="67">
        <f>(1+tblBaseCF[[#This Row],[AnnualIntRate]])^(1/12)-1</f>
        <v>0</v>
      </c>
      <c r="BF114" s="68">
        <f>IFERROR(((1+tblBaseCF[[#This Row],[MonthlyIntRate]])^12-1)/12/(1-1/(1+tblBaseCF[[#This Row],[MonthlyIntRate]])),1)/(1+tblBaseCF[[#This Row],[AnnualIntRate]])</f>
        <v>1</v>
      </c>
      <c r="BG114" s="69">
        <f>PV(tblBaseCF[[#This Row],[MonthlyIntRate]],12,-1/12,,1)</f>
        <v>1</v>
      </c>
      <c r="BH114" s="60">
        <f ca="1">MAX(IF(death_tpd_option="A",tblBaseCF[[#This Row],[Ben]]-tblBaseCF[[#This Row],[StartPAV]],tblBaseCF[[#This Row],[Ben]]),0)</f>
        <v>0</v>
      </c>
      <c r="BI114" s="70">
        <f ca="1">IFERROR(INDEX(tblBaseCOIRate[Rate],MATCH(tblBaseCF[[#This Row],[Age]],tblBaseCOIRate[Age],0)),0)</f>
        <v>0.26340999999999998</v>
      </c>
      <c r="BJ114" s="60">
        <f ca="1">tblBaseCF[[#This Row],[SAR]]*tblBaseCF[[#This Row],[COIRate]]</f>
        <v>0</v>
      </c>
      <c r="BK114" s="62">
        <f ca="1">em_load*tblBaseCF[[#This Row],[pStandardCOI]]
*tblBaseCF[[#This Row],[EMLoadTermFlag]]</f>
        <v>0</v>
      </c>
      <c r="BL114" s="62">
        <f ca="1">pm_load/1000*tblBaseCF[[#This Row],[SAR]]
*tblBaseCF[[#This Row],[PMLoadTermFlag]]</f>
        <v>0</v>
      </c>
      <c r="BM114" s="60">
        <f ca="1">tblBaseCF[[#This Row],[AccBen]]*monthly_acc_coi*12</f>
        <v>0</v>
      </c>
      <c r="BN114" s="60">
        <f ca="1">tblBaseCF[[#This Row],[pStandardCOI]]+tblBaseCF[[#This Row],[pEMLoadCOI]]+tblBaseCF[[#This Row],[pPMLoadCOI]]+tblBaseCF[[#This Row],[pAccCOI]]</f>
        <v>0</v>
      </c>
      <c r="BO114" s="62">
        <f ca="1">IFERROR(INDEX(tblAdminChrg[Amount],MATCH(tblBaseCF[[#This Row],[CalYear]],tblAdminChrg[Cal_Year],0)),0)
*tblBaseCF[[#This Row],[ContFlag]]</f>
        <v>0</v>
      </c>
      <c r="BP114" s="60">
        <f ca="1">tblBaseCF[[#This Row],[pMonthlyAdminChrg]]*12</f>
        <v>0</v>
      </c>
      <c r="BQ114" s="60">
        <f ca="1">tblBaseCF[[#This Row],[pCOI]]+tblBaseCF[[#This Row],[pAdminChrg]]</f>
        <v>0</v>
      </c>
      <c r="BR114" s="60">
        <f ca="1">tblBaseCF[[#This Row],[pNomDeduct]]*tblBaseCF[[#This Row],[Duean1m12]]</f>
        <v>0</v>
      </c>
      <c r="BS114" s="57">
        <f ca="1">(tblBaseCF[[#This Row],[PAVAfterWdrlAlloc]]&gt;=tblBaseCF[[#This Row],[pNomDeduct]])
*tblBaseCF[[#This Row],[ContFlag]]</f>
        <v>0</v>
      </c>
      <c r="BT114" s="60">
        <f ca="1">tblBaseCF[[#This Row],[pStandardCOI]]*tblBaseCF[[#This Row],[DeductFlag]]</f>
        <v>0</v>
      </c>
      <c r="BU114" s="60">
        <f ca="1">tblBaseCF[[#This Row],[pEMLoadCOI]]*tblBaseCF[[#This Row],[DeductFlag]]</f>
        <v>0</v>
      </c>
      <c r="BV114" s="60">
        <f ca="1">tblBaseCF[[#This Row],[pPMLoadCOI]]*tblBaseCF[[#This Row],[DeductFlag]]</f>
        <v>0</v>
      </c>
      <c r="BW114" s="60">
        <f ca="1">tblBaseCF[[#This Row],[pAccCOI]]*tblBaseCF[[#This Row],[DeductFlag]]</f>
        <v>0</v>
      </c>
      <c r="BX114" s="60">
        <f ca="1">tblBaseCF[[#This Row],[pCOI]]*tblBaseCF[[#This Row],[DeductFlag]]</f>
        <v>0</v>
      </c>
      <c r="BY114" s="60">
        <f ca="1">tblBaseCF[[#This Row],[pMonthlyAdminChrg]]*tblBaseCF[[#This Row],[DeductFlag]]</f>
        <v>0</v>
      </c>
      <c r="BZ114" s="60">
        <f ca="1">tblBaseCF[[#This Row],[pAdminChrg]]*tblBaseCF[[#This Row],[DeductFlag]]</f>
        <v>0</v>
      </c>
      <c r="CA114" s="60">
        <f ca="1">tblBaseCF[[#This Row],[pNomDeduct]]*tblBaseCF[[#This Row],[DeductFlag]]</f>
        <v>0</v>
      </c>
      <c r="CB114" s="60">
        <f ca="1">tblBaseCF[[#This Row],[pDeduct]]*tblBaseCF[[#This Row],[DeductFlag]]</f>
        <v>0</v>
      </c>
      <c r="CC114" s="60">
        <f ca="1">MIN(tblBaseCF[[#This Row],[TAVAfterWdrlAlloc]],tblBaseCF[[#This Row],[Deduct]])</f>
        <v>0</v>
      </c>
      <c r="CD114" s="60">
        <f ca="1">tblBaseCF[[#This Row],[Deduct]]-tblBaseCF[[#This Row],[TAVDeduct]]</f>
        <v>0</v>
      </c>
      <c r="CE114" s="69">
        <f ca="1">(tblBaseCF[[#This Row],[TAVAfterWdrlAlloc]]-tblBaseCF[[#This Row],[TAVDeduct]])*tblBaseCF[[#This Row],[AnnualIntRate]]
*tblBaseCF[[#This Row],[DeductFlag]]</f>
        <v>0</v>
      </c>
      <c r="CF114" s="69">
        <f ca="1">(tblBaseCF[[#This Row],[EAVAfterWdrlAlloc]]-tblBaseCF[[#This Row],[EAVDeduct]])*tblBaseCF[[#This Row],[AnnualIntRate]]
*tblBaseCF[[#This Row],[DeductFlag]]</f>
        <v>0</v>
      </c>
      <c r="CG114" s="69">
        <f ca="1">tblBaseCF[[#This Row],[TAVInt]]+tblBaseCF[[#This Row],[EAVInt]]</f>
        <v>0</v>
      </c>
      <c r="CH114" s="62">
        <f ca="1">IFERROR(INDEX(tblLBRate[Rate],MATCH(tblBaseCF[[#This Row],[Year]],tblLBRate[Year],0)),0)
*tblBaseCF[[#This Row],[DeductFlag]]</f>
        <v>0</v>
      </c>
      <c r="CI114" s="60">
        <f ca="1">IFERROR(SUM(OFFSET(tblBaseCF[[#This Row],[TAVWithdrawal]],0,0,-lb_review_period,1)),0)
*(tblBaseCF[[#This Row],[LBRate]]&gt;0)</f>
        <v>0</v>
      </c>
      <c r="CJ114" s="60">
        <f ca="1">(tblBaseCF[[#This Row],[LBRate]]&gt;0)*(tblBaseCF[[#This Row],[LBTAVWithdrawal]]=0)</f>
        <v>0</v>
      </c>
      <c r="CK114" s="62" cm="1">
        <f t="array" aca="1" ref="CK114" ca="1">IF(tblBaseCF[[#This Row],[LBFlag]],
_xlfn.SWITCH(base,
"ILP1",AVERAGE(OFFSET(tblBaseCF[TP],0,0,-lb_review_period,1)),tp),0)
*tblBaseCF[[#This Row],[LBFlag]]</f>
        <v>0</v>
      </c>
      <c r="CL114" s="62">
        <f ca="1">tblBaseCF[[#This Row],[LBBasis]]*tblBaseCF[[#This Row],[LBRate]]</f>
        <v>0</v>
      </c>
      <c r="CM114" s="57" cm="1">
        <f t="array" aca="1" ref="CM114" ca="1">_xlfn.SWITCH(base,
"ILP1",0,($AF214&lt;500000000)*1
+($AF214&gt;=500000000)*($AF214&lt;1000000000)*2
+($AF214&gt;=1000000000)*3)
*tblBaseCF[[#This Row],[DeductFlag]]</f>
        <v>0</v>
      </c>
      <c r="CN114" s="2" t="str">
        <f ca="1">IF(tblBaseCF[[#This Row],[DeductFlag]],base&amp;"_"&amp;tblBaseCF[[#This Row],[SBCode]]&amp;"_"&amp;tblBaseCF[[#This Row],[Year]],"")</f>
        <v/>
      </c>
      <c r="CO114" s="3">
        <f ca="1">IFERROR(INDEX(tblSBRate[Index],MATCH(tblBaseCF[[#This Row],[SBIndex]],tblSBRate[Rate],0)),0)</f>
        <v>0</v>
      </c>
      <c r="CP114" s="63">
        <f ca="1">IFERROR(SUM(OFFSET(tblBaseCF[[#This Row],[TAVWithdrawal]],0,0,-sb_review_period,1)),0)
*(tblBaseCF[[#This Row],[SBRate]]&gt;0)</f>
        <v>0</v>
      </c>
      <c r="CQ114" s="63">
        <f ca="1">(tblBaseCF[[#This Row],[SBRate]]&gt;0)*(tblBaseCF[[#This Row],[SBTAVWithdrawal]]=0)</f>
        <v>0</v>
      </c>
      <c r="CR114" s="59" cm="1">
        <f t="array" aca="1" ref="CR114" ca="1">IF(tblBaseCF[[#This Row],[LBFlag]],
_xlfn.SWITCH(base,
"ILP1",0,tp),0)*tblBaseCF[[#This Row],[SBFlag]]</f>
        <v>0</v>
      </c>
      <c r="CS114" s="63">
        <f ca="1">tblBaseCF[[#This Row],[SBBasis]]*tblBaseCF[[#This Row],[SBRate]]</f>
        <v>0</v>
      </c>
      <c r="CT114" s="63">
        <f ca="1">tblBaseCF[[#This Row],[LB]]+tblBaseCF[[#This Row],[SB]]</f>
        <v>0</v>
      </c>
      <c r="CU114" s="59">
        <f ca="1">tblBaseCF[[#This Row],[TAVAfterWdrlAlloc]]-tblBaseCF[[#This Row],[TAVDeduct]]+tblBaseCF[[#This Row],[TAVInt]]+tblBaseCF[[#This Row],[Bonus]]</f>
        <v>0</v>
      </c>
      <c r="CV114" s="59">
        <f ca="1">tblBaseCF[[#This Row],[EAVAfterWdrlAlloc]]-tblBaseCF[[#This Row],[EAVDeduct]]+tblBaseCF[[#This Row],[EAVInt]]</f>
        <v>0</v>
      </c>
      <c r="CW114" s="63">
        <f ca="1">tblBaseCF[[#This Row],[EndTAV]]+tblBaseCF[[#This Row],[EndEAV]]</f>
        <v>0</v>
      </c>
      <c r="CX114" s="59">
        <f ca="1">INDEX(tblPlanPrem[TP],2)
*tblBaseCF[[#This Row],[TPTermFlag]]</f>
        <v>0</v>
      </c>
      <c r="CY114" s="59">
        <f ca="1">INDEX(tblPlanPrem[EP],2)
*tblBaseCF[[#This Row],[TPTermFlag]]</f>
        <v>0</v>
      </c>
      <c r="CZ114" s="63">
        <f ca="1">ROUNDUP(tblBaseCF[[#This Row],[UnroundedEMLoad]]*INDEX(tblPlanPrem[Factor],2),-3)</f>
        <v>0</v>
      </c>
      <c r="DA114" s="63">
        <f ca="1">ROUNDUP(tblBaseCF[[#This Row],[UnroundedPMLoad]]*INDEX(tblPlanPrem[Factor],2),-3)</f>
        <v>0</v>
      </c>
      <c r="DB114" s="63">
        <f ca="1">tblBaseCF[[#This Row],[SemiAnnualEMLoad]]+tblBaseCF[[#This Row],[SemiAnnualPMLoad]]</f>
        <v>0</v>
      </c>
      <c r="DC114" s="63">
        <f ca="1">tblBaseCF[[#This Row],[SemiAnnualTP]]+tblBaseCF[[#This Row],[SemiAnnualEP]]+tblBaseCF[[#This Row],[SemiAnnualLoad]]</f>
        <v>0</v>
      </c>
      <c r="DD114" s="59">
        <f ca="1">INDEX(tblPlanPrem[TP],3)
*tblBaseCF[[#This Row],[TPTermFlag]]</f>
        <v>0</v>
      </c>
      <c r="DE114" s="59">
        <f ca="1">INDEX(tblPlanPrem[EP],3)
*tblBaseCF[[#This Row],[TPTermFlag]]</f>
        <v>0</v>
      </c>
      <c r="DF114" s="63">
        <f ca="1">ROUNDUP(tblBaseCF[[#This Row],[UnroundedEMLoad]]*INDEX(tblPlanPrem[Factor],3),-3)</f>
        <v>0</v>
      </c>
      <c r="DG114" s="63">
        <f ca="1">ROUNDUP(tblBaseCF[[#This Row],[UnroundedPMLoad]]*INDEX(tblPlanPrem[Factor],3),-3)</f>
        <v>0</v>
      </c>
      <c r="DH114" s="60">
        <f ca="1">tblBaseCF[[#This Row],[QuarterlyEMLoad]]+tblBaseCF[[#This Row],[QuarterlyPMLoad]]</f>
        <v>0</v>
      </c>
      <c r="DI114" s="60">
        <f ca="1">tblBaseCF[[#This Row],[QuarterlyTP]]+tblBaseCF[[#This Row],[QuarterlyEP]]+tblBaseCF[[#This Row],[QuarterlyLoad]]</f>
        <v>0</v>
      </c>
      <c r="DJ114" s="59">
        <f ca="1">INDEX(tblPlanPrem[TP],4)
*tblBaseCF[[#This Row],[TPTermFlag]]</f>
        <v>0</v>
      </c>
      <c r="DK114" s="59">
        <f ca="1">INDEX(tblPlanPrem[EP],4)
*tblBaseCF[[#This Row],[TPTermFlag]]</f>
        <v>0</v>
      </c>
      <c r="DL114" s="63">
        <f ca="1">ROUNDUP(tblBaseCF[[#This Row],[UnroundedEMLoad]]*INDEX(tblPlanPrem[Factor],4),-3)</f>
        <v>0</v>
      </c>
      <c r="DM114" s="63">
        <f ca="1">ROUNDUP(tblBaseCF[[#This Row],[UnroundedPMLoad]]*INDEX(tblPlanPrem[Factor],4),-3)</f>
        <v>0</v>
      </c>
      <c r="DN114" s="60">
        <f ca="1">tblBaseCF[[#This Row],[MonthlyEMLoad]]+tblBaseCF[[#This Row],[MonthlyPMLoad]]</f>
        <v>0</v>
      </c>
      <c r="DO114" s="63">
        <f ca="1">tblBaseCF[[#This Row],[MonthlyTP]]+tblBaseCF[[#This Row],[MonthlyEP]]+tblBaseCF[[#This Row],[MonthlyLoad]]</f>
        <v>0</v>
      </c>
      <c r="DP114" s="3"/>
      <c r="DS114">
        <f t="shared" si="11"/>
        <v>0</v>
      </c>
      <c r="DT114">
        <f t="shared" si="12"/>
        <v>0</v>
      </c>
      <c r="DU114">
        <f t="shared" si="13"/>
        <v>0</v>
      </c>
      <c r="DV114">
        <f ca="1">tblBaseCF[[#This Row],[Year]]</f>
        <v>94</v>
      </c>
      <c r="DW114">
        <f ca="1">tblBaseCF[[#This Row],[Age]]</f>
        <v>93</v>
      </c>
      <c r="DX114">
        <f ca="1">tblBaseCF[[#This Row],[ContFlag]]</f>
        <v>0</v>
      </c>
      <c r="DY114" t="str">
        <f ca="1">tblBaseCF[[#This Row],[ContLog]]</f>
        <v>Insufficient PAV for deduction - Discontinue.</v>
      </c>
      <c r="DZ114">
        <f ca="1">tblBaseCF[[#This Row],[StartTAV]]</f>
        <v>0</v>
      </c>
      <c r="EA114">
        <f ca="1">tblBaseCF[[#This Row],[StartEAV]]</f>
        <v>0</v>
      </c>
      <c r="EB114">
        <f ca="1">tblBaseCF[[#This Row],[StartPAV]]</f>
        <v>0</v>
      </c>
      <c r="EC114">
        <f ca="1">tblBaseCF[[#This Row],[SVChrg]]</f>
        <v>0</v>
      </c>
      <c r="ED114">
        <f ca="1">tblBaseCF[[#This Row],[SV]]</f>
        <v>0</v>
      </c>
      <c r="EE114">
        <f ca="1">tblBaseCF[[#This Row],[Ben]]</f>
        <v>0</v>
      </c>
      <c r="EF114">
        <f ca="1">tblBaseCF[[#This Row],[AccBen]]</f>
        <v>0</v>
      </c>
      <c r="EG114">
        <f ca="1">tblBaseCF[[#This Row],[WithdrawalInput]]</f>
        <v>0</v>
      </c>
      <c r="EH114" t="str">
        <f ca="1">tblBaseCF[[#This Row],[WithdrawalLog]]</f>
        <v>No withdrawal.</v>
      </c>
      <c r="EI114">
        <f ca="1">tblBaseCF[[#This Row],[TAVWithdrawal]]</f>
        <v>0</v>
      </c>
      <c r="EJ114">
        <f ca="1">tblBaseCF[[#This Row],[EAVWithdrawal]]</f>
        <v>0</v>
      </c>
      <c r="EK114">
        <f ca="1">tblBaseCF[[#This Row],[Withdrawal]]</f>
        <v>0</v>
      </c>
      <c r="EL114">
        <f ca="1">tblBaseCF[[#This Row],[TP]]</f>
        <v>0</v>
      </c>
      <c r="EM114">
        <f ca="1">tblBaseCF[[#This Row],[TPAllocChrg]]</f>
        <v>0</v>
      </c>
      <c r="EN114">
        <f ca="1">tblBaseCF[[#This Row],[TPAlloc]]</f>
        <v>0</v>
      </c>
      <c r="EO114">
        <f ca="1">tblBaseCF[[#This Row],[EP]]</f>
        <v>0</v>
      </c>
      <c r="EP114">
        <f ca="1">tblBaseCF[[#This Row],[EPAllocChrg]]</f>
        <v>0</v>
      </c>
      <c r="EQ114">
        <f ca="1">tblBaseCF[[#This Row],[EPAlloc]]</f>
        <v>0</v>
      </c>
      <c r="ER114">
        <f ca="1">tblBaseCF[[#This Row],[EMLoad]]</f>
        <v>0</v>
      </c>
      <c r="ES114">
        <f ca="1">tblBaseCF[[#This Row],[PMLoad]]</f>
        <v>0</v>
      </c>
      <c r="ET114">
        <f ca="1">tblBaseCF[[#This Row],[Load]]</f>
        <v>0</v>
      </c>
      <c r="EU114">
        <f ca="1">tblBaseCF[[#This Row],[LoadAllocChrg]]</f>
        <v>0</v>
      </c>
      <c r="EV114">
        <f ca="1">tblBaseCF[[#This Row],[LoadAlloc]]</f>
        <v>0</v>
      </c>
      <c r="EW114">
        <f ca="1">tblBaseCF[[#This Row],[TotalPrem]]</f>
        <v>0</v>
      </c>
      <c r="EX114">
        <f ca="1">tblBaseCF[[#This Row],[AllocChrg]]</f>
        <v>0</v>
      </c>
      <c r="EY114">
        <f ca="1">tblBaseCF[[#This Row],[Alloc]]</f>
        <v>0</v>
      </c>
      <c r="EZ114">
        <f ca="1">tblBaseCF[[#This Row],[AccumTotalPrem]]</f>
        <v>0</v>
      </c>
      <c r="FA114">
        <f>tblBaseCF[[#This Row],[AnnualIntRate]]</f>
        <v>0</v>
      </c>
      <c r="FB114" s="50">
        <f>tblBaseCF[[#This Row],[Duean1m12]]</f>
        <v>1</v>
      </c>
      <c r="FC114">
        <f ca="1">tblBaseCF[[#This Row],[DeductFlag]]</f>
        <v>0</v>
      </c>
      <c r="FD114">
        <f ca="1">tblBaseCF[[#This Row],[AdminChrg]]</f>
        <v>0</v>
      </c>
      <c r="FE114">
        <f ca="1">tblBaseCF[[#This Row],[StandardCOI]]</f>
        <v>0</v>
      </c>
      <c r="FF114">
        <f ca="1">tblBaseCF[[#This Row],[EMLoadCOI]]</f>
        <v>0</v>
      </c>
      <c r="FG114">
        <f ca="1">tblBaseCF[[#This Row],[PMLoadCOI]]</f>
        <v>0</v>
      </c>
      <c r="FH114">
        <f ca="1">tblBaseCF[[#This Row],[COI]]</f>
        <v>0</v>
      </c>
      <c r="FI114" s="47">
        <f ca="1">tblBaseCF[[#This Row],[NomDeduct]]</f>
        <v>0</v>
      </c>
      <c r="FJ114">
        <f ca="1">tblBaseCF[[#This Row],[Deduct]]</f>
        <v>0</v>
      </c>
      <c r="FK114">
        <f ca="1">tblBaseCF[[#This Row],[TAVDeduct]]</f>
        <v>0</v>
      </c>
      <c r="FL114">
        <f ca="1">tblBaseCF[[#This Row],[EAVDeduct]]</f>
        <v>0</v>
      </c>
      <c r="FM114" s="24">
        <f ca="1">tblBaseCF[[#This Row],[TAVInt]]</f>
        <v>0</v>
      </c>
      <c r="FN114">
        <f ca="1">tblBaseCF[[#This Row],[EAVInt]]</f>
        <v>0</v>
      </c>
      <c r="FO114" s="47">
        <f ca="1">tblBaseCF[[#This Row],[LB]]</f>
        <v>0</v>
      </c>
      <c r="FP114">
        <f ca="1">tblBaseCF[[#This Row],[SB]]</f>
        <v>0</v>
      </c>
      <c r="FQ114">
        <f ca="1">tblBaseCF[[#This Row],[Bonus]]</f>
        <v>0</v>
      </c>
      <c r="FR114">
        <f ca="1">tblBaseCF[[#This Row],[EndTAV]]</f>
        <v>0</v>
      </c>
      <c r="FS114">
        <f ca="1">tblBaseCF[[#This Row],[EndEAV]]</f>
        <v>0</v>
      </c>
      <c r="FT114">
        <f ca="1">tblBaseCF[[#This Row],[EndPAV]]</f>
        <v>0</v>
      </c>
      <c r="FU114">
        <f ca="1">tblBaseCF[[#This Row],[SemiAnnualTP]]</f>
        <v>0</v>
      </c>
      <c r="FV114">
        <f ca="1">tblBaseCF[[#This Row],[SemiAnnualEP]]</f>
        <v>0</v>
      </c>
      <c r="FW114">
        <f ca="1">tblBaseCF[[#This Row],[SemiAnnualEMLoad]]</f>
        <v>0</v>
      </c>
      <c r="FX114">
        <f ca="1">tblBaseCF[[#This Row],[SemiAnnualPMLoad]]</f>
        <v>0</v>
      </c>
      <c r="FY114">
        <f ca="1">tblBaseCF[[#This Row],[SemiAnnualLoad]]</f>
        <v>0</v>
      </c>
      <c r="FZ114">
        <f ca="1">tblBaseCF[[#This Row],[SemiAnnualTotalPrem]]</f>
        <v>0</v>
      </c>
      <c r="GA114">
        <f ca="1">tblBaseCF[[#This Row],[QuarterlyTP]]</f>
        <v>0</v>
      </c>
      <c r="GB114">
        <f ca="1">tblBaseCF[[#This Row],[QuarterlyEP]]</f>
        <v>0</v>
      </c>
      <c r="GC114">
        <f ca="1">tblBaseCF[[#This Row],[QuarterlyEMLoad]]</f>
        <v>0</v>
      </c>
      <c r="GD114">
        <f ca="1">tblBaseCF[[#This Row],[QuarterlyPMLoad]]</f>
        <v>0</v>
      </c>
      <c r="GE114">
        <f ca="1">tblBaseCF[[#This Row],[QuarterlyLoad]]</f>
        <v>0</v>
      </c>
      <c r="GF114">
        <f ca="1">tblBaseCF[[#This Row],[QuarterlyTotalPrem]]</f>
        <v>0</v>
      </c>
      <c r="GG114">
        <f ca="1">tblBaseCF[[#This Row],[MonthlyTP]]</f>
        <v>0</v>
      </c>
      <c r="GH114">
        <f ca="1">tblBaseCF[[#This Row],[MonthlyEP]]</f>
        <v>0</v>
      </c>
      <c r="GI114">
        <f ca="1">tblBaseCF[[#This Row],[MonthlyEMLoad]]</f>
        <v>0</v>
      </c>
      <c r="GJ114">
        <f ca="1">tblBaseCF[[#This Row],[MonthlyPMLoad]]</f>
        <v>0</v>
      </c>
      <c r="GK114">
        <f ca="1">tblBaseCF[[#This Row],[MonthlyLoad]]</f>
        <v>0</v>
      </c>
      <c r="GL114">
        <f ca="1">tblBaseCF[[#This Row],[MonthlyTotalPrem]]</f>
        <v>0</v>
      </c>
      <c r="GO114" t="s">
        <v>134</v>
      </c>
      <c r="GP114" t="s">
        <v>135</v>
      </c>
      <c r="GQ114" t="s">
        <v>502</v>
      </c>
      <c r="GR114">
        <v>94</v>
      </c>
      <c r="GS114">
        <v>93</v>
      </c>
      <c r="GT114">
        <v>1</v>
      </c>
      <c r="GU114" t="s">
        <v>457</v>
      </c>
      <c r="GV114">
        <v>2550682469.0883799</v>
      </c>
      <c r="GW114">
        <v>22430136762.695599</v>
      </c>
      <c r="GX114">
        <v>24980819231.784</v>
      </c>
      <c r="GY114">
        <v>0</v>
      </c>
      <c r="GZ114">
        <v>24980819231.784</v>
      </c>
      <c r="HA114">
        <v>24980819231.784</v>
      </c>
      <c r="HB114">
        <v>0</v>
      </c>
      <c r="HC114">
        <v>0</v>
      </c>
      <c r="HD114" t="s">
        <v>137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7.0000000000000007E-2</v>
      </c>
      <c r="HX114">
        <v>0.96964931039809399</v>
      </c>
      <c r="HY114">
        <v>1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178547772.83618599</v>
      </c>
      <c r="IJ114">
        <v>1570109573.38869</v>
      </c>
      <c r="IK114">
        <v>0</v>
      </c>
      <c r="IL114">
        <v>0</v>
      </c>
      <c r="IM114">
        <v>0</v>
      </c>
      <c r="IN114">
        <v>2729230241.9245601</v>
      </c>
      <c r="IO114">
        <v>24000246336.084301</v>
      </c>
      <c r="IP114">
        <v>26729476578.0089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</row>
    <row r="115" spans="2:268" customFormat="1" x14ac:dyDescent="0.25">
      <c r="B115" s="2">
        <f ca="1">OFFSET(tblBaseCF[[#This Row],[Year]],-1,0)+1</f>
        <v>95</v>
      </c>
      <c r="C115" s="2">
        <f ca="1">(tblBaseCF[[#This Row],[Year]]&lt;=term)*1</f>
        <v>1</v>
      </c>
      <c r="D115" s="57">
        <f ca="1">(YEAR(rcd)+tblBaseCF[[#This Row],[Year]]-1)
*tblBaseCF[[#This Row],[PolTermFlag]]</f>
        <v>2119</v>
      </c>
      <c r="E115" s="57">
        <f ca="1">(mainLI_entry_age+tblBaseCF[[#This Row],[Year]]-1)
*tblBaseCF[[#This Row],[PolTermFlag]]</f>
        <v>94</v>
      </c>
      <c r="F115" s="57">
        <f ca="1">IF(tblBaseCF[[#This Row],[Year]]=1,1,OFFSET(tblBaseCF[[#This Row],[DeductFlag]],-1,0))
*tblBaseCF[[#This Row],[PolTermFlag]]</f>
        <v>0</v>
      </c>
      <c r="G115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5" s="57">
        <f ca="1">(tblBaseCF[[#This Row],[Year]]&lt;=acc_ben_term)
*tblBaseCF[[#This Row],[ContFlag]]</f>
        <v>0</v>
      </c>
      <c r="I115" s="57">
        <f ca="1">(tblBaseCF[[#This Row],[Year]]&lt;=tp_term)
*tblBaseCF[[#This Row],[ContFlag]]</f>
        <v>0</v>
      </c>
      <c r="J115" s="57">
        <f ca="1">(tblBaseCF[[#This Row],[Year]]&lt;=ep_term)
*tblBaseCF[[#This Row],[ContFlag]]</f>
        <v>0</v>
      </c>
      <c r="K115" s="57">
        <f ca="1">(tblBaseCF[[#This Row],[Year]]&lt;=em_load_term)*1</f>
        <v>0</v>
      </c>
      <c r="L115" s="57">
        <f ca="1">(tblBaseCF[[#This Row],[Year]]&lt;=pm_load_term)*1</f>
        <v>0</v>
      </c>
      <c r="M115" s="59">
        <f ca="1">IF(tblBaseCF[[#This Row],[Year]]=1,si,OFFSET(tblBaseCF[[#This Row],[EndSI]],-1,0))
*tblBaseCF[[#This Row],[ContFlag]]</f>
        <v>0</v>
      </c>
      <c r="N115" s="59">
        <f ca="1">OFFSET(tblBaseCF[[#This Row],[EndTAV]],-1,0)
*tblBaseCF[[#This Row],[ContFlag]]</f>
        <v>0</v>
      </c>
      <c r="O115" s="59">
        <f ca="1">OFFSET(tblBaseCF[[#This Row],[EndEAV]],-1,0)
*tblBaseCF[[#This Row],[ContFlag]]</f>
        <v>0</v>
      </c>
      <c r="P115" s="60">
        <f ca="1">tblBaseCF[[#This Row],[StartEAV]]+tblBaseCF[[#This Row],[StartTAV]]</f>
        <v>0</v>
      </c>
      <c r="Q115" s="61">
        <f ca="1">IFERROR(INDEX(tblJuvenileLienRate[Rate],MATCH(tblBaseCF[[#This Row],[Age]],tblJuvenileLienRate[Age],0)),1)
*tblBaseCF[[#This Row],[ContFlag]]</f>
        <v>0</v>
      </c>
      <c r="R115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5" s="62">
        <f ca="1">tblBaseCF[[#This Row],[StartSI]]*acc_ben_coeff*tblBaseCF[[#This Row],[JuvenileLienRate]]
*tblBaseCF[[#This Row],[AccBenTermFlag]]</f>
        <v>0</v>
      </c>
      <c r="T115" s="61">
        <f ca="1">(IFERROR(INDEX(tblSurrChrgRate[Rate],MATCH(tblBaseCF[[#This Row],[Year]],tblSurrChrgRate[Year],0)),0)
*tblBaseCF[[#This Row],[ContFlag]])</f>
        <v>0</v>
      </c>
      <c r="U115" s="60">
        <f ca="1">tp*tblBaseCF[[#This Row],[SrrChrgRate]]</f>
        <v>0</v>
      </c>
      <c r="V115" s="63">
        <f ca="1">MAX(tblBaseCF[[#This Row],[StartTAV]]-tblBaseCF[[#This Row],[SVChrg]],0)+tblBaseCF[[#This Row],[StartEAV]]</f>
        <v>0</v>
      </c>
      <c r="W115" s="59">
        <f ca="1">IFERROR(INDEX(tblWithdrawal_Output[Amount],MATCH(tblBaseCF[[#This Row],[Year]],tblWithdrawal_Output[Year],0)),0)
*tblBaseCF[[#This Row],[ContFlag]]</f>
        <v>0</v>
      </c>
      <c r="X115" s="59" t="b">
        <f ca="1">tblBaseCF[[#This Row],[WithdrawalInput]]&gt;0</f>
        <v>0</v>
      </c>
      <c r="Y115" s="59" t="b">
        <f ca="1">AND(tblBaseCF[[#This Row],[1stCheckProceed]],tblBaseCF[[#This Row],[WithdrawalInput]]&lt;=tblBaseCF[[#This Row],[StartPAV]])</f>
        <v>0</v>
      </c>
      <c r="Z115" s="59" t="b">
        <f ca="1">AND(tblBaseCF[[#This Row],[2ndCheckAmount]],(tblBaseCF[[#This Row],[StartPAV]]-tblBaseCF[[#This Row],[WithdrawalInput]])&gt;=min_pav_after_withdrawal)</f>
        <v>0</v>
      </c>
      <c r="AA115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5" s="59" t="b">
        <f ca="1">AND(tblBaseCF[[#This Row],[3rdCheckPAV]],tblBaseCF[[#This Row],[endSITest]]&gt;=min_base_si)</f>
        <v>0</v>
      </c>
      <c r="AC115" s="60">
        <f ca="1">tblBaseCF[[#This Row],[WithdrawalInput]]*tblBaseCF[[#This Row],[4thCheckSI]]</f>
        <v>0</v>
      </c>
      <c r="AD115" s="60">
        <f ca="1">MIN(tblBaseCF[[#This Row],[Withdrawal]],tblBaseCF[[#This Row],[StartEAV]])</f>
        <v>0</v>
      </c>
      <c r="AE115" s="60">
        <f ca="1">tblBaseCF[[#This Row],[Withdrawal]]-tblBaseCF[[#This Row],[EAVWithdrawal]]</f>
        <v>0</v>
      </c>
      <c r="AF115" s="60">
        <f ca="1">IF(tblBaseCF[[#This Row],[4thCheckSI]],tblBaseCF[[#This Row],[endSITest]],tblBaseCF[[#This Row],[StartSI]])</f>
        <v>0</v>
      </c>
      <c r="AG115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5" s="65">
        <f ca="1">IFERROR(INDEX(tblTPAllocChrgRate[Rate],MATCH(tblBaseCF[[#This Row],[Year]],tblTPAllocChrgRate[Year],0)),0)</f>
        <v>0.02</v>
      </c>
      <c r="AI115" s="62">
        <f ca="1">(tp+big_case_bonus_tp*(tblBaseCF[[#This Row],[Year]]=1))
*tblBaseCF[[#This Row],[TPTermFlag]]</f>
        <v>0</v>
      </c>
      <c r="AJ115" s="63">
        <f ca="1">tblBaseCF[[#This Row],[TP]]*tblBaseCF[[#This Row],[TPAllocChrgRate]]</f>
        <v>0</v>
      </c>
      <c r="AK115" s="60">
        <f ca="1">tblBaseCF[[#This Row],[TP]]-tblBaseCF[[#This Row],[TPAllocChrg]]</f>
        <v>0</v>
      </c>
      <c r="AL115" s="65">
        <f ca="1">IFERROR(INDEX(tblEPAllocChrgRate[Rate],MATCH(tblBaseCF[[#This Row],[Year]],tblEPAllocChrgRate[Year],0)),0)</f>
        <v>0.02</v>
      </c>
      <c r="AM115" s="60">
        <f ca="1">ep*tblBaseCF[[#This Row],[EPTermFlag]]</f>
        <v>0</v>
      </c>
      <c r="AN115" s="60">
        <f ca="1">tblBaseCF[[#This Row],[EP]]*tblBaseCF[[#This Row],[EPAllocChrgRate]]</f>
        <v>0</v>
      </c>
      <c r="AO115" s="63">
        <f ca="1">tblBaseCF[[#This Row],[EP]]-tblBaseCF[[#This Row],[EPAllocChrg]]</f>
        <v>0</v>
      </c>
      <c r="AP115" s="62">
        <f ca="1">tblBaseCF[[#This Row],[Ben]]*extra_prem_rate*em_load/1000/(1-tblBaseCF[[#This Row],[EPAllocChrgRate]])
*tblBaseCF[[#This Row],[EMLoadTermFlag]]</f>
        <v>0</v>
      </c>
      <c r="AQ115" s="62">
        <f ca="1">tblBaseCF[[#This Row],[Ben]]*pm_load/1000/(1-tblBaseCF[[#This Row],[EPAllocChrgRate]])
*tblBaseCF[[#This Row],[PMLoadTermFlag]]</f>
        <v>0</v>
      </c>
      <c r="AR115" s="60">
        <f ca="1">ROUNDUP(tblBaseCF[[#This Row],[UnroundedEMLoad]],-3)</f>
        <v>0</v>
      </c>
      <c r="AS115" s="62">
        <f ca="1">ROUNDUP(tblBaseCF[[#This Row],[Ben]]*pm_load/1000/(1-tblBaseCF[[#This Row],[EPAllocChrgRate]]),-3)
*tblBaseCF[[#This Row],[PMLoadTermFlag]]</f>
        <v>0</v>
      </c>
      <c r="AT115" s="60">
        <f ca="1">tblBaseCF[[#This Row],[EMLoad]]+tblBaseCF[[#This Row],[PMLoad]]</f>
        <v>0</v>
      </c>
      <c r="AU115" s="60">
        <f ca="1">tblBaseCF[[#This Row],[Load]]*tblBaseCF[[#This Row],[EPAllocChrgRate]]</f>
        <v>0</v>
      </c>
      <c r="AV115" s="60">
        <f ca="1">tblBaseCF[[#This Row],[Load]]-tblBaseCF[[#This Row],[LoadAllocChrg]]</f>
        <v>0</v>
      </c>
      <c r="AW115" s="60">
        <f ca="1">tblBaseCF[[#This Row],[TP]]+tblBaseCF[[#This Row],[EP]]+tblBaseCF[[#This Row],[Load]]</f>
        <v>0</v>
      </c>
      <c r="AX115" s="60">
        <f ca="1">tblBaseCF[[#This Row],[TPAllocChrg]]+tblBaseCF[[#This Row],[EPAllocChrg]]+tblBaseCF[[#This Row],[LoadAllocChrg]]</f>
        <v>0</v>
      </c>
      <c r="AY115" s="60">
        <f ca="1">tblBaseCF[[#This Row],[TPAlloc]]+tblBaseCF[[#This Row],[EPAlloc]]+tblBaseCF[[#This Row],[LoadAlloc]]</f>
        <v>0</v>
      </c>
      <c r="AZ115" s="60">
        <f ca="1">(OFFSET(tblBaseCF[[#This Row],[AccumTotalPrem]],-1,0)+tblBaseCF[[#This Row],[TotalPrem]])*tblBaseCF[[#This Row],[TPTermFlag]]</f>
        <v>0</v>
      </c>
      <c r="BA115" s="62">
        <f ca="1">(tblBaseCF[[#This Row],[StartTAV]]-tblBaseCF[[#This Row],[TAVWithdrawal]]+tblBaseCF[[#This Row],[TPAlloc]])
*tblBaseCF[[#This Row],[ContFlag]]</f>
        <v>0</v>
      </c>
      <c r="BB115" s="59">
        <f ca="1">(tblBaseCF[[#This Row],[StartEAV]]-tblBaseCF[[#This Row],[EAVWithdrawal]]+tblBaseCF[[#This Row],[EPAlloc]]+tblBaseCF[[#This Row],[LoadAlloc]])
*tblBaseCF[[#This Row],[ContFlag]]</f>
        <v>0</v>
      </c>
      <c r="BC115" s="59">
        <f ca="1">tblBaseCF[[#This Row],[TAVAfterWdrlAlloc]]+tblBaseCF[[#This Row],[EAVAfterWdrlAlloc]]</f>
        <v>0</v>
      </c>
      <c r="BD115" s="66">
        <f t="shared" si="10"/>
        <v>0</v>
      </c>
      <c r="BE115" s="67">
        <f>(1+tblBaseCF[[#This Row],[AnnualIntRate]])^(1/12)-1</f>
        <v>0</v>
      </c>
      <c r="BF115" s="68">
        <f>IFERROR(((1+tblBaseCF[[#This Row],[MonthlyIntRate]])^12-1)/12/(1-1/(1+tblBaseCF[[#This Row],[MonthlyIntRate]])),1)/(1+tblBaseCF[[#This Row],[AnnualIntRate]])</f>
        <v>1</v>
      </c>
      <c r="BG115" s="69">
        <f>PV(tblBaseCF[[#This Row],[MonthlyIntRate]],12,-1/12,,1)</f>
        <v>1</v>
      </c>
      <c r="BH115" s="60">
        <f ca="1">MAX(IF(death_tpd_option="A",tblBaseCF[[#This Row],[Ben]]-tblBaseCF[[#This Row],[StartPAV]],tblBaseCF[[#This Row],[Ben]]),0)</f>
        <v>0</v>
      </c>
      <c r="BI115" s="70">
        <f ca="1">IFERROR(INDEX(tblBaseCOIRate[Rate],MATCH(tblBaseCF[[#This Row],[Age]],tblBaseCOIRate[Age],0)),0)</f>
        <v>0.29522999999999999</v>
      </c>
      <c r="BJ115" s="60">
        <f ca="1">tblBaseCF[[#This Row],[SAR]]*tblBaseCF[[#This Row],[COIRate]]</f>
        <v>0</v>
      </c>
      <c r="BK115" s="62">
        <f ca="1">em_load*tblBaseCF[[#This Row],[pStandardCOI]]
*tblBaseCF[[#This Row],[EMLoadTermFlag]]</f>
        <v>0</v>
      </c>
      <c r="BL115" s="62">
        <f ca="1">pm_load/1000*tblBaseCF[[#This Row],[SAR]]
*tblBaseCF[[#This Row],[PMLoadTermFlag]]</f>
        <v>0</v>
      </c>
      <c r="BM115" s="60">
        <f ca="1">tblBaseCF[[#This Row],[AccBen]]*monthly_acc_coi*12</f>
        <v>0</v>
      </c>
      <c r="BN115" s="60">
        <f ca="1">tblBaseCF[[#This Row],[pStandardCOI]]+tblBaseCF[[#This Row],[pEMLoadCOI]]+tblBaseCF[[#This Row],[pPMLoadCOI]]+tblBaseCF[[#This Row],[pAccCOI]]</f>
        <v>0</v>
      </c>
      <c r="BO115" s="62">
        <f ca="1">IFERROR(INDEX(tblAdminChrg[Amount],MATCH(tblBaseCF[[#This Row],[CalYear]],tblAdminChrg[Cal_Year],0)),0)
*tblBaseCF[[#This Row],[ContFlag]]</f>
        <v>0</v>
      </c>
      <c r="BP115" s="60">
        <f ca="1">tblBaseCF[[#This Row],[pMonthlyAdminChrg]]*12</f>
        <v>0</v>
      </c>
      <c r="BQ115" s="60">
        <f ca="1">tblBaseCF[[#This Row],[pCOI]]+tblBaseCF[[#This Row],[pAdminChrg]]</f>
        <v>0</v>
      </c>
      <c r="BR115" s="60">
        <f ca="1">tblBaseCF[[#This Row],[pNomDeduct]]*tblBaseCF[[#This Row],[Duean1m12]]</f>
        <v>0</v>
      </c>
      <c r="BS115" s="57">
        <f ca="1">(tblBaseCF[[#This Row],[PAVAfterWdrlAlloc]]&gt;=tblBaseCF[[#This Row],[pNomDeduct]])
*tblBaseCF[[#This Row],[ContFlag]]</f>
        <v>0</v>
      </c>
      <c r="BT115" s="60">
        <f ca="1">tblBaseCF[[#This Row],[pStandardCOI]]*tblBaseCF[[#This Row],[DeductFlag]]</f>
        <v>0</v>
      </c>
      <c r="BU115" s="60">
        <f ca="1">tblBaseCF[[#This Row],[pEMLoadCOI]]*tblBaseCF[[#This Row],[DeductFlag]]</f>
        <v>0</v>
      </c>
      <c r="BV115" s="60">
        <f ca="1">tblBaseCF[[#This Row],[pPMLoadCOI]]*tblBaseCF[[#This Row],[DeductFlag]]</f>
        <v>0</v>
      </c>
      <c r="BW115" s="60">
        <f ca="1">tblBaseCF[[#This Row],[pAccCOI]]*tblBaseCF[[#This Row],[DeductFlag]]</f>
        <v>0</v>
      </c>
      <c r="BX115" s="60">
        <f ca="1">tblBaseCF[[#This Row],[pCOI]]*tblBaseCF[[#This Row],[DeductFlag]]</f>
        <v>0</v>
      </c>
      <c r="BY115" s="60">
        <f ca="1">tblBaseCF[[#This Row],[pMonthlyAdminChrg]]*tblBaseCF[[#This Row],[DeductFlag]]</f>
        <v>0</v>
      </c>
      <c r="BZ115" s="60">
        <f ca="1">tblBaseCF[[#This Row],[pAdminChrg]]*tblBaseCF[[#This Row],[DeductFlag]]</f>
        <v>0</v>
      </c>
      <c r="CA115" s="60">
        <f ca="1">tblBaseCF[[#This Row],[pNomDeduct]]*tblBaseCF[[#This Row],[DeductFlag]]</f>
        <v>0</v>
      </c>
      <c r="CB115" s="60">
        <f ca="1">tblBaseCF[[#This Row],[pDeduct]]*tblBaseCF[[#This Row],[DeductFlag]]</f>
        <v>0</v>
      </c>
      <c r="CC115" s="60">
        <f ca="1">MIN(tblBaseCF[[#This Row],[TAVAfterWdrlAlloc]],tblBaseCF[[#This Row],[Deduct]])</f>
        <v>0</v>
      </c>
      <c r="CD115" s="60">
        <f ca="1">tblBaseCF[[#This Row],[Deduct]]-tblBaseCF[[#This Row],[TAVDeduct]]</f>
        <v>0</v>
      </c>
      <c r="CE115" s="69">
        <f ca="1">(tblBaseCF[[#This Row],[TAVAfterWdrlAlloc]]-tblBaseCF[[#This Row],[TAVDeduct]])*tblBaseCF[[#This Row],[AnnualIntRate]]
*tblBaseCF[[#This Row],[DeductFlag]]</f>
        <v>0</v>
      </c>
      <c r="CF115" s="69">
        <f ca="1">(tblBaseCF[[#This Row],[EAVAfterWdrlAlloc]]-tblBaseCF[[#This Row],[EAVDeduct]])*tblBaseCF[[#This Row],[AnnualIntRate]]
*tblBaseCF[[#This Row],[DeductFlag]]</f>
        <v>0</v>
      </c>
      <c r="CG115" s="69">
        <f ca="1">tblBaseCF[[#This Row],[TAVInt]]+tblBaseCF[[#This Row],[EAVInt]]</f>
        <v>0</v>
      </c>
      <c r="CH115" s="62">
        <f ca="1">IFERROR(INDEX(tblLBRate[Rate],MATCH(tblBaseCF[[#This Row],[Year]],tblLBRate[Year],0)),0)
*tblBaseCF[[#This Row],[DeductFlag]]</f>
        <v>0</v>
      </c>
      <c r="CI115" s="60">
        <f ca="1">IFERROR(SUM(OFFSET(tblBaseCF[[#This Row],[TAVWithdrawal]],0,0,-lb_review_period,1)),0)
*(tblBaseCF[[#This Row],[LBRate]]&gt;0)</f>
        <v>0</v>
      </c>
      <c r="CJ115" s="60">
        <f ca="1">(tblBaseCF[[#This Row],[LBRate]]&gt;0)*(tblBaseCF[[#This Row],[LBTAVWithdrawal]]=0)</f>
        <v>0</v>
      </c>
      <c r="CK115" s="62" cm="1">
        <f t="array" aca="1" ref="CK115" ca="1">IF(tblBaseCF[[#This Row],[LBFlag]],
_xlfn.SWITCH(base,
"ILP1",AVERAGE(OFFSET(tblBaseCF[TP],0,0,-lb_review_period,1)),tp),0)
*tblBaseCF[[#This Row],[LBFlag]]</f>
        <v>0</v>
      </c>
      <c r="CL115" s="62">
        <f ca="1">tblBaseCF[[#This Row],[LBBasis]]*tblBaseCF[[#This Row],[LBRate]]</f>
        <v>0</v>
      </c>
      <c r="CM115" s="57" cm="1">
        <f t="array" aca="1" ref="CM115" ca="1">_xlfn.SWITCH(base,
"ILP1",0,($AF215&lt;500000000)*1
+($AF215&gt;=500000000)*($AF215&lt;1000000000)*2
+($AF215&gt;=1000000000)*3)
*tblBaseCF[[#This Row],[DeductFlag]]</f>
        <v>0</v>
      </c>
      <c r="CN115" s="2" t="str">
        <f ca="1">IF(tblBaseCF[[#This Row],[DeductFlag]],base&amp;"_"&amp;tblBaseCF[[#This Row],[SBCode]]&amp;"_"&amp;tblBaseCF[[#This Row],[Year]],"")</f>
        <v/>
      </c>
      <c r="CO115" s="3">
        <f ca="1">IFERROR(INDEX(tblSBRate[Index],MATCH(tblBaseCF[[#This Row],[SBIndex]],tblSBRate[Rate],0)),0)</f>
        <v>0</v>
      </c>
      <c r="CP115" s="63">
        <f ca="1">IFERROR(SUM(OFFSET(tblBaseCF[[#This Row],[TAVWithdrawal]],0,0,-sb_review_period,1)),0)
*(tblBaseCF[[#This Row],[SBRate]]&gt;0)</f>
        <v>0</v>
      </c>
      <c r="CQ115" s="63">
        <f ca="1">(tblBaseCF[[#This Row],[SBRate]]&gt;0)*(tblBaseCF[[#This Row],[SBTAVWithdrawal]]=0)</f>
        <v>0</v>
      </c>
      <c r="CR115" s="59" cm="1">
        <f t="array" aca="1" ref="CR115" ca="1">IF(tblBaseCF[[#This Row],[LBFlag]],
_xlfn.SWITCH(base,
"ILP1",0,tp),0)*tblBaseCF[[#This Row],[SBFlag]]</f>
        <v>0</v>
      </c>
      <c r="CS115" s="63">
        <f ca="1">tblBaseCF[[#This Row],[SBBasis]]*tblBaseCF[[#This Row],[SBRate]]</f>
        <v>0</v>
      </c>
      <c r="CT115" s="63">
        <f ca="1">tblBaseCF[[#This Row],[LB]]+tblBaseCF[[#This Row],[SB]]</f>
        <v>0</v>
      </c>
      <c r="CU115" s="59">
        <f ca="1">tblBaseCF[[#This Row],[TAVAfterWdrlAlloc]]-tblBaseCF[[#This Row],[TAVDeduct]]+tblBaseCF[[#This Row],[TAVInt]]+tblBaseCF[[#This Row],[Bonus]]</f>
        <v>0</v>
      </c>
      <c r="CV115" s="59">
        <f ca="1">tblBaseCF[[#This Row],[EAVAfterWdrlAlloc]]-tblBaseCF[[#This Row],[EAVDeduct]]+tblBaseCF[[#This Row],[EAVInt]]</f>
        <v>0</v>
      </c>
      <c r="CW115" s="63">
        <f ca="1">tblBaseCF[[#This Row],[EndTAV]]+tblBaseCF[[#This Row],[EndEAV]]</f>
        <v>0</v>
      </c>
      <c r="CX115" s="59">
        <f ca="1">INDEX(tblPlanPrem[TP],2)
*tblBaseCF[[#This Row],[TPTermFlag]]</f>
        <v>0</v>
      </c>
      <c r="CY115" s="59">
        <f ca="1">INDEX(tblPlanPrem[EP],2)
*tblBaseCF[[#This Row],[TPTermFlag]]</f>
        <v>0</v>
      </c>
      <c r="CZ115" s="63">
        <f ca="1">ROUNDUP(tblBaseCF[[#This Row],[UnroundedEMLoad]]*INDEX(tblPlanPrem[Factor],2),-3)</f>
        <v>0</v>
      </c>
      <c r="DA115" s="63">
        <f ca="1">ROUNDUP(tblBaseCF[[#This Row],[UnroundedPMLoad]]*INDEX(tblPlanPrem[Factor],2),-3)</f>
        <v>0</v>
      </c>
      <c r="DB115" s="63">
        <f ca="1">tblBaseCF[[#This Row],[SemiAnnualEMLoad]]+tblBaseCF[[#This Row],[SemiAnnualPMLoad]]</f>
        <v>0</v>
      </c>
      <c r="DC115" s="63">
        <f ca="1">tblBaseCF[[#This Row],[SemiAnnualTP]]+tblBaseCF[[#This Row],[SemiAnnualEP]]+tblBaseCF[[#This Row],[SemiAnnualLoad]]</f>
        <v>0</v>
      </c>
      <c r="DD115" s="59">
        <f ca="1">INDEX(tblPlanPrem[TP],3)
*tblBaseCF[[#This Row],[TPTermFlag]]</f>
        <v>0</v>
      </c>
      <c r="DE115" s="59">
        <f ca="1">INDEX(tblPlanPrem[EP],3)
*tblBaseCF[[#This Row],[TPTermFlag]]</f>
        <v>0</v>
      </c>
      <c r="DF115" s="63">
        <f ca="1">ROUNDUP(tblBaseCF[[#This Row],[UnroundedEMLoad]]*INDEX(tblPlanPrem[Factor],3),-3)</f>
        <v>0</v>
      </c>
      <c r="DG115" s="63">
        <f ca="1">ROUNDUP(tblBaseCF[[#This Row],[UnroundedPMLoad]]*INDEX(tblPlanPrem[Factor],3),-3)</f>
        <v>0</v>
      </c>
      <c r="DH115" s="60">
        <f ca="1">tblBaseCF[[#This Row],[QuarterlyEMLoad]]+tblBaseCF[[#This Row],[QuarterlyPMLoad]]</f>
        <v>0</v>
      </c>
      <c r="DI115" s="60">
        <f ca="1">tblBaseCF[[#This Row],[QuarterlyTP]]+tblBaseCF[[#This Row],[QuarterlyEP]]+tblBaseCF[[#This Row],[QuarterlyLoad]]</f>
        <v>0</v>
      </c>
      <c r="DJ115" s="59">
        <f ca="1">INDEX(tblPlanPrem[TP],4)
*tblBaseCF[[#This Row],[TPTermFlag]]</f>
        <v>0</v>
      </c>
      <c r="DK115" s="59">
        <f ca="1">INDEX(tblPlanPrem[EP],4)
*tblBaseCF[[#This Row],[TPTermFlag]]</f>
        <v>0</v>
      </c>
      <c r="DL115" s="63">
        <f ca="1">ROUNDUP(tblBaseCF[[#This Row],[UnroundedEMLoad]]*INDEX(tblPlanPrem[Factor],4),-3)</f>
        <v>0</v>
      </c>
      <c r="DM115" s="63">
        <f ca="1">ROUNDUP(tblBaseCF[[#This Row],[UnroundedPMLoad]]*INDEX(tblPlanPrem[Factor],4),-3)</f>
        <v>0</v>
      </c>
      <c r="DN115" s="60">
        <f ca="1">tblBaseCF[[#This Row],[MonthlyEMLoad]]+tblBaseCF[[#This Row],[MonthlyPMLoad]]</f>
        <v>0</v>
      </c>
      <c r="DO115" s="63">
        <f ca="1">tblBaseCF[[#This Row],[MonthlyTP]]+tblBaseCF[[#This Row],[MonthlyEP]]+tblBaseCF[[#This Row],[MonthlyLoad]]</f>
        <v>0</v>
      </c>
      <c r="DP115" s="3"/>
      <c r="DS115">
        <f t="shared" si="11"/>
        <v>0</v>
      </c>
      <c r="DT115">
        <f t="shared" si="12"/>
        <v>0</v>
      </c>
      <c r="DU115">
        <f t="shared" si="13"/>
        <v>0</v>
      </c>
      <c r="DV115">
        <f ca="1">tblBaseCF[[#This Row],[Year]]</f>
        <v>95</v>
      </c>
      <c r="DW115">
        <f ca="1">tblBaseCF[[#This Row],[Age]]</f>
        <v>94</v>
      </c>
      <c r="DX115">
        <f ca="1">tblBaseCF[[#This Row],[ContFlag]]</f>
        <v>0</v>
      </c>
      <c r="DY115" t="str">
        <f ca="1">tblBaseCF[[#This Row],[ContLog]]</f>
        <v>Insufficient PAV for deduction - Discontinue.</v>
      </c>
      <c r="DZ115">
        <f ca="1">tblBaseCF[[#This Row],[StartTAV]]</f>
        <v>0</v>
      </c>
      <c r="EA115">
        <f ca="1">tblBaseCF[[#This Row],[StartEAV]]</f>
        <v>0</v>
      </c>
      <c r="EB115">
        <f ca="1">tblBaseCF[[#This Row],[StartPAV]]</f>
        <v>0</v>
      </c>
      <c r="EC115">
        <f ca="1">tblBaseCF[[#This Row],[SVChrg]]</f>
        <v>0</v>
      </c>
      <c r="ED115">
        <f ca="1">tblBaseCF[[#This Row],[SV]]</f>
        <v>0</v>
      </c>
      <c r="EE115">
        <f ca="1">tblBaseCF[[#This Row],[Ben]]</f>
        <v>0</v>
      </c>
      <c r="EF115">
        <f ca="1">tblBaseCF[[#This Row],[AccBen]]</f>
        <v>0</v>
      </c>
      <c r="EG115">
        <f ca="1">tblBaseCF[[#This Row],[WithdrawalInput]]</f>
        <v>0</v>
      </c>
      <c r="EH115" t="str">
        <f ca="1">tblBaseCF[[#This Row],[WithdrawalLog]]</f>
        <v>No withdrawal.</v>
      </c>
      <c r="EI115">
        <f ca="1">tblBaseCF[[#This Row],[TAVWithdrawal]]</f>
        <v>0</v>
      </c>
      <c r="EJ115">
        <f ca="1">tblBaseCF[[#This Row],[EAVWithdrawal]]</f>
        <v>0</v>
      </c>
      <c r="EK115">
        <f ca="1">tblBaseCF[[#This Row],[Withdrawal]]</f>
        <v>0</v>
      </c>
      <c r="EL115">
        <f ca="1">tblBaseCF[[#This Row],[TP]]</f>
        <v>0</v>
      </c>
      <c r="EM115">
        <f ca="1">tblBaseCF[[#This Row],[TPAllocChrg]]</f>
        <v>0</v>
      </c>
      <c r="EN115">
        <f ca="1">tblBaseCF[[#This Row],[TPAlloc]]</f>
        <v>0</v>
      </c>
      <c r="EO115">
        <f ca="1">tblBaseCF[[#This Row],[EP]]</f>
        <v>0</v>
      </c>
      <c r="EP115">
        <f ca="1">tblBaseCF[[#This Row],[EPAllocChrg]]</f>
        <v>0</v>
      </c>
      <c r="EQ115">
        <f ca="1">tblBaseCF[[#This Row],[EPAlloc]]</f>
        <v>0</v>
      </c>
      <c r="ER115">
        <f ca="1">tblBaseCF[[#This Row],[EMLoad]]</f>
        <v>0</v>
      </c>
      <c r="ES115">
        <f ca="1">tblBaseCF[[#This Row],[PMLoad]]</f>
        <v>0</v>
      </c>
      <c r="ET115">
        <f ca="1">tblBaseCF[[#This Row],[Load]]</f>
        <v>0</v>
      </c>
      <c r="EU115">
        <f ca="1">tblBaseCF[[#This Row],[LoadAllocChrg]]</f>
        <v>0</v>
      </c>
      <c r="EV115">
        <f ca="1">tblBaseCF[[#This Row],[LoadAlloc]]</f>
        <v>0</v>
      </c>
      <c r="EW115">
        <f ca="1">tblBaseCF[[#This Row],[TotalPrem]]</f>
        <v>0</v>
      </c>
      <c r="EX115">
        <f ca="1">tblBaseCF[[#This Row],[AllocChrg]]</f>
        <v>0</v>
      </c>
      <c r="EY115">
        <f ca="1">tblBaseCF[[#This Row],[Alloc]]</f>
        <v>0</v>
      </c>
      <c r="EZ115">
        <f ca="1">tblBaseCF[[#This Row],[AccumTotalPrem]]</f>
        <v>0</v>
      </c>
      <c r="FA115">
        <f>tblBaseCF[[#This Row],[AnnualIntRate]]</f>
        <v>0</v>
      </c>
      <c r="FB115" s="50">
        <f>tblBaseCF[[#This Row],[Duean1m12]]</f>
        <v>1</v>
      </c>
      <c r="FC115">
        <f ca="1">tblBaseCF[[#This Row],[DeductFlag]]</f>
        <v>0</v>
      </c>
      <c r="FD115">
        <f ca="1">tblBaseCF[[#This Row],[AdminChrg]]</f>
        <v>0</v>
      </c>
      <c r="FE115">
        <f ca="1">tblBaseCF[[#This Row],[StandardCOI]]</f>
        <v>0</v>
      </c>
      <c r="FF115">
        <f ca="1">tblBaseCF[[#This Row],[EMLoadCOI]]</f>
        <v>0</v>
      </c>
      <c r="FG115">
        <f ca="1">tblBaseCF[[#This Row],[PMLoadCOI]]</f>
        <v>0</v>
      </c>
      <c r="FH115">
        <f ca="1">tblBaseCF[[#This Row],[COI]]</f>
        <v>0</v>
      </c>
      <c r="FI115" s="47">
        <f ca="1">tblBaseCF[[#This Row],[NomDeduct]]</f>
        <v>0</v>
      </c>
      <c r="FJ115">
        <f ca="1">tblBaseCF[[#This Row],[Deduct]]</f>
        <v>0</v>
      </c>
      <c r="FK115">
        <f ca="1">tblBaseCF[[#This Row],[TAVDeduct]]</f>
        <v>0</v>
      </c>
      <c r="FL115">
        <f ca="1">tblBaseCF[[#This Row],[EAVDeduct]]</f>
        <v>0</v>
      </c>
      <c r="FM115" s="24">
        <f ca="1">tblBaseCF[[#This Row],[TAVInt]]</f>
        <v>0</v>
      </c>
      <c r="FN115">
        <f ca="1">tblBaseCF[[#This Row],[EAVInt]]</f>
        <v>0</v>
      </c>
      <c r="FO115" s="47">
        <f ca="1">tblBaseCF[[#This Row],[LB]]</f>
        <v>0</v>
      </c>
      <c r="FP115">
        <f ca="1">tblBaseCF[[#This Row],[SB]]</f>
        <v>0</v>
      </c>
      <c r="FQ115">
        <f ca="1">tblBaseCF[[#This Row],[Bonus]]</f>
        <v>0</v>
      </c>
      <c r="FR115">
        <f ca="1">tblBaseCF[[#This Row],[EndTAV]]</f>
        <v>0</v>
      </c>
      <c r="FS115">
        <f ca="1">tblBaseCF[[#This Row],[EndEAV]]</f>
        <v>0</v>
      </c>
      <c r="FT115">
        <f ca="1">tblBaseCF[[#This Row],[EndPAV]]</f>
        <v>0</v>
      </c>
      <c r="FU115">
        <f ca="1">tblBaseCF[[#This Row],[SemiAnnualTP]]</f>
        <v>0</v>
      </c>
      <c r="FV115">
        <f ca="1">tblBaseCF[[#This Row],[SemiAnnualEP]]</f>
        <v>0</v>
      </c>
      <c r="FW115">
        <f ca="1">tblBaseCF[[#This Row],[SemiAnnualEMLoad]]</f>
        <v>0</v>
      </c>
      <c r="FX115">
        <f ca="1">tblBaseCF[[#This Row],[SemiAnnualPMLoad]]</f>
        <v>0</v>
      </c>
      <c r="FY115">
        <f ca="1">tblBaseCF[[#This Row],[SemiAnnualLoad]]</f>
        <v>0</v>
      </c>
      <c r="FZ115">
        <f ca="1">tblBaseCF[[#This Row],[SemiAnnualTotalPrem]]</f>
        <v>0</v>
      </c>
      <c r="GA115">
        <f ca="1">tblBaseCF[[#This Row],[QuarterlyTP]]</f>
        <v>0</v>
      </c>
      <c r="GB115">
        <f ca="1">tblBaseCF[[#This Row],[QuarterlyEP]]</f>
        <v>0</v>
      </c>
      <c r="GC115">
        <f ca="1">tblBaseCF[[#This Row],[QuarterlyEMLoad]]</f>
        <v>0</v>
      </c>
      <c r="GD115">
        <f ca="1">tblBaseCF[[#This Row],[QuarterlyPMLoad]]</f>
        <v>0</v>
      </c>
      <c r="GE115">
        <f ca="1">tblBaseCF[[#This Row],[QuarterlyLoad]]</f>
        <v>0</v>
      </c>
      <c r="GF115">
        <f ca="1">tblBaseCF[[#This Row],[QuarterlyTotalPrem]]</f>
        <v>0</v>
      </c>
      <c r="GG115">
        <f ca="1">tblBaseCF[[#This Row],[MonthlyTP]]</f>
        <v>0</v>
      </c>
      <c r="GH115">
        <f ca="1">tblBaseCF[[#This Row],[MonthlyEP]]</f>
        <v>0</v>
      </c>
      <c r="GI115">
        <f ca="1">tblBaseCF[[#This Row],[MonthlyEMLoad]]</f>
        <v>0</v>
      </c>
      <c r="GJ115">
        <f ca="1">tblBaseCF[[#This Row],[MonthlyPMLoad]]</f>
        <v>0</v>
      </c>
      <c r="GK115">
        <f ca="1">tblBaseCF[[#This Row],[MonthlyLoad]]</f>
        <v>0</v>
      </c>
      <c r="GL115">
        <f ca="1">tblBaseCF[[#This Row],[MonthlyTotalPrem]]</f>
        <v>0</v>
      </c>
      <c r="GO115" t="s">
        <v>134</v>
      </c>
      <c r="GP115" t="s">
        <v>135</v>
      </c>
      <c r="GQ115" t="s">
        <v>502</v>
      </c>
      <c r="GR115">
        <v>95</v>
      </c>
      <c r="GS115">
        <v>94</v>
      </c>
      <c r="GT115">
        <v>1</v>
      </c>
      <c r="GU115" t="s">
        <v>457</v>
      </c>
      <c r="GV115">
        <v>2729230241.9245601</v>
      </c>
      <c r="GW115">
        <v>24000246336.084301</v>
      </c>
      <c r="GX115">
        <v>26729476578.0089</v>
      </c>
      <c r="GY115">
        <v>0</v>
      </c>
      <c r="GZ115">
        <v>26729476578.0089</v>
      </c>
      <c r="HA115">
        <v>26729476578.0089</v>
      </c>
      <c r="HB115">
        <v>0</v>
      </c>
      <c r="HC115">
        <v>0</v>
      </c>
      <c r="HD115" t="s">
        <v>137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7.0000000000000007E-2</v>
      </c>
      <c r="HX115">
        <v>0.96964931039809399</v>
      </c>
      <c r="HY115">
        <v>1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191046116.934719</v>
      </c>
      <c r="IJ115">
        <v>1680017243.5258999</v>
      </c>
      <c r="IK115">
        <v>0</v>
      </c>
      <c r="IL115">
        <v>0</v>
      </c>
      <c r="IM115">
        <v>0</v>
      </c>
      <c r="IN115">
        <v>2920276358.8592801</v>
      </c>
      <c r="IO115">
        <v>25680263579.610199</v>
      </c>
      <c r="IP115">
        <v>28600539938.469501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</row>
    <row r="116" spans="2:268" customFormat="1" x14ac:dyDescent="0.25">
      <c r="B116" s="2">
        <f ca="1">OFFSET(tblBaseCF[[#This Row],[Year]],-1,0)+1</f>
        <v>96</v>
      </c>
      <c r="C116" s="2">
        <f ca="1">(tblBaseCF[[#This Row],[Year]]&lt;=term)*1</f>
        <v>1</v>
      </c>
      <c r="D116" s="57">
        <f ca="1">(YEAR(rcd)+tblBaseCF[[#This Row],[Year]]-1)
*tblBaseCF[[#This Row],[PolTermFlag]]</f>
        <v>2120</v>
      </c>
      <c r="E116" s="57">
        <f ca="1">(mainLI_entry_age+tblBaseCF[[#This Row],[Year]]-1)
*tblBaseCF[[#This Row],[PolTermFlag]]</f>
        <v>95</v>
      </c>
      <c r="F116" s="57">
        <f ca="1">IF(tblBaseCF[[#This Row],[Year]]=1,1,OFFSET(tblBaseCF[[#This Row],[DeductFlag]],-1,0))
*tblBaseCF[[#This Row],[PolTermFlag]]</f>
        <v>0</v>
      </c>
      <c r="G116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6" s="57">
        <f ca="1">(tblBaseCF[[#This Row],[Year]]&lt;=acc_ben_term)
*tblBaseCF[[#This Row],[ContFlag]]</f>
        <v>0</v>
      </c>
      <c r="I116" s="57">
        <f ca="1">(tblBaseCF[[#This Row],[Year]]&lt;=tp_term)
*tblBaseCF[[#This Row],[ContFlag]]</f>
        <v>0</v>
      </c>
      <c r="J116" s="57">
        <f ca="1">(tblBaseCF[[#This Row],[Year]]&lt;=ep_term)
*tblBaseCF[[#This Row],[ContFlag]]</f>
        <v>0</v>
      </c>
      <c r="K116" s="57">
        <f ca="1">(tblBaseCF[[#This Row],[Year]]&lt;=em_load_term)*1</f>
        <v>0</v>
      </c>
      <c r="L116" s="57">
        <f ca="1">(tblBaseCF[[#This Row],[Year]]&lt;=pm_load_term)*1</f>
        <v>0</v>
      </c>
      <c r="M116" s="59">
        <f ca="1">IF(tblBaseCF[[#This Row],[Year]]=1,si,OFFSET(tblBaseCF[[#This Row],[EndSI]],-1,0))
*tblBaseCF[[#This Row],[ContFlag]]</f>
        <v>0</v>
      </c>
      <c r="N116" s="59">
        <f ca="1">OFFSET(tblBaseCF[[#This Row],[EndTAV]],-1,0)
*tblBaseCF[[#This Row],[ContFlag]]</f>
        <v>0</v>
      </c>
      <c r="O116" s="59">
        <f ca="1">OFFSET(tblBaseCF[[#This Row],[EndEAV]],-1,0)
*tblBaseCF[[#This Row],[ContFlag]]</f>
        <v>0</v>
      </c>
      <c r="P116" s="60">
        <f ca="1">tblBaseCF[[#This Row],[StartEAV]]+tblBaseCF[[#This Row],[StartTAV]]</f>
        <v>0</v>
      </c>
      <c r="Q116" s="61">
        <f ca="1">IFERROR(INDEX(tblJuvenileLienRate[Rate],MATCH(tblBaseCF[[#This Row],[Age]],tblJuvenileLienRate[Age],0)),1)
*tblBaseCF[[#This Row],[ContFlag]]</f>
        <v>0</v>
      </c>
      <c r="R116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6" s="62">
        <f ca="1">tblBaseCF[[#This Row],[StartSI]]*acc_ben_coeff*tblBaseCF[[#This Row],[JuvenileLienRate]]
*tblBaseCF[[#This Row],[AccBenTermFlag]]</f>
        <v>0</v>
      </c>
      <c r="T116" s="61">
        <f ca="1">(IFERROR(INDEX(tblSurrChrgRate[Rate],MATCH(tblBaseCF[[#This Row],[Year]],tblSurrChrgRate[Year],0)),0)
*tblBaseCF[[#This Row],[ContFlag]])</f>
        <v>0</v>
      </c>
      <c r="U116" s="60">
        <f ca="1">tp*tblBaseCF[[#This Row],[SrrChrgRate]]</f>
        <v>0</v>
      </c>
      <c r="V116" s="63">
        <f ca="1">MAX(tblBaseCF[[#This Row],[StartTAV]]-tblBaseCF[[#This Row],[SVChrg]],0)+tblBaseCF[[#This Row],[StartEAV]]</f>
        <v>0</v>
      </c>
      <c r="W116" s="59">
        <f ca="1">IFERROR(INDEX(tblWithdrawal_Output[Amount],MATCH(tblBaseCF[[#This Row],[Year]],tblWithdrawal_Output[Year],0)),0)
*tblBaseCF[[#This Row],[ContFlag]]</f>
        <v>0</v>
      </c>
      <c r="X116" s="59" t="b">
        <f ca="1">tblBaseCF[[#This Row],[WithdrawalInput]]&gt;0</f>
        <v>0</v>
      </c>
      <c r="Y116" s="59" t="b">
        <f ca="1">AND(tblBaseCF[[#This Row],[1stCheckProceed]],tblBaseCF[[#This Row],[WithdrawalInput]]&lt;=tblBaseCF[[#This Row],[StartPAV]])</f>
        <v>0</v>
      </c>
      <c r="Z116" s="59" t="b">
        <f ca="1">AND(tblBaseCF[[#This Row],[2ndCheckAmount]],(tblBaseCF[[#This Row],[StartPAV]]-tblBaseCF[[#This Row],[WithdrawalInput]])&gt;=min_pav_after_withdrawal)</f>
        <v>0</v>
      </c>
      <c r="AA116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6" s="59" t="b">
        <f ca="1">AND(tblBaseCF[[#This Row],[3rdCheckPAV]],tblBaseCF[[#This Row],[endSITest]]&gt;=min_base_si)</f>
        <v>0</v>
      </c>
      <c r="AC116" s="60">
        <f ca="1">tblBaseCF[[#This Row],[WithdrawalInput]]*tblBaseCF[[#This Row],[4thCheckSI]]</f>
        <v>0</v>
      </c>
      <c r="AD116" s="60">
        <f ca="1">MIN(tblBaseCF[[#This Row],[Withdrawal]],tblBaseCF[[#This Row],[StartEAV]])</f>
        <v>0</v>
      </c>
      <c r="AE116" s="60">
        <f ca="1">tblBaseCF[[#This Row],[Withdrawal]]-tblBaseCF[[#This Row],[EAVWithdrawal]]</f>
        <v>0</v>
      </c>
      <c r="AF116" s="60">
        <f ca="1">IF(tblBaseCF[[#This Row],[4thCheckSI]],tblBaseCF[[#This Row],[endSITest]],tblBaseCF[[#This Row],[StartSI]])</f>
        <v>0</v>
      </c>
      <c r="AG116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6" s="65">
        <f ca="1">IFERROR(INDEX(tblTPAllocChrgRate[Rate],MATCH(tblBaseCF[[#This Row],[Year]],tblTPAllocChrgRate[Year],0)),0)</f>
        <v>0.02</v>
      </c>
      <c r="AI116" s="62">
        <f ca="1">(tp+big_case_bonus_tp*(tblBaseCF[[#This Row],[Year]]=1))
*tblBaseCF[[#This Row],[TPTermFlag]]</f>
        <v>0</v>
      </c>
      <c r="AJ116" s="63">
        <f ca="1">tblBaseCF[[#This Row],[TP]]*tblBaseCF[[#This Row],[TPAllocChrgRate]]</f>
        <v>0</v>
      </c>
      <c r="AK116" s="60">
        <f ca="1">tblBaseCF[[#This Row],[TP]]-tblBaseCF[[#This Row],[TPAllocChrg]]</f>
        <v>0</v>
      </c>
      <c r="AL116" s="65">
        <f ca="1">IFERROR(INDEX(tblEPAllocChrgRate[Rate],MATCH(tblBaseCF[[#This Row],[Year]],tblEPAllocChrgRate[Year],0)),0)</f>
        <v>0.02</v>
      </c>
      <c r="AM116" s="60">
        <f ca="1">ep*tblBaseCF[[#This Row],[EPTermFlag]]</f>
        <v>0</v>
      </c>
      <c r="AN116" s="60">
        <f ca="1">tblBaseCF[[#This Row],[EP]]*tblBaseCF[[#This Row],[EPAllocChrgRate]]</f>
        <v>0</v>
      </c>
      <c r="AO116" s="63">
        <f ca="1">tblBaseCF[[#This Row],[EP]]-tblBaseCF[[#This Row],[EPAllocChrg]]</f>
        <v>0</v>
      </c>
      <c r="AP116" s="62">
        <f ca="1">tblBaseCF[[#This Row],[Ben]]*extra_prem_rate*em_load/1000/(1-tblBaseCF[[#This Row],[EPAllocChrgRate]])
*tblBaseCF[[#This Row],[EMLoadTermFlag]]</f>
        <v>0</v>
      </c>
      <c r="AQ116" s="62">
        <f ca="1">tblBaseCF[[#This Row],[Ben]]*pm_load/1000/(1-tblBaseCF[[#This Row],[EPAllocChrgRate]])
*tblBaseCF[[#This Row],[PMLoadTermFlag]]</f>
        <v>0</v>
      </c>
      <c r="AR116" s="60">
        <f ca="1">ROUNDUP(tblBaseCF[[#This Row],[UnroundedEMLoad]],-3)</f>
        <v>0</v>
      </c>
      <c r="AS116" s="62">
        <f ca="1">ROUNDUP(tblBaseCF[[#This Row],[Ben]]*pm_load/1000/(1-tblBaseCF[[#This Row],[EPAllocChrgRate]]),-3)
*tblBaseCF[[#This Row],[PMLoadTermFlag]]</f>
        <v>0</v>
      </c>
      <c r="AT116" s="60">
        <f ca="1">tblBaseCF[[#This Row],[EMLoad]]+tblBaseCF[[#This Row],[PMLoad]]</f>
        <v>0</v>
      </c>
      <c r="AU116" s="60">
        <f ca="1">tblBaseCF[[#This Row],[Load]]*tblBaseCF[[#This Row],[EPAllocChrgRate]]</f>
        <v>0</v>
      </c>
      <c r="AV116" s="60">
        <f ca="1">tblBaseCF[[#This Row],[Load]]-tblBaseCF[[#This Row],[LoadAllocChrg]]</f>
        <v>0</v>
      </c>
      <c r="AW116" s="60">
        <f ca="1">tblBaseCF[[#This Row],[TP]]+tblBaseCF[[#This Row],[EP]]+tblBaseCF[[#This Row],[Load]]</f>
        <v>0</v>
      </c>
      <c r="AX116" s="60">
        <f ca="1">tblBaseCF[[#This Row],[TPAllocChrg]]+tblBaseCF[[#This Row],[EPAllocChrg]]+tblBaseCF[[#This Row],[LoadAllocChrg]]</f>
        <v>0</v>
      </c>
      <c r="AY116" s="60">
        <f ca="1">tblBaseCF[[#This Row],[TPAlloc]]+tblBaseCF[[#This Row],[EPAlloc]]+tblBaseCF[[#This Row],[LoadAlloc]]</f>
        <v>0</v>
      </c>
      <c r="AZ116" s="60">
        <f ca="1">(OFFSET(tblBaseCF[[#This Row],[AccumTotalPrem]],-1,0)+tblBaseCF[[#This Row],[TotalPrem]])*tblBaseCF[[#This Row],[TPTermFlag]]</f>
        <v>0</v>
      </c>
      <c r="BA116" s="62">
        <f ca="1">(tblBaseCF[[#This Row],[StartTAV]]-tblBaseCF[[#This Row],[TAVWithdrawal]]+tblBaseCF[[#This Row],[TPAlloc]])
*tblBaseCF[[#This Row],[ContFlag]]</f>
        <v>0</v>
      </c>
      <c r="BB116" s="59">
        <f ca="1">(tblBaseCF[[#This Row],[StartEAV]]-tblBaseCF[[#This Row],[EAVWithdrawal]]+tblBaseCF[[#This Row],[EPAlloc]]+tblBaseCF[[#This Row],[LoadAlloc]])
*tblBaseCF[[#This Row],[ContFlag]]</f>
        <v>0</v>
      </c>
      <c r="BC116" s="59">
        <f ca="1">tblBaseCF[[#This Row],[TAVAfterWdrlAlloc]]+tblBaseCF[[#This Row],[EAVAfterWdrlAlloc]]</f>
        <v>0</v>
      </c>
      <c r="BD116" s="66">
        <f t="shared" si="10"/>
        <v>0</v>
      </c>
      <c r="BE116" s="67">
        <f>(1+tblBaseCF[[#This Row],[AnnualIntRate]])^(1/12)-1</f>
        <v>0</v>
      </c>
      <c r="BF116" s="68">
        <f>IFERROR(((1+tblBaseCF[[#This Row],[MonthlyIntRate]])^12-1)/12/(1-1/(1+tblBaseCF[[#This Row],[MonthlyIntRate]])),1)/(1+tblBaseCF[[#This Row],[AnnualIntRate]])</f>
        <v>1</v>
      </c>
      <c r="BG116" s="69">
        <f>PV(tblBaseCF[[#This Row],[MonthlyIntRate]],12,-1/12,,1)</f>
        <v>1</v>
      </c>
      <c r="BH116" s="60">
        <f ca="1">MAX(IF(death_tpd_option="A",tblBaseCF[[#This Row],[Ben]]-tblBaseCF[[#This Row],[StartPAV]],tblBaseCF[[#This Row],[Ben]]),0)</f>
        <v>0</v>
      </c>
      <c r="BI116" s="70">
        <f ca="1">IFERROR(INDEX(tblBaseCOIRate[Rate],MATCH(tblBaseCF[[#This Row],[Age]],tblBaseCOIRate[Age],0)),0)</f>
        <v>0.34101999999999999</v>
      </c>
      <c r="BJ116" s="60">
        <f ca="1">tblBaseCF[[#This Row],[SAR]]*tblBaseCF[[#This Row],[COIRate]]</f>
        <v>0</v>
      </c>
      <c r="BK116" s="62">
        <f ca="1">em_load*tblBaseCF[[#This Row],[pStandardCOI]]
*tblBaseCF[[#This Row],[EMLoadTermFlag]]</f>
        <v>0</v>
      </c>
      <c r="BL116" s="62">
        <f ca="1">pm_load/1000*tblBaseCF[[#This Row],[SAR]]
*tblBaseCF[[#This Row],[PMLoadTermFlag]]</f>
        <v>0</v>
      </c>
      <c r="BM116" s="60">
        <f ca="1">tblBaseCF[[#This Row],[AccBen]]*monthly_acc_coi*12</f>
        <v>0</v>
      </c>
      <c r="BN116" s="60">
        <f ca="1">tblBaseCF[[#This Row],[pStandardCOI]]+tblBaseCF[[#This Row],[pEMLoadCOI]]+tblBaseCF[[#This Row],[pPMLoadCOI]]+tblBaseCF[[#This Row],[pAccCOI]]</f>
        <v>0</v>
      </c>
      <c r="BO116" s="62">
        <f ca="1">IFERROR(INDEX(tblAdminChrg[Amount],MATCH(tblBaseCF[[#This Row],[CalYear]],tblAdminChrg[Cal_Year],0)),0)
*tblBaseCF[[#This Row],[ContFlag]]</f>
        <v>0</v>
      </c>
      <c r="BP116" s="60">
        <f ca="1">tblBaseCF[[#This Row],[pMonthlyAdminChrg]]*12</f>
        <v>0</v>
      </c>
      <c r="BQ116" s="60">
        <f ca="1">tblBaseCF[[#This Row],[pCOI]]+tblBaseCF[[#This Row],[pAdminChrg]]</f>
        <v>0</v>
      </c>
      <c r="BR116" s="60">
        <f ca="1">tblBaseCF[[#This Row],[pNomDeduct]]*tblBaseCF[[#This Row],[Duean1m12]]</f>
        <v>0</v>
      </c>
      <c r="BS116" s="57">
        <f ca="1">(tblBaseCF[[#This Row],[PAVAfterWdrlAlloc]]&gt;=tblBaseCF[[#This Row],[pNomDeduct]])
*tblBaseCF[[#This Row],[ContFlag]]</f>
        <v>0</v>
      </c>
      <c r="BT116" s="60">
        <f ca="1">tblBaseCF[[#This Row],[pStandardCOI]]*tblBaseCF[[#This Row],[DeductFlag]]</f>
        <v>0</v>
      </c>
      <c r="BU116" s="60">
        <f ca="1">tblBaseCF[[#This Row],[pEMLoadCOI]]*tblBaseCF[[#This Row],[DeductFlag]]</f>
        <v>0</v>
      </c>
      <c r="BV116" s="60">
        <f ca="1">tblBaseCF[[#This Row],[pPMLoadCOI]]*tblBaseCF[[#This Row],[DeductFlag]]</f>
        <v>0</v>
      </c>
      <c r="BW116" s="60">
        <f ca="1">tblBaseCF[[#This Row],[pAccCOI]]*tblBaseCF[[#This Row],[DeductFlag]]</f>
        <v>0</v>
      </c>
      <c r="BX116" s="60">
        <f ca="1">tblBaseCF[[#This Row],[pCOI]]*tblBaseCF[[#This Row],[DeductFlag]]</f>
        <v>0</v>
      </c>
      <c r="BY116" s="60">
        <f ca="1">tblBaseCF[[#This Row],[pMonthlyAdminChrg]]*tblBaseCF[[#This Row],[DeductFlag]]</f>
        <v>0</v>
      </c>
      <c r="BZ116" s="60">
        <f ca="1">tblBaseCF[[#This Row],[pAdminChrg]]*tblBaseCF[[#This Row],[DeductFlag]]</f>
        <v>0</v>
      </c>
      <c r="CA116" s="60">
        <f ca="1">tblBaseCF[[#This Row],[pNomDeduct]]*tblBaseCF[[#This Row],[DeductFlag]]</f>
        <v>0</v>
      </c>
      <c r="CB116" s="60">
        <f ca="1">tblBaseCF[[#This Row],[pDeduct]]*tblBaseCF[[#This Row],[DeductFlag]]</f>
        <v>0</v>
      </c>
      <c r="CC116" s="60">
        <f ca="1">MIN(tblBaseCF[[#This Row],[TAVAfterWdrlAlloc]],tblBaseCF[[#This Row],[Deduct]])</f>
        <v>0</v>
      </c>
      <c r="CD116" s="60">
        <f ca="1">tblBaseCF[[#This Row],[Deduct]]-tblBaseCF[[#This Row],[TAVDeduct]]</f>
        <v>0</v>
      </c>
      <c r="CE116" s="69">
        <f ca="1">(tblBaseCF[[#This Row],[TAVAfterWdrlAlloc]]-tblBaseCF[[#This Row],[TAVDeduct]])*tblBaseCF[[#This Row],[AnnualIntRate]]
*tblBaseCF[[#This Row],[DeductFlag]]</f>
        <v>0</v>
      </c>
      <c r="CF116" s="69">
        <f ca="1">(tblBaseCF[[#This Row],[EAVAfterWdrlAlloc]]-tblBaseCF[[#This Row],[EAVDeduct]])*tblBaseCF[[#This Row],[AnnualIntRate]]
*tblBaseCF[[#This Row],[DeductFlag]]</f>
        <v>0</v>
      </c>
      <c r="CG116" s="69">
        <f ca="1">tblBaseCF[[#This Row],[TAVInt]]+tblBaseCF[[#This Row],[EAVInt]]</f>
        <v>0</v>
      </c>
      <c r="CH116" s="62">
        <f ca="1">IFERROR(INDEX(tblLBRate[Rate],MATCH(tblBaseCF[[#This Row],[Year]],tblLBRate[Year],0)),0)
*tblBaseCF[[#This Row],[DeductFlag]]</f>
        <v>0</v>
      </c>
      <c r="CI116" s="60">
        <f ca="1">IFERROR(SUM(OFFSET(tblBaseCF[[#This Row],[TAVWithdrawal]],0,0,-lb_review_period,1)),0)
*(tblBaseCF[[#This Row],[LBRate]]&gt;0)</f>
        <v>0</v>
      </c>
      <c r="CJ116" s="60">
        <f ca="1">(tblBaseCF[[#This Row],[LBRate]]&gt;0)*(tblBaseCF[[#This Row],[LBTAVWithdrawal]]=0)</f>
        <v>0</v>
      </c>
      <c r="CK116" s="62" cm="1">
        <f t="array" aca="1" ref="CK116" ca="1">IF(tblBaseCF[[#This Row],[LBFlag]],
_xlfn.SWITCH(base,
"ILP1",AVERAGE(OFFSET(tblBaseCF[TP],0,0,-lb_review_period,1)),tp),0)
*tblBaseCF[[#This Row],[LBFlag]]</f>
        <v>0</v>
      </c>
      <c r="CL116" s="62">
        <f ca="1">tblBaseCF[[#This Row],[LBBasis]]*tblBaseCF[[#This Row],[LBRate]]</f>
        <v>0</v>
      </c>
      <c r="CM116" s="57" cm="1">
        <f t="array" aca="1" ref="CM116" ca="1">_xlfn.SWITCH(base,
"ILP1",0,($AF216&lt;500000000)*1
+($AF216&gt;=500000000)*($AF216&lt;1000000000)*2
+($AF216&gt;=1000000000)*3)
*tblBaseCF[[#This Row],[DeductFlag]]</f>
        <v>0</v>
      </c>
      <c r="CN116" s="2" t="str">
        <f ca="1">IF(tblBaseCF[[#This Row],[DeductFlag]],base&amp;"_"&amp;tblBaseCF[[#This Row],[SBCode]]&amp;"_"&amp;tblBaseCF[[#This Row],[Year]],"")</f>
        <v/>
      </c>
      <c r="CO116" s="3">
        <f ca="1">IFERROR(INDEX(tblSBRate[Index],MATCH(tblBaseCF[[#This Row],[SBIndex]],tblSBRate[Rate],0)),0)</f>
        <v>0</v>
      </c>
      <c r="CP116" s="63">
        <f ca="1">IFERROR(SUM(OFFSET(tblBaseCF[[#This Row],[TAVWithdrawal]],0,0,-sb_review_period,1)),0)
*(tblBaseCF[[#This Row],[SBRate]]&gt;0)</f>
        <v>0</v>
      </c>
      <c r="CQ116" s="63">
        <f ca="1">(tblBaseCF[[#This Row],[SBRate]]&gt;0)*(tblBaseCF[[#This Row],[SBTAVWithdrawal]]=0)</f>
        <v>0</v>
      </c>
      <c r="CR116" s="59" cm="1">
        <f t="array" aca="1" ref="CR116" ca="1">IF(tblBaseCF[[#This Row],[LBFlag]],
_xlfn.SWITCH(base,
"ILP1",0,tp),0)*tblBaseCF[[#This Row],[SBFlag]]</f>
        <v>0</v>
      </c>
      <c r="CS116" s="63">
        <f ca="1">tblBaseCF[[#This Row],[SBBasis]]*tblBaseCF[[#This Row],[SBRate]]</f>
        <v>0</v>
      </c>
      <c r="CT116" s="63">
        <f ca="1">tblBaseCF[[#This Row],[LB]]+tblBaseCF[[#This Row],[SB]]</f>
        <v>0</v>
      </c>
      <c r="CU116" s="59">
        <f ca="1">tblBaseCF[[#This Row],[TAVAfterWdrlAlloc]]-tblBaseCF[[#This Row],[TAVDeduct]]+tblBaseCF[[#This Row],[TAVInt]]+tblBaseCF[[#This Row],[Bonus]]</f>
        <v>0</v>
      </c>
      <c r="CV116" s="59">
        <f ca="1">tblBaseCF[[#This Row],[EAVAfterWdrlAlloc]]-tblBaseCF[[#This Row],[EAVDeduct]]+tblBaseCF[[#This Row],[EAVInt]]</f>
        <v>0</v>
      </c>
      <c r="CW116" s="63">
        <f ca="1">tblBaseCF[[#This Row],[EndTAV]]+tblBaseCF[[#This Row],[EndEAV]]</f>
        <v>0</v>
      </c>
      <c r="CX116" s="59">
        <f ca="1">INDEX(tblPlanPrem[TP],2)
*tblBaseCF[[#This Row],[TPTermFlag]]</f>
        <v>0</v>
      </c>
      <c r="CY116" s="59">
        <f ca="1">INDEX(tblPlanPrem[EP],2)
*tblBaseCF[[#This Row],[TPTermFlag]]</f>
        <v>0</v>
      </c>
      <c r="CZ116" s="63">
        <f ca="1">ROUNDUP(tblBaseCF[[#This Row],[UnroundedEMLoad]]*INDEX(tblPlanPrem[Factor],2),-3)</f>
        <v>0</v>
      </c>
      <c r="DA116" s="63">
        <f ca="1">ROUNDUP(tblBaseCF[[#This Row],[UnroundedPMLoad]]*INDEX(tblPlanPrem[Factor],2),-3)</f>
        <v>0</v>
      </c>
      <c r="DB116" s="63">
        <f ca="1">tblBaseCF[[#This Row],[SemiAnnualEMLoad]]+tblBaseCF[[#This Row],[SemiAnnualPMLoad]]</f>
        <v>0</v>
      </c>
      <c r="DC116" s="63">
        <f ca="1">tblBaseCF[[#This Row],[SemiAnnualTP]]+tblBaseCF[[#This Row],[SemiAnnualEP]]+tblBaseCF[[#This Row],[SemiAnnualLoad]]</f>
        <v>0</v>
      </c>
      <c r="DD116" s="59">
        <f ca="1">INDEX(tblPlanPrem[TP],3)
*tblBaseCF[[#This Row],[TPTermFlag]]</f>
        <v>0</v>
      </c>
      <c r="DE116" s="59">
        <f ca="1">INDEX(tblPlanPrem[EP],3)
*tblBaseCF[[#This Row],[TPTermFlag]]</f>
        <v>0</v>
      </c>
      <c r="DF116" s="63">
        <f ca="1">ROUNDUP(tblBaseCF[[#This Row],[UnroundedEMLoad]]*INDEX(tblPlanPrem[Factor],3),-3)</f>
        <v>0</v>
      </c>
      <c r="DG116" s="63">
        <f ca="1">ROUNDUP(tblBaseCF[[#This Row],[UnroundedPMLoad]]*INDEX(tblPlanPrem[Factor],3),-3)</f>
        <v>0</v>
      </c>
      <c r="DH116" s="60">
        <f ca="1">tblBaseCF[[#This Row],[QuarterlyEMLoad]]+tblBaseCF[[#This Row],[QuarterlyPMLoad]]</f>
        <v>0</v>
      </c>
      <c r="DI116" s="60">
        <f ca="1">tblBaseCF[[#This Row],[QuarterlyTP]]+tblBaseCF[[#This Row],[QuarterlyEP]]+tblBaseCF[[#This Row],[QuarterlyLoad]]</f>
        <v>0</v>
      </c>
      <c r="DJ116" s="59">
        <f ca="1">INDEX(tblPlanPrem[TP],4)
*tblBaseCF[[#This Row],[TPTermFlag]]</f>
        <v>0</v>
      </c>
      <c r="DK116" s="59">
        <f ca="1">INDEX(tblPlanPrem[EP],4)
*tblBaseCF[[#This Row],[TPTermFlag]]</f>
        <v>0</v>
      </c>
      <c r="DL116" s="63">
        <f ca="1">ROUNDUP(tblBaseCF[[#This Row],[UnroundedEMLoad]]*INDEX(tblPlanPrem[Factor],4),-3)</f>
        <v>0</v>
      </c>
      <c r="DM116" s="63">
        <f ca="1">ROUNDUP(tblBaseCF[[#This Row],[UnroundedPMLoad]]*INDEX(tblPlanPrem[Factor],4),-3)</f>
        <v>0</v>
      </c>
      <c r="DN116" s="60">
        <f ca="1">tblBaseCF[[#This Row],[MonthlyEMLoad]]+tblBaseCF[[#This Row],[MonthlyPMLoad]]</f>
        <v>0</v>
      </c>
      <c r="DO116" s="63">
        <f ca="1">tblBaseCF[[#This Row],[MonthlyTP]]+tblBaseCF[[#This Row],[MonthlyEP]]+tblBaseCF[[#This Row],[MonthlyLoad]]</f>
        <v>0</v>
      </c>
      <c r="DP116" s="3"/>
      <c r="DS116">
        <f t="shared" si="11"/>
        <v>0</v>
      </c>
      <c r="DT116">
        <f t="shared" si="12"/>
        <v>0</v>
      </c>
      <c r="DU116">
        <f t="shared" si="13"/>
        <v>0</v>
      </c>
      <c r="DV116">
        <f ca="1">tblBaseCF[[#This Row],[Year]]</f>
        <v>96</v>
      </c>
      <c r="DW116">
        <f ca="1">tblBaseCF[[#This Row],[Age]]</f>
        <v>95</v>
      </c>
      <c r="DX116">
        <f ca="1">tblBaseCF[[#This Row],[ContFlag]]</f>
        <v>0</v>
      </c>
      <c r="DY116" t="str">
        <f ca="1">tblBaseCF[[#This Row],[ContLog]]</f>
        <v>Insufficient PAV for deduction - Discontinue.</v>
      </c>
      <c r="DZ116">
        <f ca="1">tblBaseCF[[#This Row],[StartTAV]]</f>
        <v>0</v>
      </c>
      <c r="EA116">
        <f ca="1">tblBaseCF[[#This Row],[StartEAV]]</f>
        <v>0</v>
      </c>
      <c r="EB116">
        <f ca="1">tblBaseCF[[#This Row],[StartPAV]]</f>
        <v>0</v>
      </c>
      <c r="EC116">
        <f ca="1">tblBaseCF[[#This Row],[SVChrg]]</f>
        <v>0</v>
      </c>
      <c r="ED116">
        <f ca="1">tblBaseCF[[#This Row],[SV]]</f>
        <v>0</v>
      </c>
      <c r="EE116">
        <f ca="1">tblBaseCF[[#This Row],[Ben]]</f>
        <v>0</v>
      </c>
      <c r="EF116">
        <f ca="1">tblBaseCF[[#This Row],[AccBen]]</f>
        <v>0</v>
      </c>
      <c r="EG116">
        <f ca="1">tblBaseCF[[#This Row],[WithdrawalInput]]</f>
        <v>0</v>
      </c>
      <c r="EH116" t="str">
        <f ca="1">tblBaseCF[[#This Row],[WithdrawalLog]]</f>
        <v>No withdrawal.</v>
      </c>
      <c r="EI116">
        <f ca="1">tblBaseCF[[#This Row],[TAVWithdrawal]]</f>
        <v>0</v>
      </c>
      <c r="EJ116">
        <f ca="1">tblBaseCF[[#This Row],[EAVWithdrawal]]</f>
        <v>0</v>
      </c>
      <c r="EK116">
        <f ca="1">tblBaseCF[[#This Row],[Withdrawal]]</f>
        <v>0</v>
      </c>
      <c r="EL116">
        <f ca="1">tblBaseCF[[#This Row],[TP]]</f>
        <v>0</v>
      </c>
      <c r="EM116">
        <f ca="1">tblBaseCF[[#This Row],[TPAllocChrg]]</f>
        <v>0</v>
      </c>
      <c r="EN116">
        <f ca="1">tblBaseCF[[#This Row],[TPAlloc]]</f>
        <v>0</v>
      </c>
      <c r="EO116">
        <f ca="1">tblBaseCF[[#This Row],[EP]]</f>
        <v>0</v>
      </c>
      <c r="EP116">
        <f ca="1">tblBaseCF[[#This Row],[EPAllocChrg]]</f>
        <v>0</v>
      </c>
      <c r="EQ116">
        <f ca="1">tblBaseCF[[#This Row],[EPAlloc]]</f>
        <v>0</v>
      </c>
      <c r="ER116">
        <f ca="1">tblBaseCF[[#This Row],[EMLoad]]</f>
        <v>0</v>
      </c>
      <c r="ES116">
        <f ca="1">tblBaseCF[[#This Row],[PMLoad]]</f>
        <v>0</v>
      </c>
      <c r="ET116">
        <f ca="1">tblBaseCF[[#This Row],[Load]]</f>
        <v>0</v>
      </c>
      <c r="EU116">
        <f ca="1">tblBaseCF[[#This Row],[LoadAllocChrg]]</f>
        <v>0</v>
      </c>
      <c r="EV116">
        <f ca="1">tblBaseCF[[#This Row],[LoadAlloc]]</f>
        <v>0</v>
      </c>
      <c r="EW116">
        <f ca="1">tblBaseCF[[#This Row],[TotalPrem]]</f>
        <v>0</v>
      </c>
      <c r="EX116">
        <f ca="1">tblBaseCF[[#This Row],[AllocChrg]]</f>
        <v>0</v>
      </c>
      <c r="EY116">
        <f ca="1">tblBaseCF[[#This Row],[Alloc]]</f>
        <v>0</v>
      </c>
      <c r="EZ116">
        <f ca="1">tblBaseCF[[#This Row],[AccumTotalPrem]]</f>
        <v>0</v>
      </c>
      <c r="FA116">
        <f>tblBaseCF[[#This Row],[AnnualIntRate]]</f>
        <v>0</v>
      </c>
      <c r="FB116" s="50">
        <f>tblBaseCF[[#This Row],[Duean1m12]]</f>
        <v>1</v>
      </c>
      <c r="FC116">
        <f ca="1">tblBaseCF[[#This Row],[DeductFlag]]</f>
        <v>0</v>
      </c>
      <c r="FD116">
        <f ca="1">tblBaseCF[[#This Row],[AdminChrg]]</f>
        <v>0</v>
      </c>
      <c r="FE116">
        <f ca="1">tblBaseCF[[#This Row],[StandardCOI]]</f>
        <v>0</v>
      </c>
      <c r="FF116">
        <f ca="1">tblBaseCF[[#This Row],[EMLoadCOI]]</f>
        <v>0</v>
      </c>
      <c r="FG116">
        <f ca="1">tblBaseCF[[#This Row],[PMLoadCOI]]</f>
        <v>0</v>
      </c>
      <c r="FH116">
        <f ca="1">tblBaseCF[[#This Row],[COI]]</f>
        <v>0</v>
      </c>
      <c r="FI116" s="47">
        <f ca="1">tblBaseCF[[#This Row],[NomDeduct]]</f>
        <v>0</v>
      </c>
      <c r="FJ116">
        <f ca="1">tblBaseCF[[#This Row],[Deduct]]</f>
        <v>0</v>
      </c>
      <c r="FK116">
        <f ca="1">tblBaseCF[[#This Row],[TAVDeduct]]</f>
        <v>0</v>
      </c>
      <c r="FL116">
        <f ca="1">tblBaseCF[[#This Row],[EAVDeduct]]</f>
        <v>0</v>
      </c>
      <c r="FM116" s="24">
        <f ca="1">tblBaseCF[[#This Row],[TAVInt]]</f>
        <v>0</v>
      </c>
      <c r="FN116">
        <f ca="1">tblBaseCF[[#This Row],[EAVInt]]</f>
        <v>0</v>
      </c>
      <c r="FO116" s="47">
        <f ca="1">tblBaseCF[[#This Row],[LB]]</f>
        <v>0</v>
      </c>
      <c r="FP116">
        <f ca="1">tblBaseCF[[#This Row],[SB]]</f>
        <v>0</v>
      </c>
      <c r="FQ116">
        <f ca="1">tblBaseCF[[#This Row],[Bonus]]</f>
        <v>0</v>
      </c>
      <c r="FR116">
        <f ca="1">tblBaseCF[[#This Row],[EndTAV]]</f>
        <v>0</v>
      </c>
      <c r="FS116">
        <f ca="1">tblBaseCF[[#This Row],[EndEAV]]</f>
        <v>0</v>
      </c>
      <c r="FT116">
        <f ca="1">tblBaseCF[[#This Row],[EndPAV]]</f>
        <v>0</v>
      </c>
      <c r="FU116">
        <f ca="1">tblBaseCF[[#This Row],[SemiAnnualTP]]</f>
        <v>0</v>
      </c>
      <c r="FV116">
        <f ca="1">tblBaseCF[[#This Row],[SemiAnnualEP]]</f>
        <v>0</v>
      </c>
      <c r="FW116">
        <f ca="1">tblBaseCF[[#This Row],[SemiAnnualEMLoad]]</f>
        <v>0</v>
      </c>
      <c r="FX116">
        <f ca="1">tblBaseCF[[#This Row],[SemiAnnualPMLoad]]</f>
        <v>0</v>
      </c>
      <c r="FY116">
        <f ca="1">tblBaseCF[[#This Row],[SemiAnnualLoad]]</f>
        <v>0</v>
      </c>
      <c r="FZ116">
        <f ca="1">tblBaseCF[[#This Row],[SemiAnnualTotalPrem]]</f>
        <v>0</v>
      </c>
      <c r="GA116">
        <f ca="1">tblBaseCF[[#This Row],[QuarterlyTP]]</f>
        <v>0</v>
      </c>
      <c r="GB116">
        <f ca="1">tblBaseCF[[#This Row],[QuarterlyEP]]</f>
        <v>0</v>
      </c>
      <c r="GC116">
        <f ca="1">tblBaseCF[[#This Row],[QuarterlyEMLoad]]</f>
        <v>0</v>
      </c>
      <c r="GD116">
        <f ca="1">tblBaseCF[[#This Row],[QuarterlyPMLoad]]</f>
        <v>0</v>
      </c>
      <c r="GE116">
        <f ca="1">tblBaseCF[[#This Row],[QuarterlyLoad]]</f>
        <v>0</v>
      </c>
      <c r="GF116">
        <f ca="1">tblBaseCF[[#This Row],[QuarterlyTotalPrem]]</f>
        <v>0</v>
      </c>
      <c r="GG116">
        <f ca="1">tblBaseCF[[#This Row],[MonthlyTP]]</f>
        <v>0</v>
      </c>
      <c r="GH116">
        <f ca="1">tblBaseCF[[#This Row],[MonthlyEP]]</f>
        <v>0</v>
      </c>
      <c r="GI116">
        <f ca="1">tblBaseCF[[#This Row],[MonthlyEMLoad]]</f>
        <v>0</v>
      </c>
      <c r="GJ116">
        <f ca="1">tblBaseCF[[#This Row],[MonthlyPMLoad]]</f>
        <v>0</v>
      </c>
      <c r="GK116">
        <f ca="1">tblBaseCF[[#This Row],[MonthlyLoad]]</f>
        <v>0</v>
      </c>
      <c r="GL116">
        <f ca="1">tblBaseCF[[#This Row],[MonthlyTotalPrem]]</f>
        <v>0</v>
      </c>
      <c r="GO116" t="s">
        <v>134</v>
      </c>
      <c r="GP116" t="s">
        <v>135</v>
      </c>
      <c r="GQ116" t="s">
        <v>502</v>
      </c>
      <c r="GR116">
        <v>96</v>
      </c>
      <c r="GS116">
        <v>95</v>
      </c>
      <c r="GT116">
        <v>1</v>
      </c>
      <c r="GU116" t="s">
        <v>457</v>
      </c>
      <c r="GV116">
        <v>2920276358.8592801</v>
      </c>
      <c r="GW116">
        <v>25680263579.610199</v>
      </c>
      <c r="GX116">
        <v>28600539938.469501</v>
      </c>
      <c r="GY116">
        <v>0</v>
      </c>
      <c r="GZ116">
        <v>28600539938.469501</v>
      </c>
      <c r="HA116">
        <v>28600539938.469501</v>
      </c>
      <c r="HB116">
        <v>0</v>
      </c>
      <c r="HC116">
        <v>0</v>
      </c>
      <c r="HD116" t="s">
        <v>137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7.0000000000000007E-2</v>
      </c>
      <c r="HX116">
        <v>0.96964931039809399</v>
      </c>
      <c r="HY116">
        <v>1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204419345.12015</v>
      </c>
      <c r="IJ116">
        <v>1797618450.5727201</v>
      </c>
      <c r="IK116">
        <v>0</v>
      </c>
      <c r="IL116">
        <v>0</v>
      </c>
      <c r="IM116">
        <v>0</v>
      </c>
      <c r="IN116">
        <v>3124695703.9794302</v>
      </c>
      <c r="IO116">
        <v>27477882030.182899</v>
      </c>
      <c r="IP116">
        <v>30602577734.162399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</row>
    <row r="117" spans="2:268" customFormat="1" x14ac:dyDescent="0.25">
      <c r="B117" s="2">
        <f ca="1">OFFSET(tblBaseCF[[#This Row],[Year]],-1,0)+1</f>
        <v>97</v>
      </c>
      <c r="C117" s="2">
        <f ca="1">(tblBaseCF[[#This Row],[Year]]&lt;=term)*1</f>
        <v>1</v>
      </c>
      <c r="D117" s="57">
        <f ca="1">(YEAR(rcd)+tblBaseCF[[#This Row],[Year]]-1)
*tblBaseCF[[#This Row],[PolTermFlag]]</f>
        <v>2121</v>
      </c>
      <c r="E117" s="57">
        <f ca="1">(mainLI_entry_age+tblBaseCF[[#This Row],[Year]]-1)
*tblBaseCF[[#This Row],[PolTermFlag]]</f>
        <v>96</v>
      </c>
      <c r="F117" s="57">
        <f ca="1">IF(tblBaseCF[[#This Row],[Year]]=1,1,OFFSET(tblBaseCF[[#This Row],[DeductFlag]],-1,0))
*tblBaseCF[[#This Row],[PolTermFlag]]</f>
        <v>0</v>
      </c>
      <c r="G117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7" s="57">
        <f ca="1">(tblBaseCF[[#This Row],[Year]]&lt;=acc_ben_term)
*tblBaseCF[[#This Row],[ContFlag]]</f>
        <v>0</v>
      </c>
      <c r="I117" s="57">
        <f ca="1">(tblBaseCF[[#This Row],[Year]]&lt;=tp_term)
*tblBaseCF[[#This Row],[ContFlag]]</f>
        <v>0</v>
      </c>
      <c r="J117" s="57">
        <f ca="1">(tblBaseCF[[#This Row],[Year]]&lt;=ep_term)
*tblBaseCF[[#This Row],[ContFlag]]</f>
        <v>0</v>
      </c>
      <c r="K117" s="57">
        <f ca="1">(tblBaseCF[[#This Row],[Year]]&lt;=em_load_term)*1</f>
        <v>0</v>
      </c>
      <c r="L117" s="57">
        <f ca="1">(tblBaseCF[[#This Row],[Year]]&lt;=pm_load_term)*1</f>
        <v>0</v>
      </c>
      <c r="M117" s="59">
        <f ca="1">IF(tblBaseCF[[#This Row],[Year]]=1,si,OFFSET(tblBaseCF[[#This Row],[EndSI]],-1,0))
*tblBaseCF[[#This Row],[ContFlag]]</f>
        <v>0</v>
      </c>
      <c r="N117" s="59">
        <f ca="1">OFFSET(tblBaseCF[[#This Row],[EndTAV]],-1,0)
*tblBaseCF[[#This Row],[ContFlag]]</f>
        <v>0</v>
      </c>
      <c r="O117" s="59">
        <f ca="1">OFFSET(tblBaseCF[[#This Row],[EndEAV]],-1,0)
*tblBaseCF[[#This Row],[ContFlag]]</f>
        <v>0</v>
      </c>
      <c r="P117" s="60">
        <f ca="1">tblBaseCF[[#This Row],[StartEAV]]+tblBaseCF[[#This Row],[StartTAV]]</f>
        <v>0</v>
      </c>
      <c r="Q117" s="61">
        <f ca="1">IFERROR(INDEX(tblJuvenileLienRate[Rate],MATCH(tblBaseCF[[#This Row],[Age]],tblJuvenileLienRate[Age],0)),1)
*tblBaseCF[[#This Row],[ContFlag]]</f>
        <v>0</v>
      </c>
      <c r="R117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7" s="62">
        <f ca="1">tblBaseCF[[#This Row],[StartSI]]*acc_ben_coeff*tblBaseCF[[#This Row],[JuvenileLienRate]]
*tblBaseCF[[#This Row],[AccBenTermFlag]]</f>
        <v>0</v>
      </c>
      <c r="T117" s="61">
        <f ca="1">(IFERROR(INDEX(tblSurrChrgRate[Rate],MATCH(tblBaseCF[[#This Row],[Year]],tblSurrChrgRate[Year],0)),0)
*tblBaseCF[[#This Row],[ContFlag]])</f>
        <v>0</v>
      </c>
      <c r="U117" s="60">
        <f ca="1">tp*tblBaseCF[[#This Row],[SrrChrgRate]]</f>
        <v>0</v>
      </c>
      <c r="V117" s="63">
        <f ca="1">MAX(tblBaseCF[[#This Row],[StartTAV]]-tblBaseCF[[#This Row],[SVChrg]],0)+tblBaseCF[[#This Row],[StartEAV]]</f>
        <v>0</v>
      </c>
      <c r="W117" s="59">
        <f ca="1">IFERROR(INDEX(tblWithdrawal_Output[Amount],MATCH(tblBaseCF[[#This Row],[Year]],tblWithdrawal_Output[Year],0)),0)
*tblBaseCF[[#This Row],[ContFlag]]</f>
        <v>0</v>
      </c>
      <c r="X117" s="59" t="b">
        <f ca="1">tblBaseCF[[#This Row],[WithdrawalInput]]&gt;0</f>
        <v>0</v>
      </c>
      <c r="Y117" s="59" t="b">
        <f ca="1">AND(tblBaseCF[[#This Row],[1stCheckProceed]],tblBaseCF[[#This Row],[WithdrawalInput]]&lt;=tblBaseCF[[#This Row],[StartPAV]])</f>
        <v>0</v>
      </c>
      <c r="Z117" s="59" t="b">
        <f ca="1">AND(tblBaseCF[[#This Row],[2ndCheckAmount]],(tblBaseCF[[#This Row],[StartPAV]]-tblBaseCF[[#This Row],[WithdrawalInput]])&gt;=min_pav_after_withdrawal)</f>
        <v>0</v>
      </c>
      <c r="AA117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7" s="59" t="b">
        <f ca="1">AND(tblBaseCF[[#This Row],[3rdCheckPAV]],tblBaseCF[[#This Row],[endSITest]]&gt;=min_base_si)</f>
        <v>0</v>
      </c>
      <c r="AC117" s="60">
        <f ca="1">tblBaseCF[[#This Row],[WithdrawalInput]]*tblBaseCF[[#This Row],[4thCheckSI]]</f>
        <v>0</v>
      </c>
      <c r="AD117" s="60">
        <f ca="1">MIN(tblBaseCF[[#This Row],[Withdrawal]],tblBaseCF[[#This Row],[StartEAV]])</f>
        <v>0</v>
      </c>
      <c r="AE117" s="60">
        <f ca="1">tblBaseCF[[#This Row],[Withdrawal]]-tblBaseCF[[#This Row],[EAVWithdrawal]]</f>
        <v>0</v>
      </c>
      <c r="AF117" s="60">
        <f ca="1">IF(tblBaseCF[[#This Row],[4thCheckSI]],tblBaseCF[[#This Row],[endSITest]],tblBaseCF[[#This Row],[StartSI]])</f>
        <v>0</v>
      </c>
      <c r="AG117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7" s="65">
        <f ca="1">IFERROR(INDEX(tblTPAllocChrgRate[Rate],MATCH(tblBaseCF[[#This Row],[Year]],tblTPAllocChrgRate[Year],0)),0)</f>
        <v>0.02</v>
      </c>
      <c r="AI117" s="62">
        <f ca="1">(tp+big_case_bonus_tp*(tblBaseCF[[#This Row],[Year]]=1))
*tblBaseCF[[#This Row],[TPTermFlag]]</f>
        <v>0</v>
      </c>
      <c r="AJ117" s="63">
        <f ca="1">tblBaseCF[[#This Row],[TP]]*tblBaseCF[[#This Row],[TPAllocChrgRate]]</f>
        <v>0</v>
      </c>
      <c r="AK117" s="60">
        <f ca="1">tblBaseCF[[#This Row],[TP]]-tblBaseCF[[#This Row],[TPAllocChrg]]</f>
        <v>0</v>
      </c>
      <c r="AL117" s="65">
        <f ca="1">IFERROR(INDEX(tblEPAllocChrgRate[Rate],MATCH(tblBaseCF[[#This Row],[Year]],tblEPAllocChrgRate[Year],0)),0)</f>
        <v>0.02</v>
      </c>
      <c r="AM117" s="60">
        <f ca="1">ep*tblBaseCF[[#This Row],[EPTermFlag]]</f>
        <v>0</v>
      </c>
      <c r="AN117" s="60">
        <f ca="1">tblBaseCF[[#This Row],[EP]]*tblBaseCF[[#This Row],[EPAllocChrgRate]]</f>
        <v>0</v>
      </c>
      <c r="AO117" s="63">
        <f ca="1">tblBaseCF[[#This Row],[EP]]-tblBaseCF[[#This Row],[EPAllocChrg]]</f>
        <v>0</v>
      </c>
      <c r="AP117" s="62">
        <f ca="1">tblBaseCF[[#This Row],[Ben]]*extra_prem_rate*em_load/1000/(1-tblBaseCF[[#This Row],[EPAllocChrgRate]])
*tblBaseCF[[#This Row],[EMLoadTermFlag]]</f>
        <v>0</v>
      </c>
      <c r="AQ117" s="62">
        <f ca="1">tblBaseCF[[#This Row],[Ben]]*pm_load/1000/(1-tblBaseCF[[#This Row],[EPAllocChrgRate]])
*tblBaseCF[[#This Row],[PMLoadTermFlag]]</f>
        <v>0</v>
      </c>
      <c r="AR117" s="60">
        <f ca="1">ROUNDUP(tblBaseCF[[#This Row],[UnroundedEMLoad]],-3)</f>
        <v>0</v>
      </c>
      <c r="AS117" s="62">
        <f ca="1">ROUNDUP(tblBaseCF[[#This Row],[Ben]]*pm_load/1000/(1-tblBaseCF[[#This Row],[EPAllocChrgRate]]),-3)
*tblBaseCF[[#This Row],[PMLoadTermFlag]]</f>
        <v>0</v>
      </c>
      <c r="AT117" s="60">
        <f ca="1">tblBaseCF[[#This Row],[EMLoad]]+tblBaseCF[[#This Row],[PMLoad]]</f>
        <v>0</v>
      </c>
      <c r="AU117" s="60">
        <f ca="1">tblBaseCF[[#This Row],[Load]]*tblBaseCF[[#This Row],[EPAllocChrgRate]]</f>
        <v>0</v>
      </c>
      <c r="AV117" s="60">
        <f ca="1">tblBaseCF[[#This Row],[Load]]-tblBaseCF[[#This Row],[LoadAllocChrg]]</f>
        <v>0</v>
      </c>
      <c r="AW117" s="60">
        <f ca="1">tblBaseCF[[#This Row],[TP]]+tblBaseCF[[#This Row],[EP]]+tblBaseCF[[#This Row],[Load]]</f>
        <v>0</v>
      </c>
      <c r="AX117" s="60">
        <f ca="1">tblBaseCF[[#This Row],[TPAllocChrg]]+tblBaseCF[[#This Row],[EPAllocChrg]]+tblBaseCF[[#This Row],[LoadAllocChrg]]</f>
        <v>0</v>
      </c>
      <c r="AY117" s="60">
        <f ca="1">tblBaseCF[[#This Row],[TPAlloc]]+tblBaseCF[[#This Row],[EPAlloc]]+tblBaseCF[[#This Row],[LoadAlloc]]</f>
        <v>0</v>
      </c>
      <c r="AZ117" s="60">
        <f ca="1">(OFFSET(tblBaseCF[[#This Row],[AccumTotalPrem]],-1,0)+tblBaseCF[[#This Row],[TotalPrem]])*tblBaseCF[[#This Row],[TPTermFlag]]</f>
        <v>0</v>
      </c>
      <c r="BA117" s="62">
        <f ca="1">(tblBaseCF[[#This Row],[StartTAV]]-tblBaseCF[[#This Row],[TAVWithdrawal]]+tblBaseCF[[#This Row],[TPAlloc]])
*tblBaseCF[[#This Row],[ContFlag]]</f>
        <v>0</v>
      </c>
      <c r="BB117" s="59">
        <f ca="1">(tblBaseCF[[#This Row],[StartEAV]]-tblBaseCF[[#This Row],[EAVWithdrawal]]+tblBaseCF[[#This Row],[EPAlloc]]+tblBaseCF[[#This Row],[LoadAlloc]])
*tblBaseCF[[#This Row],[ContFlag]]</f>
        <v>0</v>
      </c>
      <c r="BC117" s="59">
        <f ca="1">tblBaseCF[[#This Row],[TAVAfterWdrlAlloc]]+tblBaseCF[[#This Row],[EAVAfterWdrlAlloc]]</f>
        <v>0</v>
      </c>
      <c r="BD117" s="66">
        <f t="shared" si="10"/>
        <v>0</v>
      </c>
      <c r="BE117" s="67">
        <f>(1+tblBaseCF[[#This Row],[AnnualIntRate]])^(1/12)-1</f>
        <v>0</v>
      </c>
      <c r="BF117" s="68">
        <f>IFERROR(((1+tblBaseCF[[#This Row],[MonthlyIntRate]])^12-1)/12/(1-1/(1+tblBaseCF[[#This Row],[MonthlyIntRate]])),1)/(1+tblBaseCF[[#This Row],[AnnualIntRate]])</f>
        <v>1</v>
      </c>
      <c r="BG117" s="69">
        <f>PV(tblBaseCF[[#This Row],[MonthlyIntRate]],12,-1/12,,1)</f>
        <v>1</v>
      </c>
      <c r="BH117" s="60">
        <f ca="1">MAX(IF(death_tpd_option="A",tblBaseCF[[#This Row],[Ben]]-tblBaseCF[[#This Row],[StartPAV]],tblBaseCF[[#This Row],[Ben]]),0)</f>
        <v>0</v>
      </c>
      <c r="BI117" s="70">
        <f ca="1">IFERROR(INDEX(tblBaseCOIRate[Rate],MATCH(tblBaseCF[[#This Row],[Age]],tblBaseCOIRate[Age],0)),0)</f>
        <v>0.41388000000000003</v>
      </c>
      <c r="BJ117" s="60">
        <f ca="1">tblBaseCF[[#This Row],[SAR]]*tblBaseCF[[#This Row],[COIRate]]</f>
        <v>0</v>
      </c>
      <c r="BK117" s="62">
        <f ca="1">em_load*tblBaseCF[[#This Row],[pStandardCOI]]
*tblBaseCF[[#This Row],[EMLoadTermFlag]]</f>
        <v>0</v>
      </c>
      <c r="BL117" s="62">
        <f ca="1">pm_load/1000*tblBaseCF[[#This Row],[SAR]]
*tblBaseCF[[#This Row],[PMLoadTermFlag]]</f>
        <v>0</v>
      </c>
      <c r="BM117" s="60">
        <f ca="1">tblBaseCF[[#This Row],[AccBen]]*monthly_acc_coi*12</f>
        <v>0</v>
      </c>
      <c r="BN117" s="60">
        <f ca="1">tblBaseCF[[#This Row],[pStandardCOI]]+tblBaseCF[[#This Row],[pEMLoadCOI]]+tblBaseCF[[#This Row],[pPMLoadCOI]]+tblBaseCF[[#This Row],[pAccCOI]]</f>
        <v>0</v>
      </c>
      <c r="BO117" s="62">
        <f ca="1">IFERROR(INDEX(tblAdminChrg[Amount],MATCH(tblBaseCF[[#This Row],[CalYear]],tblAdminChrg[Cal_Year],0)),0)
*tblBaseCF[[#This Row],[ContFlag]]</f>
        <v>0</v>
      </c>
      <c r="BP117" s="60">
        <f ca="1">tblBaseCF[[#This Row],[pMonthlyAdminChrg]]*12</f>
        <v>0</v>
      </c>
      <c r="BQ117" s="60">
        <f ca="1">tblBaseCF[[#This Row],[pCOI]]+tblBaseCF[[#This Row],[pAdminChrg]]</f>
        <v>0</v>
      </c>
      <c r="BR117" s="60">
        <f ca="1">tblBaseCF[[#This Row],[pNomDeduct]]*tblBaseCF[[#This Row],[Duean1m12]]</f>
        <v>0</v>
      </c>
      <c r="BS117" s="57">
        <f ca="1">(tblBaseCF[[#This Row],[PAVAfterWdrlAlloc]]&gt;=tblBaseCF[[#This Row],[pNomDeduct]])
*tblBaseCF[[#This Row],[ContFlag]]</f>
        <v>0</v>
      </c>
      <c r="BT117" s="60">
        <f ca="1">tblBaseCF[[#This Row],[pStandardCOI]]*tblBaseCF[[#This Row],[DeductFlag]]</f>
        <v>0</v>
      </c>
      <c r="BU117" s="60">
        <f ca="1">tblBaseCF[[#This Row],[pEMLoadCOI]]*tblBaseCF[[#This Row],[DeductFlag]]</f>
        <v>0</v>
      </c>
      <c r="BV117" s="60">
        <f ca="1">tblBaseCF[[#This Row],[pPMLoadCOI]]*tblBaseCF[[#This Row],[DeductFlag]]</f>
        <v>0</v>
      </c>
      <c r="BW117" s="60">
        <f ca="1">tblBaseCF[[#This Row],[pAccCOI]]*tblBaseCF[[#This Row],[DeductFlag]]</f>
        <v>0</v>
      </c>
      <c r="BX117" s="60">
        <f ca="1">tblBaseCF[[#This Row],[pCOI]]*tblBaseCF[[#This Row],[DeductFlag]]</f>
        <v>0</v>
      </c>
      <c r="BY117" s="60">
        <f ca="1">tblBaseCF[[#This Row],[pMonthlyAdminChrg]]*tblBaseCF[[#This Row],[DeductFlag]]</f>
        <v>0</v>
      </c>
      <c r="BZ117" s="60">
        <f ca="1">tblBaseCF[[#This Row],[pAdminChrg]]*tblBaseCF[[#This Row],[DeductFlag]]</f>
        <v>0</v>
      </c>
      <c r="CA117" s="60">
        <f ca="1">tblBaseCF[[#This Row],[pNomDeduct]]*tblBaseCF[[#This Row],[DeductFlag]]</f>
        <v>0</v>
      </c>
      <c r="CB117" s="60">
        <f ca="1">tblBaseCF[[#This Row],[pDeduct]]*tblBaseCF[[#This Row],[DeductFlag]]</f>
        <v>0</v>
      </c>
      <c r="CC117" s="60">
        <f ca="1">MIN(tblBaseCF[[#This Row],[TAVAfterWdrlAlloc]],tblBaseCF[[#This Row],[Deduct]])</f>
        <v>0</v>
      </c>
      <c r="CD117" s="60">
        <f ca="1">tblBaseCF[[#This Row],[Deduct]]-tblBaseCF[[#This Row],[TAVDeduct]]</f>
        <v>0</v>
      </c>
      <c r="CE117" s="69">
        <f ca="1">(tblBaseCF[[#This Row],[TAVAfterWdrlAlloc]]-tblBaseCF[[#This Row],[TAVDeduct]])*tblBaseCF[[#This Row],[AnnualIntRate]]
*tblBaseCF[[#This Row],[DeductFlag]]</f>
        <v>0</v>
      </c>
      <c r="CF117" s="69">
        <f ca="1">(tblBaseCF[[#This Row],[EAVAfterWdrlAlloc]]-tblBaseCF[[#This Row],[EAVDeduct]])*tblBaseCF[[#This Row],[AnnualIntRate]]
*tblBaseCF[[#This Row],[DeductFlag]]</f>
        <v>0</v>
      </c>
      <c r="CG117" s="69">
        <f ca="1">tblBaseCF[[#This Row],[TAVInt]]+tblBaseCF[[#This Row],[EAVInt]]</f>
        <v>0</v>
      </c>
      <c r="CH117" s="62">
        <f ca="1">IFERROR(INDEX(tblLBRate[Rate],MATCH(tblBaseCF[[#This Row],[Year]],tblLBRate[Year],0)),0)
*tblBaseCF[[#This Row],[DeductFlag]]</f>
        <v>0</v>
      </c>
      <c r="CI117" s="60">
        <f ca="1">IFERROR(SUM(OFFSET(tblBaseCF[[#This Row],[TAVWithdrawal]],0,0,-lb_review_period,1)),0)
*(tblBaseCF[[#This Row],[LBRate]]&gt;0)</f>
        <v>0</v>
      </c>
      <c r="CJ117" s="60">
        <f ca="1">(tblBaseCF[[#This Row],[LBRate]]&gt;0)*(tblBaseCF[[#This Row],[LBTAVWithdrawal]]=0)</f>
        <v>0</v>
      </c>
      <c r="CK117" s="62" cm="1">
        <f t="array" aca="1" ref="CK117" ca="1">IF(tblBaseCF[[#This Row],[LBFlag]],
_xlfn.SWITCH(base,
"ILP1",AVERAGE(OFFSET(tblBaseCF[TP],0,0,-lb_review_period,1)),tp),0)
*tblBaseCF[[#This Row],[LBFlag]]</f>
        <v>0</v>
      </c>
      <c r="CL117" s="62">
        <f ca="1">tblBaseCF[[#This Row],[LBBasis]]*tblBaseCF[[#This Row],[LBRate]]</f>
        <v>0</v>
      </c>
      <c r="CM117" s="57" cm="1">
        <f t="array" aca="1" ref="CM117" ca="1">_xlfn.SWITCH(base,
"ILP1",0,($AF217&lt;500000000)*1
+($AF217&gt;=500000000)*($AF217&lt;1000000000)*2
+($AF217&gt;=1000000000)*3)
*tblBaseCF[[#This Row],[DeductFlag]]</f>
        <v>0</v>
      </c>
      <c r="CN117" s="2" t="str">
        <f ca="1">IF(tblBaseCF[[#This Row],[DeductFlag]],base&amp;"_"&amp;tblBaseCF[[#This Row],[SBCode]]&amp;"_"&amp;tblBaseCF[[#This Row],[Year]],"")</f>
        <v/>
      </c>
      <c r="CO117" s="3">
        <f ca="1">IFERROR(INDEX(tblSBRate[Index],MATCH(tblBaseCF[[#This Row],[SBIndex]],tblSBRate[Rate],0)),0)</f>
        <v>0</v>
      </c>
      <c r="CP117" s="63">
        <f ca="1">IFERROR(SUM(OFFSET(tblBaseCF[[#This Row],[TAVWithdrawal]],0,0,-sb_review_period,1)),0)
*(tblBaseCF[[#This Row],[SBRate]]&gt;0)</f>
        <v>0</v>
      </c>
      <c r="CQ117" s="63">
        <f ca="1">(tblBaseCF[[#This Row],[SBRate]]&gt;0)*(tblBaseCF[[#This Row],[SBTAVWithdrawal]]=0)</f>
        <v>0</v>
      </c>
      <c r="CR117" s="59" cm="1">
        <f t="array" aca="1" ref="CR117" ca="1">IF(tblBaseCF[[#This Row],[LBFlag]],
_xlfn.SWITCH(base,
"ILP1",0,tp),0)*tblBaseCF[[#This Row],[SBFlag]]</f>
        <v>0</v>
      </c>
      <c r="CS117" s="63">
        <f ca="1">tblBaseCF[[#This Row],[SBBasis]]*tblBaseCF[[#This Row],[SBRate]]</f>
        <v>0</v>
      </c>
      <c r="CT117" s="63">
        <f ca="1">tblBaseCF[[#This Row],[LB]]+tblBaseCF[[#This Row],[SB]]</f>
        <v>0</v>
      </c>
      <c r="CU117" s="59">
        <f ca="1">tblBaseCF[[#This Row],[TAVAfterWdrlAlloc]]-tblBaseCF[[#This Row],[TAVDeduct]]+tblBaseCF[[#This Row],[TAVInt]]+tblBaseCF[[#This Row],[Bonus]]</f>
        <v>0</v>
      </c>
      <c r="CV117" s="59">
        <f ca="1">tblBaseCF[[#This Row],[EAVAfterWdrlAlloc]]-tblBaseCF[[#This Row],[EAVDeduct]]+tblBaseCF[[#This Row],[EAVInt]]</f>
        <v>0</v>
      </c>
      <c r="CW117" s="63">
        <f ca="1">tblBaseCF[[#This Row],[EndTAV]]+tblBaseCF[[#This Row],[EndEAV]]</f>
        <v>0</v>
      </c>
      <c r="CX117" s="59">
        <f ca="1">INDEX(tblPlanPrem[TP],2)
*tblBaseCF[[#This Row],[TPTermFlag]]</f>
        <v>0</v>
      </c>
      <c r="CY117" s="59">
        <f ca="1">INDEX(tblPlanPrem[EP],2)
*tblBaseCF[[#This Row],[TPTermFlag]]</f>
        <v>0</v>
      </c>
      <c r="CZ117" s="63">
        <f ca="1">ROUNDUP(tblBaseCF[[#This Row],[UnroundedEMLoad]]*INDEX(tblPlanPrem[Factor],2),-3)</f>
        <v>0</v>
      </c>
      <c r="DA117" s="63">
        <f ca="1">ROUNDUP(tblBaseCF[[#This Row],[UnroundedPMLoad]]*INDEX(tblPlanPrem[Factor],2),-3)</f>
        <v>0</v>
      </c>
      <c r="DB117" s="63">
        <f ca="1">tblBaseCF[[#This Row],[SemiAnnualEMLoad]]+tblBaseCF[[#This Row],[SemiAnnualPMLoad]]</f>
        <v>0</v>
      </c>
      <c r="DC117" s="63">
        <f ca="1">tblBaseCF[[#This Row],[SemiAnnualTP]]+tblBaseCF[[#This Row],[SemiAnnualEP]]+tblBaseCF[[#This Row],[SemiAnnualLoad]]</f>
        <v>0</v>
      </c>
      <c r="DD117" s="59">
        <f ca="1">INDEX(tblPlanPrem[TP],3)
*tblBaseCF[[#This Row],[TPTermFlag]]</f>
        <v>0</v>
      </c>
      <c r="DE117" s="59">
        <f ca="1">INDEX(tblPlanPrem[EP],3)
*tblBaseCF[[#This Row],[TPTermFlag]]</f>
        <v>0</v>
      </c>
      <c r="DF117" s="63">
        <f ca="1">ROUNDUP(tblBaseCF[[#This Row],[UnroundedEMLoad]]*INDEX(tblPlanPrem[Factor],3),-3)</f>
        <v>0</v>
      </c>
      <c r="DG117" s="63">
        <f ca="1">ROUNDUP(tblBaseCF[[#This Row],[UnroundedPMLoad]]*INDEX(tblPlanPrem[Factor],3),-3)</f>
        <v>0</v>
      </c>
      <c r="DH117" s="60">
        <f ca="1">tblBaseCF[[#This Row],[QuarterlyEMLoad]]+tblBaseCF[[#This Row],[QuarterlyPMLoad]]</f>
        <v>0</v>
      </c>
      <c r="DI117" s="60">
        <f ca="1">tblBaseCF[[#This Row],[QuarterlyTP]]+tblBaseCF[[#This Row],[QuarterlyEP]]+tblBaseCF[[#This Row],[QuarterlyLoad]]</f>
        <v>0</v>
      </c>
      <c r="DJ117" s="59">
        <f ca="1">INDEX(tblPlanPrem[TP],4)
*tblBaseCF[[#This Row],[TPTermFlag]]</f>
        <v>0</v>
      </c>
      <c r="DK117" s="59">
        <f ca="1">INDEX(tblPlanPrem[EP],4)
*tblBaseCF[[#This Row],[TPTermFlag]]</f>
        <v>0</v>
      </c>
      <c r="DL117" s="63">
        <f ca="1">ROUNDUP(tblBaseCF[[#This Row],[UnroundedEMLoad]]*INDEX(tblPlanPrem[Factor],4),-3)</f>
        <v>0</v>
      </c>
      <c r="DM117" s="63">
        <f ca="1">ROUNDUP(tblBaseCF[[#This Row],[UnroundedPMLoad]]*INDEX(tblPlanPrem[Factor],4),-3)</f>
        <v>0</v>
      </c>
      <c r="DN117" s="60">
        <f ca="1">tblBaseCF[[#This Row],[MonthlyEMLoad]]+tblBaseCF[[#This Row],[MonthlyPMLoad]]</f>
        <v>0</v>
      </c>
      <c r="DO117" s="63">
        <f ca="1">tblBaseCF[[#This Row],[MonthlyTP]]+tblBaseCF[[#This Row],[MonthlyEP]]+tblBaseCF[[#This Row],[MonthlyLoad]]</f>
        <v>0</v>
      </c>
      <c r="DP117" s="3"/>
      <c r="DS117">
        <f t="shared" si="11"/>
        <v>0</v>
      </c>
      <c r="DT117">
        <f t="shared" si="12"/>
        <v>0</v>
      </c>
      <c r="DU117">
        <f t="shared" si="13"/>
        <v>0</v>
      </c>
      <c r="DV117">
        <f ca="1">tblBaseCF[[#This Row],[Year]]</f>
        <v>97</v>
      </c>
      <c r="DW117">
        <f ca="1">tblBaseCF[[#This Row],[Age]]</f>
        <v>96</v>
      </c>
      <c r="DX117">
        <f ca="1">tblBaseCF[[#This Row],[ContFlag]]</f>
        <v>0</v>
      </c>
      <c r="DY117" t="str">
        <f ca="1">tblBaseCF[[#This Row],[ContLog]]</f>
        <v>Insufficient PAV for deduction - Discontinue.</v>
      </c>
      <c r="DZ117">
        <f ca="1">tblBaseCF[[#This Row],[StartTAV]]</f>
        <v>0</v>
      </c>
      <c r="EA117">
        <f ca="1">tblBaseCF[[#This Row],[StartEAV]]</f>
        <v>0</v>
      </c>
      <c r="EB117">
        <f ca="1">tblBaseCF[[#This Row],[StartPAV]]</f>
        <v>0</v>
      </c>
      <c r="EC117">
        <f ca="1">tblBaseCF[[#This Row],[SVChrg]]</f>
        <v>0</v>
      </c>
      <c r="ED117">
        <f ca="1">tblBaseCF[[#This Row],[SV]]</f>
        <v>0</v>
      </c>
      <c r="EE117">
        <f ca="1">tblBaseCF[[#This Row],[Ben]]</f>
        <v>0</v>
      </c>
      <c r="EF117">
        <f ca="1">tblBaseCF[[#This Row],[AccBen]]</f>
        <v>0</v>
      </c>
      <c r="EG117">
        <f ca="1">tblBaseCF[[#This Row],[WithdrawalInput]]</f>
        <v>0</v>
      </c>
      <c r="EH117" t="str">
        <f ca="1">tblBaseCF[[#This Row],[WithdrawalLog]]</f>
        <v>No withdrawal.</v>
      </c>
      <c r="EI117">
        <f ca="1">tblBaseCF[[#This Row],[TAVWithdrawal]]</f>
        <v>0</v>
      </c>
      <c r="EJ117">
        <f ca="1">tblBaseCF[[#This Row],[EAVWithdrawal]]</f>
        <v>0</v>
      </c>
      <c r="EK117">
        <f ca="1">tblBaseCF[[#This Row],[Withdrawal]]</f>
        <v>0</v>
      </c>
      <c r="EL117">
        <f ca="1">tblBaseCF[[#This Row],[TP]]</f>
        <v>0</v>
      </c>
      <c r="EM117">
        <f ca="1">tblBaseCF[[#This Row],[TPAllocChrg]]</f>
        <v>0</v>
      </c>
      <c r="EN117">
        <f ca="1">tblBaseCF[[#This Row],[TPAlloc]]</f>
        <v>0</v>
      </c>
      <c r="EO117">
        <f ca="1">tblBaseCF[[#This Row],[EP]]</f>
        <v>0</v>
      </c>
      <c r="EP117">
        <f ca="1">tblBaseCF[[#This Row],[EPAllocChrg]]</f>
        <v>0</v>
      </c>
      <c r="EQ117">
        <f ca="1">tblBaseCF[[#This Row],[EPAlloc]]</f>
        <v>0</v>
      </c>
      <c r="ER117">
        <f ca="1">tblBaseCF[[#This Row],[EMLoad]]</f>
        <v>0</v>
      </c>
      <c r="ES117">
        <f ca="1">tblBaseCF[[#This Row],[PMLoad]]</f>
        <v>0</v>
      </c>
      <c r="ET117">
        <f ca="1">tblBaseCF[[#This Row],[Load]]</f>
        <v>0</v>
      </c>
      <c r="EU117">
        <f ca="1">tblBaseCF[[#This Row],[LoadAllocChrg]]</f>
        <v>0</v>
      </c>
      <c r="EV117">
        <f ca="1">tblBaseCF[[#This Row],[LoadAlloc]]</f>
        <v>0</v>
      </c>
      <c r="EW117">
        <f ca="1">tblBaseCF[[#This Row],[TotalPrem]]</f>
        <v>0</v>
      </c>
      <c r="EX117">
        <f ca="1">tblBaseCF[[#This Row],[AllocChrg]]</f>
        <v>0</v>
      </c>
      <c r="EY117">
        <f ca="1">tblBaseCF[[#This Row],[Alloc]]</f>
        <v>0</v>
      </c>
      <c r="EZ117">
        <f ca="1">tblBaseCF[[#This Row],[AccumTotalPrem]]</f>
        <v>0</v>
      </c>
      <c r="FA117">
        <f>tblBaseCF[[#This Row],[AnnualIntRate]]</f>
        <v>0</v>
      </c>
      <c r="FB117" s="50">
        <f>tblBaseCF[[#This Row],[Duean1m12]]</f>
        <v>1</v>
      </c>
      <c r="FC117">
        <f ca="1">tblBaseCF[[#This Row],[DeductFlag]]</f>
        <v>0</v>
      </c>
      <c r="FD117">
        <f ca="1">tblBaseCF[[#This Row],[AdminChrg]]</f>
        <v>0</v>
      </c>
      <c r="FE117">
        <f ca="1">tblBaseCF[[#This Row],[StandardCOI]]</f>
        <v>0</v>
      </c>
      <c r="FF117">
        <f ca="1">tblBaseCF[[#This Row],[EMLoadCOI]]</f>
        <v>0</v>
      </c>
      <c r="FG117">
        <f ca="1">tblBaseCF[[#This Row],[PMLoadCOI]]</f>
        <v>0</v>
      </c>
      <c r="FH117">
        <f ca="1">tblBaseCF[[#This Row],[COI]]</f>
        <v>0</v>
      </c>
      <c r="FI117" s="47">
        <f ca="1">tblBaseCF[[#This Row],[NomDeduct]]</f>
        <v>0</v>
      </c>
      <c r="FJ117">
        <f ca="1">tblBaseCF[[#This Row],[Deduct]]</f>
        <v>0</v>
      </c>
      <c r="FK117">
        <f ca="1">tblBaseCF[[#This Row],[TAVDeduct]]</f>
        <v>0</v>
      </c>
      <c r="FL117">
        <f ca="1">tblBaseCF[[#This Row],[EAVDeduct]]</f>
        <v>0</v>
      </c>
      <c r="FM117" s="24">
        <f ca="1">tblBaseCF[[#This Row],[TAVInt]]</f>
        <v>0</v>
      </c>
      <c r="FN117">
        <f ca="1">tblBaseCF[[#This Row],[EAVInt]]</f>
        <v>0</v>
      </c>
      <c r="FO117" s="47">
        <f ca="1">tblBaseCF[[#This Row],[LB]]</f>
        <v>0</v>
      </c>
      <c r="FP117">
        <f ca="1">tblBaseCF[[#This Row],[SB]]</f>
        <v>0</v>
      </c>
      <c r="FQ117">
        <f ca="1">tblBaseCF[[#This Row],[Bonus]]</f>
        <v>0</v>
      </c>
      <c r="FR117">
        <f ca="1">tblBaseCF[[#This Row],[EndTAV]]</f>
        <v>0</v>
      </c>
      <c r="FS117">
        <f ca="1">tblBaseCF[[#This Row],[EndEAV]]</f>
        <v>0</v>
      </c>
      <c r="FT117">
        <f ca="1">tblBaseCF[[#This Row],[EndPAV]]</f>
        <v>0</v>
      </c>
      <c r="FU117">
        <f ca="1">tblBaseCF[[#This Row],[SemiAnnualTP]]</f>
        <v>0</v>
      </c>
      <c r="FV117">
        <f ca="1">tblBaseCF[[#This Row],[SemiAnnualEP]]</f>
        <v>0</v>
      </c>
      <c r="FW117">
        <f ca="1">tblBaseCF[[#This Row],[SemiAnnualEMLoad]]</f>
        <v>0</v>
      </c>
      <c r="FX117">
        <f ca="1">tblBaseCF[[#This Row],[SemiAnnualPMLoad]]</f>
        <v>0</v>
      </c>
      <c r="FY117">
        <f ca="1">tblBaseCF[[#This Row],[SemiAnnualLoad]]</f>
        <v>0</v>
      </c>
      <c r="FZ117">
        <f ca="1">tblBaseCF[[#This Row],[SemiAnnualTotalPrem]]</f>
        <v>0</v>
      </c>
      <c r="GA117">
        <f ca="1">tblBaseCF[[#This Row],[QuarterlyTP]]</f>
        <v>0</v>
      </c>
      <c r="GB117">
        <f ca="1">tblBaseCF[[#This Row],[QuarterlyEP]]</f>
        <v>0</v>
      </c>
      <c r="GC117">
        <f ca="1">tblBaseCF[[#This Row],[QuarterlyEMLoad]]</f>
        <v>0</v>
      </c>
      <c r="GD117">
        <f ca="1">tblBaseCF[[#This Row],[QuarterlyPMLoad]]</f>
        <v>0</v>
      </c>
      <c r="GE117">
        <f ca="1">tblBaseCF[[#This Row],[QuarterlyLoad]]</f>
        <v>0</v>
      </c>
      <c r="GF117">
        <f ca="1">tblBaseCF[[#This Row],[QuarterlyTotalPrem]]</f>
        <v>0</v>
      </c>
      <c r="GG117">
        <f ca="1">tblBaseCF[[#This Row],[MonthlyTP]]</f>
        <v>0</v>
      </c>
      <c r="GH117">
        <f ca="1">tblBaseCF[[#This Row],[MonthlyEP]]</f>
        <v>0</v>
      </c>
      <c r="GI117">
        <f ca="1">tblBaseCF[[#This Row],[MonthlyEMLoad]]</f>
        <v>0</v>
      </c>
      <c r="GJ117">
        <f ca="1">tblBaseCF[[#This Row],[MonthlyPMLoad]]</f>
        <v>0</v>
      </c>
      <c r="GK117">
        <f ca="1">tblBaseCF[[#This Row],[MonthlyLoad]]</f>
        <v>0</v>
      </c>
      <c r="GL117">
        <f ca="1">tblBaseCF[[#This Row],[MonthlyTotalPrem]]</f>
        <v>0</v>
      </c>
      <c r="GO117" t="s">
        <v>134</v>
      </c>
      <c r="GP117" t="s">
        <v>135</v>
      </c>
      <c r="GQ117" t="s">
        <v>502</v>
      </c>
      <c r="GR117">
        <v>97</v>
      </c>
      <c r="GS117">
        <v>96</v>
      </c>
      <c r="GT117">
        <v>1</v>
      </c>
      <c r="GU117" t="s">
        <v>457</v>
      </c>
      <c r="GV117">
        <v>3124695703.9794302</v>
      </c>
      <c r="GW117">
        <v>27477882030.182899</v>
      </c>
      <c r="GX117">
        <v>30602577734.162399</v>
      </c>
      <c r="GY117">
        <v>0</v>
      </c>
      <c r="GZ117">
        <v>30602577734.162399</v>
      </c>
      <c r="HA117">
        <v>30602577734.162399</v>
      </c>
      <c r="HB117">
        <v>0</v>
      </c>
      <c r="HC117">
        <v>0</v>
      </c>
      <c r="HD117" t="s">
        <v>137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7.0000000000000007E-2</v>
      </c>
      <c r="HX117">
        <v>0.96964931039809399</v>
      </c>
      <c r="HY117">
        <v>1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218728699.27856001</v>
      </c>
      <c r="IJ117">
        <v>1923451742.1128099</v>
      </c>
      <c r="IK117">
        <v>0</v>
      </c>
      <c r="IL117">
        <v>0</v>
      </c>
      <c r="IM117">
        <v>0</v>
      </c>
      <c r="IN117">
        <v>3343424403.2579899</v>
      </c>
      <c r="IO117">
        <v>29401333772.2957</v>
      </c>
      <c r="IP117">
        <v>32744758175.553699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</row>
    <row r="118" spans="2:268" customFormat="1" x14ac:dyDescent="0.25">
      <c r="B118" s="2">
        <f ca="1">OFFSET(tblBaseCF[[#This Row],[Year]],-1,0)+1</f>
        <v>98</v>
      </c>
      <c r="C118" s="2">
        <f ca="1">(tblBaseCF[[#This Row],[Year]]&lt;=term)*1</f>
        <v>1</v>
      </c>
      <c r="D118" s="57">
        <f ca="1">(YEAR(rcd)+tblBaseCF[[#This Row],[Year]]-1)
*tblBaseCF[[#This Row],[PolTermFlag]]</f>
        <v>2122</v>
      </c>
      <c r="E118" s="57">
        <f ca="1">(mainLI_entry_age+tblBaseCF[[#This Row],[Year]]-1)
*tblBaseCF[[#This Row],[PolTermFlag]]</f>
        <v>97</v>
      </c>
      <c r="F118" s="57">
        <f ca="1">IF(tblBaseCF[[#This Row],[Year]]=1,1,OFFSET(tblBaseCF[[#This Row],[DeductFlag]],-1,0))
*tblBaseCF[[#This Row],[PolTermFlag]]</f>
        <v>0</v>
      </c>
      <c r="G118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8" s="57">
        <f ca="1">(tblBaseCF[[#This Row],[Year]]&lt;=acc_ben_term)
*tblBaseCF[[#This Row],[ContFlag]]</f>
        <v>0</v>
      </c>
      <c r="I118" s="57">
        <f ca="1">(tblBaseCF[[#This Row],[Year]]&lt;=tp_term)
*tblBaseCF[[#This Row],[ContFlag]]</f>
        <v>0</v>
      </c>
      <c r="J118" s="57">
        <f ca="1">(tblBaseCF[[#This Row],[Year]]&lt;=ep_term)
*tblBaseCF[[#This Row],[ContFlag]]</f>
        <v>0</v>
      </c>
      <c r="K118" s="57">
        <f ca="1">(tblBaseCF[[#This Row],[Year]]&lt;=em_load_term)*1</f>
        <v>0</v>
      </c>
      <c r="L118" s="57">
        <f ca="1">(tblBaseCF[[#This Row],[Year]]&lt;=pm_load_term)*1</f>
        <v>0</v>
      </c>
      <c r="M118" s="59">
        <f ca="1">IF(tblBaseCF[[#This Row],[Year]]=1,si,OFFSET(tblBaseCF[[#This Row],[EndSI]],-1,0))
*tblBaseCF[[#This Row],[ContFlag]]</f>
        <v>0</v>
      </c>
      <c r="N118" s="59">
        <f ca="1">OFFSET(tblBaseCF[[#This Row],[EndTAV]],-1,0)
*tblBaseCF[[#This Row],[ContFlag]]</f>
        <v>0</v>
      </c>
      <c r="O118" s="59">
        <f ca="1">OFFSET(tblBaseCF[[#This Row],[EndEAV]],-1,0)
*tblBaseCF[[#This Row],[ContFlag]]</f>
        <v>0</v>
      </c>
      <c r="P118" s="60">
        <f ca="1">tblBaseCF[[#This Row],[StartEAV]]+tblBaseCF[[#This Row],[StartTAV]]</f>
        <v>0</v>
      </c>
      <c r="Q118" s="61">
        <f ca="1">IFERROR(INDEX(tblJuvenileLienRate[Rate],MATCH(tblBaseCF[[#This Row],[Age]],tblJuvenileLienRate[Age],0)),1)
*tblBaseCF[[#This Row],[ContFlag]]</f>
        <v>0</v>
      </c>
      <c r="R118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8" s="62">
        <f ca="1">tblBaseCF[[#This Row],[StartSI]]*acc_ben_coeff*tblBaseCF[[#This Row],[JuvenileLienRate]]
*tblBaseCF[[#This Row],[AccBenTermFlag]]</f>
        <v>0</v>
      </c>
      <c r="T118" s="61">
        <f ca="1">(IFERROR(INDEX(tblSurrChrgRate[Rate],MATCH(tblBaseCF[[#This Row],[Year]],tblSurrChrgRate[Year],0)),0)
*tblBaseCF[[#This Row],[ContFlag]])</f>
        <v>0</v>
      </c>
      <c r="U118" s="60">
        <f ca="1">tp*tblBaseCF[[#This Row],[SrrChrgRate]]</f>
        <v>0</v>
      </c>
      <c r="V118" s="63">
        <f ca="1">MAX(tblBaseCF[[#This Row],[StartTAV]]-tblBaseCF[[#This Row],[SVChrg]],0)+tblBaseCF[[#This Row],[StartEAV]]</f>
        <v>0</v>
      </c>
      <c r="W118" s="59">
        <f ca="1">IFERROR(INDEX(tblWithdrawal_Output[Amount],MATCH(tblBaseCF[[#This Row],[Year]],tblWithdrawal_Output[Year],0)),0)
*tblBaseCF[[#This Row],[ContFlag]]</f>
        <v>0</v>
      </c>
      <c r="X118" s="59" t="b">
        <f ca="1">tblBaseCF[[#This Row],[WithdrawalInput]]&gt;0</f>
        <v>0</v>
      </c>
      <c r="Y118" s="59" t="b">
        <f ca="1">AND(tblBaseCF[[#This Row],[1stCheckProceed]],tblBaseCF[[#This Row],[WithdrawalInput]]&lt;=tblBaseCF[[#This Row],[StartPAV]])</f>
        <v>0</v>
      </c>
      <c r="Z118" s="59" t="b">
        <f ca="1">AND(tblBaseCF[[#This Row],[2ndCheckAmount]],(tblBaseCF[[#This Row],[StartPAV]]-tblBaseCF[[#This Row],[WithdrawalInput]])&gt;=min_pav_after_withdrawal)</f>
        <v>0</v>
      </c>
      <c r="AA118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8" s="59" t="b">
        <f ca="1">AND(tblBaseCF[[#This Row],[3rdCheckPAV]],tblBaseCF[[#This Row],[endSITest]]&gt;=min_base_si)</f>
        <v>0</v>
      </c>
      <c r="AC118" s="60">
        <f ca="1">tblBaseCF[[#This Row],[WithdrawalInput]]*tblBaseCF[[#This Row],[4thCheckSI]]</f>
        <v>0</v>
      </c>
      <c r="AD118" s="60">
        <f ca="1">MIN(tblBaseCF[[#This Row],[Withdrawal]],tblBaseCF[[#This Row],[StartEAV]])</f>
        <v>0</v>
      </c>
      <c r="AE118" s="60">
        <f ca="1">tblBaseCF[[#This Row],[Withdrawal]]-tblBaseCF[[#This Row],[EAVWithdrawal]]</f>
        <v>0</v>
      </c>
      <c r="AF118" s="60">
        <f ca="1">IF(tblBaseCF[[#This Row],[4thCheckSI]],tblBaseCF[[#This Row],[endSITest]],tblBaseCF[[#This Row],[StartSI]])</f>
        <v>0</v>
      </c>
      <c r="AG118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8" s="65">
        <f ca="1">IFERROR(INDEX(tblTPAllocChrgRate[Rate],MATCH(tblBaseCF[[#This Row],[Year]],tblTPAllocChrgRate[Year],0)),0)</f>
        <v>0.02</v>
      </c>
      <c r="AI118" s="62">
        <f ca="1">(tp+big_case_bonus_tp*(tblBaseCF[[#This Row],[Year]]=1))
*tblBaseCF[[#This Row],[TPTermFlag]]</f>
        <v>0</v>
      </c>
      <c r="AJ118" s="63">
        <f ca="1">tblBaseCF[[#This Row],[TP]]*tblBaseCF[[#This Row],[TPAllocChrgRate]]</f>
        <v>0</v>
      </c>
      <c r="AK118" s="60">
        <f ca="1">tblBaseCF[[#This Row],[TP]]-tblBaseCF[[#This Row],[TPAllocChrg]]</f>
        <v>0</v>
      </c>
      <c r="AL118" s="65">
        <f ca="1">IFERROR(INDEX(tblEPAllocChrgRate[Rate],MATCH(tblBaseCF[[#This Row],[Year]],tblEPAllocChrgRate[Year],0)),0)</f>
        <v>0.02</v>
      </c>
      <c r="AM118" s="60">
        <f ca="1">ep*tblBaseCF[[#This Row],[EPTermFlag]]</f>
        <v>0</v>
      </c>
      <c r="AN118" s="60">
        <f ca="1">tblBaseCF[[#This Row],[EP]]*tblBaseCF[[#This Row],[EPAllocChrgRate]]</f>
        <v>0</v>
      </c>
      <c r="AO118" s="63">
        <f ca="1">tblBaseCF[[#This Row],[EP]]-tblBaseCF[[#This Row],[EPAllocChrg]]</f>
        <v>0</v>
      </c>
      <c r="AP118" s="62">
        <f ca="1">tblBaseCF[[#This Row],[Ben]]*extra_prem_rate*em_load/1000/(1-tblBaseCF[[#This Row],[EPAllocChrgRate]])
*tblBaseCF[[#This Row],[EMLoadTermFlag]]</f>
        <v>0</v>
      </c>
      <c r="AQ118" s="62">
        <f ca="1">tblBaseCF[[#This Row],[Ben]]*pm_load/1000/(1-tblBaseCF[[#This Row],[EPAllocChrgRate]])
*tblBaseCF[[#This Row],[PMLoadTermFlag]]</f>
        <v>0</v>
      </c>
      <c r="AR118" s="60">
        <f ca="1">ROUNDUP(tblBaseCF[[#This Row],[UnroundedEMLoad]],-3)</f>
        <v>0</v>
      </c>
      <c r="AS118" s="62">
        <f ca="1">ROUNDUP(tblBaseCF[[#This Row],[Ben]]*pm_load/1000/(1-tblBaseCF[[#This Row],[EPAllocChrgRate]]),-3)
*tblBaseCF[[#This Row],[PMLoadTermFlag]]</f>
        <v>0</v>
      </c>
      <c r="AT118" s="60">
        <f ca="1">tblBaseCF[[#This Row],[EMLoad]]+tblBaseCF[[#This Row],[PMLoad]]</f>
        <v>0</v>
      </c>
      <c r="AU118" s="60">
        <f ca="1">tblBaseCF[[#This Row],[Load]]*tblBaseCF[[#This Row],[EPAllocChrgRate]]</f>
        <v>0</v>
      </c>
      <c r="AV118" s="60">
        <f ca="1">tblBaseCF[[#This Row],[Load]]-tblBaseCF[[#This Row],[LoadAllocChrg]]</f>
        <v>0</v>
      </c>
      <c r="AW118" s="60">
        <f ca="1">tblBaseCF[[#This Row],[TP]]+tblBaseCF[[#This Row],[EP]]+tblBaseCF[[#This Row],[Load]]</f>
        <v>0</v>
      </c>
      <c r="AX118" s="60">
        <f ca="1">tblBaseCF[[#This Row],[TPAllocChrg]]+tblBaseCF[[#This Row],[EPAllocChrg]]+tblBaseCF[[#This Row],[LoadAllocChrg]]</f>
        <v>0</v>
      </c>
      <c r="AY118" s="60">
        <f ca="1">tblBaseCF[[#This Row],[TPAlloc]]+tblBaseCF[[#This Row],[EPAlloc]]+tblBaseCF[[#This Row],[LoadAlloc]]</f>
        <v>0</v>
      </c>
      <c r="AZ118" s="60">
        <f ca="1">(OFFSET(tblBaseCF[[#This Row],[AccumTotalPrem]],-1,0)+tblBaseCF[[#This Row],[TotalPrem]])*tblBaseCF[[#This Row],[TPTermFlag]]</f>
        <v>0</v>
      </c>
      <c r="BA118" s="62">
        <f ca="1">(tblBaseCF[[#This Row],[StartTAV]]-tblBaseCF[[#This Row],[TAVWithdrawal]]+tblBaseCF[[#This Row],[TPAlloc]])
*tblBaseCF[[#This Row],[ContFlag]]</f>
        <v>0</v>
      </c>
      <c r="BB118" s="59">
        <f ca="1">(tblBaseCF[[#This Row],[StartEAV]]-tblBaseCF[[#This Row],[EAVWithdrawal]]+tblBaseCF[[#This Row],[EPAlloc]]+tblBaseCF[[#This Row],[LoadAlloc]])
*tblBaseCF[[#This Row],[ContFlag]]</f>
        <v>0</v>
      </c>
      <c r="BC118" s="59">
        <f ca="1">tblBaseCF[[#This Row],[TAVAfterWdrlAlloc]]+tblBaseCF[[#This Row],[EAVAfterWdrlAlloc]]</f>
        <v>0</v>
      </c>
      <c r="BD118" s="66">
        <f t="shared" si="10"/>
        <v>0</v>
      </c>
      <c r="BE118" s="67">
        <f>(1+tblBaseCF[[#This Row],[AnnualIntRate]])^(1/12)-1</f>
        <v>0</v>
      </c>
      <c r="BF118" s="68">
        <f>IFERROR(((1+tblBaseCF[[#This Row],[MonthlyIntRate]])^12-1)/12/(1-1/(1+tblBaseCF[[#This Row],[MonthlyIntRate]])),1)/(1+tblBaseCF[[#This Row],[AnnualIntRate]])</f>
        <v>1</v>
      </c>
      <c r="BG118" s="69">
        <f>PV(tblBaseCF[[#This Row],[MonthlyIntRate]],12,-1/12,,1)</f>
        <v>1</v>
      </c>
      <c r="BH118" s="60">
        <f ca="1">MAX(IF(death_tpd_option="A",tblBaseCF[[#This Row],[Ben]]-tblBaseCF[[#This Row],[StartPAV]],tblBaseCF[[#This Row],[Ben]]),0)</f>
        <v>0</v>
      </c>
      <c r="BI118" s="70">
        <f ca="1">IFERROR(INDEX(tblBaseCOIRate[Rate],MATCH(tblBaseCF[[#This Row],[Age]],tblBaseCOIRate[Age],0)),0)</f>
        <v>0.53724000000000005</v>
      </c>
      <c r="BJ118" s="60">
        <f ca="1">tblBaseCF[[#This Row],[SAR]]*tblBaseCF[[#This Row],[COIRate]]</f>
        <v>0</v>
      </c>
      <c r="BK118" s="62">
        <f ca="1">em_load*tblBaseCF[[#This Row],[pStandardCOI]]
*tblBaseCF[[#This Row],[EMLoadTermFlag]]</f>
        <v>0</v>
      </c>
      <c r="BL118" s="62">
        <f ca="1">pm_load/1000*tblBaseCF[[#This Row],[SAR]]
*tblBaseCF[[#This Row],[PMLoadTermFlag]]</f>
        <v>0</v>
      </c>
      <c r="BM118" s="60">
        <f ca="1">tblBaseCF[[#This Row],[AccBen]]*monthly_acc_coi*12</f>
        <v>0</v>
      </c>
      <c r="BN118" s="60">
        <f ca="1">tblBaseCF[[#This Row],[pStandardCOI]]+tblBaseCF[[#This Row],[pEMLoadCOI]]+tblBaseCF[[#This Row],[pPMLoadCOI]]+tblBaseCF[[#This Row],[pAccCOI]]</f>
        <v>0</v>
      </c>
      <c r="BO118" s="62">
        <f ca="1">IFERROR(INDEX(tblAdminChrg[Amount],MATCH(tblBaseCF[[#This Row],[CalYear]],tblAdminChrg[Cal_Year],0)),0)
*tblBaseCF[[#This Row],[ContFlag]]</f>
        <v>0</v>
      </c>
      <c r="BP118" s="60">
        <f ca="1">tblBaseCF[[#This Row],[pMonthlyAdminChrg]]*12</f>
        <v>0</v>
      </c>
      <c r="BQ118" s="60">
        <f ca="1">tblBaseCF[[#This Row],[pCOI]]+tblBaseCF[[#This Row],[pAdminChrg]]</f>
        <v>0</v>
      </c>
      <c r="BR118" s="60">
        <f ca="1">tblBaseCF[[#This Row],[pNomDeduct]]*tblBaseCF[[#This Row],[Duean1m12]]</f>
        <v>0</v>
      </c>
      <c r="BS118" s="57">
        <f ca="1">(tblBaseCF[[#This Row],[PAVAfterWdrlAlloc]]&gt;=tblBaseCF[[#This Row],[pNomDeduct]])
*tblBaseCF[[#This Row],[ContFlag]]</f>
        <v>0</v>
      </c>
      <c r="BT118" s="60">
        <f ca="1">tblBaseCF[[#This Row],[pStandardCOI]]*tblBaseCF[[#This Row],[DeductFlag]]</f>
        <v>0</v>
      </c>
      <c r="BU118" s="60">
        <f ca="1">tblBaseCF[[#This Row],[pEMLoadCOI]]*tblBaseCF[[#This Row],[DeductFlag]]</f>
        <v>0</v>
      </c>
      <c r="BV118" s="60">
        <f ca="1">tblBaseCF[[#This Row],[pPMLoadCOI]]*tblBaseCF[[#This Row],[DeductFlag]]</f>
        <v>0</v>
      </c>
      <c r="BW118" s="60">
        <f ca="1">tblBaseCF[[#This Row],[pAccCOI]]*tblBaseCF[[#This Row],[DeductFlag]]</f>
        <v>0</v>
      </c>
      <c r="BX118" s="60">
        <f ca="1">tblBaseCF[[#This Row],[pCOI]]*tblBaseCF[[#This Row],[DeductFlag]]</f>
        <v>0</v>
      </c>
      <c r="BY118" s="60">
        <f ca="1">tblBaseCF[[#This Row],[pMonthlyAdminChrg]]*tblBaseCF[[#This Row],[DeductFlag]]</f>
        <v>0</v>
      </c>
      <c r="BZ118" s="60">
        <f ca="1">tblBaseCF[[#This Row],[pAdminChrg]]*tblBaseCF[[#This Row],[DeductFlag]]</f>
        <v>0</v>
      </c>
      <c r="CA118" s="60">
        <f ca="1">tblBaseCF[[#This Row],[pNomDeduct]]*tblBaseCF[[#This Row],[DeductFlag]]</f>
        <v>0</v>
      </c>
      <c r="CB118" s="60">
        <f ca="1">tblBaseCF[[#This Row],[pDeduct]]*tblBaseCF[[#This Row],[DeductFlag]]</f>
        <v>0</v>
      </c>
      <c r="CC118" s="60">
        <f ca="1">MIN(tblBaseCF[[#This Row],[TAVAfterWdrlAlloc]],tblBaseCF[[#This Row],[Deduct]])</f>
        <v>0</v>
      </c>
      <c r="CD118" s="60">
        <f ca="1">tblBaseCF[[#This Row],[Deduct]]-tblBaseCF[[#This Row],[TAVDeduct]]</f>
        <v>0</v>
      </c>
      <c r="CE118" s="69">
        <f ca="1">(tblBaseCF[[#This Row],[TAVAfterWdrlAlloc]]-tblBaseCF[[#This Row],[TAVDeduct]])*tblBaseCF[[#This Row],[AnnualIntRate]]
*tblBaseCF[[#This Row],[DeductFlag]]</f>
        <v>0</v>
      </c>
      <c r="CF118" s="69">
        <f ca="1">(tblBaseCF[[#This Row],[EAVAfterWdrlAlloc]]-tblBaseCF[[#This Row],[EAVDeduct]])*tblBaseCF[[#This Row],[AnnualIntRate]]
*tblBaseCF[[#This Row],[DeductFlag]]</f>
        <v>0</v>
      </c>
      <c r="CG118" s="69">
        <f ca="1">tblBaseCF[[#This Row],[TAVInt]]+tblBaseCF[[#This Row],[EAVInt]]</f>
        <v>0</v>
      </c>
      <c r="CH118" s="62">
        <f ca="1">IFERROR(INDEX(tblLBRate[Rate],MATCH(tblBaseCF[[#This Row],[Year]],tblLBRate[Year],0)),0)
*tblBaseCF[[#This Row],[DeductFlag]]</f>
        <v>0</v>
      </c>
      <c r="CI118" s="60">
        <f ca="1">IFERROR(SUM(OFFSET(tblBaseCF[[#This Row],[TAVWithdrawal]],0,0,-lb_review_period,1)),0)
*(tblBaseCF[[#This Row],[LBRate]]&gt;0)</f>
        <v>0</v>
      </c>
      <c r="CJ118" s="60">
        <f ca="1">(tblBaseCF[[#This Row],[LBRate]]&gt;0)*(tblBaseCF[[#This Row],[LBTAVWithdrawal]]=0)</f>
        <v>0</v>
      </c>
      <c r="CK118" s="62" cm="1">
        <f t="array" aca="1" ref="CK118" ca="1">IF(tblBaseCF[[#This Row],[LBFlag]],
_xlfn.SWITCH(base,
"ILP1",AVERAGE(OFFSET(tblBaseCF[TP],0,0,-lb_review_period,1)),tp),0)
*tblBaseCF[[#This Row],[LBFlag]]</f>
        <v>0</v>
      </c>
      <c r="CL118" s="62">
        <f ca="1">tblBaseCF[[#This Row],[LBBasis]]*tblBaseCF[[#This Row],[LBRate]]</f>
        <v>0</v>
      </c>
      <c r="CM118" s="57" cm="1">
        <f t="array" aca="1" ref="CM118" ca="1">_xlfn.SWITCH(base,
"ILP1",0,($AF218&lt;500000000)*1
+($AF218&gt;=500000000)*($AF218&lt;1000000000)*2
+($AF218&gt;=1000000000)*3)
*tblBaseCF[[#This Row],[DeductFlag]]</f>
        <v>0</v>
      </c>
      <c r="CN118" s="2" t="str">
        <f ca="1">IF(tblBaseCF[[#This Row],[DeductFlag]],base&amp;"_"&amp;tblBaseCF[[#This Row],[SBCode]]&amp;"_"&amp;tblBaseCF[[#This Row],[Year]],"")</f>
        <v/>
      </c>
      <c r="CO118" s="3">
        <f ca="1">IFERROR(INDEX(tblSBRate[Index],MATCH(tblBaseCF[[#This Row],[SBIndex]],tblSBRate[Rate],0)),0)</f>
        <v>0</v>
      </c>
      <c r="CP118" s="63">
        <f ca="1">IFERROR(SUM(OFFSET(tblBaseCF[[#This Row],[TAVWithdrawal]],0,0,-sb_review_period,1)),0)
*(tblBaseCF[[#This Row],[SBRate]]&gt;0)</f>
        <v>0</v>
      </c>
      <c r="CQ118" s="63">
        <f ca="1">(tblBaseCF[[#This Row],[SBRate]]&gt;0)*(tblBaseCF[[#This Row],[SBTAVWithdrawal]]=0)</f>
        <v>0</v>
      </c>
      <c r="CR118" s="59" cm="1">
        <f t="array" aca="1" ref="CR118" ca="1">IF(tblBaseCF[[#This Row],[LBFlag]],
_xlfn.SWITCH(base,
"ILP1",0,tp),0)*tblBaseCF[[#This Row],[SBFlag]]</f>
        <v>0</v>
      </c>
      <c r="CS118" s="63">
        <f ca="1">tblBaseCF[[#This Row],[SBBasis]]*tblBaseCF[[#This Row],[SBRate]]</f>
        <v>0</v>
      </c>
      <c r="CT118" s="63">
        <f ca="1">tblBaseCF[[#This Row],[LB]]+tblBaseCF[[#This Row],[SB]]</f>
        <v>0</v>
      </c>
      <c r="CU118" s="59">
        <f ca="1">tblBaseCF[[#This Row],[TAVAfterWdrlAlloc]]-tblBaseCF[[#This Row],[TAVDeduct]]+tblBaseCF[[#This Row],[TAVInt]]+tblBaseCF[[#This Row],[Bonus]]</f>
        <v>0</v>
      </c>
      <c r="CV118" s="59">
        <f ca="1">tblBaseCF[[#This Row],[EAVAfterWdrlAlloc]]-tblBaseCF[[#This Row],[EAVDeduct]]+tblBaseCF[[#This Row],[EAVInt]]</f>
        <v>0</v>
      </c>
      <c r="CW118" s="63">
        <f ca="1">tblBaseCF[[#This Row],[EndTAV]]+tblBaseCF[[#This Row],[EndEAV]]</f>
        <v>0</v>
      </c>
      <c r="CX118" s="59">
        <f ca="1">INDEX(tblPlanPrem[TP],2)
*tblBaseCF[[#This Row],[TPTermFlag]]</f>
        <v>0</v>
      </c>
      <c r="CY118" s="59">
        <f ca="1">INDEX(tblPlanPrem[EP],2)
*tblBaseCF[[#This Row],[TPTermFlag]]</f>
        <v>0</v>
      </c>
      <c r="CZ118" s="63">
        <f ca="1">ROUNDUP(tblBaseCF[[#This Row],[UnroundedEMLoad]]*INDEX(tblPlanPrem[Factor],2),-3)</f>
        <v>0</v>
      </c>
      <c r="DA118" s="63">
        <f ca="1">ROUNDUP(tblBaseCF[[#This Row],[UnroundedPMLoad]]*INDEX(tblPlanPrem[Factor],2),-3)</f>
        <v>0</v>
      </c>
      <c r="DB118" s="63">
        <f ca="1">tblBaseCF[[#This Row],[SemiAnnualEMLoad]]+tblBaseCF[[#This Row],[SemiAnnualPMLoad]]</f>
        <v>0</v>
      </c>
      <c r="DC118" s="63">
        <f ca="1">tblBaseCF[[#This Row],[SemiAnnualTP]]+tblBaseCF[[#This Row],[SemiAnnualEP]]+tblBaseCF[[#This Row],[SemiAnnualLoad]]</f>
        <v>0</v>
      </c>
      <c r="DD118" s="59">
        <f ca="1">INDEX(tblPlanPrem[TP],3)
*tblBaseCF[[#This Row],[TPTermFlag]]</f>
        <v>0</v>
      </c>
      <c r="DE118" s="59">
        <f ca="1">INDEX(tblPlanPrem[EP],3)
*tblBaseCF[[#This Row],[TPTermFlag]]</f>
        <v>0</v>
      </c>
      <c r="DF118" s="63">
        <f ca="1">ROUNDUP(tblBaseCF[[#This Row],[UnroundedEMLoad]]*INDEX(tblPlanPrem[Factor],3),-3)</f>
        <v>0</v>
      </c>
      <c r="DG118" s="63">
        <f ca="1">ROUNDUP(tblBaseCF[[#This Row],[UnroundedPMLoad]]*INDEX(tblPlanPrem[Factor],3),-3)</f>
        <v>0</v>
      </c>
      <c r="DH118" s="60">
        <f ca="1">tblBaseCF[[#This Row],[QuarterlyEMLoad]]+tblBaseCF[[#This Row],[QuarterlyPMLoad]]</f>
        <v>0</v>
      </c>
      <c r="DI118" s="60">
        <f ca="1">tblBaseCF[[#This Row],[QuarterlyTP]]+tblBaseCF[[#This Row],[QuarterlyEP]]+tblBaseCF[[#This Row],[QuarterlyLoad]]</f>
        <v>0</v>
      </c>
      <c r="DJ118" s="59">
        <f ca="1">INDEX(tblPlanPrem[TP],4)
*tblBaseCF[[#This Row],[TPTermFlag]]</f>
        <v>0</v>
      </c>
      <c r="DK118" s="59">
        <f ca="1">INDEX(tblPlanPrem[EP],4)
*tblBaseCF[[#This Row],[TPTermFlag]]</f>
        <v>0</v>
      </c>
      <c r="DL118" s="63">
        <f ca="1">ROUNDUP(tblBaseCF[[#This Row],[UnroundedEMLoad]]*INDEX(tblPlanPrem[Factor],4),-3)</f>
        <v>0</v>
      </c>
      <c r="DM118" s="63">
        <f ca="1">ROUNDUP(tblBaseCF[[#This Row],[UnroundedPMLoad]]*INDEX(tblPlanPrem[Factor],4),-3)</f>
        <v>0</v>
      </c>
      <c r="DN118" s="60">
        <f ca="1">tblBaseCF[[#This Row],[MonthlyEMLoad]]+tblBaseCF[[#This Row],[MonthlyPMLoad]]</f>
        <v>0</v>
      </c>
      <c r="DO118" s="63">
        <f ca="1">tblBaseCF[[#This Row],[MonthlyTP]]+tblBaseCF[[#This Row],[MonthlyEP]]+tblBaseCF[[#This Row],[MonthlyLoad]]</f>
        <v>0</v>
      </c>
      <c r="DP118" s="3"/>
      <c r="DS118">
        <f t="shared" si="11"/>
        <v>0</v>
      </c>
      <c r="DT118">
        <f t="shared" si="12"/>
        <v>0</v>
      </c>
      <c r="DU118">
        <f t="shared" si="13"/>
        <v>0</v>
      </c>
      <c r="DV118">
        <f ca="1">tblBaseCF[[#This Row],[Year]]</f>
        <v>98</v>
      </c>
      <c r="DW118">
        <f ca="1">tblBaseCF[[#This Row],[Age]]</f>
        <v>97</v>
      </c>
      <c r="DX118">
        <f ca="1">tblBaseCF[[#This Row],[ContFlag]]</f>
        <v>0</v>
      </c>
      <c r="DY118" t="str">
        <f ca="1">tblBaseCF[[#This Row],[ContLog]]</f>
        <v>Insufficient PAV for deduction - Discontinue.</v>
      </c>
      <c r="DZ118">
        <f ca="1">tblBaseCF[[#This Row],[StartTAV]]</f>
        <v>0</v>
      </c>
      <c r="EA118">
        <f ca="1">tblBaseCF[[#This Row],[StartEAV]]</f>
        <v>0</v>
      </c>
      <c r="EB118">
        <f ca="1">tblBaseCF[[#This Row],[StartPAV]]</f>
        <v>0</v>
      </c>
      <c r="EC118">
        <f ca="1">tblBaseCF[[#This Row],[SVChrg]]</f>
        <v>0</v>
      </c>
      <c r="ED118">
        <f ca="1">tblBaseCF[[#This Row],[SV]]</f>
        <v>0</v>
      </c>
      <c r="EE118">
        <f ca="1">tblBaseCF[[#This Row],[Ben]]</f>
        <v>0</v>
      </c>
      <c r="EF118">
        <f ca="1">tblBaseCF[[#This Row],[AccBen]]</f>
        <v>0</v>
      </c>
      <c r="EG118">
        <f ca="1">tblBaseCF[[#This Row],[WithdrawalInput]]</f>
        <v>0</v>
      </c>
      <c r="EH118" t="str">
        <f ca="1">tblBaseCF[[#This Row],[WithdrawalLog]]</f>
        <v>No withdrawal.</v>
      </c>
      <c r="EI118">
        <f ca="1">tblBaseCF[[#This Row],[TAVWithdrawal]]</f>
        <v>0</v>
      </c>
      <c r="EJ118">
        <f ca="1">tblBaseCF[[#This Row],[EAVWithdrawal]]</f>
        <v>0</v>
      </c>
      <c r="EK118">
        <f ca="1">tblBaseCF[[#This Row],[Withdrawal]]</f>
        <v>0</v>
      </c>
      <c r="EL118">
        <f ca="1">tblBaseCF[[#This Row],[TP]]</f>
        <v>0</v>
      </c>
      <c r="EM118">
        <f ca="1">tblBaseCF[[#This Row],[TPAllocChrg]]</f>
        <v>0</v>
      </c>
      <c r="EN118">
        <f ca="1">tblBaseCF[[#This Row],[TPAlloc]]</f>
        <v>0</v>
      </c>
      <c r="EO118">
        <f ca="1">tblBaseCF[[#This Row],[EP]]</f>
        <v>0</v>
      </c>
      <c r="EP118">
        <f ca="1">tblBaseCF[[#This Row],[EPAllocChrg]]</f>
        <v>0</v>
      </c>
      <c r="EQ118">
        <f ca="1">tblBaseCF[[#This Row],[EPAlloc]]</f>
        <v>0</v>
      </c>
      <c r="ER118">
        <f ca="1">tblBaseCF[[#This Row],[EMLoad]]</f>
        <v>0</v>
      </c>
      <c r="ES118">
        <f ca="1">tblBaseCF[[#This Row],[PMLoad]]</f>
        <v>0</v>
      </c>
      <c r="ET118">
        <f ca="1">tblBaseCF[[#This Row],[Load]]</f>
        <v>0</v>
      </c>
      <c r="EU118">
        <f ca="1">tblBaseCF[[#This Row],[LoadAllocChrg]]</f>
        <v>0</v>
      </c>
      <c r="EV118">
        <f ca="1">tblBaseCF[[#This Row],[LoadAlloc]]</f>
        <v>0</v>
      </c>
      <c r="EW118">
        <f ca="1">tblBaseCF[[#This Row],[TotalPrem]]</f>
        <v>0</v>
      </c>
      <c r="EX118">
        <f ca="1">tblBaseCF[[#This Row],[AllocChrg]]</f>
        <v>0</v>
      </c>
      <c r="EY118">
        <f ca="1">tblBaseCF[[#This Row],[Alloc]]</f>
        <v>0</v>
      </c>
      <c r="EZ118">
        <f ca="1">tblBaseCF[[#This Row],[AccumTotalPrem]]</f>
        <v>0</v>
      </c>
      <c r="FA118">
        <f>tblBaseCF[[#This Row],[AnnualIntRate]]</f>
        <v>0</v>
      </c>
      <c r="FB118" s="50">
        <f>tblBaseCF[[#This Row],[Duean1m12]]</f>
        <v>1</v>
      </c>
      <c r="FC118">
        <f ca="1">tblBaseCF[[#This Row],[DeductFlag]]</f>
        <v>0</v>
      </c>
      <c r="FD118">
        <f ca="1">tblBaseCF[[#This Row],[AdminChrg]]</f>
        <v>0</v>
      </c>
      <c r="FE118">
        <f ca="1">tblBaseCF[[#This Row],[StandardCOI]]</f>
        <v>0</v>
      </c>
      <c r="FF118">
        <f ca="1">tblBaseCF[[#This Row],[EMLoadCOI]]</f>
        <v>0</v>
      </c>
      <c r="FG118">
        <f ca="1">tblBaseCF[[#This Row],[PMLoadCOI]]</f>
        <v>0</v>
      </c>
      <c r="FH118">
        <f ca="1">tblBaseCF[[#This Row],[COI]]</f>
        <v>0</v>
      </c>
      <c r="FI118" s="47">
        <f ca="1">tblBaseCF[[#This Row],[NomDeduct]]</f>
        <v>0</v>
      </c>
      <c r="FJ118">
        <f ca="1">tblBaseCF[[#This Row],[Deduct]]</f>
        <v>0</v>
      </c>
      <c r="FK118">
        <f ca="1">tblBaseCF[[#This Row],[TAVDeduct]]</f>
        <v>0</v>
      </c>
      <c r="FL118">
        <f ca="1">tblBaseCF[[#This Row],[EAVDeduct]]</f>
        <v>0</v>
      </c>
      <c r="FM118" s="24">
        <f ca="1">tblBaseCF[[#This Row],[TAVInt]]</f>
        <v>0</v>
      </c>
      <c r="FN118">
        <f ca="1">tblBaseCF[[#This Row],[EAVInt]]</f>
        <v>0</v>
      </c>
      <c r="FO118" s="47">
        <f ca="1">tblBaseCF[[#This Row],[LB]]</f>
        <v>0</v>
      </c>
      <c r="FP118">
        <f ca="1">tblBaseCF[[#This Row],[SB]]</f>
        <v>0</v>
      </c>
      <c r="FQ118">
        <f ca="1">tblBaseCF[[#This Row],[Bonus]]</f>
        <v>0</v>
      </c>
      <c r="FR118">
        <f ca="1">tblBaseCF[[#This Row],[EndTAV]]</f>
        <v>0</v>
      </c>
      <c r="FS118">
        <f ca="1">tblBaseCF[[#This Row],[EndEAV]]</f>
        <v>0</v>
      </c>
      <c r="FT118">
        <f ca="1">tblBaseCF[[#This Row],[EndPAV]]</f>
        <v>0</v>
      </c>
      <c r="FU118">
        <f ca="1">tblBaseCF[[#This Row],[SemiAnnualTP]]</f>
        <v>0</v>
      </c>
      <c r="FV118">
        <f ca="1">tblBaseCF[[#This Row],[SemiAnnualEP]]</f>
        <v>0</v>
      </c>
      <c r="FW118">
        <f ca="1">tblBaseCF[[#This Row],[SemiAnnualEMLoad]]</f>
        <v>0</v>
      </c>
      <c r="FX118">
        <f ca="1">tblBaseCF[[#This Row],[SemiAnnualPMLoad]]</f>
        <v>0</v>
      </c>
      <c r="FY118">
        <f ca="1">tblBaseCF[[#This Row],[SemiAnnualLoad]]</f>
        <v>0</v>
      </c>
      <c r="FZ118">
        <f ca="1">tblBaseCF[[#This Row],[SemiAnnualTotalPrem]]</f>
        <v>0</v>
      </c>
      <c r="GA118">
        <f ca="1">tblBaseCF[[#This Row],[QuarterlyTP]]</f>
        <v>0</v>
      </c>
      <c r="GB118">
        <f ca="1">tblBaseCF[[#This Row],[QuarterlyEP]]</f>
        <v>0</v>
      </c>
      <c r="GC118">
        <f ca="1">tblBaseCF[[#This Row],[QuarterlyEMLoad]]</f>
        <v>0</v>
      </c>
      <c r="GD118">
        <f ca="1">tblBaseCF[[#This Row],[QuarterlyPMLoad]]</f>
        <v>0</v>
      </c>
      <c r="GE118">
        <f ca="1">tblBaseCF[[#This Row],[QuarterlyLoad]]</f>
        <v>0</v>
      </c>
      <c r="GF118">
        <f ca="1">tblBaseCF[[#This Row],[QuarterlyTotalPrem]]</f>
        <v>0</v>
      </c>
      <c r="GG118">
        <f ca="1">tblBaseCF[[#This Row],[MonthlyTP]]</f>
        <v>0</v>
      </c>
      <c r="GH118">
        <f ca="1">tblBaseCF[[#This Row],[MonthlyEP]]</f>
        <v>0</v>
      </c>
      <c r="GI118">
        <f ca="1">tblBaseCF[[#This Row],[MonthlyEMLoad]]</f>
        <v>0</v>
      </c>
      <c r="GJ118">
        <f ca="1">tblBaseCF[[#This Row],[MonthlyPMLoad]]</f>
        <v>0</v>
      </c>
      <c r="GK118">
        <f ca="1">tblBaseCF[[#This Row],[MonthlyLoad]]</f>
        <v>0</v>
      </c>
      <c r="GL118">
        <f ca="1">tblBaseCF[[#This Row],[MonthlyTotalPrem]]</f>
        <v>0</v>
      </c>
      <c r="GO118" t="s">
        <v>134</v>
      </c>
      <c r="GP118" t="s">
        <v>135</v>
      </c>
      <c r="GQ118" t="s">
        <v>502</v>
      </c>
      <c r="GR118">
        <v>98</v>
      </c>
      <c r="GS118">
        <v>97</v>
      </c>
      <c r="GT118">
        <v>1</v>
      </c>
      <c r="GU118" t="s">
        <v>457</v>
      </c>
      <c r="GV118">
        <v>3343424403.2579899</v>
      </c>
      <c r="GW118">
        <v>29401333772.2957</v>
      </c>
      <c r="GX118">
        <v>32744758175.553699</v>
      </c>
      <c r="GY118">
        <v>0</v>
      </c>
      <c r="GZ118">
        <v>32744758175.553699</v>
      </c>
      <c r="HA118">
        <v>32744758175.553699</v>
      </c>
      <c r="HB118">
        <v>0</v>
      </c>
      <c r="HC118">
        <v>0</v>
      </c>
      <c r="HD118" t="s">
        <v>137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7.0000000000000007E-2</v>
      </c>
      <c r="HX118">
        <v>0.96964931039809399</v>
      </c>
      <c r="HY118">
        <v>1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234039708.22805899</v>
      </c>
      <c r="IJ118">
        <v>2058093364.0606999</v>
      </c>
      <c r="IK118">
        <v>0</v>
      </c>
      <c r="IL118">
        <v>0</v>
      </c>
      <c r="IM118">
        <v>0</v>
      </c>
      <c r="IN118">
        <v>3577464111.4860501</v>
      </c>
      <c r="IO118">
        <v>31459427136.3564</v>
      </c>
      <c r="IP118">
        <v>35036891247.842499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</row>
    <row r="119" spans="2:268" customFormat="1" x14ac:dyDescent="0.25">
      <c r="B119" s="2">
        <f ca="1">OFFSET(tblBaseCF[[#This Row],[Year]],-1,0)+1</f>
        <v>99</v>
      </c>
      <c r="C119" s="2">
        <f ca="1">(tblBaseCF[[#This Row],[Year]]&lt;=term)*1</f>
        <v>1</v>
      </c>
      <c r="D119" s="57">
        <f ca="1">(YEAR(rcd)+tblBaseCF[[#This Row],[Year]]-1)
*tblBaseCF[[#This Row],[PolTermFlag]]</f>
        <v>2123</v>
      </c>
      <c r="E119" s="57">
        <f ca="1">(mainLI_entry_age+tblBaseCF[[#This Row],[Year]]-1)
*tblBaseCF[[#This Row],[PolTermFlag]]</f>
        <v>98</v>
      </c>
      <c r="F119" s="57">
        <f ca="1">IF(tblBaseCF[[#This Row],[Year]]=1,1,OFFSET(tblBaseCF[[#This Row],[DeductFlag]],-1,0))
*tblBaseCF[[#This Row],[PolTermFlag]]</f>
        <v>0</v>
      </c>
      <c r="G119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19" s="57">
        <f ca="1">(tblBaseCF[[#This Row],[Year]]&lt;=acc_ben_term)
*tblBaseCF[[#This Row],[ContFlag]]</f>
        <v>0</v>
      </c>
      <c r="I119" s="57">
        <f ca="1">(tblBaseCF[[#This Row],[Year]]&lt;=tp_term)
*tblBaseCF[[#This Row],[ContFlag]]</f>
        <v>0</v>
      </c>
      <c r="J119" s="57">
        <f ca="1">(tblBaseCF[[#This Row],[Year]]&lt;=ep_term)
*tblBaseCF[[#This Row],[ContFlag]]</f>
        <v>0</v>
      </c>
      <c r="K119" s="57">
        <f ca="1">(tblBaseCF[[#This Row],[Year]]&lt;=em_load_term)*1</f>
        <v>0</v>
      </c>
      <c r="L119" s="57">
        <f ca="1">(tblBaseCF[[#This Row],[Year]]&lt;=pm_load_term)*1</f>
        <v>0</v>
      </c>
      <c r="M119" s="59">
        <f ca="1">IF(tblBaseCF[[#This Row],[Year]]=1,si,OFFSET(tblBaseCF[[#This Row],[EndSI]],-1,0))
*tblBaseCF[[#This Row],[ContFlag]]</f>
        <v>0</v>
      </c>
      <c r="N119" s="59">
        <f ca="1">OFFSET(tblBaseCF[[#This Row],[EndTAV]],-1,0)
*tblBaseCF[[#This Row],[ContFlag]]</f>
        <v>0</v>
      </c>
      <c r="O119" s="59">
        <f ca="1">OFFSET(tblBaseCF[[#This Row],[EndEAV]],-1,0)
*tblBaseCF[[#This Row],[ContFlag]]</f>
        <v>0</v>
      </c>
      <c r="P119" s="60">
        <f ca="1">tblBaseCF[[#This Row],[StartEAV]]+tblBaseCF[[#This Row],[StartTAV]]</f>
        <v>0</v>
      </c>
      <c r="Q119" s="61">
        <f ca="1">IFERROR(INDEX(tblJuvenileLienRate[Rate],MATCH(tblBaseCF[[#This Row],[Age]],tblJuvenileLienRate[Age],0)),1)
*tblBaseCF[[#This Row],[ContFlag]]</f>
        <v>0</v>
      </c>
      <c r="R119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19" s="62">
        <f ca="1">tblBaseCF[[#This Row],[StartSI]]*acc_ben_coeff*tblBaseCF[[#This Row],[JuvenileLienRate]]
*tblBaseCF[[#This Row],[AccBenTermFlag]]</f>
        <v>0</v>
      </c>
      <c r="T119" s="61">
        <f ca="1">(IFERROR(INDEX(tblSurrChrgRate[Rate],MATCH(tblBaseCF[[#This Row],[Year]],tblSurrChrgRate[Year],0)),0)
*tblBaseCF[[#This Row],[ContFlag]])</f>
        <v>0</v>
      </c>
      <c r="U119" s="60">
        <f ca="1">tp*tblBaseCF[[#This Row],[SrrChrgRate]]</f>
        <v>0</v>
      </c>
      <c r="V119" s="63">
        <f ca="1">MAX(tblBaseCF[[#This Row],[StartTAV]]-tblBaseCF[[#This Row],[SVChrg]],0)+tblBaseCF[[#This Row],[StartEAV]]</f>
        <v>0</v>
      </c>
      <c r="W119" s="59">
        <f ca="1">IFERROR(INDEX(tblWithdrawal_Output[Amount],MATCH(tblBaseCF[[#This Row],[Year]],tblWithdrawal_Output[Year],0)),0)
*tblBaseCF[[#This Row],[ContFlag]]</f>
        <v>0</v>
      </c>
      <c r="X119" s="59" t="b">
        <f ca="1">tblBaseCF[[#This Row],[WithdrawalInput]]&gt;0</f>
        <v>0</v>
      </c>
      <c r="Y119" s="59" t="b">
        <f ca="1">AND(tblBaseCF[[#This Row],[1stCheckProceed]],tblBaseCF[[#This Row],[WithdrawalInput]]&lt;=tblBaseCF[[#This Row],[StartPAV]])</f>
        <v>0</v>
      </c>
      <c r="Z119" s="59" t="b">
        <f ca="1">AND(tblBaseCF[[#This Row],[2ndCheckAmount]],(tblBaseCF[[#This Row],[StartPAV]]-tblBaseCF[[#This Row],[WithdrawalInput]])&gt;=min_pav_after_withdrawal)</f>
        <v>0</v>
      </c>
      <c r="AA119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19" s="59" t="b">
        <f ca="1">AND(tblBaseCF[[#This Row],[3rdCheckPAV]],tblBaseCF[[#This Row],[endSITest]]&gt;=min_base_si)</f>
        <v>0</v>
      </c>
      <c r="AC119" s="60">
        <f ca="1">tblBaseCF[[#This Row],[WithdrawalInput]]*tblBaseCF[[#This Row],[4thCheckSI]]</f>
        <v>0</v>
      </c>
      <c r="AD119" s="60">
        <f ca="1">MIN(tblBaseCF[[#This Row],[Withdrawal]],tblBaseCF[[#This Row],[StartEAV]])</f>
        <v>0</v>
      </c>
      <c r="AE119" s="60">
        <f ca="1">tblBaseCF[[#This Row],[Withdrawal]]-tblBaseCF[[#This Row],[EAVWithdrawal]]</f>
        <v>0</v>
      </c>
      <c r="AF119" s="60">
        <f ca="1">IF(tblBaseCF[[#This Row],[4thCheckSI]],tblBaseCF[[#This Row],[endSITest]],tblBaseCF[[#This Row],[StartSI]])</f>
        <v>0</v>
      </c>
      <c r="AG119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19" s="65">
        <f ca="1">IFERROR(INDEX(tblTPAllocChrgRate[Rate],MATCH(tblBaseCF[[#This Row],[Year]],tblTPAllocChrgRate[Year],0)),0)</f>
        <v>0.02</v>
      </c>
      <c r="AI119" s="62">
        <f ca="1">(tp+big_case_bonus_tp*(tblBaseCF[[#This Row],[Year]]=1))
*tblBaseCF[[#This Row],[TPTermFlag]]</f>
        <v>0</v>
      </c>
      <c r="AJ119" s="63">
        <f ca="1">tblBaseCF[[#This Row],[TP]]*tblBaseCF[[#This Row],[TPAllocChrgRate]]</f>
        <v>0</v>
      </c>
      <c r="AK119" s="60">
        <f ca="1">tblBaseCF[[#This Row],[TP]]-tblBaseCF[[#This Row],[TPAllocChrg]]</f>
        <v>0</v>
      </c>
      <c r="AL119" s="65">
        <f ca="1">IFERROR(INDEX(tblEPAllocChrgRate[Rate],MATCH(tblBaseCF[[#This Row],[Year]],tblEPAllocChrgRate[Year],0)),0)</f>
        <v>0.02</v>
      </c>
      <c r="AM119" s="60">
        <f ca="1">ep*tblBaseCF[[#This Row],[EPTermFlag]]</f>
        <v>0</v>
      </c>
      <c r="AN119" s="60">
        <f ca="1">tblBaseCF[[#This Row],[EP]]*tblBaseCF[[#This Row],[EPAllocChrgRate]]</f>
        <v>0</v>
      </c>
      <c r="AO119" s="63">
        <f ca="1">tblBaseCF[[#This Row],[EP]]-tblBaseCF[[#This Row],[EPAllocChrg]]</f>
        <v>0</v>
      </c>
      <c r="AP119" s="62">
        <f ca="1">tblBaseCF[[#This Row],[Ben]]*extra_prem_rate*em_load/1000/(1-tblBaseCF[[#This Row],[EPAllocChrgRate]])
*tblBaseCF[[#This Row],[EMLoadTermFlag]]</f>
        <v>0</v>
      </c>
      <c r="AQ119" s="62">
        <f ca="1">tblBaseCF[[#This Row],[Ben]]*pm_load/1000/(1-tblBaseCF[[#This Row],[EPAllocChrgRate]])
*tblBaseCF[[#This Row],[PMLoadTermFlag]]</f>
        <v>0</v>
      </c>
      <c r="AR119" s="60">
        <f ca="1">ROUNDUP(tblBaseCF[[#This Row],[UnroundedEMLoad]],-3)</f>
        <v>0</v>
      </c>
      <c r="AS119" s="62">
        <f ca="1">ROUNDUP(tblBaseCF[[#This Row],[Ben]]*pm_load/1000/(1-tblBaseCF[[#This Row],[EPAllocChrgRate]]),-3)
*tblBaseCF[[#This Row],[PMLoadTermFlag]]</f>
        <v>0</v>
      </c>
      <c r="AT119" s="60">
        <f ca="1">tblBaseCF[[#This Row],[EMLoad]]+tblBaseCF[[#This Row],[PMLoad]]</f>
        <v>0</v>
      </c>
      <c r="AU119" s="60">
        <f ca="1">tblBaseCF[[#This Row],[Load]]*tblBaseCF[[#This Row],[EPAllocChrgRate]]</f>
        <v>0</v>
      </c>
      <c r="AV119" s="60">
        <f ca="1">tblBaseCF[[#This Row],[Load]]-tblBaseCF[[#This Row],[LoadAllocChrg]]</f>
        <v>0</v>
      </c>
      <c r="AW119" s="60">
        <f ca="1">tblBaseCF[[#This Row],[TP]]+tblBaseCF[[#This Row],[EP]]+tblBaseCF[[#This Row],[Load]]</f>
        <v>0</v>
      </c>
      <c r="AX119" s="60">
        <f ca="1">tblBaseCF[[#This Row],[TPAllocChrg]]+tblBaseCF[[#This Row],[EPAllocChrg]]+tblBaseCF[[#This Row],[LoadAllocChrg]]</f>
        <v>0</v>
      </c>
      <c r="AY119" s="60">
        <f ca="1">tblBaseCF[[#This Row],[TPAlloc]]+tblBaseCF[[#This Row],[EPAlloc]]+tblBaseCF[[#This Row],[LoadAlloc]]</f>
        <v>0</v>
      </c>
      <c r="AZ119" s="60">
        <f ca="1">(OFFSET(tblBaseCF[[#This Row],[AccumTotalPrem]],-1,0)+tblBaseCF[[#This Row],[TotalPrem]])*tblBaseCF[[#This Row],[TPTermFlag]]</f>
        <v>0</v>
      </c>
      <c r="BA119" s="62">
        <f ca="1">(tblBaseCF[[#This Row],[StartTAV]]-tblBaseCF[[#This Row],[TAVWithdrawal]]+tblBaseCF[[#This Row],[TPAlloc]])
*tblBaseCF[[#This Row],[ContFlag]]</f>
        <v>0</v>
      </c>
      <c r="BB119" s="59">
        <f ca="1">(tblBaseCF[[#This Row],[StartEAV]]-tblBaseCF[[#This Row],[EAVWithdrawal]]+tblBaseCF[[#This Row],[EPAlloc]]+tblBaseCF[[#This Row],[LoadAlloc]])
*tblBaseCF[[#This Row],[ContFlag]]</f>
        <v>0</v>
      </c>
      <c r="BC119" s="59">
        <f ca="1">tblBaseCF[[#This Row],[TAVAfterWdrlAlloc]]+tblBaseCF[[#This Row],[EAVAfterWdrlAlloc]]</f>
        <v>0</v>
      </c>
      <c r="BD119" s="66">
        <f t="shared" si="10"/>
        <v>0</v>
      </c>
      <c r="BE119" s="67">
        <f>(1+tblBaseCF[[#This Row],[AnnualIntRate]])^(1/12)-1</f>
        <v>0</v>
      </c>
      <c r="BF119" s="68">
        <f>IFERROR(((1+tblBaseCF[[#This Row],[MonthlyIntRate]])^12-1)/12/(1-1/(1+tblBaseCF[[#This Row],[MonthlyIntRate]])),1)/(1+tblBaseCF[[#This Row],[AnnualIntRate]])</f>
        <v>1</v>
      </c>
      <c r="BG119" s="69">
        <f>PV(tblBaseCF[[#This Row],[MonthlyIntRate]],12,-1/12,,1)</f>
        <v>1</v>
      </c>
      <c r="BH119" s="60">
        <f ca="1">MAX(IF(death_tpd_option="A",tblBaseCF[[#This Row],[Ben]]-tblBaseCF[[#This Row],[StartPAV]],tblBaseCF[[#This Row],[Ben]]),0)</f>
        <v>0</v>
      </c>
      <c r="BI119" s="70">
        <f ca="1">IFERROR(INDEX(tblBaseCOIRate[Rate],MATCH(tblBaseCF[[#This Row],[Age]],tblBaseCOIRate[Age],0)),0)</f>
        <v>0.74395999999999995</v>
      </c>
      <c r="BJ119" s="60">
        <f ca="1">tblBaseCF[[#This Row],[SAR]]*tblBaseCF[[#This Row],[COIRate]]</f>
        <v>0</v>
      </c>
      <c r="BK119" s="62">
        <f ca="1">em_load*tblBaseCF[[#This Row],[pStandardCOI]]
*tblBaseCF[[#This Row],[EMLoadTermFlag]]</f>
        <v>0</v>
      </c>
      <c r="BL119" s="62">
        <f ca="1">pm_load/1000*tblBaseCF[[#This Row],[SAR]]
*tblBaseCF[[#This Row],[PMLoadTermFlag]]</f>
        <v>0</v>
      </c>
      <c r="BM119" s="60">
        <f ca="1">tblBaseCF[[#This Row],[AccBen]]*monthly_acc_coi*12</f>
        <v>0</v>
      </c>
      <c r="BN119" s="60">
        <f ca="1">tblBaseCF[[#This Row],[pStandardCOI]]+tblBaseCF[[#This Row],[pEMLoadCOI]]+tblBaseCF[[#This Row],[pPMLoadCOI]]+tblBaseCF[[#This Row],[pAccCOI]]</f>
        <v>0</v>
      </c>
      <c r="BO119" s="62">
        <f ca="1">IFERROR(INDEX(tblAdminChrg[Amount],MATCH(tblBaseCF[[#This Row],[CalYear]],tblAdminChrg[Cal_Year],0)),0)
*tblBaseCF[[#This Row],[ContFlag]]</f>
        <v>0</v>
      </c>
      <c r="BP119" s="60">
        <f ca="1">tblBaseCF[[#This Row],[pMonthlyAdminChrg]]*12</f>
        <v>0</v>
      </c>
      <c r="BQ119" s="60">
        <f ca="1">tblBaseCF[[#This Row],[pCOI]]+tblBaseCF[[#This Row],[pAdminChrg]]</f>
        <v>0</v>
      </c>
      <c r="BR119" s="60">
        <f ca="1">tblBaseCF[[#This Row],[pNomDeduct]]*tblBaseCF[[#This Row],[Duean1m12]]</f>
        <v>0</v>
      </c>
      <c r="BS119" s="57">
        <f ca="1">(tblBaseCF[[#This Row],[PAVAfterWdrlAlloc]]&gt;=tblBaseCF[[#This Row],[pNomDeduct]])
*tblBaseCF[[#This Row],[ContFlag]]</f>
        <v>0</v>
      </c>
      <c r="BT119" s="60">
        <f ca="1">tblBaseCF[[#This Row],[pStandardCOI]]*tblBaseCF[[#This Row],[DeductFlag]]</f>
        <v>0</v>
      </c>
      <c r="BU119" s="60">
        <f ca="1">tblBaseCF[[#This Row],[pEMLoadCOI]]*tblBaseCF[[#This Row],[DeductFlag]]</f>
        <v>0</v>
      </c>
      <c r="BV119" s="60">
        <f ca="1">tblBaseCF[[#This Row],[pPMLoadCOI]]*tblBaseCF[[#This Row],[DeductFlag]]</f>
        <v>0</v>
      </c>
      <c r="BW119" s="60">
        <f ca="1">tblBaseCF[[#This Row],[pAccCOI]]*tblBaseCF[[#This Row],[DeductFlag]]</f>
        <v>0</v>
      </c>
      <c r="BX119" s="60">
        <f ca="1">tblBaseCF[[#This Row],[pCOI]]*tblBaseCF[[#This Row],[DeductFlag]]</f>
        <v>0</v>
      </c>
      <c r="BY119" s="60">
        <f ca="1">tblBaseCF[[#This Row],[pMonthlyAdminChrg]]*tblBaseCF[[#This Row],[DeductFlag]]</f>
        <v>0</v>
      </c>
      <c r="BZ119" s="60">
        <f ca="1">tblBaseCF[[#This Row],[pAdminChrg]]*tblBaseCF[[#This Row],[DeductFlag]]</f>
        <v>0</v>
      </c>
      <c r="CA119" s="60">
        <f ca="1">tblBaseCF[[#This Row],[pNomDeduct]]*tblBaseCF[[#This Row],[DeductFlag]]</f>
        <v>0</v>
      </c>
      <c r="CB119" s="60">
        <f ca="1">tblBaseCF[[#This Row],[pDeduct]]*tblBaseCF[[#This Row],[DeductFlag]]</f>
        <v>0</v>
      </c>
      <c r="CC119" s="60">
        <f ca="1">MIN(tblBaseCF[[#This Row],[TAVAfterWdrlAlloc]],tblBaseCF[[#This Row],[Deduct]])</f>
        <v>0</v>
      </c>
      <c r="CD119" s="60">
        <f ca="1">tblBaseCF[[#This Row],[Deduct]]-tblBaseCF[[#This Row],[TAVDeduct]]</f>
        <v>0</v>
      </c>
      <c r="CE119" s="69">
        <f ca="1">(tblBaseCF[[#This Row],[TAVAfterWdrlAlloc]]-tblBaseCF[[#This Row],[TAVDeduct]])*tblBaseCF[[#This Row],[AnnualIntRate]]
*tblBaseCF[[#This Row],[DeductFlag]]</f>
        <v>0</v>
      </c>
      <c r="CF119" s="69">
        <f ca="1">(tblBaseCF[[#This Row],[EAVAfterWdrlAlloc]]-tblBaseCF[[#This Row],[EAVDeduct]])*tblBaseCF[[#This Row],[AnnualIntRate]]
*tblBaseCF[[#This Row],[DeductFlag]]</f>
        <v>0</v>
      </c>
      <c r="CG119" s="69">
        <f ca="1">tblBaseCF[[#This Row],[TAVInt]]+tblBaseCF[[#This Row],[EAVInt]]</f>
        <v>0</v>
      </c>
      <c r="CH119" s="62">
        <f ca="1">IFERROR(INDEX(tblLBRate[Rate],MATCH(tblBaseCF[[#This Row],[Year]],tblLBRate[Year],0)),0)
*tblBaseCF[[#This Row],[DeductFlag]]</f>
        <v>0</v>
      </c>
      <c r="CI119" s="60">
        <f ca="1">IFERROR(SUM(OFFSET(tblBaseCF[[#This Row],[TAVWithdrawal]],0,0,-lb_review_period,1)),0)
*(tblBaseCF[[#This Row],[LBRate]]&gt;0)</f>
        <v>0</v>
      </c>
      <c r="CJ119" s="60">
        <f ca="1">(tblBaseCF[[#This Row],[LBRate]]&gt;0)*(tblBaseCF[[#This Row],[LBTAVWithdrawal]]=0)</f>
        <v>0</v>
      </c>
      <c r="CK119" s="62" cm="1">
        <f t="array" aca="1" ref="CK119" ca="1">IF(tblBaseCF[[#This Row],[LBFlag]],
_xlfn.SWITCH(base,
"ILP1",AVERAGE(OFFSET(tblBaseCF[TP],0,0,-lb_review_period,1)),tp),0)
*tblBaseCF[[#This Row],[LBFlag]]</f>
        <v>0</v>
      </c>
      <c r="CL119" s="62">
        <f ca="1">tblBaseCF[[#This Row],[LBBasis]]*tblBaseCF[[#This Row],[LBRate]]</f>
        <v>0</v>
      </c>
      <c r="CM119" s="57" cm="1">
        <f t="array" aca="1" ref="CM119" ca="1">_xlfn.SWITCH(base,
"ILP1",0,($AF219&lt;500000000)*1
+($AF219&gt;=500000000)*($AF219&lt;1000000000)*2
+($AF219&gt;=1000000000)*3)
*tblBaseCF[[#This Row],[DeductFlag]]</f>
        <v>0</v>
      </c>
      <c r="CN119" s="2" t="str">
        <f ca="1">IF(tblBaseCF[[#This Row],[DeductFlag]],base&amp;"_"&amp;tblBaseCF[[#This Row],[SBCode]]&amp;"_"&amp;tblBaseCF[[#This Row],[Year]],"")</f>
        <v/>
      </c>
      <c r="CO119" s="3">
        <f ca="1">IFERROR(INDEX(tblSBRate[Index],MATCH(tblBaseCF[[#This Row],[SBIndex]],tblSBRate[Rate],0)),0)</f>
        <v>0</v>
      </c>
      <c r="CP119" s="63">
        <f ca="1">IFERROR(SUM(OFFSET(tblBaseCF[[#This Row],[TAVWithdrawal]],0,0,-sb_review_period,1)),0)
*(tblBaseCF[[#This Row],[SBRate]]&gt;0)</f>
        <v>0</v>
      </c>
      <c r="CQ119" s="63">
        <f ca="1">(tblBaseCF[[#This Row],[SBRate]]&gt;0)*(tblBaseCF[[#This Row],[SBTAVWithdrawal]]=0)</f>
        <v>0</v>
      </c>
      <c r="CR119" s="59" cm="1">
        <f t="array" aca="1" ref="CR119" ca="1">IF(tblBaseCF[[#This Row],[LBFlag]],
_xlfn.SWITCH(base,
"ILP1",0,tp),0)*tblBaseCF[[#This Row],[SBFlag]]</f>
        <v>0</v>
      </c>
      <c r="CS119" s="63">
        <f ca="1">tblBaseCF[[#This Row],[SBBasis]]*tblBaseCF[[#This Row],[SBRate]]</f>
        <v>0</v>
      </c>
      <c r="CT119" s="63">
        <f ca="1">tblBaseCF[[#This Row],[LB]]+tblBaseCF[[#This Row],[SB]]</f>
        <v>0</v>
      </c>
      <c r="CU119" s="59">
        <f ca="1">tblBaseCF[[#This Row],[TAVAfterWdrlAlloc]]-tblBaseCF[[#This Row],[TAVDeduct]]+tblBaseCF[[#This Row],[TAVInt]]+tblBaseCF[[#This Row],[Bonus]]</f>
        <v>0</v>
      </c>
      <c r="CV119" s="59">
        <f ca="1">tblBaseCF[[#This Row],[EAVAfterWdrlAlloc]]-tblBaseCF[[#This Row],[EAVDeduct]]+tblBaseCF[[#This Row],[EAVInt]]</f>
        <v>0</v>
      </c>
      <c r="CW119" s="63">
        <f ca="1">tblBaseCF[[#This Row],[EndTAV]]+tblBaseCF[[#This Row],[EndEAV]]</f>
        <v>0</v>
      </c>
      <c r="CX119" s="59">
        <f ca="1">INDEX(tblPlanPrem[TP],2)
*tblBaseCF[[#This Row],[TPTermFlag]]</f>
        <v>0</v>
      </c>
      <c r="CY119" s="59">
        <f ca="1">INDEX(tblPlanPrem[EP],2)
*tblBaseCF[[#This Row],[TPTermFlag]]</f>
        <v>0</v>
      </c>
      <c r="CZ119" s="63">
        <f ca="1">ROUNDUP(tblBaseCF[[#This Row],[UnroundedEMLoad]]*INDEX(tblPlanPrem[Factor],2),-3)</f>
        <v>0</v>
      </c>
      <c r="DA119" s="63">
        <f ca="1">ROUNDUP(tblBaseCF[[#This Row],[UnroundedPMLoad]]*INDEX(tblPlanPrem[Factor],2),-3)</f>
        <v>0</v>
      </c>
      <c r="DB119" s="63">
        <f ca="1">tblBaseCF[[#This Row],[SemiAnnualEMLoad]]+tblBaseCF[[#This Row],[SemiAnnualPMLoad]]</f>
        <v>0</v>
      </c>
      <c r="DC119" s="63">
        <f ca="1">tblBaseCF[[#This Row],[SemiAnnualTP]]+tblBaseCF[[#This Row],[SemiAnnualEP]]+tblBaseCF[[#This Row],[SemiAnnualLoad]]</f>
        <v>0</v>
      </c>
      <c r="DD119" s="59">
        <f ca="1">INDEX(tblPlanPrem[TP],3)
*tblBaseCF[[#This Row],[TPTermFlag]]</f>
        <v>0</v>
      </c>
      <c r="DE119" s="59">
        <f ca="1">INDEX(tblPlanPrem[EP],3)
*tblBaseCF[[#This Row],[TPTermFlag]]</f>
        <v>0</v>
      </c>
      <c r="DF119" s="63">
        <f ca="1">ROUNDUP(tblBaseCF[[#This Row],[UnroundedEMLoad]]*INDEX(tblPlanPrem[Factor],3),-3)</f>
        <v>0</v>
      </c>
      <c r="DG119" s="63">
        <f ca="1">ROUNDUP(tblBaseCF[[#This Row],[UnroundedPMLoad]]*INDEX(tblPlanPrem[Factor],3),-3)</f>
        <v>0</v>
      </c>
      <c r="DH119" s="60">
        <f ca="1">tblBaseCF[[#This Row],[QuarterlyEMLoad]]+tblBaseCF[[#This Row],[QuarterlyPMLoad]]</f>
        <v>0</v>
      </c>
      <c r="DI119" s="60">
        <f ca="1">tblBaseCF[[#This Row],[QuarterlyTP]]+tblBaseCF[[#This Row],[QuarterlyEP]]+tblBaseCF[[#This Row],[QuarterlyLoad]]</f>
        <v>0</v>
      </c>
      <c r="DJ119" s="59">
        <f ca="1">INDEX(tblPlanPrem[TP],4)
*tblBaseCF[[#This Row],[TPTermFlag]]</f>
        <v>0</v>
      </c>
      <c r="DK119" s="59">
        <f ca="1">INDEX(tblPlanPrem[EP],4)
*tblBaseCF[[#This Row],[TPTermFlag]]</f>
        <v>0</v>
      </c>
      <c r="DL119" s="63">
        <f ca="1">ROUNDUP(tblBaseCF[[#This Row],[UnroundedEMLoad]]*INDEX(tblPlanPrem[Factor],4),-3)</f>
        <v>0</v>
      </c>
      <c r="DM119" s="63">
        <f ca="1">ROUNDUP(tblBaseCF[[#This Row],[UnroundedPMLoad]]*INDEX(tblPlanPrem[Factor],4),-3)</f>
        <v>0</v>
      </c>
      <c r="DN119" s="60">
        <f ca="1">tblBaseCF[[#This Row],[MonthlyEMLoad]]+tblBaseCF[[#This Row],[MonthlyPMLoad]]</f>
        <v>0</v>
      </c>
      <c r="DO119" s="63">
        <f ca="1">tblBaseCF[[#This Row],[MonthlyTP]]+tblBaseCF[[#This Row],[MonthlyEP]]+tblBaseCF[[#This Row],[MonthlyLoad]]</f>
        <v>0</v>
      </c>
      <c r="DP119" s="3"/>
      <c r="DS119">
        <f t="shared" si="11"/>
        <v>0</v>
      </c>
      <c r="DT119">
        <f t="shared" si="12"/>
        <v>0</v>
      </c>
      <c r="DU119">
        <f t="shared" si="13"/>
        <v>0</v>
      </c>
      <c r="DV119">
        <f ca="1">tblBaseCF[[#This Row],[Year]]</f>
        <v>99</v>
      </c>
      <c r="DW119">
        <f ca="1">tblBaseCF[[#This Row],[Age]]</f>
        <v>98</v>
      </c>
      <c r="DX119">
        <f ca="1">tblBaseCF[[#This Row],[ContFlag]]</f>
        <v>0</v>
      </c>
      <c r="DY119" t="str">
        <f ca="1">tblBaseCF[[#This Row],[ContLog]]</f>
        <v>Insufficient PAV for deduction - Discontinue.</v>
      </c>
      <c r="DZ119">
        <f ca="1">tblBaseCF[[#This Row],[StartTAV]]</f>
        <v>0</v>
      </c>
      <c r="EA119">
        <f ca="1">tblBaseCF[[#This Row],[StartEAV]]</f>
        <v>0</v>
      </c>
      <c r="EB119">
        <f ca="1">tblBaseCF[[#This Row],[StartPAV]]</f>
        <v>0</v>
      </c>
      <c r="EC119">
        <f ca="1">tblBaseCF[[#This Row],[SVChrg]]</f>
        <v>0</v>
      </c>
      <c r="ED119">
        <f ca="1">tblBaseCF[[#This Row],[SV]]</f>
        <v>0</v>
      </c>
      <c r="EE119">
        <f ca="1">tblBaseCF[[#This Row],[Ben]]</f>
        <v>0</v>
      </c>
      <c r="EF119">
        <f ca="1">tblBaseCF[[#This Row],[AccBen]]</f>
        <v>0</v>
      </c>
      <c r="EG119">
        <f ca="1">tblBaseCF[[#This Row],[WithdrawalInput]]</f>
        <v>0</v>
      </c>
      <c r="EH119" t="str">
        <f ca="1">tblBaseCF[[#This Row],[WithdrawalLog]]</f>
        <v>No withdrawal.</v>
      </c>
      <c r="EI119">
        <f ca="1">tblBaseCF[[#This Row],[TAVWithdrawal]]</f>
        <v>0</v>
      </c>
      <c r="EJ119">
        <f ca="1">tblBaseCF[[#This Row],[EAVWithdrawal]]</f>
        <v>0</v>
      </c>
      <c r="EK119">
        <f ca="1">tblBaseCF[[#This Row],[Withdrawal]]</f>
        <v>0</v>
      </c>
      <c r="EL119">
        <f ca="1">tblBaseCF[[#This Row],[TP]]</f>
        <v>0</v>
      </c>
      <c r="EM119">
        <f ca="1">tblBaseCF[[#This Row],[TPAllocChrg]]</f>
        <v>0</v>
      </c>
      <c r="EN119">
        <f ca="1">tblBaseCF[[#This Row],[TPAlloc]]</f>
        <v>0</v>
      </c>
      <c r="EO119">
        <f ca="1">tblBaseCF[[#This Row],[EP]]</f>
        <v>0</v>
      </c>
      <c r="EP119">
        <f ca="1">tblBaseCF[[#This Row],[EPAllocChrg]]</f>
        <v>0</v>
      </c>
      <c r="EQ119">
        <f ca="1">tblBaseCF[[#This Row],[EPAlloc]]</f>
        <v>0</v>
      </c>
      <c r="ER119">
        <f ca="1">tblBaseCF[[#This Row],[EMLoad]]</f>
        <v>0</v>
      </c>
      <c r="ES119">
        <f ca="1">tblBaseCF[[#This Row],[PMLoad]]</f>
        <v>0</v>
      </c>
      <c r="ET119">
        <f ca="1">tblBaseCF[[#This Row],[Load]]</f>
        <v>0</v>
      </c>
      <c r="EU119">
        <f ca="1">tblBaseCF[[#This Row],[LoadAllocChrg]]</f>
        <v>0</v>
      </c>
      <c r="EV119">
        <f ca="1">tblBaseCF[[#This Row],[LoadAlloc]]</f>
        <v>0</v>
      </c>
      <c r="EW119">
        <f ca="1">tblBaseCF[[#This Row],[TotalPrem]]</f>
        <v>0</v>
      </c>
      <c r="EX119">
        <f ca="1">tblBaseCF[[#This Row],[AllocChrg]]</f>
        <v>0</v>
      </c>
      <c r="EY119">
        <f ca="1">tblBaseCF[[#This Row],[Alloc]]</f>
        <v>0</v>
      </c>
      <c r="EZ119">
        <f ca="1">tblBaseCF[[#This Row],[AccumTotalPrem]]</f>
        <v>0</v>
      </c>
      <c r="FA119">
        <f>tblBaseCF[[#This Row],[AnnualIntRate]]</f>
        <v>0</v>
      </c>
      <c r="FB119" s="50">
        <f>tblBaseCF[[#This Row],[Duean1m12]]</f>
        <v>1</v>
      </c>
      <c r="FC119">
        <f ca="1">tblBaseCF[[#This Row],[DeductFlag]]</f>
        <v>0</v>
      </c>
      <c r="FD119">
        <f ca="1">tblBaseCF[[#This Row],[AdminChrg]]</f>
        <v>0</v>
      </c>
      <c r="FE119">
        <f ca="1">tblBaseCF[[#This Row],[StandardCOI]]</f>
        <v>0</v>
      </c>
      <c r="FF119">
        <f ca="1">tblBaseCF[[#This Row],[EMLoadCOI]]</f>
        <v>0</v>
      </c>
      <c r="FG119">
        <f ca="1">tblBaseCF[[#This Row],[PMLoadCOI]]</f>
        <v>0</v>
      </c>
      <c r="FH119">
        <f ca="1">tblBaseCF[[#This Row],[COI]]</f>
        <v>0</v>
      </c>
      <c r="FI119" s="47">
        <f ca="1">tblBaseCF[[#This Row],[NomDeduct]]</f>
        <v>0</v>
      </c>
      <c r="FJ119">
        <f ca="1">tblBaseCF[[#This Row],[Deduct]]</f>
        <v>0</v>
      </c>
      <c r="FK119">
        <f ca="1">tblBaseCF[[#This Row],[TAVDeduct]]</f>
        <v>0</v>
      </c>
      <c r="FL119">
        <f ca="1">tblBaseCF[[#This Row],[EAVDeduct]]</f>
        <v>0</v>
      </c>
      <c r="FM119" s="24">
        <f ca="1">tblBaseCF[[#This Row],[TAVInt]]</f>
        <v>0</v>
      </c>
      <c r="FN119">
        <f ca="1">tblBaseCF[[#This Row],[EAVInt]]</f>
        <v>0</v>
      </c>
      <c r="FO119" s="47">
        <f ca="1">tblBaseCF[[#This Row],[LB]]</f>
        <v>0</v>
      </c>
      <c r="FP119">
        <f ca="1">tblBaseCF[[#This Row],[SB]]</f>
        <v>0</v>
      </c>
      <c r="FQ119">
        <f ca="1">tblBaseCF[[#This Row],[Bonus]]</f>
        <v>0</v>
      </c>
      <c r="FR119">
        <f ca="1">tblBaseCF[[#This Row],[EndTAV]]</f>
        <v>0</v>
      </c>
      <c r="FS119">
        <f ca="1">tblBaseCF[[#This Row],[EndEAV]]</f>
        <v>0</v>
      </c>
      <c r="FT119">
        <f ca="1">tblBaseCF[[#This Row],[EndPAV]]</f>
        <v>0</v>
      </c>
      <c r="FU119">
        <f ca="1">tblBaseCF[[#This Row],[SemiAnnualTP]]</f>
        <v>0</v>
      </c>
      <c r="FV119">
        <f ca="1">tblBaseCF[[#This Row],[SemiAnnualEP]]</f>
        <v>0</v>
      </c>
      <c r="FW119">
        <f ca="1">tblBaseCF[[#This Row],[SemiAnnualEMLoad]]</f>
        <v>0</v>
      </c>
      <c r="FX119">
        <f ca="1">tblBaseCF[[#This Row],[SemiAnnualPMLoad]]</f>
        <v>0</v>
      </c>
      <c r="FY119">
        <f ca="1">tblBaseCF[[#This Row],[SemiAnnualLoad]]</f>
        <v>0</v>
      </c>
      <c r="FZ119">
        <f ca="1">tblBaseCF[[#This Row],[SemiAnnualTotalPrem]]</f>
        <v>0</v>
      </c>
      <c r="GA119">
        <f ca="1">tblBaseCF[[#This Row],[QuarterlyTP]]</f>
        <v>0</v>
      </c>
      <c r="GB119">
        <f ca="1">tblBaseCF[[#This Row],[QuarterlyEP]]</f>
        <v>0</v>
      </c>
      <c r="GC119">
        <f ca="1">tblBaseCF[[#This Row],[QuarterlyEMLoad]]</f>
        <v>0</v>
      </c>
      <c r="GD119">
        <f ca="1">tblBaseCF[[#This Row],[QuarterlyPMLoad]]</f>
        <v>0</v>
      </c>
      <c r="GE119">
        <f ca="1">tblBaseCF[[#This Row],[QuarterlyLoad]]</f>
        <v>0</v>
      </c>
      <c r="GF119">
        <f ca="1">tblBaseCF[[#This Row],[QuarterlyTotalPrem]]</f>
        <v>0</v>
      </c>
      <c r="GG119">
        <f ca="1">tblBaseCF[[#This Row],[MonthlyTP]]</f>
        <v>0</v>
      </c>
      <c r="GH119">
        <f ca="1">tblBaseCF[[#This Row],[MonthlyEP]]</f>
        <v>0</v>
      </c>
      <c r="GI119">
        <f ca="1">tblBaseCF[[#This Row],[MonthlyEMLoad]]</f>
        <v>0</v>
      </c>
      <c r="GJ119">
        <f ca="1">tblBaseCF[[#This Row],[MonthlyPMLoad]]</f>
        <v>0</v>
      </c>
      <c r="GK119">
        <f ca="1">tblBaseCF[[#This Row],[MonthlyLoad]]</f>
        <v>0</v>
      </c>
      <c r="GL119">
        <f ca="1">tblBaseCF[[#This Row],[MonthlyTotalPrem]]</f>
        <v>0</v>
      </c>
      <c r="GO119" t="s">
        <v>134</v>
      </c>
      <c r="GP119" t="s">
        <v>135</v>
      </c>
      <c r="GQ119" t="s">
        <v>502</v>
      </c>
      <c r="GR119">
        <v>99</v>
      </c>
      <c r="GS119">
        <v>98</v>
      </c>
      <c r="GT119">
        <v>1</v>
      </c>
      <c r="GU119" t="s">
        <v>457</v>
      </c>
      <c r="GV119">
        <v>3577464111.4860501</v>
      </c>
      <c r="GW119">
        <v>31459427136.3564</v>
      </c>
      <c r="GX119">
        <v>35036891247.842499</v>
      </c>
      <c r="GY119">
        <v>0</v>
      </c>
      <c r="GZ119">
        <v>35036891247.842499</v>
      </c>
      <c r="HA119">
        <v>35036891247.842499</v>
      </c>
      <c r="HB119">
        <v>0</v>
      </c>
      <c r="HC119">
        <v>0</v>
      </c>
      <c r="HD119" t="s">
        <v>137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7.0000000000000007E-2</v>
      </c>
      <c r="HX119">
        <v>0.96964931039809399</v>
      </c>
      <c r="HY119">
        <v>1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250422487.80402401</v>
      </c>
      <c r="IJ119">
        <v>2202159899.54495</v>
      </c>
      <c r="IK119">
        <v>0</v>
      </c>
      <c r="IL119">
        <v>0</v>
      </c>
      <c r="IM119">
        <v>0</v>
      </c>
      <c r="IN119">
        <v>3827886599.2900701</v>
      </c>
      <c r="IO119">
        <v>33661587035.901402</v>
      </c>
      <c r="IP119">
        <v>37489473635.191498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</row>
    <row r="120" spans="2:268" customFormat="1" x14ac:dyDescent="0.25">
      <c r="B120" s="2">
        <f ca="1">OFFSET(tblBaseCF[[#This Row],[Year]],-1,0)+1</f>
        <v>100</v>
      </c>
      <c r="C120" s="2">
        <f ca="1">(tblBaseCF[[#This Row],[Year]]&lt;=term)*1</f>
        <v>1</v>
      </c>
      <c r="D120" s="57">
        <f ca="1">(YEAR(rcd)+tblBaseCF[[#This Row],[Year]]-1)
*tblBaseCF[[#This Row],[PolTermFlag]]</f>
        <v>2124</v>
      </c>
      <c r="E120" s="57">
        <f ca="1">(mainLI_entry_age+tblBaseCF[[#This Row],[Year]]-1)
*tblBaseCF[[#This Row],[PolTermFlag]]</f>
        <v>99</v>
      </c>
      <c r="F120" s="57">
        <f ca="1">IF(tblBaseCF[[#This Row],[Year]]=1,1,OFFSET(tblBaseCF[[#This Row],[DeductFlag]],-1,0))
*tblBaseCF[[#This Row],[PolTermFlag]]</f>
        <v>0</v>
      </c>
      <c r="G120" s="58" t="str">
        <f ca="1">IF(tblBaseCF[[#This Row],[Year]]=1,"First year - Guaranteed to continue.",
IF(tblBaseCF[[#This Row],[PolTermFlag]]=1,IF(tblBaseCF[[#This Row],[ContFlag]]=0,"Insufficient PAV for deduction - Discontinue.","Continue."),"End of policy term."))</f>
        <v>Insufficient PAV for deduction - Discontinue.</v>
      </c>
      <c r="H120" s="57">
        <f ca="1">(tblBaseCF[[#This Row],[Year]]&lt;=acc_ben_term)
*tblBaseCF[[#This Row],[ContFlag]]</f>
        <v>0</v>
      </c>
      <c r="I120" s="57">
        <f ca="1">(tblBaseCF[[#This Row],[Year]]&lt;=tp_term)
*tblBaseCF[[#This Row],[ContFlag]]</f>
        <v>0</v>
      </c>
      <c r="J120" s="57">
        <f ca="1">(tblBaseCF[[#This Row],[Year]]&lt;=ep_term)
*tblBaseCF[[#This Row],[ContFlag]]</f>
        <v>0</v>
      </c>
      <c r="K120" s="57">
        <f ca="1">(tblBaseCF[[#This Row],[Year]]&lt;=em_load_term)*1</f>
        <v>0</v>
      </c>
      <c r="L120" s="57">
        <f ca="1">(tblBaseCF[[#This Row],[Year]]&lt;=pm_load_term)*1</f>
        <v>0</v>
      </c>
      <c r="M120" s="59">
        <f ca="1">IF(tblBaseCF[[#This Row],[Year]]=1,si,OFFSET(tblBaseCF[[#This Row],[EndSI]],-1,0))
*tblBaseCF[[#This Row],[ContFlag]]</f>
        <v>0</v>
      </c>
      <c r="N120" s="59">
        <f ca="1">OFFSET(tblBaseCF[[#This Row],[EndTAV]],-1,0)
*tblBaseCF[[#This Row],[ContFlag]]</f>
        <v>0</v>
      </c>
      <c r="O120" s="59">
        <f ca="1">OFFSET(tblBaseCF[[#This Row],[EndEAV]],-1,0)
*tblBaseCF[[#This Row],[ContFlag]]</f>
        <v>0</v>
      </c>
      <c r="P120" s="60">
        <f ca="1">tblBaseCF[[#This Row],[StartEAV]]+tblBaseCF[[#This Row],[StartTAV]]</f>
        <v>0</v>
      </c>
      <c r="Q120" s="61">
        <f ca="1">IFERROR(INDEX(tblJuvenileLienRate[Rate],MATCH(tblBaseCF[[#This Row],[Age]],tblJuvenileLienRate[Age],0)),1)
*tblBaseCF[[#This Row],[ContFlag]]</f>
        <v>0</v>
      </c>
      <c r="R120" s="62">
        <f ca="1">IF(death_tpd_option="A",MAX(tblBaseCF[[#This Row],[StartPAV]],tblBaseCF[[#This Row],[StartSI]]),tblBaseCF[[#This Row],[StartSI]]+tblBaseCF[[#This Row],[StartPAV]])
*tblBaseCF[[#This Row],[JuvenileLienRate]]</f>
        <v>0</v>
      </c>
      <c r="S120" s="62">
        <f ca="1">tblBaseCF[[#This Row],[StartSI]]*acc_ben_coeff*tblBaseCF[[#This Row],[JuvenileLienRate]]
*tblBaseCF[[#This Row],[AccBenTermFlag]]</f>
        <v>0</v>
      </c>
      <c r="T120" s="61">
        <f ca="1">(IFERROR(INDEX(tblSurrChrgRate[Rate],MATCH(tblBaseCF[[#This Row],[Year]],tblSurrChrgRate[Year],0)),0)
*tblBaseCF[[#This Row],[ContFlag]])</f>
        <v>0</v>
      </c>
      <c r="U120" s="60">
        <f ca="1">tp*tblBaseCF[[#This Row],[SrrChrgRate]]</f>
        <v>0</v>
      </c>
      <c r="V120" s="63">
        <f ca="1">MAX(tblBaseCF[[#This Row],[StartTAV]]-tblBaseCF[[#This Row],[SVChrg]],0)+tblBaseCF[[#This Row],[StartEAV]]</f>
        <v>0</v>
      </c>
      <c r="W120" s="59">
        <f ca="1">IFERROR(INDEX(tblWithdrawal_Output[Amount],MATCH(tblBaseCF[[#This Row],[Year]],tblWithdrawal_Output[Year],0)),0)
*tblBaseCF[[#This Row],[ContFlag]]</f>
        <v>0</v>
      </c>
      <c r="X120" s="59" t="b">
        <f ca="1">tblBaseCF[[#This Row],[WithdrawalInput]]&gt;0</f>
        <v>0</v>
      </c>
      <c r="Y120" s="59" t="b">
        <f ca="1">AND(tblBaseCF[[#This Row],[1stCheckProceed]],tblBaseCF[[#This Row],[WithdrawalInput]]&lt;=tblBaseCF[[#This Row],[StartPAV]])</f>
        <v>0</v>
      </c>
      <c r="Z120" s="59" t="b">
        <f ca="1">AND(tblBaseCF[[#This Row],[2ndCheckAmount]],(tblBaseCF[[#This Row],[StartPAV]]-tblBaseCF[[#This Row],[WithdrawalInput]])&gt;=min_pav_after_withdrawal)</f>
        <v>0</v>
      </c>
      <c r="AA120" s="59">
        <f ca="1">IF(death_tpd_option="A",tblBaseCF[[#This Row],[StartSI]], MAX(tblBaseCF[[#This Row],[StartPAV]],tblBaseCF[[#This Row],[StartSI]])-tblBaseCF[[#This Row],[WithdrawalInput]])
*tblBaseCF[[#This Row],[3rdCheckPAV]]</f>
        <v>0</v>
      </c>
      <c r="AB120" s="59" t="b">
        <f ca="1">AND(tblBaseCF[[#This Row],[3rdCheckPAV]],tblBaseCF[[#This Row],[endSITest]]&gt;=min_base_si)</f>
        <v>0</v>
      </c>
      <c r="AC120" s="60">
        <f ca="1">tblBaseCF[[#This Row],[WithdrawalInput]]*tblBaseCF[[#This Row],[4thCheckSI]]</f>
        <v>0</v>
      </c>
      <c r="AD120" s="60">
        <f ca="1">MIN(tblBaseCF[[#This Row],[Withdrawal]],tblBaseCF[[#This Row],[StartEAV]])</f>
        <v>0</v>
      </c>
      <c r="AE120" s="60">
        <f ca="1">tblBaseCF[[#This Row],[Withdrawal]]-tblBaseCF[[#This Row],[EAVWithdrawal]]</f>
        <v>0</v>
      </c>
      <c r="AF120" s="60">
        <f ca="1">IF(tblBaseCF[[#This Row],[4thCheckSI]],tblBaseCF[[#This Row],[endSITest]],tblBaseCF[[#This Row],[StartSI]])</f>
        <v>0</v>
      </c>
      <c r="AG120" s="71" t="str">
        <f ca="1">IF(NOT(tblBaseCF[[#This Row],[1stCheckProceed]]),"No withdrawal.",
IF(NOT(tblBaseCF[[#This Row],[2ndCheckAmount]]),"Withdrawal amount exceeds policy account value.",
IF(NOT(tblBaseCF[[#This Row],[3rdCheckPAV]]),"After withdrawal, end PAV is below acceptable limit.",
IF(NOT(tblBaseCF[[#This Row],[4thCheckSI]]),"After withdrawal, end SI is below acceptable limit.","Successfully withdraw."))))</f>
        <v>No withdrawal.</v>
      </c>
      <c r="AH120" s="65">
        <f ca="1">IFERROR(INDEX(tblTPAllocChrgRate[Rate],MATCH(tblBaseCF[[#This Row],[Year]],tblTPAllocChrgRate[Year],0)),0)</f>
        <v>0.02</v>
      </c>
      <c r="AI120" s="62">
        <f ca="1">(tp+big_case_bonus_tp*(tblBaseCF[[#This Row],[Year]]=1))
*tblBaseCF[[#This Row],[TPTermFlag]]</f>
        <v>0</v>
      </c>
      <c r="AJ120" s="63">
        <f ca="1">tblBaseCF[[#This Row],[TP]]*tblBaseCF[[#This Row],[TPAllocChrgRate]]</f>
        <v>0</v>
      </c>
      <c r="AK120" s="60">
        <f ca="1">tblBaseCF[[#This Row],[TP]]-tblBaseCF[[#This Row],[TPAllocChrg]]</f>
        <v>0</v>
      </c>
      <c r="AL120" s="65">
        <f ca="1">IFERROR(INDEX(tblEPAllocChrgRate[Rate],MATCH(tblBaseCF[[#This Row],[Year]],tblEPAllocChrgRate[Year],0)),0)</f>
        <v>0.02</v>
      </c>
      <c r="AM120" s="60">
        <f ca="1">ep*tblBaseCF[[#This Row],[EPTermFlag]]</f>
        <v>0</v>
      </c>
      <c r="AN120" s="60">
        <f ca="1">tblBaseCF[[#This Row],[EP]]*tblBaseCF[[#This Row],[EPAllocChrgRate]]</f>
        <v>0</v>
      </c>
      <c r="AO120" s="63">
        <f ca="1">tblBaseCF[[#This Row],[EP]]-tblBaseCF[[#This Row],[EPAllocChrg]]</f>
        <v>0</v>
      </c>
      <c r="AP120" s="62">
        <f ca="1">tblBaseCF[[#This Row],[Ben]]*extra_prem_rate*em_load/1000/(1-tblBaseCF[[#This Row],[EPAllocChrgRate]])
*tblBaseCF[[#This Row],[EMLoadTermFlag]]</f>
        <v>0</v>
      </c>
      <c r="AQ120" s="62">
        <f ca="1">tblBaseCF[[#This Row],[Ben]]*pm_load/1000/(1-tblBaseCF[[#This Row],[EPAllocChrgRate]])
*tblBaseCF[[#This Row],[PMLoadTermFlag]]</f>
        <v>0</v>
      </c>
      <c r="AR120" s="60">
        <f ca="1">ROUNDUP(tblBaseCF[[#This Row],[UnroundedEMLoad]],-3)</f>
        <v>0</v>
      </c>
      <c r="AS120" s="62">
        <f ca="1">ROUNDUP(tblBaseCF[[#This Row],[Ben]]*pm_load/1000/(1-tblBaseCF[[#This Row],[EPAllocChrgRate]]),-3)
*tblBaseCF[[#This Row],[PMLoadTermFlag]]</f>
        <v>0</v>
      </c>
      <c r="AT120" s="60">
        <f ca="1">tblBaseCF[[#This Row],[EMLoad]]+tblBaseCF[[#This Row],[PMLoad]]</f>
        <v>0</v>
      </c>
      <c r="AU120" s="60">
        <f ca="1">tblBaseCF[[#This Row],[Load]]*tblBaseCF[[#This Row],[EPAllocChrgRate]]</f>
        <v>0</v>
      </c>
      <c r="AV120" s="60">
        <f ca="1">tblBaseCF[[#This Row],[Load]]-tblBaseCF[[#This Row],[LoadAllocChrg]]</f>
        <v>0</v>
      </c>
      <c r="AW120" s="60">
        <f ca="1">tblBaseCF[[#This Row],[TP]]+tblBaseCF[[#This Row],[EP]]+tblBaseCF[[#This Row],[Load]]</f>
        <v>0</v>
      </c>
      <c r="AX120" s="60">
        <f ca="1">tblBaseCF[[#This Row],[TPAllocChrg]]+tblBaseCF[[#This Row],[EPAllocChrg]]+tblBaseCF[[#This Row],[LoadAllocChrg]]</f>
        <v>0</v>
      </c>
      <c r="AY120" s="60">
        <f ca="1">tblBaseCF[[#This Row],[TPAlloc]]+tblBaseCF[[#This Row],[EPAlloc]]+tblBaseCF[[#This Row],[LoadAlloc]]</f>
        <v>0</v>
      </c>
      <c r="AZ120" s="60">
        <f ca="1">(OFFSET(tblBaseCF[[#This Row],[AccumTotalPrem]],-1,0)+tblBaseCF[[#This Row],[TotalPrem]])*tblBaseCF[[#This Row],[TPTermFlag]]</f>
        <v>0</v>
      </c>
      <c r="BA120" s="62">
        <f ca="1">(tblBaseCF[[#This Row],[StartTAV]]-tblBaseCF[[#This Row],[TAVWithdrawal]]+tblBaseCF[[#This Row],[TPAlloc]])
*tblBaseCF[[#This Row],[ContFlag]]</f>
        <v>0</v>
      </c>
      <c r="BB120" s="59">
        <f ca="1">(tblBaseCF[[#This Row],[StartEAV]]-tblBaseCF[[#This Row],[EAVWithdrawal]]+tblBaseCF[[#This Row],[EPAlloc]]+tblBaseCF[[#This Row],[LoadAlloc]])
*tblBaseCF[[#This Row],[ContFlag]]</f>
        <v>0</v>
      </c>
      <c r="BC120" s="59">
        <f ca="1">tblBaseCF[[#This Row],[TAVAfterWdrlAlloc]]+tblBaseCF[[#This Row],[EAVAfterWdrlAlloc]]</f>
        <v>0</v>
      </c>
      <c r="BD120" s="66">
        <f t="shared" si="10"/>
        <v>0</v>
      </c>
      <c r="BE120" s="67">
        <f>(1+tblBaseCF[[#This Row],[AnnualIntRate]])^(1/12)-1</f>
        <v>0</v>
      </c>
      <c r="BF120" s="68">
        <f>IFERROR(((1+tblBaseCF[[#This Row],[MonthlyIntRate]])^12-1)/12/(1-1/(1+tblBaseCF[[#This Row],[MonthlyIntRate]])),1)/(1+tblBaseCF[[#This Row],[AnnualIntRate]])</f>
        <v>1</v>
      </c>
      <c r="BG120" s="69">
        <f>PV(tblBaseCF[[#This Row],[MonthlyIntRate]],12,-1/12,,1)</f>
        <v>1</v>
      </c>
      <c r="BH120" s="60">
        <f ca="1">MAX(IF(death_tpd_option="A",tblBaseCF[[#This Row],[Ben]]-tblBaseCF[[#This Row],[StartPAV]],tblBaseCF[[#This Row],[Ben]]),0)</f>
        <v>0</v>
      </c>
      <c r="BI120" s="70">
        <f ca="1">IFERROR(INDEX(tblBaseCOIRate[Rate],MATCH(tblBaseCF[[#This Row],[Age]],tblBaseCOIRate[Age],0)),0)</f>
        <v>1</v>
      </c>
      <c r="BJ120" s="60">
        <f ca="1">tblBaseCF[[#This Row],[SAR]]*tblBaseCF[[#This Row],[COIRate]]</f>
        <v>0</v>
      </c>
      <c r="BK120" s="62">
        <f ca="1">em_load*tblBaseCF[[#This Row],[pStandardCOI]]
*tblBaseCF[[#This Row],[EMLoadTermFlag]]</f>
        <v>0</v>
      </c>
      <c r="BL120" s="62">
        <f ca="1">pm_load/1000*tblBaseCF[[#This Row],[SAR]]
*tblBaseCF[[#This Row],[PMLoadTermFlag]]</f>
        <v>0</v>
      </c>
      <c r="BM120" s="60">
        <f ca="1">tblBaseCF[[#This Row],[AccBen]]*monthly_acc_coi*12</f>
        <v>0</v>
      </c>
      <c r="BN120" s="60">
        <f ca="1">tblBaseCF[[#This Row],[pStandardCOI]]+tblBaseCF[[#This Row],[pEMLoadCOI]]+tblBaseCF[[#This Row],[pPMLoadCOI]]+tblBaseCF[[#This Row],[pAccCOI]]</f>
        <v>0</v>
      </c>
      <c r="BO120" s="62">
        <f ca="1">IFERROR(INDEX(tblAdminChrg[Amount],MATCH(tblBaseCF[[#This Row],[CalYear]],tblAdminChrg[Cal_Year],0)),0)
*tblBaseCF[[#This Row],[ContFlag]]</f>
        <v>0</v>
      </c>
      <c r="BP120" s="60">
        <f ca="1">tblBaseCF[[#This Row],[pMonthlyAdminChrg]]*12</f>
        <v>0</v>
      </c>
      <c r="BQ120" s="60">
        <f ca="1">tblBaseCF[[#This Row],[pCOI]]+tblBaseCF[[#This Row],[pAdminChrg]]</f>
        <v>0</v>
      </c>
      <c r="BR120" s="60">
        <f ca="1">tblBaseCF[[#This Row],[pNomDeduct]]*tblBaseCF[[#This Row],[Duean1m12]]</f>
        <v>0</v>
      </c>
      <c r="BS120" s="57">
        <f ca="1">(tblBaseCF[[#This Row],[PAVAfterWdrlAlloc]]&gt;=tblBaseCF[[#This Row],[pNomDeduct]])
*tblBaseCF[[#This Row],[ContFlag]]</f>
        <v>0</v>
      </c>
      <c r="BT120" s="60">
        <f ca="1">tblBaseCF[[#This Row],[pStandardCOI]]*tblBaseCF[[#This Row],[DeductFlag]]</f>
        <v>0</v>
      </c>
      <c r="BU120" s="60">
        <f ca="1">tblBaseCF[[#This Row],[pEMLoadCOI]]*tblBaseCF[[#This Row],[DeductFlag]]</f>
        <v>0</v>
      </c>
      <c r="BV120" s="60">
        <f ca="1">tblBaseCF[[#This Row],[pPMLoadCOI]]*tblBaseCF[[#This Row],[DeductFlag]]</f>
        <v>0</v>
      </c>
      <c r="BW120" s="60">
        <f ca="1">tblBaseCF[[#This Row],[pAccCOI]]*tblBaseCF[[#This Row],[DeductFlag]]</f>
        <v>0</v>
      </c>
      <c r="BX120" s="60">
        <f ca="1">tblBaseCF[[#This Row],[pCOI]]*tblBaseCF[[#This Row],[DeductFlag]]</f>
        <v>0</v>
      </c>
      <c r="BY120" s="60">
        <f ca="1">tblBaseCF[[#This Row],[pMonthlyAdminChrg]]*tblBaseCF[[#This Row],[DeductFlag]]</f>
        <v>0</v>
      </c>
      <c r="BZ120" s="60">
        <f ca="1">tblBaseCF[[#This Row],[pAdminChrg]]*tblBaseCF[[#This Row],[DeductFlag]]</f>
        <v>0</v>
      </c>
      <c r="CA120" s="60">
        <f ca="1">tblBaseCF[[#This Row],[pNomDeduct]]*tblBaseCF[[#This Row],[DeductFlag]]</f>
        <v>0</v>
      </c>
      <c r="CB120" s="60">
        <f ca="1">tblBaseCF[[#This Row],[pDeduct]]*tblBaseCF[[#This Row],[DeductFlag]]</f>
        <v>0</v>
      </c>
      <c r="CC120" s="60">
        <f ca="1">MIN(tblBaseCF[[#This Row],[TAVAfterWdrlAlloc]],tblBaseCF[[#This Row],[Deduct]])</f>
        <v>0</v>
      </c>
      <c r="CD120" s="60">
        <f ca="1">tblBaseCF[[#This Row],[Deduct]]-tblBaseCF[[#This Row],[TAVDeduct]]</f>
        <v>0</v>
      </c>
      <c r="CE120" s="69">
        <f ca="1">(tblBaseCF[[#This Row],[TAVAfterWdrlAlloc]]-tblBaseCF[[#This Row],[TAVDeduct]])*tblBaseCF[[#This Row],[AnnualIntRate]]
*tblBaseCF[[#This Row],[DeductFlag]]</f>
        <v>0</v>
      </c>
      <c r="CF120" s="69">
        <f ca="1">(tblBaseCF[[#This Row],[EAVAfterWdrlAlloc]]-tblBaseCF[[#This Row],[EAVDeduct]])*tblBaseCF[[#This Row],[AnnualIntRate]]
*tblBaseCF[[#This Row],[DeductFlag]]</f>
        <v>0</v>
      </c>
      <c r="CG120" s="69">
        <f ca="1">tblBaseCF[[#This Row],[TAVInt]]+tblBaseCF[[#This Row],[EAVInt]]</f>
        <v>0</v>
      </c>
      <c r="CH120" s="62">
        <f ca="1">IFERROR(INDEX(tblLBRate[Rate],MATCH(tblBaseCF[[#This Row],[Year]],tblLBRate[Year],0)),0)
*tblBaseCF[[#This Row],[DeductFlag]]</f>
        <v>0</v>
      </c>
      <c r="CI120" s="60">
        <f ca="1">IFERROR(SUM(OFFSET(tblBaseCF[[#This Row],[TAVWithdrawal]],0,0,-lb_review_period,1)),0)
*(tblBaseCF[[#This Row],[LBRate]]&gt;0)</f>
        <v>0</v>
      </c>
      <c r="CJ120" s="60">
        <f ca="1">(tblBaseCF[[#This Row],[LBRate]]&gt;0)*(tblBaseCF[[#This Row],[LBTAVWithdrawal]]=0)</f>
        <v>0</v>
      </c>
      <c r="CK120" s="62" cm="1">
        <f t="array" aca="1" ref="CK120" ca="1">IF(tblBaseCF[[#This Row],[LBFlag]],
_xlfn.SWITCH(base,
"ILP1",AVERAGE(OFFSET(tblBaseCF[TP],0,0,-lb_review_period,1)),tp),0)
*tblBaseCF[[#This Row],[LBFlag]]</f>
        <v>0</v>
      </c>
      <c r="CL120" s="62">
        <f ca="1">tblBaseCF[[#This Row],[LBBasis]]*tblBaseCF[[#This Row],[LBRate]]</f>
        <v>0</v>
      </c>
      <c r="CM120" s="57" cm="1">
        <f t="array" aca="1" ref="CM120" ca="1">_xlfn.SWITCH(base,
"ILP1",0,($AF220&lt;500000000)*1
+($AF220&gt;=500000000)*($AF220&lt;1000000000)*2
+($AF220&gt;=1000000000)*3)
*tblBaseCF[[#This Row],[DeductFlag]]</f>
        <v>0</v>
      </c>
      <c r="CN120" s="2" t="str">
        <f ca="1">IF(tblBaseCF[[#This Row],[DeductFlag]],base&amp;"_"&amp;tblBaseCF[[#This Row],[SBCode]]&amp;"_"&amp;tblBaseCF[[#This Row],[Year]],"")</f>
        <v/>
      </c>
      <c r="CO120" s="3">
        <f ca="1">IFERROR(INDEX(tblSBRate[Index],MATCH(tblBaseCF[[#This Row],[SBIndex]],tblSBRate[Rate],0)),0)</f>
        <v>0</v>
      </c>
      <c r="CP120" s="63">
        <f ca="1">IFERROR(SUM(OFFSET(tblBaseCF[[#This Row],[TAVWithdrawal]],0,0,-sb_review_period,1)),0)
*(tblBaseCF[[#This Row],[SBRate]]&gt;0)</f>
        <v>0</v>
      </c>
      <c r="CQ120" s="63">
        <f ca="1">(tblBaseCF[[#This Row],[SBRate]]&gt;0)*(tblBaseCF[[#This Row],[SBTAVWithdrawal]]=0)</f>
        <v>0</v>
      </c>
      <c r="CR120" s="59" cm="1">
        <f t="array" aca="1" ref="CR120" ca="1">IF(tblBaseCF[[#This Row],[LBFlag]],
_xlfn.SWITCH(base,
"ILP1",0,tp),0)*tblBaseCF[[#This Row],[SBFlag]]</f>
        <v>0</v>
      </c>
      <c r="CS120" s="63">
        <f ca="1">tblBaseCF[[#This Row],[SBBasis]]*tblBaseCF[[#This Row],[SBRate]]</f>
        <v>0</v>
      </c>
      <c r="CT120" s="63">
        <f ca="1">tblBaseCF[[#This Row],[LB]]+tblBaseCF[[#This Row],[SB]]</f>
        <v>0</v>
      </c>
      <c r="CU120" s="59">
        <f ca="1">tblBaseCF[[#This Row],[TAVAfterWdrlAlloc]]-tblBaseCF[[#This Row],[TAVDeduct]]+tblBaseCF[[#This Row],[TAVInt]]+tblBaseCF[[#This Row],[Bonus]]</f>
        <v>0</v>
      </c>
      <c r="CV120" s="59">
        <f ca="1">tblBaseCF[[#This Row],[EAVAfterWdrlAlloc]]-tblBaseCF[[#This Row],[EAVDeduct]]+tblBaseCF[[#This Row],[EAVInt]]</f>
        <v>0</v>
      </c>
      <c r="CW120" s="63">
        <f ca="1">tblBaseCF[[#This Row],[EndTAV]]+tblBaseCF[[#This Row],[EndEAV]]</f>
        <v>0</v>
      </c>
      <c r="CX120" s="59">
        <f ca="1">INDEX(tblPlanPrem[TP],2)
*tblBaseCF[[#This Row],[TPTermFlag]]</f>
        <v>0</v>
      </c>
      <c r="CY120" s="59">
        <f ca="1">INDEX(tblPlanPrem[EP],2)
*tblBaseCF[[#This Row],[TPTermFlag]]</f>
        <v>0</v>
      </c>
      <c r="CZ120" s="63">
        <f ca="1">ROUNDUP(tblBaseCF[[#This Row],[UnroundedEMLoad]]*INDEX(tblPlanPrem[Factor],2),-3)</f>
        <v>0</v>
      </c>
      <c r="DA120" s="63">
        <f ca="1">ROUNDUP(tblBaseCF[[#This Row],[UnroundedPMLoad]]*INDEX(tblPlanPrem[Factor],2),-3)</f>
        <v>0</v>
      </c>
      <c r="DB120" s="63">
        <f ca="1">tblBaseCF[[#This Row],[SemiAnnualEMLoad]]+tblBaseCF[[#This Row],[SemiAnnualPMLoad]]</f>
        <v>0</v>
      </c>
      <c r="DC120" s="63">
        <f ca="1">tblBaseCF[[#This Row],[SemiAnnualTP]]+tblBaseCF[[#This Row],[SemiAnnualEP]]+tblBaseCF[[#This Row],[SemiAnnualLoad]]</f>
        <v>0</v>
      </c>
      <c r="DD120" s="59">
        <f ca="1">INDEX(tblPlanPrem[TP],3)
*tblBaseCF[[#This Row],[TPTermFlag]]</f>
        <v>0</v>
      </c>
      <c r="DE120" s="59">
        <f ca="1">INDEX(tblPlanPrem[EP],3)
*tblBaseCF[[#This Row],[TPTermFlag]]</f>
        <v>0</v>
      </c>
      <c r="DF120" s="63">
        <f ca="1">ROUNDUP(tblBaseCF[[#This Row],[UnroundedEMLoad]]*INDEX(tblPlanPrem[Factor],3),-3)</f>
        <v>0</v>
      </c>
      <c r="DG120" s="63">
        <f ca="1">ROUNDUP(tblBaseCF[[#This Row],[UnroundedPMLoad]]*INDEX(tblPlanPrem[Factor],3),-3)</f>
        <v>0</v>
      </c>
      <c r="DH120" s="60">
        <f ca="1">tblBaseCF[[#This Row],[QuarterlyEMLoad]]+tblBaseCF[[#This Row],[QuarterlyPMLoad]]</f>
        <v>0</v>
      </c>
      <c r="DI120" s="60">
        <f ca="1">tblBaseCF[[#This Row],[QuarterlyTP]]+tblBaseCF[[#This Row],[QuarterlyEP]]+tblBaseCF[[#This Row],[QuarterlyLoad]]</f>
        <v>0</v>
      </c>
      <c r="DJ120" s="59">
        <f ca="1">INDEX(tblPlanPrem[TP],4)
*tblBaseCF[[#This Row],[TPTermFlag]]</f>
        <v>0</v>
      </c>
      <c r="DK120" s="59">
        <f ca="1">INDEX(tblPlanPrem[EP],4)
*tblBaseCF[[#This Row],[TPTermFlag]]</f>
        <v>0</v>
      </c>
      <c r="DL120" s="63">
        <f ca="1">ROUNDUP(tblBaseCF[[#This Row],[UnroundedEMLoad]]*INDEX(tblPlanPrem[Factor],4),-3)</f>
        <v>0</v>
      </c>
      <c r="DM120" s="63">
        <f ca="1">ROUNDUP(tblBaseCF[[#This Row],[UnroundedPMLoad]]*INDEX(tblPlanPrem[Factor],4),-3)</f>
        <v>0</v>
      </c>
      <c r="DN120" s="60">
        <f ca="1">tblBaseCF[[#This Row],[MonthlyEMLoad]]+tblBaseCF[[#This Row],[MonthlyPMLoad]]</f>
        <v>0</v>
      </c>
      <c r="DO120" s="63">
        <f ca="1">tblBaseCF[[#This Row],[MonthlyTP]]+tblBaseCF[[#This Row],[MonthlyEP]]+tblBaseCF[[#This Row],[MonthlyLoad]]</f>
        <v>0</v>
      </c>
      <c r="DP120" s="3"/>
      <c r="DS120">
        <f t="shared" si="11"/>
        <v>0</v>
      </c>
      <c r="DT120">
        <f t="shared" si="12"/>
        <v>0</v>
      </c>
      <c r="DU120">
        <f t="shared" si="13"/>
        <v>0</v>
      </c>
      <c r="DV120">
        <f ca="1">tblBaseCF[[#This Row],[Year]]</f>
        <v>100</v>
      </c>
      <c r="DW120">
        <f ca="1">tblBaseCF[[#This Row],[Age]]</f>
        <v>99</v>
      </c>
      <c r="DX120">
        <f ca="1">tblBaseCF[[#This Row],[ContFlag]]</f>
        <v>0</v>
      </c>
      <c r="DY120" t="str">
        <f ca="1">tblBaseCF[[#This Row],[ContLog]]</f>
        <v>Insufficient PAV for deduction - Discontinue.</v>
      </c>
      <c r="DZ120">
        <f ca="1">tblBaseCF[[#This Row],[StartTAV]]</f>
        <v>0</v>
      </c>
      <c r="EA120">
        <f ca="1">tblBaseCF[[#This Row],[StartEAV]]</f>
        <v>0</v>
      </c>
      <c r="EB120">
        <f ca="1">tblBaseCF[[#This Row],[StartPAV]]</f>
        <v>0</v>
      </c>
      <c r="EC120">
        <f ca="1">tblBaseCF[[#This Row],[SVChrg]]</f>
        <v>0</v>
      </c>
      <c r="ED120">
        <f ca="1">tblBaseCF[[#This Row],[SV]]</f>
        <v>0</v>
      </c>
      <c r="EE120">
        <f ca="1">tblBaseCF[[#This Row],[Ben]]</f>
        <v>0</v>
      </c>
      <c r="EF120">
        <f ca="1">tblBaseCF[[#This Row],[AccBen]]</f>
        <v>0</v>
      </c>
      <c r="EG120">
        <f ca="1">tblBaseCF[[#This Row],[WithdrawalInput]]</f>
        <v>0</v>
      </c>
      <c r="EH120" t="str">
        <f ca="1">tblBaseCF[[#This Row],[WithdrawalLog]]</f>
        <v>No withdrawal.</v>
      </c>
      <c r="EI120">
        <f ca="1">tblBaseCF[[#This Row],[TAVWithdrawal]]</f>
        <v>0</v>
      </c>
      <c r="EJ120">
        <f ca="1">tblBaseCF[[#This Row],[EAVWithdrawal]]</f>
        <v>0</v>
      </c>
      <c r="EK120">
        <f ca="1">tblBaseCF[[#This Row],[Withdrawal]]</f>
        <v>0</v>
      </c>
      <c r="EL120">
        <f ca="1">tblBaseCF[[#This Row],[TP]]</f>
        <v>0</v>
      </c>
      <c r="EM120">
        <f ca="1">tblBaseCF[[#This Row],[TPAllocChrg]]</f>
        <v>0</v>
      </c>
      <c r="EN120">
        <f ca="1">tblBaseCF[[#This Row],[TPAlloc]]</f>
        <v>0</v>
      </c>
      <c r="EO120">
        <f ca="1">tblBaseCF[[#This Row],[EP]]</f>
        <v>0</v>
      </c>
      <c r="EP120">
        <f ca="1">tblBaseCF[[#This Row],[EPAllocChrg]]</f>
        <v>0</v>
      </c>
      <c r="EQ120">
        <f ca="1">tblBaseCF[[#This Row],[EPAlloc]]</f>
        <v>0</v>
      </c>
      <c r="ER120">
        <f ca="1">tblBaseCF[[#This Row],[EMLoad]]</f>
        <v>0</v>
      </c>
      <c r="ES120">
        <f ca="1">tblBaseCF[[#This Row],[PMLoad]]</f>
        <v>0</v>
      </c>
      <c r="ET120">
        <f ca="1">tblBaseCF[[#This Row],[Load]]</f>
        <v>0</v>
      </c>
      <c r="EU120">
        <f ca="1">tblBaseCF[[#This Row],[LoadAllocChrg]]</f>
        <v>0</v>
      </c>
      <c r="EV120">
        <f ca="1">tblBaseCF[[#This Row],[LoadAlloc]]</f>
        <v>0</v>
      </c>
      <c r="EW120">
        <f ca="1">tblBaseCF[[#This Row],[TotalPrem]]</f>
        <v>0</v>
      </c>
      <c r="EX120">
        <f ca="1">tblBaseCF[[#This Row],[AllocChrg]]</f>
        <v>0</v>
      </c>
      <c r="EY120">
        <f ca="1">tblBaseCF[[#This Row],[Alloc]]</f>
        <v>0</v>
      </c>
      <c r="EZ120">
        <f ca="1">tblBaseCF[[#This Row],[AccumTotalPrem]]</f>
        <v>0</v>
      </c>
      <c r="FA120">
        <f>tblBaseCF[[#This Row],[AnnualIntRate]]</f>
        <v>0</v>
      </c>
      <c r="FB120" s="50">
        <f>tblBaseCF[[#This Row],[Duean1m12]]</f>
        <v>1</v>
      </c>
      <c r="FC120">
        <f ca="1">tblBaseCF[[#This Row],[DeductFlag]]</f>
        <v>0</v>
      </c>
      <c r="FD120">
        <f ca="1">tblBaseCF[[#This Row],[AdminChrg]]</f>
        <v>0</v>
      </c>
      <c r="FE120">
        <f ca="1">tblBaseCF[[#This Row],[StandardCOI]]</f>
        <v>0</v>
      </c>
      <c r="FF120">
        <f ca="1">tblBaseCF[[#This Row],[EMLoadCOI]]</f>
        <v>0</v>
      </c>
      <c r="FG120">
        <f ca="1">tblBaseCF[[#This Row],[PMLoadCOI]]</f>
        <v>0</v>
      </c>
      <c r="FH120">
        <f ca="1">tblBaseCF[[#This Row],[COI]]</f>
        <v>0</v>
      </c>
      <c r="FI120" s="47">
        <f ca="1">tblBaseCF[[#This Row],[NomDeduct]]</f>
        <v>0</v>
      </c>
      <c r="FJ120">
        <f ca="1">tblBaseCF[[#This Row],[Deduct]]</f>
        <v>0</v>
      </c>
      <c r="FK120">
        <f ca="1">tblBaseCF[[#This Row],[TAVDeduct]]</f>
        <v>0</v>
      </c>
      <c r="FL120">
        <f ca="1">tblBaseCF[[#This Row],[EAVDeduct]]</f>
        <v>0</v>
      </c>
      <c r="FM120" s="24">
        <f ca="1">tblBaseCF[[#This Row],[TAVInt]]</f>
        <v>0</v>
      </c>
      <c r="FN120">
        <f ca="1">tblBaseCF[[#This Row],[EAVInt]]</f>
        <v>0</v>
      </c>
      <c r="FO120" s="47">
        <f ca="1">tblBaseCF[[#This Row],[LB]]</f>
        <v>0</v>
      </c>
      <c r="FP120">
        <f ca="1">tblBaseCF[[#This Row],[SB]]</f>
        <v>0</v>
      </c>
      <c r="FQ120">
        <f ca="1">tblBaseCF[[#This Row],[Bonus]]</f>
        <v>0</v>
      </c>
      <c r="FR120">
        <f ca="1">tblBaseCF[[#This Row],[EndTAV]]</f>
        <v>0</v>
      </c>
      <c r="FS120">
        <f ca="1">tblBaseCF[[#This Row],[EndEAV]]</f>
        <v>0</v>
      </c>
      <c r="FT120">
        <f ca="1">tblBaseCF[[#This Row],[EndPAV]]</f>
        <v>0</v>
      </c>
      <c r="FU120">
        <f ca="1">tblBaseCF[[#This Row],[SemiAnnualTP]]</f>
        <v>0</v>
      </c>
      <c r="FV120">
        <f ca="1">tblBaseCF[[#This Row],[SemiAnnualEP]]</f>
        <v>0</v>
      </c>
      <c r="FW120">
        <f ca="1">tblBaseCF[[#This Row],[SemiAnnualEMLoad]]</f>
        <v>0</v>
      </c>
      <c r="FX120">
        <f ca="1">tblBaseCF[[#This Row],[SemiAnnualPMLoad]]</f>
        <v>0</v>
      </c>
      <c r="FY120">
        <f ca="1">tblBaseCF[[#This Row],[SemiAnnualLoad]]</f>
        <v>0</v>
      </c>
      <c r="FZ120">
        <f ca="1">tblBaseCF[[#This Row],[SemiAnnualTotalPrem]]</f>
        <v>0</v>
      </c>
      <c r="GA120">
        <f ca="1">tblBaseCF[[#This Row],[QuarterlyTP]]</f>
        <v>0</v>
      </c>
      <c r="GB120">
        <f ca="1">tblBaseCF[[#This Row],[QuarterlyEP]]</f>
        <v>0</v>
      </c>
      <c r="GC120">
        <f ca="1">tblBaseCF[[#This Row],[QuarterlyEMLoad]]</f>
        <v>0</v>
      </c>
      <c r="GD120">
        <f ca="1">tblBaseCF[[#This Row],[QuarterlyPMLoad]]</f>
        <v>0</v>
      </c>
      <c r="GE120">
        <f ca="1">tblBaseCF[[#This Row],[QuarterlyLoad]]</f>
        <v>0</v>
      </c>
      <c r="GF120">
        <f ca="1">tblBaseCF[[#This Row],[QuarterlyTotalPrem]]</f>
        <v>0</v>
      </c>
      <c r="GG120">
        <f ca="1">tblBaseCF[[#This Row],[MonthlyTP]]</f>
        <v>0</v>
      </c>
      <c r="GH120">
        <f ca="1">tblBaseCF[[#This Row],[MonthlyEP]]</f>
        <v>0</v>
      </c>
      <c r="GI120">
        <f ca="1">tblBaseCF[[#This Row],[MonthlyEMLoad]]</f>
        <v>0</v>
      </c>
      <c r="GJ120">
        <f ca="1">tblBaseCF[[#This Row],[MonthlyPMLoad]]</f>
        <v>0</v>
      </c>
      <c r="GK120">
        <f ca="1">tblBaseCF[[#This Row],[MonthlyLoad]]</f>
        <v>0</v>
      </c>
      <c r="GL120">
        <f ca="1">tblBaseCF[[#This Row],[MonthlyTotalPrem]]</f>
        <v>0</v>
      </c>
      <c r="GO120" t="s">
        <v>134</v>
      </c>
      <c r="GP120" t="s">
        <v>135</v>
      </c>
      <c r="GQ120" t="s">
        <v>502</v>
      </c>
      <c r="GR120">
        <v>100</v>
      </c>
      <c r="GS120">
        <v>99</v>
      </c>
      <c r="GT120">
        <v>1</v>
      </c>
      <c r="GU120" t="s">
        <v>457</v>
      </c>
      <c r="GV120">
        <v>3827886599.2900701</v>
      </c>
      <c r="GW120">
        <v>33661587035.901402</v>
      </c>
      <c r="GX120">
        <v>37489473635.191498</v>
      </c>
      <c r="GY120">
        <v>0</v>
      </c>
      <c r="GZ120">
        <v>37489473635.191498</v>
      </c>
      <c r="HA120">
        <v>37489473635.191498</v>
      </c>
      <c r="HB120">
        <v>0</v>
      </c>
      <c r="HC120">
        <v>0</v>
      </c>
      <c r="HD120" t="s">
        <v>137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7.0000000000000007E-2</v>
      </c>
      <c r="HX120">
        <v>0.96964931039809399</v>
      </c>
      <c r="HY120">
        <v>1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267952061.95030501</v>
      </c>
      <c r="IJ120">
        <v>2356311092.5131001</v>
      </c>
      <c r="IK120">
        <v>0</v>
      </c>
      <c r="IL120">
        <v>0</v>
      </c>
      <c r="IM120">
        <v>0</v>
      </c>
      <c r="IN120">
        <v>4095838661.2403798</v>
      </c>
      <c r="IO120">
        <v>36017898128.414497</v>
      </c>
      <c r="IP120">
        <v>40113736789.6549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</row>
    <row r="121" spans="2:268" customFormat="1" x14ac:dyDescent="0.25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3"/>
      <c r="N121" s="3"/>
      <c r="O121" s="3"/>
      <c r="P121" s="2"/>
      <c r="Q121" s="2"/>
      <c r="R121" s="2"/>
      <c r="S121" s="2"/>
      <c r="T121" s="2"/>
      <c r="U121" s="2"/>
      <c r="V121" s="3"/>
      <c r="W121" s="3"/>
      <c r="X121" s="3"/>
      <c r="Y121" s="3"/>
      <c r="Z121" s="3"/>
      <c r="AA121" s="3"/>
      <c r="AB121" s="3"/>
      <c r="AC121" s="2"/>
      <c r="AD121" s="2"/>
      <c r="AE121" s="2"/>
      <c r="AF121" s="2"/>
      <c r="AG121" s="2"/>
      <c r="AH121" s="2"/>
      <c r="AI121" s="2"/>
      <c r="AJ121" s="3"/>
      <c r="AK121" s="2"/>
      <c r="AL121" s="2"/>
      <c r="AM121" s="2"/>
      <c r="AN121" s="2"/>
      <c r="AO121" s="3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3"/>
      <c r="BC121" s="3"/>
      <c r="BD121" s="3"/>
      <c r="BE121" s="3"/>
      <c r="BF121" s="3"/>
      <c r="BG121" s="3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2"/>
      <c r="DI121" s="2"/>
      <c r="DJ121" s="3"/>
      <c r="DK121" s="3"/>
      <c r="DL121" s="2"/>
      <c r="DM121" s="2"/>
      <c r="DN121" s="2"/>
      <c r="DO121" s="3"/>
      <c r="DP121" s="3"/>
      <c r="GO121" t="s">
        <v>134</v>
      </c>
      <c r="GP121" t="s">
        <v>501</v>
      </c>
      <c r="GQ121" t="s">
        <v>502</v>
      </c>
      <c r="GR121">
        <v>1</v>
      </c>
      <c r="GS121">
        <v>0</v>
      </c>
      <c r="GT121">
        <v>1</v>
      </c>
      <c r="GU121" t="s">
        <v>136</v>
      </c>
      <c r="GV121">
        <v>0</v>
      </c>
      <c r="GW121">
        <v>0</v>
      </c>
      <c r="GX121">
        <v>0</v>
      </c>
      <c r="GY121">
        <v>1072000</v>
      </c>
      <c r="GZ121">
        <v>0</v>
      </c>
      <c r="HA121">
        <v>101000000</v>
      </c>
      <c r="HB121">
        <v>303000000</v>
      </c>
      <c r="HC121">
        <v>0</v>
      </c>
      <c r="HD121" t="s">
        <v>137</v>
      </c>
      <c r="HE121">
        <v>0</v>
      </c>
      <c r="HF121">
        <v>0</v>
      </c>
      <c r="HG121">
        <v>0</v>
      </c>
      <c r="HH121">
        <v>1072000</v>
      </c>
      <c r="HI121">
        <v>589600</v>
      </c>
      <c r="HJ121">
        <v>482400</v>
      </c>
      <c r="HK121">
        <v>5200000</v>
      </c>
      <c r="HL121">
        <v>104000</v>
      </c>
      <c r="HM121">
        <v>5096000</v>
      </c>
      <c r="HN121">
        <v>0</v>
      </c>
      <c r="HO121">
        <v>207000</v>
      </c>
      <c r="HP121">
        <v>207000</v>
      </c>
      <c r="HQ121">
        <v>4140</v>
      </c>
      <c r="HR121">
        <v>202860</v>
      </c>
      <c r="HS121">
        <v>6479000</v>
      </c>
      <c r="HT121">
        <v>697740</v>
      </c>
      <c r="HU121">
        <v>5781260</v>
      </c>
      <c r="HV121">
        <v>6479000</v>
      </c>
      <c r="HW121">
        <v>7.0000000000000007E-2</v>
      </c>
      <c r="HX121">
        <v>0.96964931039809399</v>
      </c>
      <c r="HY121">
        <v>1</v>
      </c>
      <c r="HZ121">
        <v>300000</v>
      </c>
      <c r="IA121">
        <v>189879.99999999901</v>
      </c>
      <c r="IB121">
        <v>142409.99999999901</v>
      </c>
      <c r="IC121">
        <v>202000</v>
      </c>
      <c r="ID121">
        <v>806989.99999999802</v>
      </c>
      <c r="IE121">
        <v>1106990</v>
      </c>
      <c r="IF121">
        <v>1073392.09011758</v>
      </c>
      <c r="IG121">
        <v>482400</v>
      </c>
      <c r="IH121">
        <v>590992.09011758398</v>
      </c>
      <c r="II121">
        <v>0</v>
      </c>
      <c r="IJ121">
        <v>329550.75369176897</v>
      </c>
      <c r="IK121">
        <v>0</v>
      </c>
      <c r="IL121">
        <v>0</v>
      </c>
      <c r="IM121">
        <v>0</v>
      </c>
      <c r="IN121">
        <v>0</v>
      </c>
      <c r="IO121">
        <v>5037418.6635741899</v>
      </c>
      <c r="IP121">
        <v>5037418.6635741899</v>
      </c>
      <c r="IQ121">
        <v>536000</v>
      </c>
      <c r="IR121">
        <v>2600000</v>
      </c>
      <c r="IS121">
        <v>0</v>
      </c>
      <c r="IT121">
        <v>104000</v>
      </c>
      <c r="IU121">
        <v>104000</v>
      </c>
      <c r="IV121">
        <v>3240000</v>
      </c>
      <c r="IW121">
        <v>268000</v>
      </c>
      <c r="IX121">
        <v>1300000</v>
      </c>
      <c r="IY121">
        <v>0</v>
      </c>
      <c r="IZ121">
        <v>52000</v>
      </c>
      <c r="JA121">
        <v>52000</v>
      </c>
      <c r="JB121">
        <v>1620000</v>
      </c>
      <c r="JC121">
        <v>90000</v>
      </c>
      <c r="JD121">
        <v>434000</v>
      </c>
      <c r="JE121">
        <v>0</v>
      </c>
      <c r="JF121">
        <v>18000</v>
      </c>
      <c r="JG121">
        <v>18000</v>
      </c>
      <c r="JH121">
        <v>542000</v>
      </c>
    </row>
    <row r="122" spans="2:268" customFormat="1" x14ac:dyDescent="0.25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3"/>
      <c r="N122" s="3"/>
      <c r="O122" s="3"/>
      <c r="P122" s="2"/>
      <c r="Q122" s="2"/>
      <c r="R122" s="2"/>
      <c r="S122" s="2"/>
      <c r="T122" s="2"/>
      <c r="U122" s="2"/>
      <c r="V122" s="3"/>
      <c r="W122" s="3"/>
      <c r="X122" s="3"/>
      <c r="Y122" s="3"/>
      <c r="Z122" s="3"/>
      <c r="AA122" s="3"/>
      <c r="AB122" s="3"/>
      <c r="AC122" s="2"/>
      <c r="AD122" s="2"/>
      <c r="AE122" s="2"/>
      <c r="AF122" s="2"/>
      <c r="AG122" s="2"/>
      <c r="AH122" s="2"/>
      <c r="AI122" s="2"/>
      <c r="AJ122" s="3"/>
      <c r="AK122" s="2"/>
      <c r="AL122" s="2"/>
      <c r="AM122" s="2"/>
      <c r="AN122" s="2"/>
      <c r="AO122" s="3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3"/>
      <c r="BC122" s="3"/>
      <c r="BD122" s="3"/>
      <c r="BE122" s="3"/>
      <c r="BF122" s="3"/>
      <c r="BG122" s="3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2"/>
      <c r="DI122" s="2"/>
      <c r="DJ122" s="3"/>
      <c r="DK122" s="3"/>
      <c r="DL122" s="2"/>
      <c r="DM122" s="2"/>
      <c r="DN122" s="2"/>
      <c r="DO122" s="3"/>
      <c r="DP122" s="3"/>
      <c r="GO122" t="s">
        <v>134</v>
      </c>
      <c r="GP122" t="s">
        <v>501</v>
      </c>
      <c r="GQ122" t="s">
        <v>502</v>
      </c>
      <c r="GR122">
        <v>2</v>
      </c>
      <c r="GS122">
        <v>1</v>
      </c>
      <c r="GT122">
        <v>1</v>
      </c>
      <c r="GU122" t="s">
        <v>457</v>
      </c>
      <c r="GV122">
        <v>0</v>
      </c>
      <c r="GW122">
        <v>5037418.6635741899</v>
      </c>
      <c r="GX122">
        <v>5037418.6635741899</v>
      </c>
      <c r="GY122">
        <v>1072000</v>
      </c>
      <c r="GZ122">
        <v>5037418.6635741899</v>
      </c>
      <c r="HA122">
        <v>101000000</v>
      </c>
      <c r="HB122">
        <v>303000000</v>
      </c>
      <c r="HC122">
        <v>0</v>
      </c>
      <c r="HD122" t="s">
        <v>137</v>
      </c>
      <c r="HE122">
        <v>0</v>
      </c>
      <c r="HF122">
        <v>0</v>
      </c>
      <c r="HG122">
        <v>0</v>
      </c>
      <c r="HH122">
        <v>1072000</v>
      </c>
      <c r="HI122">
        <v>428800</v>
      </c>
      <c r="HJ122">
        <v>643200</v>
      </c>
      <c r="HK122">
        <v>5200000</v>
      </c>
      <c r="HL122">
        <v>104000</v>
      </c>
      <c r="HM122">
        <v>5096000</v>
      </c>
      <c r="HN122">
        <v>0</v>
      </c>
      <c r="HO122">
        <v>207000</v>
      </c>
      <c r="HP122">
        <v>207000</v>
      </c>
      <c r="HQ122">
        <v>4140</v>
      </c>
      <c r="HR122">
        <v>202860</v>
      </c>
      <c r="HS122">
        <v>6479000</v>
      </c>
      <c r="HT122">
        <v>536940</v>
      </c>
      <c r="HU122">
        <v>5942060</v>
      </c>
      <c r="HV122">
        <v>12958000</v>
      </c>
      <c r="HW122">
        <v>7.0000000000000007E-2</v>
      </c>
      <c r="HX122">
        <v>0.96964931039809399</v>
      </c>
      <c r="HY122">
        <v>1</v>
      </c>
      <c r="HZ122">
        <v>300000</v>
      </c>
      <c r="IA122">
        <v>80608.568322593099</v>
      </c>
      <c r="IB122">
        <v>60456.426241944799</v>
      </c>
      <c r="IC122">
        <v>191925.16267285199</v>
      </c>
      <c r="ID122">
        <v>605690.15723738901</v>
      </c>
      <c r="IE122">
        <v>905690.15723738901</v>
      </c>
      <c r="IF122">
        <v>878201.83639957604</v>
      </c>
      <c r="IG122">
        <v>643200</v>
      </c>
      <c r="IH122">
        <v>235001.83639957599</v>
      </c>
      <c r="II122">
        <v>0</v>
      </c>
      <c r="IJ122">
        <v>707089.37790222303</v>
      </c>
      <c r="IK122">
        <v>0</v>
      </c>
      <c r="IL122">
        <v>0</v>
      </c>
      <c r="IM122">
        <v>0</v>
      </c>
      <c r="IN122">
        <v>0</v>
      </c>
      <c r="IO122">
        <v>10808366.205076801</v>
      </c>
      <c r="IP122">
        <v>10808366.205076801</v>
      </c>
      <c r="IQ122">
        <v>536000</v>
      </c>
      <c r="IR122">
        <v>2600000</v>
      </c>
      <c r="IS122">
        <v>0</v>
      </c>
      <c r="IT122">
        <v>104000</v>
      </c>
      <c r="IU122">
        <v>104000</v>
      </c>
      <c r="IV122">
        <v>3240000</v>
      </c>
      <c r="IW122">
        <v>268000</v>
      </c>
      <c r="IX122">
        <v>1300000</v>
      </c>
      <c r="IY122">
        <v>0</v>
      </c>
      <c r="IZ122">
        <v>52000</v>
      </c>
      <c r="JA122">
        <v>52000</v>
      </c>
      <c r="JB122">
        <v>1620000</v>
      </c>
      <c r="JC122">
        <v>90000</v>
      </c>
      <c r="JD122">
        <v>434000</v>
      </c>
      <c r="JE122">
        <v>0</v>
      </c>
      <c r="JF122">
        <v>18000</v>
      </c>
      <c r="JG122">
        <v>18000</v>
      </c>
      <c r="JH122">
        <v>542000</v>
      </c>
    </row>
    <row r="123" spans="2:268" customFormat="1" x14ac:dyDescent="0.25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3"/>
      <c r="N123" s="3"/>
      <c r="O123" s="3"/>
      <c r="P123" s="2"/>
      <c r="Q123" s="2"/>
      <c r="R123" s="2"/>
      <c r="S123" s="2"/>
      <c r="T123" s="2"/>
      <c r="U123" s="2"/>
      <c r="V123" s="3"/>
      <c r="W123" s="3"/>
      <c r="X123" s="3"/>
      <c r="Y123" s="3"/>
      <c r="Z123" s="3"/>
      <c r="AA123" s="3"/>
      <c r="AB123" s="3"/>
      <c r="AC123" s="2"/>
      <c r="AD123" s="2"/>
      <c r="AE123" s="2"/>
      <c r="AF123" s="2"/>
      <c r="AG123" s="2"/>
      <c r="AH123" s="2"/>
      <c r="AI123" s="2"/>
      <c r="AJ123" s="3"/>
      <c r="AK123" s="2"/>
      <c r="AL123" s="2"/>
      <c r="AM123" s="2"/>
      <c r="AN123" s="2"/>
      <c r="AO123" s="3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3"/>
      <c r="BC123" s="3"/>
      <c r="BD123" s="3"/>
      <c r="BE123" s="3"/>
      <c r="BF123" s="3"/>
      <c r="BG123" s="3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2"/>
      <c r="DI123" s="2"/>
      <c r="DJ123" s="3"/>
      <c r="DK123" s="3"/>
      <c r="DL123" s="2"/>
      <c r="DM123" s="2"/>
      <c r="DN123" s="2"/>
      <c r="DO123" s="3"/>
      <c r="DP123" s="3"/>
      <c r="GO123" t="s">
        <v>134</v>
      </c>
      <c r="GP123" t="s">
        <v>501</v>
      </c>
      <c r="GQ123" t="s">
        <v>502</v>
      </c>
      <c r="GR123">
        <v>3</v>
      </c>
      <c r="GS123">
        <v>2</v>
      </c>
      <c r="GT123">
        <v>1</v>
      </c>
      <c r="GU123" t="s">
        <v>457</v>
      </c>
      <c r="GV123">
        <v>0</v>
      </c>
      <c r="GW123">
        <v>10808366.205076801</v>
      </c>
      <c r="GX123">
        <v>10808366.205076801</v>
      </c>
      <c r="GY123">
        <v>1072000</v>
      </c>
      <c r="GZ123">
        <v>10808366.205076801</v>
      </c>
      <c r="HA123">
        <v>101000000</v>
      </c>
      <c r="HB123">
        <v>303000000</v>
      </c>
      <c r="HC123">
        <v>0</v>
      </c>
      <c r="HD123" t="s">
        <v>137</v>
      </c>
      <c r="HE123">
        <v>0</v>
      </c>
      <c r="HF123">
        <v>0</v>
      </c>
      <c r="HG123">
        <v>0</v>
      </c>
      <c r="HH123">
        <v>1072000</v>
      </c>
      <c r="HI123">
        <v>268000</v>
      </c>
      <c r="HJ123">
        <v>804000</v>
      </c>
      <c r="HK123">
        <v>5200000</v>
      </c>
      <c r="HL123">
        <v>104000</v>
      </c>
      <c r="HM123">
        <v>5096000</v>
      </c>
      <c r="HN123">
        <v>0</v>
      </c>
      <c r="HO123">
        <v>207000</v>
      </c>
      <c r="HP123">
        <v>207000</v>
      </c>
      <c r="HQ123">
        <v>4140</v>
      </c>
      <c r="HR123">
        <v>202860</v>
      </c>
      <c r="HS123">
        <v>6479000</v>
      </c>
      <c r="HT123">
        <v>376140</v>
      </c>
      <c r="HU123">
        <v>6102860</v>
      </c>
      <c r="HV123">
        <v>19437000</v>
      </c>
      <c r="HW123">
        <v>7.0000000000000007E-2</v>
      </c>
      <c r="HX123">
        <v>0.96964931039809399</v>
      </c>
      <c r="HY123">
        <v>1</v>
      </c>
      <c r="HZ123">
        <v>300000</v>
      </c>
      <c r="IA123">
        <v>72153.307035940597</v>
      </c>
      <c r="IB123">
        <v>54114.980276955503</v>
      </c>
      <c r="IC123">
        <v>180383.26758984599</v>
      </c>
      <c r="ID123">
        <v>579351.55490274203</v>
      </c>
      <c r="IE123">
        <v>879351.55490274203</v>
      </c>
      <c r="IF123">
        <v>852662.62880893599</v>
      </c>
      <c r="IG123">
        <v>804000</v>
      </c>
      <c r="IH123">
        <v>48662.628808935799</v>
      </c>
      <c r="II123">
        <v>0</v>
      </c>
      <c r="IJ123">
        <v>1124099.4503387499</v>
      </c>
      <c r="IK123">
        <v>0</v>
      </c>
      <c r="IL123">
        <v>0</v>
      </c>
      <c r="IM123">
        <v>0</v>
      </c>
      <c r="IN123">
        <v>0</v>
      </c>
      <c r="IO123">
        <v>17182663.026606601</v>
      </c>
      <c r="IP123">
        <v>17182663.026606601</v>
      </c>
      <c r="IQ123">
        <v>536000</v>
      </c>
      <c r="IR123">
        <v>2600000</v>
      </c>
      <c r="IS123">
        <v>0</v>
      </c>
      <c r="IT123">
        <v>104000</v>
      </c>
      <c r="IU123">
        <v>104000</v>
      </c>
      <c r="IV123">
        <v>3240000</v>
      </c>
      <c r="IW123">
        <v>268000</v>
      </c>
      <c r="IX123">
        <v>1300000</v>
      </c>
      <c r="IY123">
        <v>0</v>
      </c>
      <c r="IZ123">
        <v>52000</v>
      </c>
      <c r="JA123">
        <v>52000</v>
      </c>
      <c r="JB123">
        <v>1620000</v>
      </c>
      <c r="JC123">
        <v>90000</v>
      </c>
      <c r="JD123">
        <v>434000</v>
      </c>
      <c r="JE123">
        <v>0</v>
      </c>
      <c r="JF123">
        <v>18000</v>
      </c>
      <c r="JG123">
        <v>18000</v>
      </c>
      <c r="JH123">
        <v>542000</v>
      </c>
    </row>
    <row r="124" spans="2:268" customFormat="1" x14ac:dyDescent="0.25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3"/>
      <c r="N124" s="3"/>
      <c r="O124" s="3"/>
      <c r="P124" s="2"/>
      <c r="Q124" s="2"/>
      <c r="R124" s="2"/>
      <c r="S124" s="2"/>
      <c r="T124" s="2"/>
      <c r="U124" s="2"/>
      <c r="V124" s="3"/>
      <c r="W124" s="3"/>
      <c r="X124" s="3"/>
      <c r="Y124" s="3"/>
      <c r="Z124" s="3"/>
      <c r="AA124" s="3"/>
      <c r="AB124" s="3"/>
      <c r="AC124" s="2"/>
      <c r="AD124" s="2"/>
      <c r="AE124" s="2"/>
      <c r="AF124" s="2"/>
      <c r="AG124" s="2"/>
      <c r="AH124" s="2"/>
      <c r="AI124" s="2"/>
      <c r="AJ124" s="3"/>
      <c r="AK124" s="2"/>
      <c r="AL124" s="2"/>
      <c r="AM124" s="2"/>
      <c r="AN124" s="2"/>
      <c r="AO124" s="3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3"/>
      <c r="BC124" s="3"/>
      <c r="BD124" s="3"/>
      <c r="BE124" s="3"/>
      <c r="BF124" s="3"/>
      <c r="BG124" s="3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2"/>
      <c r="DI124" s="2"/>
      <c r="DJ124" s="3"/>
      <c r="DK124" s="3"/>
      <c r="DL124" s="2"/>
      <c r="DM124" s="2"/>
      <c r="DN124" s="2"/>
      <c r="DO124" s="3"/>
      <c r="DP124" s="3"/>
      <c r="GO124" t="s">
        <v>134</v>
      </c>
      <c r="GP124" t="s">
        <v>501</v>
      </c>
      <c r="GQ124" t="s">
        <v>502</v>
      </c>
      <c r="GR124">
        <v>4</v>
      </c>
      <c r="GS124">
        <v>3</v>
      </c>
      <c r="GT124">
        <v>1</v>
      </c>
      <c r="GU124" t="s">
        <v>457</v>
      </c>
      <c r="GV124">
        <v>0</v>
      </c>
      <c r="GW124">
        <v>17182663.026606601</v>
      </c>
      <c r="GX124">
        <v>17182663.026606601</v>
      </c>
      <c r="GY124">
        <v>1072000</v>
      </c>
      <c r="GZ124">
        <v>17182663.026606601</v>
      </c>
      <c r="HA124">
        <v>101000000</v>
      </c>
      <c r="HB124">
        <v>303000000</v>
      </c>
      <c r="HC124">
        <v>0</v>
      </c>
      <c r="HD124" t="s">
        <v>137</v>
      </c>
      <c r="HE124">
        <v>0</v>
      </c>
      <c r="HF124">
        <v>0</v>
      </c>
      <c r="HG124">
        <v>0</v>
      </c>
      <c r="HH124">
        <v>1072000</v>
      </c>
      <c r="HI124">
        <v>214400</v>
      </c>
      <c r="HJ124">
        <v>857600</v>
      </c>
      <c r="HK124">
        <v>5200000</v>
      </c>
      <c r="HL124">
        <v>104000</v>
      </c>
      <c r="HM124">
        <v>5096000</v>
      </c>
      <c r="HN124">
        <v>0</v>
      </c>
      <c r="HO124">
        <v>207000</v>
      </c>
      <c r="HP124">
        <v>207000</v>
      </c>
      <c r="HQ124">
        <v>4140</v>
      </c>
      <c r="HR124">
        <v>202860</v>
      </c>
      <c r="HS124">
        <v>6479000</v>
      </c>
      <c r="HT124">
        <v>322540</v>
      </c>
      <c r="HU124">
        <v>6156460</v>
      </c>
      <c r="HV124">
        <v>25916000</v>
      </c>
      <c r="HW124">
        <v>7.0000000000000007E-2</v>
      </c>
      <c r="HX124">
        <v>0.96964931039809399</v>
      </c>
      <c r="HY124">
        <v>1</v>
      </c>
      <c r="HZ124">
        <v>300000</v>
      </c>
      <c r="IA124">
        <v>65377.522839247104</v>
      </c>
      <c r="IB124">
        <v>49033.142129435299</v>
      </c>
      <c r="IC124">
        <v>167634.67394678699</v>
      </c>
      <c r="ID124">
        <v>554745.33891546901</v>
      </c>
      <c r="IE124">
        <v>854745.33891546901</v>
      </c>
      <c r="IF124">
        <v>828803.22844536998</v>
      </c>
      <c r="IG124">
        <v>828803.22844536998</v>
      </c>
      <c r="IH124">
        <v>0</v>
      </c>
      <c r="II124">
        <v>2015.7740088241301</v>
      </c>
      <c r="IJ124">
        <v>1573706.6118624699</v>
      </c>
      <c r="IK124">
        <v>64320</v>
      </c>
      <c r="IL124">
        <v>0</v>
      </c>
      <c r="IM124">
        <v>64320</v>
      </c>
      <c r="IN124">
        <v>95132.545563454594</v>
      </c>
      <c r="IO124">
        <v>24055229.6384691</v>
      </c>
      <c r="IP124">
        <v>24150362.1840326</v>
      </c>
      <c r="IQ124">
        <v>536000</v>
      </c>
      <c r="IR124">
        <v>2600000</v>
      </c>
      <c r="IS124">
        <v>0</v>
      </c>
      <c r="IT124">
        <v>104000</v>
      </c>
      <c r="IU124">
        <v>104000</v>
      </c>
      <c r="IV124">
        <v>3240000</v>
      </c>
      <c r="IW124">
        <v>268000</v>
      </c>
      <c r="IX124">
        <v>1300000</v>
      </c>
      <c r="IY124">
        <v>0</v>
      </c>
      <c r="IZ124">
        <v>52000</v>
      </c>
      <c r="JA124">
        <v>52000</v>
      </c>
      <c r="JB124">
        <v>1620000</v>
      </c>
      <c r="JC124">
        <v>90000</v>
      </c>
      <c r="JD124">
        <v>434000</v>
      </c>
      <c r="JE124">
        <v>0</v>
      </c>
      <c r="JF124">
        <v>18000</v>
      </c>
      <c r="JG124">
        <v>18000</v>
      </c>
      <c r="JH124">
        <v>542000</v>
      </c>
    </row>
    <row r="125" spans="2:268" customFormat="1" x14ac:dyDescent="0.25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3"/>
      <c r="N125" s="3"/>
      <c r="O125" s="3"/>
      <c r="P125" s="2"/>
      <c r="Q125" s="2"/>
      <c r="R125" s="2"/>
      <c r="S125" s="2"/>
      <c r="T125" s="2"/>
      <c r="U125" s="2"/>
      <c r="V125" s="3"/>
      <c r="W125" s="3"/>
      <c r="X125" s="3"/>
      <c r="Y125" s="3"/>
      <c r="Z125" s="3"/>
      <c r="AA125" s="3"/>
      <c r="AB125" s="3"/>
      <c r="AC125" s="2"/>
      <c r="AD125" s="2"/>
      <c r="AE125" s="2"/>
      <c r="AF125" s="2"/>
      <c r="AG125" s="2"/>
      <c r="AH125" s="2"/>
      <c r="AI125" s="2"/>
      <c r="AJ125" s="3"/>
      <c r="AK125" s="2"/>
      <c r="AL125" s="2"/>
      <c r="AM125" s="2"/>
      <c r="AN125" s="2"/>
      <c r="AO125" s="3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3"/>
      <c r="BC125" s="3"/>
      <c r="BD125" s="3"/>
      <c r="BE125" s="3"/>
      <c r="BF125" s="3"/>
      <c r="BG125" s="3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2"/>
      <c r="DI125" s="2"/>
      <c r="DJ125" s="3"/>
      <c r="DK125" s="3"/>
      <c r="DL125" s="2"/>
      <c r="DM125" s="2"/>
      <c r="DN125" s="2"/>
      <c r="DO125" s="3"/>
      <c r="DP125" s="3"/>
      <c r="GO125" t="s">
        <v>134</v>
      </c>
      <c r="GP125" t="s">
        <v>501</v>
      </c>
      <c r="GQ125" t="s">
        <v>502</v>
      </c>
      <c r="GR125">
        <v>5</v>
      </c>
      <c r="GS125">
        <v>4</v>
      </c>
      <c r="GT125">
        <v>1</v>
      </c>
      <c r="GU125" t="s">
        <v>457</v>
      </c>
      <c r="GV125">
        <v>95132.545563454594</v>
      </c>
      <c r="GW125">
        <v>24055229.6384691</v>
      </c>
      <c r="GX125">
        <v>24150362.1840326</v>
      </c>
      <c r="GY125">
        <v>857600</v>
      </c>
      <c r="GZ125">
        <v>24055229.6384691</v>
      </c>
      <c r="HA125">
        <v>101000000</v>
      </c>
      <c r="HB125">
        <v>303000000</v>
      </c>
      <c r="HC125">
        <v>1000000</v>
      </c>
      <c r="HD125" t="s">
        <v>458</v>
      </c>
      <c r="HE125">
        <v>0</v>
      </c>
      <c r="HF125">
        <v>1000000</v>
      </c>
      <c r="HG125">
        <v>1000000</v>
      </c>
      <c r="HH125">
        <v>1072000</v>
      </c>
      <c r="HI125">
        <v>107200</v>
      </c>
      <c r="HJ125">
        <v>964800</v>
      </c>
      <c r="HK125">
        <v>5200000</v>
      </c>
      <c r="HL125">
        <v>104000</v>
      </c>
      <c r="HM125">
        <v>5096000</v>
      </c>
      <c r="HN125">
        <v>0</v>
      </c>
      <c r="HO125">
        <v>207000</v>
      </c>
      <c r="HP125">
        <v>207000</v>
      </c>
      <c r="HQ125">
        <v>4140</v>
      </c>
      <c r="HR125">
        <v>202860</v>
      </c>
      <c r="HS125">
        <v>6479000</v>
      </c>
      <c r="HT125">
        <v>215340</v>
      </c>
      <c r="HU125">
        <v>6263660</v>
      </c>
      <c r="HV125">
        <v>32395000</v>
      </c>
      <c r="HW125">
        <v>7.0000000000000007E-2</v>
      </c>
      <c r="HX125">
        <v>0.96964931039809399</v>
      </c>
      <c r="HY125">
        <v>1</v>
      </c>
      <c r="HZ125">
        <v>300000</v>
      </c>
      <c r="IA125">
        <v>59174.221118298599</v>
      </c>
      <c r="IB125">
        <v>44380.665838724002</v>
      </c>
      <c r="IC125">
        <v>153699.27563193499</v>
      </c>
      <c r="ID125">
        <v>529954.162588957</v>
      </c>
      <c r="IE125">
        <v>829954.162588957</v>
      </c>
      <c r="IF125">
        <v>804764.48141640995</v>
      </c>
      <c r="IG125">
        <v>804764.48141640995</v>
      </c>
      <c r="IH125">
        <v>0</v>
      </c>
      <c r="II125">
        <v>17861.764490293099</v>
      </c>
      <c r="IJ125">
        <v>1984786.2746928399</v>
      </c>
      <c r="IK125">
        <v>0</v>
      </c>
      <c r="IL125">
        <v>0</v>
      </c>
      <c r="IM125">
        <v>0</v>
      </c>
      <c r="IN125">
        <v>273029.82863733801</v>
      </c>
      <c r="IO125">
        <v>30338875.913162</v>
      </c>
      <c r="IP125">
        <v>30611905.741799299</v>
      </c>
      <c r="IQ125">
        <v>536000</v>
      </c>
      <c r="IR125">
        <v>2600000</v>
      </c>
      <c r="IS125">
        <v>0</v>
      </c>
      <c r="IT125">
        <v>104000</v>
      </c>
      <c r="IU125">
        <v>104000</v>
      </c>
      <c r="IV125">
        <v>3240000</v>
      </c>
      <c r="IW125">
        <v>268000</v>
      </c>
      <c r="IX125">
        <v>1300000</v>
      </c>
      <c r="IY125">
        <v>0</v>
      </c>
      <c r="IZ125">
        <v>52000</v>
      </c>
      <c r="JA125">
        <v>52000</v>
      </c>
      <c r="JB125">
        <v>1620000</v>
      </c>
      <c r="JC125">
        <v>90000</v>
      </c>
      <c r="JD125">
        <v>434000</v>
      </c>
      <c r="JE125">
        <v>0</v>
      </c>
      <c r="JF125">
        <v>18000</v>
      </c>
      <c r="JG125">
        <v>18000</v>
      </c>
      <c r="JH125">
        <v>542000</v>
      </c>
    </row>
    <row r="126" spans="2:268" customFormat="1" x14ac:dyDescent="0.25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s="3"/>
      <c r="O126" s="3"/>
      <c r="P126" s="2"/>
      <c r="Q126" s="2"/>
      <c r="R126" s="2"/>
      <c r="S126" s="2"/>
      <c r="T126" s="2"/>
      <c r="U126" s="2"/>
      <c r="V126" s="3"/>
      <c r="W126" s="3"/>
      <c r="X126" s="3"/>
      <c r="Y126" s="3"/>
      <c r="Z126" s="3"/>
      <c r="AA126" s="3"/>
      <c r="AB126" s="3"/>
      <c r="AC126" s="2"/>
      <c r="AD126" s="2"/>
      <c r="AE126" s="2"/>
      <c r="AF126" s="2"/>
      <c r="AG126" s="2"/>
      <c r="AH126" s="2"/>
      <c r="AI126" s="2"/>
      <c r="AJ126" s="3"/>
      <c r="AK126" s="2"/>
      <c r="AL126" s="2"/>
      <c r="AM126" s="2"/>
      <c r="AN126" s="2"/>
      <c r="AO126" s="3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3"/>
      <c r="BC126" s="3"/>
      <c r="BD126" s="3"/>
      <c r="BE126" s="3"/>
      <c r="BF126" s="3"/>
      <c r="BG126" s="3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2"/>
      <c r="DI126" s="2"/>
      <c r="DJ126" s="3"/>
      <c r="DK126" s="3"/>
      <c r="DL126" s="2"/>
      <c r="DM126" s="2"/>
      <c r="DN126" s="2"/>
      <c r="DO126" s="3"/>
      <c r="DP126" s="3"/>
      <c r="GO126" t="s">
        <v>134</v>
      </c>
      <c r="GP126" t="s">
        <v>501</v>
      </c>
      <c r="GQ126" t="s">
        <v>502</v>
      </c>
      <c r="GR126">
        <v>6</v>
      </c>
      <c r="GS126">
        <v>5</v>
      </c>
      <c r="GT126">
        <v>1</v>
      </c>
      <c r="GU126" t="s">
        <v>457</v>
      </c>
      <c r="GV126">
        <v>273029.82863733801</v>
      </c>
      <c r="GW126">
        <v>30338875.913162</v>
      </c>
      <c r="GX126">
        <v>30611905.741799299</v>
      </c>
      <c r="GY126">
        <v>643200</v>
      </c>
      <c r="GZ126">
        <v>30338875.913162</v>
      </c>
      <c r="HA126">
        <v>101000000</v>
      </c>
      <c r="HB126">
        <v>303000000</v>
      </c>
      <c r="HC126">
        <v>1000000</v>
      </c>
      <c r="HD126" t="s">
        <v>458</v>
      </c>
      <c r="HE126">
        <v>0</v>
      </c>
      <c r="HF126">
        <v>1000000</v>
      </c>
      <c r="HG126">
        <v>1000000</v>
      </c>
      <c r="HH126">
        <v>1072000</v>
      </c>
      <c r="HI126">
        <v>75040</v>
      </c>
      <c r="HJ126">
        <v>996960</v>
      </c>
      <c r="HK126">
        <v>5200000</v>
      </c>
      <c r="HL126">
        <v>104000</v>
      </c>
      <c r="HM126">
        <v>5096000</v>
      </c>
      <c r="HN126">
        <v>0</v>
      </c>
      <c r="HO126">
        <v>207000</v>
      </c>
      <c r="HP126">
        <v>207000</v>
      </c>
      <c r="HQ126">
        <v>4140</v>
      </c>
      <c r="HR126">
        <v>202860</v>
      </c>
      <c r="HS126">
        <v>6479000</v>
      </c>
      <c r="HT126">
        <v>183180</v>
      </c>
      <c r="HU126">
        <v>6295820</v>
      </c>
      <c r="HV126">
        <v>38874000</v>
      </c>
      <c r="HW126">
        <v>7.0000000000000007E-2</v>
      </c>
      <c r="HX126">
        <v>0.96964931039809399</v>
      </c>
      <c r="HY126">
        <v>1</v>
      </c>
      <c r="HZ126">
        <v>300000</v>
      </c>
      <c r="IA126">
        <v>52791.070693644702</v>
      </c>
      <c r="IB126">
        <v>39593.303020233499</v>
      </c>
      <c r="IC126">
        <v>140776.18851640099</v>
      </c>
      <c r="ID126">
        <v>505860.56223028002</v>
      </c>
      <c r="IE126">
        <v>805860.56223028002</v>
      </c>
      <c r="IF126">
        <v>781402.13844361098</v>
      </c>
      <c r="IG126">
        <v>781402.13844361098</v>
      </c>
      <c r="IH126">
        <v>0</v>
      </c>
      <c r="II126">
        <v>34201.138313560899</v>
      </c>
      <c r="IJ126">
        <v>2424641.51392134</v>
      </c>
      <c r="IK126">
        <v>0</v>
      </c>
      <c r="IL126">
        <v>0</v>
      </c>
      <c r="IM126">
        <v>0</v>
      </c>
      <c r="IN126">
        <v>522788.82850728801</v>
      </c>
      <c r="IO126">
        <v>37062377.427083299</v>
      </c>
      <c r="IP126">
        <v>37585166.255590603</v>
      </c>
      <c r="IQ126">
        <v>536000</v>
      </c>
      <c r="IR126">
        <v>2600000</v>
      </c>
      <c r="IS126">
        <v>0</v>
      </c>
      <c r="IT126">
        <v>104000</v>
      </c>
      <c r="IU126">
        <v>104000</v>
      </c>
      <c r="IV126">
        <v>3240000</v>
      </c>
      <c r="IW126">
        <v>268000</v>
      </c>
      <c r="IX126">
        <v>1300000</v>
      </c>
      <c r="IY126">
        <v>0</v>
      </c>
      <c r="IZ126">
        <v>52000</v>
      </c>
      <c r="JA126">
        <v>52000</v>
      </c>
      <c r="JB126">
        <v>1620000</v>
      </c>
      <c r="JC126">
        <v>90000</v>
      </c>
      <c r="JD126">
        <v>434000</v>
      </c>
      <c r="JE126">
        <v>0</v>
      </c>
      <c r="JF126">
        <v>18000</v>
      </c>
      <c r="JG126">
        <v>18000</v>
      </c>
      <c r="JH126">
        <v>542000</v>
      </c>
    </row>
    <row r="127" spans="2:268" customFormat="1" x14ac:dyDescent="0.25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3"/>
      <c r="N127" s="3"/>
      <c r="O127" s="3"/>
      <c r="P127" s="2"/>
      <c r="Q127" s="2"/>
      <c r="R127" s="2"/>
      <c r="S127" s="2"/>
      <c r="T127" s="2"/>
      <c r="U127" s="2"/>
      <c r="V127" s="3"/>
      <c r="W127" s="3"/>
      <c r="X127" s="3"/>
      <c r="Y127" s="3"/>
      <c r="Z127" s="3"/>
      <c r="AA127" s="3"/>
      <c r="AB127" s="3"/>
      <c r="AC127" s="2"/>
      <c r="AD127" s="2"/>
      <c r="AE127" s="2"/>
      <c r="AF127" s="2"/>
      <c r="AG127" s="2"/>
      <c r="AH127" s="2"/>
      <c r="AI127" s="2"/>
      <c r="AJ127" s="3"/>
      <c r="AK127" s="2"/>
      <c r="AL127" s="2"/>
      <c r="AM127" s="2"/>
      <c r="AN127" s="2"/>
      <c r="AO127" s="3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3"/>
      <c r="BC127" s="3"/>
      <c r="BD127" s="3"/>
      <c r="BE127" s="3"/>
      <c r="BF127" s="3"/>
      <c r="BG127" s="3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2"/>
      <c r="DI127" s="2"/>
      <c r="DJ127" s="3"/>
      <c r="DK127" s="3"/>
      <c r="DL127" s="2"/>
      <c r="DM127" s="2"/>
      <c r="DN127" s="2"/>
      <c r="DO127" s="3"/>
      <c r="DP127" s="3"/>
      <c r="GO127" t="s">
        <v>134</v>
      </c>
      <c r="GP127" t="s">
        <v>501</v>
      </c>
      <c r="GQ127" t="s">
        <v>502</v>
      </c>
      <c r="GR127">
        <v>7</v>
      </c>
      <c r="GS127">
        <v>6</v>
      </c>
      <c r="GT127">
        <v>1</v>
      </c>
      <c r="GU127" t="s">
        <v>457</v>
      </c>
      <c r="GV127">
        <v>522788.82850728801</v>
      </c>
      <c r="GW127">
        <v>37062377.427083299</v>
      </c>
      <c r="GX127">
        <v>37585166.255590603</v>
      </c>
      <c r="GY127">
        <v>428800</v>
      </c>
      <c r="GZ127">
        <v>37156366.255590603</v>
      </c>
      <c r="HA127">
        <v>101000000</v>
      </c>
      <c r="HB127">
        <v>303000000</v>
      </c>
      <c r="HC127">
        <v>1000000</v>
      </c>
      <c r="HD127" t="s">
        <v>458</v>
      </c>
      <c r="HE127">
        <v>0</v>
      </c>
      <c r="HF127">
        <v>1000000</v>
      </c>
      <c r="HG127">
        <v>1000000</v>
      </c>
      <c r="HH127">
        <v>1072000</v>
      </c>
      <c r="HI127">
        <v>75040</v>
      </c>
      <c r="HJ127">
        <v>996960</v>
      </c>
      <c r="HK127">
        <v>5200000</v>
      </c>
      <c r="HL127">
        <v>104000</v>
      </c>
      <c r="HM127">
        <v>5096000</v>
      </c>
      <c r="HN127">
        <v>0</v>
      </c>
      <c r="HO127">
        <v>207000</v>
      </c>
      <c r="HP127">
        <v>207000</v>
      </c>
      <c r="HQ127">
        <v>4140</v>
      </c>
      <c r="HR127">
        <v>202860</v>
      </c>
      <c r="HS127">
        <v>6479000</v>
      </c>
      <c r="HT127">
        <v>183180</v>
      </c>
      <c r="HU127">
        <v>6295820</v>
      </c>
      <c r="HV127">
        <v>45353000</v>
      </c>
      <c r="HW127">
        <v>7.0000000000000007E-2</v>
      </c>
      <c r="HX127">
        <v>0.96964931039809399</v>
      </c>
      <c r="HY127">
        <v>1</v>
      </c>
      <c r="HZ127">
        <v>300000</v>
      </c>
      <c r="IA127">
        <v>46292.828633419398</v>
      </c>
      <c r="IB127">
        <v>34719.621475064501</v>
      </c>
      <c r="IC127">
        <v>126829.667488819</v>
      </c>
      <c r="ID127">
        <v>480542.117597303</v>
      </c>
      <c r="IE127">
        <v>780542.117597303</v>
      </c>
      <c r="IF127">
        <v>756852.12606489204</v>
      </c>
      <c r="IG127">
        <v>756852.12606489204</v>
      </c>
      <c r="IH127">
        <v>0</v>
      </c>
      <c r="II127">
        <v>53402.769170967702</v>
      </c>
      <c r="IJ127">
        <v>2895286.6198958298</v>
      </c>
      <c r="IK127">
        <v>0</v>
      </c>
      <c r="IL127">
        <v>0</v>
      </c>
      <c r="IM127">
        <v>0</v>
      </c>
      <c r="IN127">
        <v>816299.47161336301</v>
      </c>
      <c r="IO127">
        <v>44256524.0469791</v>
      </c>
      <c r="IP127">
        <v>45072823.518592499</v>
      </c>
      <c r="IQ127">
        <v>536000</v>
      </c>
      <c r="IR127">
        <v>2600000</v>
      </c>
      <c r="IS127">
        <v>0</v>
      </c>
      <c r="IT127">
        <v>104000</v>
      </c>
      <c r="IU127">
        <v>104000</v>
      </c>
      <c r="IV127">
        <v>3240000</v>
      </c>
      <c r="IW127">
        <v>268000</v>
      </c>
      <c r="IX127">
        <v>1300000</v>
      </c>
      <c r="IY127">
        <v>0</v>
      </c>
      <c r="IZ127">
        <v>52000</v>
      </c>
      <c r="JA127">
        <v>52000</v>
      </c>
      <c r="JB127">
        <v>1620000</v>
      </c>
      <c r="JC127">
        <v>90000</v>
      </c>
      <c r="JD127">
        <v>434000</v>
      </c>
      <c r="JE127">
        <v>0</v>
      </c>
      <c r="JF127">
        <v>18000</v>
      </c>
      <c r="JG127">
        <v>18000</v>
      </c>
      <c r="JH127">
        <v>542000</v>
      </c>
    </row>
    <row r="128" spans="2:268" customFormat="1" x14ac:dyDescent="0.25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3"/>
      <c r="N128" s="3"/>
      <c r="O128" s="3"/>
      <c r="P128" s="2"/>
      <c r="Q128" s="2"/>
      <c r="R128" s="2"/>
      <c r="S128" s="2"/>
      <c r="T128" s="2"/>
      <c r="U128" s="2"/>
      <c r="V128" s="3"/>
      <c r="W128" s="3"/>
      <c r="X128" s="3"/>
      <c r="Y128" s="3"/>
      <c r="Z128" s="3"/>
      <c r="AA128" s="3"/>
      <c r="AB128" s="3"/>
      <c r="AC128" s="2"/>
      <c r="AD128" s="2"/>
      <c r="AE128" s="2"/>
      <c r="AF128" s="2"/>
      <c r="AG128" s="2"/>
      <c r="AH128" s="2"/>
      <c r="AI128" s="2"/>
      <c r="AJ128" s="3"/>
      <c r="AK128" s="2"/>
      <c r="AL128" s="2"/>
      <c r="AM128" s="2"/>
      <c r="AN128" s="2"/>
      <c r="AO128" s="3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3"/>
      <c r="BC128" s="3"/>
      <c r="BD128" s="3"/>
      <c r="BE128" s="3"/>
      <c r="BF128" s="3"/>
      <c r="BG128" s="3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2"/>
      <c r="DI128" s="2"/>
      <c r="DJ128" s="3"/>
      <c r="DK128" s="3"/>
      <c r="DL128" s="2"/>
      <c r="DM128" s="2"/>
      <c r="DN128" s="2"/>
      <c r="DO128" s="3"/>
      <c r="DP128" s="3"/>
      <c r="GO128" t="s">
        <v>134</v>
      </c>
      <c r="GP128" t="s">
        <v>501</v>
      </c>
      <c r="GQ128" t="s">
        <v>502</v>
      </c>
      <c r="GR128">
        <v>8</v>
      </c>
      <c r="GS128">
        <v>7</v>
      </c>
      <c r="GT128">
        <v>1</v>
      </c>
      <c r="GU128" t="s">
        <v>457</v>
      </c>
      <c r="GV128">
        <v>816299.47161336301</v>
      </c>
      <c r="GW128">
        <v>44256524.0469791</v>
      </c>
      <c r="GX128">
        <v>45072823.518592499</v>
      </c>
      <c r="GY128">
        <v>214400</v>
      </c>
      <c r="GZ128">
        <v>44858423.518592499</v>
      </c>
      <c r="HA128">
        <v>101000000</v>
      </c>
      <c r="HB128">
        <v>303000000</v>
      </c>
      <c r="HC128">
        <v>0</v>
      </c>
      <c r="HD128" t="s">
        <v>137</v>
      </c>
      <c r="HE128">
        <v>0</v>
      </c>
      <c r="HF128">
        <v>0</v>
      </c>
      <c r="HG128">
        <v>0</v>
      </c>
      <c r="HH128">
        <v>1072000</v>
      </c>
      <c r="HI128">
        <v>42880</v>
      </c>
      <c r="HJ128">
        <v>1029120</v>
      </c>
      <c r="HK128">
        <v>5200000</v>
      </c>
      <c r="HL128">
        <v>104000</v>
      </c>
      <c r="HM128">
        <v>5096000</v>
      </c>
      <c r="HN128">
        <v>0</v>
      </c>
      <c r="HO128">
        <v>207000</v>
      </c>
      <c r="HP128">
        <v>207000</v>
      </c>
      <c r="HQ128">
        <v>4140</v>
      </c>
      <c r="HR128">
        <v>202860</v>
      </c>
      <c r="HS128">
        <v>6479000</v>
      </c>
      <c r="HT128">
        <v>151020</v>
      </c>
      <c r="HU128">
        <v>6327980</v>
      </c>
      <c r="HV128">
        <v>51832000</v>
      </c>
      <c r="HW128">
        <v>7.0000000000000007E-2</v>
      </c>
      <c r="HX128">
        <v>0.96964931039809399</v>
      </c>
      <c r="HY128">
        <v>1</v>
      </c>
      <c r="HZ128">
        <v>300000</v>
      </c>
      <c r="IA128">
        <v>39708.295301798702</v>
      </c>
      <c r="IB128">
        <v>29781.221476349001</v>
      </c>
      <c r="IC128">
        <v>111854.352962815</v>
      </c>
      <c r="ID128">
        <v>454043.86974096298</v>
      </c>
      <c r="IE128">
        <v>754043.86974096298</v>
      </c>
      <c r="IF128">
        <v>731158.11830423505</v>
      </c>
      <c r="IG128">
        <v>731158.11830423505</v>
      </c>
      <c r="IH128">
        <v>0</v>
      </c>
      <c r="II128">
        <v>77998.294731639005</v>
      </c>
      <c r="IJ128">
        <v>3468876.8832885399</v>
      </c>
      <c r="IK128">
        <v>128640</v>
      </c>
      <c r="IL128">
        <v>0</v>
      </c>
      <c r="IM128">
        <v>128640</v>
      </c>
      <c r="IN128">
        <v>1320899.6480407701</v>
      </c>
      <c r="IO128">
        <v>53024260.930267699</v>
      </c>
      <c r="IP128">
        <v>54345160.578308403</v>
      </c>
      <c r="IQ128">
        <v>536000</v>
      </c>
      <c r="IR128">
        <v>2600000</v>
      </c>
      <c r="IS128">
        <v>0</v>
      </c>
      <c r="IT128">
        <v>104000</v>
      </c>
      <c r="IU128">
        <v>104000</v>
      </c>
      <c r="IV128">
        <v>3240000</v>
      </c>
      <c r="IW128">
        <v>268000</v>
      </c>
      <c r="IX128">
        <v>1300000</v>
      </c>
      <c r="IY128">
        <v>0</v>
      </c>
      <c r="IZ128">
        <v>52000</v>
      </c>
      <c r="JA128">
        <v>52000</v>
      </c>
      <c r="JB128">
        <v>1620000</v>
      </c>
      <c r="JC128">
        <v>90000</v>
      </c>
      <c r="JD128">
        <v>434000</v>
      </c>
      <c r="JE128">
        <v>0</v>
      </c>
      <c r="JF128">
        <v>18000</v>
      </c>
      <c r="JG128">
        <v>18000</v>
      </c>
      <c r="JH128">
        <v>542000</v>
      </c>
    </row>
    <row r="129" spans="2:268" customFormat="1" x14ac:dyDescent="0.25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3"/>
      <c r="N129" s="3"/>
      <c r="O129" s="3"/>
      <c r="P129" s="2"/>
      <c r="Q129" s="2"/>
      <c r="R129" s="2"/>
      <c r="S129" s="2"/>
      <c r="T129" s="2"/>
      <c r="U129" s="2"/>
      <c r="V129" s="3"/>
      <c r="W129" s="3"/>
      <c r="X129" s="3"/>
      <c r="Y129" s="3"/>
      <c r="Z129" s="3"/>
      <c r="AA129" s="3"/>
      <c r="AB129" s="3"/>
      <c r="AC129" s="2"/>
      <c r="AD129" s="2"/>
      <c r="AE129" s="2"/>
      <c r="AF129" s="2"/>
      <c r="AG129" s="2"/>
      <c r="AH129" s="2"/>
      <c r="AI129" s="2"/>
      <c r="AJ129" s="3"/>
      <c r="AK129" s="2"/>
      <c r="AL129" s="2"/>
      <c r="AM129" s="2"/>
      <c r="AN129" s="2"/>
      <c r="AO129" s="3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3"/>
      <c r="BC129" s="3"/>
      <c r="BD129" s="3"/>
      <c r="BE129" s="3"/>
      <c r="BF129" s="3"/>
      <c r="BG129" s="3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2"/>
      <c r="DI129" s="2"/>
      <c r="DJ129" s="3"/>
      <c r="DK129" s="3"/>
      <c r="DL129" s="2"/>
      <c r="DM129" s="2"/>
      <c r="DN129" s="2"/>
      <c r="DO129" s="3"/>
      <c r="DP129" s="3"/>
      <c r="GO129" t="s">
        <v>134</v>
      </c>
      <c r="GP129" t="s">
        <v>501</v>
      </c>
      <c r="GQ129" t="s">
        <v>502</v>
      </c>
      <c r="GR129">
        <v>9</v>
      </c>
      <c r="GS129">
        <v>8</v>
      </c>
      <c r="GT129">
        <v>1</v>
      </c>
      <c r="GU129" t="s">
        <v>457</v>
      </c>
      <c r="GV129">
        <v>1320899.6480407701</v>
      </c>
      <c r="GW129">
        <v>53024260.930267699</v>
      </c>
      <c r="GX129">
        <v>54345160.578308403</v>
      </c>
      <c r="GY129">
        <v>107200</v>
      </c>
      <c r="GZ129">
        <v>54237960.578308403</v>
      </c>
      <c r="HA129">
        <v>101000000</v>
      </c>
      <c r="HB129">
        <v>303000000</v>
      </c>
      <c r="HC129">
        <v>0</v>
      </c>
      <c r="HD129" t="s">
        <v>137</v>
      </c>
      <c r="HE129">
        <v>0</v>
      </c>
      <c r="HF129">
        <v>0</v>
      </c>
      <c r="HG129">
        <v>0</v>
      </c>
      <c r="HH129">
        <v>1072000</v>
      </c>
      <c r="HI129">
        <v>42880</v>
      </c>
      <c r="HJ129">
        <v>1029120</v>
      </c>
      <c r="HK129">
        <v>5200000</v>
      </c>
      <c r="HL129">
        <v>104000</v>
      </c>
      <c r="HM129">
        <v>5096000</v>
      </c>
      <c r="HN129">
        <v>0</v>
      </c>
      <c r="HO129">
        <v>207000</v>
      </c>
      <c r="HP129">
        <v>207000</v>
      </c>
      <c r="HQ129">
        <v>4140</v>
      </c>
      <c r="HR129">
        <v>202860</v>
      </c>
      <c r="HS129">
        <v>6479000</v>
      </c>
      <c r="HT129">
        <v>151020</v>
      </c>
      <c r="HU129">
        <v>6327980</v>
      </c>
      <c r="HV129">
        <v>58311000</v>
      </c>
      <c r="HW129">
        <v>7.0000000000000007E-2</v>
      </c>
      <c r="HX129">
        <v>0.96964931039809399</v>
      </c>
      <c r="HY129">
        <v>1</v>
      </c>
      <c r="HZ129">
        <v>300000</v>
      </c>
      <c r="IA129">
        <v>32658.387595185701</v>
      </c>
      <c r="IB129">
        <v>24493.7906963893</v>
      </c>
      <c r="IC129">
        <v>93309.678843383197</v>
      </c>
      <c r="ID129">
        <v>423161.85713495797</v>
      </c>
      <c r="IE129">
        <v>723161.85713495803</v>
      </c>
      <c r="IF129">
        <v>701213.39607711695</v>
      </c>
      <c r="IG129">
        <v>701213.39607711695</v>
      </c>
      <c r="IH129">
        <v>0</v>
      </c>
      <c r="II129">
        <v>115416.43763745599</v>
      </c>
      <c r="IJ129">
        <v>4082618.4651187402</v>
      </c>
      <c r="IK129">
        <v>0</v>
      </c>
      <c r="IL129">
        <v>0</v>
      </c>
      <c r="IM129">
        <v>0</v>
      </c>
      <c r="IN129">
        <v>1764222.6896011101</v>
      </c>
      <c r="IO129">
        <v>62405739.395386398</v>
      </c>
      <c r="IP129">
        <v>64169962.084987499</v>
      </c>
      <c r="IQ129">
        <v>536000</v>
      </c>
      <c r="IR129">
        <v>2600000</v>
      </c>
      <c r="IS129">
        <v>0</v>
      </c>
      <c r="IT129">
        <v>104000</v>
      </c>
      <c r="IU129">
        <v>104000</v>
      </c>
      <c r="IV129">
        <v>3240000</v>
      </c>
      <c r="IW129">
        <v>268000</v>
      </c>
      <c r="IX129">
        <v>1300000</v>
      </c>
      <c r="IY129">
        <v>0</v>
      </c>
      <c r="IZ129">
        <v>52000</v>
      </c>
      <c r="JA129">
        <v>52000</v>
      </c>
      <c r="JB129">
        <v>1620000</v>
      </c>
      <c r="JC129">
        <v>90000</v>
      </c>
      <c r="JD129">
        <v>434000</v>
      </c>
      <c r="JE129">
        <v>0</v>
      </c>
      <c r="JF129">
        <v>18000</v>
      </c>
      <c r="JG129">
        <v>18000</v>
      </c>
      <c r="JH129">
        <v>542000</v>
      </c>
    </row>
    <row r="130" spans="2:268" customFormat="1" x14ac:dyDescent="0.25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3"/>
      <c r="N130" s="3"/>
      <c r="O130" s="3"/>
      <c r="P130" s="2"/>
      <c r="Q130" s="2"/>
      <c r="R130" s="2"/>
      <c r="S130" s="2"/>
      <c r="T130" s="2"/>
      <c r="U130" s="2"/>
      <c r="V130" s="3"/>
      <c r="W130" s="3"/>
      <c r="X130" s="3"/>
      <c r="Y130" s="3"/>
      <c r="Z130" s="3"/>
      <c r="AA130" s="3"/>
      <c r="AB130" s="3"/>
      <c r="AC130" s="2"/>
      <c r="AD130" s="2"/>
      <c r="AE130" s="2"/>
      <c r="AF130" s="2"/>
      <c r="AG130" s="2"/>
      <c r="AH130" s="2"/>
      <c r="AI130" s="2"/>
      <c r="AJ130" s="3"/>
      <c r="AK130" s="2"/>
      <c r="AL130" s="2"/>
      <c r="AM130" s="2"/>
      <c r="AN130" s="2"/>
      <c r="AO130" s="3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3"/>
      <c r="BC130" s="3"/>
      <c r="BD130" s="3"/>
      <c r="BE130" s="3"/>
      <c r="BF130" s="3"/>
      <c r="BG130" s="3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2"/>
      <c r="DI130" s="2"/>
      <c r="DJ130" s="3"/>
      <c r="DK130" s="3"/>
      <c r="DL130" s="2"/>
      <c r="DM130" s="2"/>
      <c r="DN130" s="2"/>
      <c r="DO130" s="3"/>
      <c r="DP130" s="3"/>
      <c r="GO130" t="s">
        <v>134</v>
      </c>
      <c r="GP130" t="s">
        <v>501</v>
      </c>
      <c r="GQ130" t="s">
        <v>502</v>
      </c>
      <c r="GR130">
        <v>10</v>
      </c>
      <c r="GS130">
        <v>9</v>
      </c>
      <c r="GT130">
        <v>1</v>
      </c>
      <c r="GU130" t="s">
        <v>457</v>
      </c>
      <c r="GV130">
        <v>1764222.6896011101</v>
      </c>
      <c r="GW130">
        <v>62405739.395386398</v>
      </c>
      <c r="GX130">
        <v>64169962.084987499</v>
      </c>
      <c r="GY130">
        <v>0</v>
      </c>
      <c r="GZ130">
        <v>64169962.084987499</v>
      </c>
      <c r="HA130">
        <v>101000000</v>
      </c>
      <c r="HB130">
        <v>303000000</v>
      </c>
      <c r="HC130">
        <v>0</v>
      </c>
      <c r="HD130" t="s">
        <v>137</v>
      </c>
      <c r="HE130">
        <v>0</v>
      </c>
      <c r="HF130">
        <v>0</v>
      </c>
      <c r="HG130">
        <v>0</v>
      </c>
      <c r="HH130">
        <v>1072000</v>
      </c>
      <c r="HI130">
        <v>21440</v>
      </c>
      <c r="HJ130">
        <v>1050560</v>
      </c>
      <c r="HK130">
        <v>5200000</v>
      </c>
      <c r="HL130">
        <v>104000</v>
      </c>
      <c r="HM130">
        <v>5096000</v>
      </c>
      <c r="HN130">
        <v>0</v>
      </c>
      <c r="HO130">
        <v>207000</v>
      </c>
      <c r="HP130">
        <v>207000</v>
      </c>
      <c r="HQ130">
        <v>4140</v>
      </c>
      <c r="HR130">
        <v>202860</v>
      </c>
      <c r="HS130">
        <v>6479000</v>
      </c>
      <c r="HT130">
        <v>129580</v>
      </c>
      <c r="HU130">
        <v>6349420</v>
      </c>
      <c r="HV130">
        <v>64790000</v>
      </c>
      <c r="HW130">
        <v>7.0000000000000007E-2</v>
      </c>
      <c r="HX130">
        <v>0.96964931039809399</v>
      </c>
      <c r="HY130">
        <v>1</v>
      </c>
      <c r="HZ130">
        <v>300000</v>
      </c>
      <c r="IA130">
        <v>25412.726161357401</v>
      </c>
      <c r="IB130">
        <v>19059.5446210181</v>
      </c>
      <c r="IC130">
        <v>73660.075830025002</v>
      </c>
      <c r="ID130">
        <v>390832.34661240003</v>
      </c>
      <c r="IE130">
        <v>690832.34661240003</v>
      </c>
      <c r="IF130">
        <v>669865.10849341098</v>
      </c>
      <c r="IG130">
        <v>669865.10849341098</v>
      </c>
      <c r="IH130">
        <v>0</v>
      </c>
      <c r="II130">
        <v>150144.23067753899</v>
      </c>
      <c r="IJ130">
        <v>4739321.9576770496</v>
      </c>
      <c r="IK130">
        <v>0</v>
      </c>
      <c r="IL130">
        <v>0</v>
      </c>
      <c r="IM130">
        <v>0</v>
      </c>
      <c r="IN130">
        <v>2295061.8117852299</v>
      </c>
      <c r="IO130">
        <v>72443921.353063405</v>
      </c>
      <c r="IP130">
        <v>74738983.1648487</v>
      </c>
      <c r="IQ130">
        <v>536000</v>
      </c>
      <c r="IR130">
        <v>2600000</v>
      </c>
      <c r="IS130">
        <v>0</v>
      </c>
      <c r="IT130">
        <v>104000</v>
      </c>
      <c r="IU130">
        <v>104000</v>
      </c>
      <c r="IV130">
        <v>3240000</v>
      </c>
      <c r="IW130">
        <v>268000</v>
      </c>
      <c r="IX130">
        <v>1300000</v>
      </c>
      <c r="IY130">
        <v>0</v>
      </c>
      <c r="IZ130">
        <v>52000</v>
      </c>
      <c r="JA130">
        <v>52000</v>
      </c>
      <c r="JB130">
        <v>1620000</v>
      </c>
      <c r="JC130">
        <v>90000</v>
      </c>
      <c r="JD130">
        <v>434000</v>
      </c>
      <c r="JE130">
        <v>0</v>
      </c>
      <c r="JF130">
        <v>18000</v>
      </c>
      <c r="JG130">
        <v>18000</v>
      </c>
      <c r="JH130">
        <v>542000</v>
      </c>
    </row>
    <row r="131" spans="2:268" customFormat="1" x14ac:dyDescent="0.25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3"/>
      <c r="N131" s="3"/>
      <c r="O131" s="3"/>
      <c r="P131" s="2"/>
      <c r="Q131" s="2"/>
      <c r="R131" s="2"/>
      <c r="S131" s="2"/>
      <c r="T131" s="2"/>
      <c r="U131" s="2"/>
      <c r="V131" s="3"/>
      <c r="W131" s="3"/>
      <c r="X131" s="3"/>
      <c r="Y131" s="3"/>
      <c r="Z131" s="3"/>
      <c r="AA131" s="3"/>
      <c r="AB131" s="3"/>
      <c r="AC131" s="2"/>
      <c r="AD131" s="2"/>
      <c r="AE131" s="2"/>
      <c r="AF131" s="2"/>
      <c r="AG131" s="2"/>
      <c r="AH131" s="2"/>
      <c r="AI131" s="2"/>
      <c r="AJ131" s="3"/>
      <c r="AK131" s="2"/>
      <c r="AL131" s="2"/>
      <c r="AM131" s="2"/>
      <c r="AN131" s="2"/>
      <c r="AO131" s="3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3"/>
      <c r="BC131" s="3"/>
      <c r="BD131" s="3"/>
      <c r="BE131" s="3"/>
      <c r="BF131" s="3"/>
      <c r="BG131" s="3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2"/>
      <c r="DI131" s="2"/>
      <c r="DJ131" s="3"/>
      <c r="DK131" s="3"/>
      <c r="DL131" s="2"/>
      <c r="DM131" s="2"/>
      <c r="DN131" s="2"/>
      <c r="DO131" s="3"/>
      <c r="DP131" s="3"/>
      <c r="GO131" t="s">
        <v>134</v>
      </c>
      <c r="GP131" t="s">
        <v>501</v>
      </c>
      <c r="GQ131" t="s">
        <v>502</v>
      </c>
      <c r="GR131">
        <v>11</v>
      </c>
      <c r="GS131">
        <v>10</v>
      </c>
      <c r="GT131">
        <v>1</v>
      </c>
      <c r="GU131" t="s">
        <v>457</v>
      </c>
      <c r="GV131">
        <v>2295061.8117852299</v>
      </c>
      <c r="GW131">
        <v>72443921.353063405</v>
      </c>
      <c r="GX131">
        <v>74738983.1648487</v>
      </c>
      <c r="GY131">
        <v>0</v>
      </c>
      <c r="GZ131">
        <v>74738983.1648487</v>
      </c>
      <c r="HA131">
        <v>101000000</v>
      </c>
      <c r="HB131">
        <v>303000000</v>
      </c>
      <c r="HC131">
        <v>0</v>
      </c>
      <c r="HD131" t="s">
        <v>137</v>
      </c>
      <c r="HE131">
        <v>0</v>
      </c>
      <c r="HF131">
        <v>0</v>
      </c>
      <c r="HG131">
        <v>0</v>
      </c>
      <c r="HH131">
        <v>1072000</v>
      </c>
      <c r="HI131">
        <v>21440</v>
      </c>
      <c r="HJ131">
        <v>1050560</v>
      </c>
      <c r="HK131">
        <v>5200000</v>
      </c>
      <c r="HL131">
        <v>104000</v>
      </c>
      <c r="HM131">
        <v>5096000</v>
      </c>
      <c r="HN131">
        <v>0</v>
      </c>
      <c r="HO131">
        <v>207000</v>
      </c>
      <c r="HP131">
        <v>207000</v>
      </c>
      <c r="HQ131">
        <v>4140</v>
      </c>
      <c r="HR131">
        <v>202860</v>
      </c>
      <c r="HS131">
        <v>6479000</v>
      </c>
      <c r="HT131">
        <v>129580</v>
      </c>
      <c r="HU131">
        <v>6349420</v>
      </c>
      <c r="HV131">
        <v>71269000</v>
      </c>
      <c r="HW131">
        <v>7.0000000000000007E-2</v>
      </c>
      <c r="HX131">
        <v>0.96964931039809399</v>
      </c>
      <c r="HY131">
        <v>1</v>
      </c>
      <c r="HZ131">
        <v>300000</v>
      </c>
      <c r="IA131">
        <v>17857.4914479033</v>
      </c>
      <c r="IB131">
        <v>13393.118585927399</v>
      </c>
      <c r="IC131">
        <v>52522.033670302597</v>
      </c>
      <c r="ID131">
        <v>356472.64370413299</v>
      </c>
      <c r="IE131">
        <v>656472.64370413299</v>
      </c>
      <c r="IF131">
        <v>636548.24626292603</v>
      </c>
      <c r="IG131">
        <v>636548.24626292603</v>
      </c>
      <c r="IH131">
        <v>0</v>
      </c>
      <c r="II131">
        <v>189635.14958656201</v>
      </c>
      <c r="IJ131">
        <v>5441994.69471444</v>
      </c>
      <c r="IK131">
        <v>0</v>
      </c>
      <c r="IL131">
        <v>0</v>
      </c>
      <c r="IM131">
        <v>0</v>
      </c>
      <c r="IN131">
        <v>2898708.7151088701</v>
      </c>
      <c r="IO131">
        <v>83184776.047777906</v>
      </c>
      <c r="IP131">
        <v>86083484.762886807</v>
      </c>
      <c r="IQ131">
        <v>536000</v>
      </c>
      <c r="IR131">
        <v>2600000</v>
      </c>
      <c r="IS131">
        <v>0</v>
      </c>
      <c r="IT131">
        <v>104000</v>
      </c>
      <c r="IU131">
        <v>104000</v>
      </c>
      <c r="IV131">
        <v>3240000</v>
      </c>
      <c r="IW131">
        <v>268000</v>
      </c>
      <c r="IX131">
        <v>1300000</v>
      </c>
      <c r="IY131">
        <v>0</v>
      </c>
      <c r="IZ131">
        <v>52000</v>
      </c>
      <c r="JA131">
        <v>52000</v>
      </c>
      <c r="JB131">
        <v>1620000</v>
      </c>
      <c r="JC131">
        <v>90000</v>
      </c>
      <c r="JD131">
        <v>434000</v>
      </c>
      <c r="JE131">
        <v>0</v>
      </c>
      <c r="JF131">
        <v>18000</v>
      </c>
      <c r="JG131">
        <v>18000</v>
      </c>
      <c r="JH131">
        <v>542000</v>
      </c>
    </row>
    <row r="132" spans="2:268" customFormat="1" x14ac:dyDescent="0.25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3"/>
      <c r="N132" s="3"/>
      <c r="O132" s="3"/>
      <c r="P132" s="2"/>
      <c r="Q132" s="2"/>
      <c r="R132" s="2"/>
      <c r="S132" s="2"/>
      <c r="T132" s="2"/>
      <c r="U132" s="2"/>
      <c r="V132" s="3"/>
      <c r="W132" s="3"/>
      <c r="X132" s="3"/>
      <c r="Y132" s="3"/>
      <c r="Z132" s="3"/>
      <c r="AA132" s="3"/>
      <c r="AB132" s="3"/>
      <c r="AC132" s="2"/>
      <c r="AD132" s="2"/>
      <c r="AE132" s="2"/>
      <c r="AF132" s="2"/>
      <c r="AG132" s="2"/>
      <c r="AH132" s="2"/>
      <c r="AI132" s="2"/>
      <c r="AJ132" s="3"/>
      <c r="AK132" s="2"/>
      <c r="AL132" s="2"/>
      <c r="AM132" s="2"/>
      <c r="AN132" s="2"/>
      <c r="AO132" s="3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3"/>
      <c r="BC132" s="3"/>
      <c r="BD132" s="3"/>
      <c r="BE132" s="3"/>
      <c r="BF132" s="3"/>
      <c r="BG132" s="3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2"/>
      <c r="DI132" s="2"/>
      <c r="DJ132" s="3"/>
      <c r="DK132" s="3"/>
      <c r="DL132" s="2"/>
      <c r="DM132" s="2"/>
      <c r="DN132" s="2"/>
      <c r="DO132" s="3"/>
      <c r="DP132" s="3"/>
      <c r="GO132" t="s">
        <v>134</v>
      </c>
      <c r="GP132" t="s">
        <v>501</v>
      </c>
      <c r="GQ132" t="s">
        <v>502</v>
      </c>
      <c r="GR132">
        <v>12</v>
      </c>
      <c r="GS132">
        <v>11</v>
      </c>
      <c r="GT132">
        <v>1</v>
      </c>
      <c r="GU132" t="s">
        <v>457</v>
      </c>
      <c r="GV132">
        <v>2898708.7151088701</v>
      </c>
      <c r="GW132">
        <v>83184776.047777906</v>
      </c>
      <c r="GX132">
        <v>86083484.762886807</v>
      </c>
      <c r="GY132">
        <v>0</v>
      </c>
      <c r="GZ132">
        <v>86083484.762886807</v>
      </c>
      <c r="HA132">
        <v>101000000</v>
      </c>
      <c r="HB132">
        <v>303000000</v>
      </c>
      <c r="HC132">
        <v>5000000</v>
      </c>
      <c r="HD132" t="s">
        <v>458</v>
      </c>
      <c r="HE132">
        <v>0</v>
      </c>
      <c r="HF132">
        <v>5000000</v>
      </c>
      <c r="HG132">
        <v>5000000</v>
      </c>
      <c r="HH132">
        <v>1072000</v>
      </c>
      <c r="HI132">
        <v>21440</v>
      </c>
      <c r="HJ132">
        <v>1050560</v>
      </c>
      <c r="HK132">
        <v>5200000</v>
      </c>
      <c r="HL132">
        <v>104000</v>
      </c>
      <c r="HM132">
        <v>5096000</v>
      </c>
      <c r="HN132">
        <v>0</v>
      </c>
      <c r="HO132">
        <v>207000</v>
      </c>
      <c r="HP132">
        <v>207000</v>
      </c>
      <c r="HQ132">
        <v>4140</v>
      </c>
      <c r="HR132">
        <v>202860</v>
      </c>
      <c r="HS132">
        <v>6479000</v>
      </c>
      <c r="HT132">
        <v>129580</v>
      </c>
      <c r="HU132">
        <v>6349420</v>
      </c>
      <c r="HV132">
        <v>77748000</v>
      </c>
      <c r="HW132">
        <v>7.0000000000000007E-2</v>
      </c>
      <c r="HX132">
        <v>0.96964931039809399</v>
      </c>
      <c r="HY132">
        <v>1</v>
      </c>
      <c r="HZ132">
        <v>300000</v>
      </c>
      <c r="IA132">
        <v>10441.5606659798</v>
      </c>
      <c r="IB132">
        <v>7831.1704994848296</v>
      </c>
      <c r="IC132">
        <v>29833.0304742265</v>
      </c>
      <c r="ID132">
        <v>320805.76163969102</v>
      </c>
      <c r="IE132">
        <v>620805.76163969096</v>
      </c>
      <c r="IF132">
        <v>601963.87866508996</v>
      </c>
      <c r="IG132">
        <v>601963.87866508996</v>
      </c>
      <c r="IH132">
        <v>0</v>
      </c>
      <c r="II132">
        <v>234311.33855106501</v>
      </c>
      <c r="IJ132">
        <v>5843854.5233444497</v>
      </c>
      <c r="IK132">
        <v>192960</v>
      </c>
      <c r="IL132">
        <v>0</v>
      </c>
      <c r="IM132">
        <v>192960</v>
      </c>
      <c r="IN132">
        <v>3774576.1749948398</v>
      </c>
      <c r="IO132">
        <v>89327490.571122304</v>
      </c>
      <c r="IP132">
        <v>93102066.746117204</v>
      </c>
      <c r="IQ132">
        <v>536000</v>
      </c>
      <c r="IR132">
        <v>2600000</v>
      </c>
      <c r="IS132">
        <v>0</v>
      </c>
      <c r="IT132">
        <v>104000</v>
      </c>
      <c r="IU132">
        <v>104000</v>
      </c>
      <c r="IV132">
        <v>3240000</v>
      </c>
      <c r="IW132">
        <v>268000</v>
      </c>
      <c r="IX132">
        <v>1300000</v>
      </c>
      <c r="IY132">
        <v>0</v>
      </c>
      <c r="IZ132">
        <v>52000</v>
      </c>
      <c r="JA132">
        <v>52000</v>
      </c>
      <c r="JB132">
        <v>1620000</v>
      </c>
      <c r="JC132">
        <v>90000</v>
      </c>
      <c r="JD132">
        <v>434000</v>
      </c>
      <c r="JE132">
        <v>0</v>
      </c>
      <c r="JF132">
        <v>18000</v>
      </c>
      <c r="JG132">
        <v>18000</v>
      </c>
      <c r="JH132">
        <v>542000</v>
      </c>
    </row>
    <row r="133" spans="2:268" customFormat="1" x14ac:dyDescent="0.25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3"/>
      <c r="N133" s="3"/>
      <c r="O133" s="3"/>
      <c r="P133" s="2"/>
      <c r="Q133" s="2"/>
      <c r="R133" s="2"/>
      <c r="S133" s="2"/>
      <c r="T133" s="2"/>
      <c r="U133" s="2"/>
      <c r="V133" s="3"/>
      <c r="W133" s="3"/>
      <c r="X133" s="3"/>
      <c r="Y133" s="3"/>
      <c r="Z133" s="3"/>
      <c r="AA133" s="3"/>
      <c r="AB133" s="3"/>
      <c r="AC133" s="2"/>
      <c r="AD133" s="2"/>
      <c r="AE133" s="2"/>
      <c r="AF133" s="2"/>
      <c r="AG133" s="2"/>
      <c r="AH133" s="2"/>
      <c r="AI133" s="2"/>
      <c r="AJ133" s="3"/>
      <c r="AK133" s="2"/>
      <c r="AL133" s="2"/>
      <c r="AM133" s="2"/>
      <c r="AN133" s="2"/>
      <c r="AO133" s="3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3"/>
      <c r="BC133" s="3"/>
      <c r="BD133" s="3"/>
      <c r="BE133" s="3"/>
      <c r="BF133" s="3"/>
      <c r="BG133" s="3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2"/>
      <c r="DI133" s="2"/>
      <c r="DJ133" s="3"/>
      <c r="DK133" s="3"/>
      <c r="DL133" s="2"/>
      <c r="DM133" s="2"/>
      <c r="DN133" s="2"/>
      <c r="DO133" s="3"/>
      <c r="DP133" s="3"/>
      <c r="GO133" t="s">
        <v>134</v>
      </c>
      <c r="GP133" t="s">
        <v>501</v>
      </c>
      <c r="GQ133" t="s">
        <v>502</v>
      </c>
      <c r="GR133">
        <v>13</v>
      </c>
      <c r="GS133">
        <v>12</v>
      </c>
      <c r="GT133">
        <v>1</v>
      </c>
      <c r="GU133" t="s">
        <v>457</v>
      </c>
      <c r="GV133">
        <v>3774576.1749948398</v>
      </c>
      <c r="GW133">
        <v>89327490.571122304</v>
      </c>
      <c r="GX133">
        <v>93102066.746117204</v>
      </c>
      <c r="GY133">
        <v>0</v>
      </c>
      <c r="GZ133">
        <v>93102066.746117204</v>
      </c>
      <c r="HA133">
        <v>101000000</v>
      </c>
      <c r="HB133">
        <v>303000000</v>
      </c>
      <c r="HC133">
        <v>5000000</v>
      </c>
      <c r="HD133" t="s">
        <v>458</v>
      </c>
      <c r="HE133">
        <v>0</v>
      </c>
      <c r="HF133">
        <v>5000000</v>
      </c>
      <c r="HG133">
        <v>5000000</v>
      </c>
      <c r="HH133">
        <v>1072000</v>
      </c>
      <c r="HI133">
        <v>21440</v>
      </c>
      <c r="HJ133">
        <v>1050560</v>
      </c>
      <c r="HK133">
        <v>5200000</v>
      </c>
      <c r="HL133">
        <v>104000</v>
      </c>
      <c r="HM133">
        <v>5096000</v>
      </c>
      <c r="HN133">
        <v>0</v>
      </c>
      <c r="HO133">
        <v>207000</v>
      </c>
      <c r="HP133">
        <v>207000</v>
      </c>
      <c r="HQ133">
        <v>4140</v>
      </c>
      <c r="HR133">
        <v>202860</v>
      </c>
      <c r="HS133">
        <v>6479000</v>
      </c>
      <c r="HT133">
        <v>129580</v>
      </c>
      <c r="HU133">
        <v>6349420</v>
      </c>
      <c r="HV133">
        <v>84227000</v>
      </c>
      <c r="HW133">
        <v>7.0000000000000007E-2</v>
      </c>
      <c r="HX133">
        <v>0.96964931039809399</v>
      </c>
      <c r="HY133">
        <v>1</v>
      </c>
      <c r="HZ133">
        <v>300000</v>
      </c>
      <c r="IA133">
        <v>5765.4912753345097</v>
      </c>
      <c r="IB133">
        <v>4324.1184565008898</v>
      </c>
      <c r="IC133">
        <v>15795.866507765601</v>
      </c>
      <c r="ID133">
        <v>298585.47623960098</v>
      </c>
      <c r="IE133">
        <v>598585.47623960103</v>
      </c>
      <c r="IF133">
        <v>580417.99425004399</v>
      </c>
      <c r="IG133">
        <v>580417.99425004399</v>
      </c>
      <c r="IH133">
        <v>0</v>
      </c>
      <c r="II133">
        <v>297130.27265213599</v>
      </c>
      <c r="IJ133">
        <v>6273844.5399785601</v>
      </c>
      <c r="IK133">
        <v>0</v>
      </c>
      <c r="IL133">
        <v>0</v>
      </c>
      <c r="IM133">
        <v>0</v>
      </c>
      <c r="IN133">
        <v>4541848.4533969397</v>
      </c>
      <c r="IO133">
        <v>95900195.111100897</v>
      </c>
      <c r="IP133">
        <v>100442043.56449801</v>
      </c>
      <c r="IQ133">
        <v>536000</v>
      </c>
      <c r="IR133">
        <v>2600000</v>
      </c>
      <c r="IS133">
        <v>0</v>
      </c>
      <c r="IT133">
        <v>104000</v>
      </c>
      <c r="IU133">
        <v>104000</v>
      </c>
      <c r="IV133">
        <v>3240000</v>
      </c>
      <c r="IW133">
        <v>268000</v>
      </c>
      <c r="IX133">
        <v>1300000</v>
      </c>
      <c r="IY133">
        <v>0</v>
      </c>
      <c r="IZ133">
        <v>52000</v>
      </c>
      <c r="JA133">
        <v>52000</v>
      </c>
      <c r="JB133">
        <v>1620000</v>
      </c>
      <c r="JC133">
        <v>90000</v>
      </c>
      <c r="JD133">
        <v>434000</v>
      </c>
      <c r="JE133">
        <v>0</v>
      </c>
      <c r="JF133">
        <v>18000</v>
      </c>
      <c r="JG133">
        <v>18000</v>
      </c>
      <c r="JH133">
        <v>542000</v>
      </c>
    </row>
    <row r="134" spans="2:268" customFormat="1" x14ac:dyDescent="0.2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3"/>
      <c r="N134" s="3"/>
      <c r="O134" s="3"/>
      <c r="P134" s="2"/>
      <c r="Q134" s="2"/>
      <c r="R134" s="2"/>
      <c r="S134" s="2"/>
      <c r="T134" s="2"/>
      <c r="U134" s="2"/>
      <c r="V134" s="3"/>
      <c r="W134" s="3"/>
      <c r="X134" s="3"/>
      <c r="Y134" s="3"/>
      <c r="Z134" s="3"/>
      <c r="AA134" s="3"/>
      <c r="AB134" s="3"/>
      <c r="AC134" s="2"/>
      <c r="AD134" s="2"/>
      <c r="AE134" s="2"/>
      <c r="AF134" s="2"/>
      <c r="AG134" s="2"/>
      <c r="AH134" s="2"/>
      <c r="AI134" s="2"/>
      <c r="AJ134" s="3"/>
      <c r="AK134" s="2"/>
      <c r="AL134" s="2"/>
      <c r="AM134" s="2"/>
      <c r="AN134" s="2"/>
      <c r="AO134" s="3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3"/>
      <c r="BC134" s="3"/>
      <c r="BD134" s="3"/>
      <c r="BE134" s="3"/>
      <c r="BF134" s="3"/>
      <c r="BG134" s="3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2"/>
      <c r="DI134" s="2"/>
      <c r="DJ134" s="3"/>
      <c r="DK134" s="3"/>
      <c r="DL134" s="2"/>
      <c r="DM134" s="2"/>
      <c r="DN134" s="2"/>
      <c r="DO134" s="3"/>
      <c r="DP134" s="3"/>
      <c r="GO134" t="s">
        <v>134</v>
      </c>
      <c r="GP134" t="s">
        <v>501</v>
      </c>
      <c r="GQ134" t="s">
        <v>502</v>
      </c>
      <c r="GR134">
        <v>14</v>
      </c>
      <c r="GS134">
        <v>13</v>
      </c>
      <c r="GT134">
        <v>1</v>
      </c>
      <c r="GU134" t="s">
        <v>457</v>
      </c>
      <c r="GV134">
        <v>4541848.4533969397</v>
      </c>
      <c r="GW134">
        <v>95900195.111100897</v>
      </c>
      <c r="GX134">
        <v>100442043.56449801</v>
      </c>
      <c r="GY134">
        <v>0</v>
      </c>
      <c r="GZ134">
        <v>100442043.56449801</v>
      </c>
      <c r="HA134">
        <v>101000000</v>
      </c>
      <c r="HB134">
        <v>303000000</v>
      </c>
      <c r="HC134">
        <v>5000000</v>
      </c>
      <c r="HD134" t="s">
        <v>458</v>
      </c>
      <c r="HE134">
        <v>0</v>
      </c>
      <c r="HF134">
        <v>5000000</v>
      </c>
      <c r="HG134">
        <v>5000000</v>
      </c>
      <c r="HH134">
        <v>1072000</v>
      </c>
      <c r="HI134">
        <v>21440</v>
      </c>
      <c r="HJ134">
        <v>1050560</v>
      </c>
      <c r="HK134">
        <v>5200000</v>
      </c>
      <c r="HL134">
        <v>104000</v>
      </c>
      <c r="HM134">
        <v>5096000</v>
      </c>
      <c r="HN134">
        <v>0</v>
      </c>
      <c r="HO134">
        <v>207000</v>
      </c>
      <c r="HP134">
        <v>207000</v>
      </c>
      <c r="HQ134">
        <v>4140</v>
      </c>
      <c r="HR134">
        <v>202860</v>
      </c>
      <c r="HS134">
        <v>6479000</v>
      </c>
      <c r="HT134">
        <v>129580</v>
      </c>
      <c r="HU134">
        <v>6349420</v>
      </c>
      <c r="HV134">
        <v>90706000</v>
      </c>
      <c r="HW134">
        <v>7.0000000000000007E-2</v>
      </c>
      <c r="HX134">
        <v>0.96964931039809399</v>
      </c>
      <c r="HY134">
        <v>1</v>
      </c>
      <c r="HZ134">
        <v>300000</v>
      </c>
      <c r="IA134">
        <v>429.62645533662499</v>
      </c>
      <c r="IB134">
        <v>322.21984150246902</v>
      </c>
      <c r="IC134">
        <v>1115.9128710043101</v>
      </c>
      <c r="ID134">
        <v>274567.75916784297</v>
      </c>
      <c r="IE134">
        <v>574567.75916784303</v>
      </c>
      <c r="IF134">
        <v>557129.23145407694</v>
      </c>
      <c r="IG134">
        <v>557129.23145407694</v>
      </c>
      <c r="IH134">
        <v>0</v>
      </c>
      <c r="II134">
        <v>352469.54553599999</v>
      </c>
      <c r="IJ134">
        <v>6733933.85777706</v>
      </c>
      <c r="IK134">
        <v>0</v>
      </c>
      <c r="IL134">
        <v>0</v>
      </c>
      <c r="IM134">
        <v>0</v>
      </c>
      <c r="IN134">
        <v>5387748.76747886</v>
      </c>
      <c r="IO134">
        <v>102932988.968878</v>
      </c>
      <c r="IP134">
        <v>108320737.736357</v>
      </c>
      <c r="IQ134">
        <v>536000</v>
      </c>
      <c r="IR134">
        <v>2600000</v>
      </c>
      <c r="IS134">
        <v>0</v>
      </c>
      <c r="IT134">
        <v>104000</v>
      </c>
      <c r="IU134">
        <v>104000</v>
      </c>
      <c r="IV134">
        <v>3240000</v>
      </c>
      <c r="IW134">
        <v>268000</v>
      </c>
      <c r="IX134">
        <v>1300000</v>
      </c>
      <c r="IY134">
        <v>0</v>
      </c>
      <c r="IZ134">
        <v>52000</v>
      </c>
      <c r="JA134">
        <v>52000</v>
      </c>
      <c r="JB134">
        <v>1620000</v>
      </c>
      <c r="JC134">
        <v>90000</v>
      </c>
      <c r="JD134">
        <v>434000</v>
      </c>
      <c r="JE134">
        <v>0</v>
      </c>
      <c r="JF134">
        <v>18000</v>
      </c>
      <c r="JG134">
        <v>18000</v>
      </c>
      <c r="JH134">
        <v>542000</v>
      </c>
    </row>
    <row r="135" spans="2:268" customFormat="1" x14ac:dyDescent="0.25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3"/>
      <c r="N135" s="3"/>
      <c r="O135" s="3"/>
      <c r="P135" s="2"/>
      <c r="Q135" s="2"/>
      <c r="R135" s="2"/>
      <c r="S135" s="2"/>
      <c r="T135" s="2"/>
      <c r="U135" s="2"/>
      <c r="V135" s="3"/>
      <c r="W135" s="3"/>
      <c r="X135" s="3"/>
      <c r="Y135" s="3"/>
      <c r="Z135" s="3"/>
      <c r="AA135" s="3"/>
      <c r="AB135" s="3"/>
      <c r="AC135" s="2"/>
      <c r="AD135" s="2"/>
      <c r="AE135" s="2"/>
      <c r="AF135" s="2"/>
      <c r="AG135" s="2"/>
      <c r="AH135" s="2"/>
      <c r="AI135" s="2"/>
      <c r="AJ135" s="3"/>
      <c r="AK135" s="2"/>
      <c r="AL135" s="2"/>
      <c r="AM135" s="2"/>
      <c r="AN135" s="2"/>
      <c r="AO135" s="3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3"/>
      <c r="BC135" s="3"/>
      <c r="BD135" s="3"/>
      <c r="BE135" s="3"/>
      <c r="BF135" s="3"/>
      <c r="BG135" s="3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2"/>
      <c r="DI135" s="2"/>
      <c r="DJ135" s="3"/>
      <c r="DK135" s="3"/>
      <c r="DL135" s="2"/>
      <c r="DM135" s="2"/>
      <c r="DN135" s="2"/>
      <c r="DO135" s="3"/>
      <c r="DP135" s="3"/>
      <c r="GO135" t="s">
        <v>134</v>
      </c>
      <c r="GP135" t="s">
        <v>501</v>
      </c>
      <c r="GQ135" t="s">
        <v>502</v>
      </c>
      <c r="GR135">
        <v>15</v>
      </c>
      <c r="GS135">
        <v>14</v>
      </c>
      <c r="GT135">
        <v>1</v>
      </c>
      <c r="GU135" t="s">
        <v>457</v>
      </c>
      <c r="GV135">
        <v>5387748.76747886</v>
      </c>
      <c r="GW135">
        <v>102932988.968878</v>
      </c>
      <c r="GX135">
        <v>108320737.736357</v>
      </c>
      <c r="GY135">
        <v>0</v>
      </c>
      <c r="GZ135">
        <v>108320737.736357</v>
      </c>
      <c r="HA135">
        <v>108320737.736357</v>
      </c>
      <c r="HB135">
        <v>303000000</v>
      </c>
      <c r="HC135">
        <v>5000000</v>
      </c>
      <c r="HD135" t="s">
        <v>458</v>
      </c>
      <c r="HE135">
        <v>0</v>
      </c>
      <c r="HF135">
        <v>5000000</v>
      </c>
      <c r="HG135">
        <v>5000000</v>
      </c>
      <c r="HH135">
        <v>1072000</v>
      </c>
      <c r="HI135">
        <v>21440</v>
      </c>
      <c r="HJ135">
        <v>1050560</v>
      </c>
      <c r="HK135">
        <v>5200000</v>
      </c>
      <c r="HL135">
        <v>104000</v>
      </c>
      <c r="HM135">
        <v>5096000</v>
      </c>
      <c r="HN135">
        <v>0</v>
      </c>
      <c r="HO135">
        <v>222000</v>
      </c>
      <c r="HP135">
        <v>222000</v>
      </c>
      <c r="HQ135">
        <v>4440</v>
      </c>
      <c r="HR135">
        <v>217560</v>
      </c>
      <c r="HS135">
        <v>6494000</v>
      </c>
      <c r="HT135">
        <v>129880</v>
      </c>
      <c r="HU135">
        <v>6364120</v>
      </c>
      <c r="HV135">
        <v>97200000</v>
      </c>
      <c r="HW135">
        <v>7.0000000000000007E-2</v>
      </c>
      <c r="HX135">
        <v>0.96964931039809399</v>
      </c>
      <c r="HY135">
        <v>1</v>
      </c>
      <c r="HZ135">
        <v>300000</v>
      </c>
      <c r="IA135">
        <v>0</v>
      </c>
      <c r="IB135">
        <v>0</v>
      </c>
      <c r="IC135">
        <v>0</v>
      </c>
      <c r="ID135">
        <v>272700</v>
      </c>
      <c r="IE135">
        <v>572700</v>
      </c>
      <c r="IF135">
        <v>555318.16006498795</v>
      </c>
      <c r="IG135">
        <v>555318.16006498795</v>
      </c>
      <c r="IH135">
        <v>0</v>
      </c>
      <c r="II135">
        <v>411809.34251897101</v>
      </c>
      <c r="IJ135">
        <v>7227258.4278214602</v>
      </c>
      <c r="IK135">
        <v>0</v>
      </c>
      <c r="IL135">
        <v>0</v>
      </c>
      <c r="IM135">
        <v>0</v>
      </c>
      <c r="IN135">
        <v>6294799.9499328397</v>
      </c>
      <c r="IO135">
        <v>110473807.396699</v>
      </c>
      <c r="IP135">
        <v>116768607.346632</v>
      </c>
      <c r="IQ135">
        <v>536000</v>
      </c>
      <c r="IR135">
        <v>2600000</v>
      </c>
      <c r="IS135">
        <v>0</v>
      </c>
      <c r="IT135">
        <v>111000</v>
      </c>
      <c r="IU135">
        <v>111000</v>
      </c>
      <c r="IV135">
        <v>3247000</v>
      </c>
      <c r="IW135">
        <v>268000</v>
      </c>
      <c r="IX135">
        <v>1300000</v>
      </c>
      <c r="IY135">
        <v>0</v>
      </c>
      <c r="IZ135">
        <v>56000</v>
      </c>
      <c r="JA135">
        <v>56000</v>
      </c>
      <c r="JB135">
        <v>1624000</v>
      </c>
      <c r="JC135">
        <v>90000</v>
      </c>
      <c r="JD135">
        <v>434000</v>
      </c>
      <c r="JE135">
        <v>0</v>
      </c>
      <c r="JF135">
        <v>19000</v>
      </c>
      <c r="JG135">
        <v>19000</v>
      </c>
      <c r="JH135">
        <v>543000</v>
      </c>
    </row>
    <row r="136" spans="2:268" customFormat="1" x14ac:dyDescent="0.25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3"/>
      <c r="N136" s="3"/>
      <c r="O136" s="3"/>
      <c r="P136" s="2"/>
      <c r="Q136" s="2"/>
      <c r="R136" s="2"/>
      <c r="S136" s="2"/>
      <c r="T136" s="2"/>
      <c r="U136" s="2"/>
      <c r="V136" s="3"/>
      <c r="W136" s="3"/>
      <c r="X136" s="3"/>
      <c r="Y136" s="3"/>
      <c r="Z136" s="3"/>
      <c r="AA136" s="3"/>
      <c r="AB136" s="3"/>
      <c r="AC136" s="2"/>
      <c r="AD136" s="2"/>
      <c r="AE136" s="2"/>
      <c r="AF136" s="2"/>
      <c r="AG136" s="2"/>
      <c r="AH136" s="2"/>
      <c r="AI136" s="2"/>
      <c r="AJ136" s="3"/>
      <c r="AK136" s="2"/>
      <c r="AL136" s="2"/>
      <c r="AM136" s="2"/>
      <c r="AN136" s="2"/>
      <c r="AO136" s="3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3"/>
      <c r="BC136" s="3"/>
      <c r="BD136" s="3"/>
      <c r="BE136" s="3"/>
      <c r="BF136" s="3"/>
      <c r="BG136" s="3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2"/>
      <c r="DI136" s="2"/>
      <c r="DJ136" s="3"/>
      <c r="DK136" s="3"/>
      <c r="DL136" s="2"/>
      <c r="DM136" s="2"/>
      <c r="DN136" s="2"/>
      <c r="DO136" s="3"/>
      <c r="DP136" s="3"/>
      <c r="GO136" t="s">
        <v>134</v>
      </c>
      <c r="GP136" t="s">
        <v>501</v>
      </c>
      <c r="GQ136" t="s">
        <v>502</v>
      </c>
      <c r="GR136">
        <v>16</v>
      </c>
      <c r="GS136">
        <v>15</v>
      </c>
      <c r="GT136">
        <v>1</v>
      </c>
      <c r="GU136" t="s">
        <v>457</v>
      </c>
      <c r="GV136">
        <v>6294799.9499328397</v>
      </c>
      <c r="GW136">
        <v>110473807.396699</v>
      </c>
      <c r="GX136">
        <v>116768607.346632</v>
      </c>
      <c r="GY136">
        <v>0</v>
      </c>
      <c r="GZ136">
        <v>116768607.346632</v>
      </c>
      <c r="HA136">
        <v>116768607.346632</v>
      </c>
      <c r="HB136">
        <v>303000000</v>
      </c>
      <c r="HC136">
        <v>0</v>
      </c>
      <c r="HD136" t="s">
        <v>137</v>
      </c>
      <c r="HE136">
        <v>0</v>
      </c>
      <c r="HF136">
        <v>0</v>
      </c>
      <c r="HG136">
        <v>0</v>
      </c>
      <c r="HH136">
        <v>1072000</v>
      </c>
      <c r="HI136">
        <v>21440</v>
      </c>
      <c r="HJ136">
        <v>1050560</v>
      </c>
      <c r="HK136">
        <v>5200000</v>
      </c>
      <c r="HL136">
        <v>104000</v>
      </c>
      <c r="HM136">
        <v>5096000</v>
      </c>
      <c r="HN136">
        <v>0</v>
      </c>
      <c r="HO136">
        <v>239000</v>
      </c>
      <c r="HP136">
        <v>239000</v>
      </c>
      <c r="HQ136">
        <v>4780</v>
      </c>
      <c r="HR136">
        <v>234220</v>
      </c>
      <c r="HS136">
        <v>6511000</v>
      </c>
      <c r="HT136">
        <v>130220</v>
      </c>
      <c r="HU136">
        <v>6380780</v>
      </c>
      <c r="HV136">
        <v>103711000</v>
      </c>
      <c r="HW136">
        <v>7.0000000000000007E-2</v>
      </c>
      <c r="HX136">
        <v>0.96964931039809399</v>
      </c>
      <c r="HY136">
        <v>1</v>
      </c>
      <c r="HZ136">
        <v>300000</v>
      </c>
      <c r="IA136">
        <v>0</v>
      </c>
      <c r="IB136">
        <v>0</v>
      </c>
      <c r="IC136">
        <v>0</v>
      </c>
      <c r="ID136">
        <v>272700</v>
      </c>
      <c r="IE136">
        <v>572700</v>
      </c>
      <c r="IF136">
        <v>555318.16006498795</v>
      </c>
      <c r="IG136">
        <v>555318.16006498795</v>
      </c>
      <c r="IH136">
        <v>0</v>
      </c>
      <c r="II136">
        <v>475302.92529074999</v>
      </c>
      <c r="IJ136">
        <v>8106281.9177689599</v>
      </c>
      <c r="IK136">
        <v>257280</v>
      </c>
      <c r="IL136">
        <v>0</v>
      </c>
      <c r="IM136">
        <v>257280</v>
      </c>
      <c r="IN136">
        <v>7522624.7151586004</v>
      </c>
      <c r="IO136">
        <v>123910309.314468</v>
      </c>
      <c r="IP136">
        <v>131432934.029627</v>
      </c>
      <c r="IQ136">
        <v>536000</v>
      </c>
      <c r="IR136">
        <v>2600000</v>
      </c>
      <c r="IS136">
        <v>0</v>
      </c>
      <c r="IT136">
        <v>120000</v>
      </c>
      <c r="IU136">
        <v>120000</v>
      </c>
      <c r="IV136">
        <v>3256000</v>
      </c>
      <c r="IW136">
        <v>268000</v>
      </c>
      <c r="IX136">
        <v>1300000</v>
      </c>
      <c r="IY136">
        <v>0</v>
      </c>
      <c r="IZ136">
        <v>60000</v>
      </c>
      <c r="JA136">
        <v>60000</v>
      </c>
      <c r="JB136">
        <v>1628000</v>
      </c>
      <c r="JC136">
        <v>90000</v>
      </c>
      <c r="JD136">
        <v>434000</v>
      </c>
      <c r="JE136">
        <v>0</v>
      </c>
      <c r="JF136">
        <v>20000</v>
      </c>
      <c r="JG136">
        <v>20000</v>
      </c>
      <c r="JH136">
        <v>544000</v>
      </c>
    </row>
    <row r="137" spans="2:268" customFormat="1" x14ac:dyDescent="0.25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3"/>
      <c r="N137" s="3"/>
      <c r="O137" s="3"/>
      <c r="P137" s="2"/>
      <c r="Q137" s="2"/>
      <c r="R137" s="2"/>
      <c r="S137" s="2"/>
      <c r="T137" s="2"/>
      <c r="U137" s="2"/>
      <c r="V137" s="3"/>
      <c r="W137" s="3"/>
      <c r="X137" s="3"/>
      <c r="Y137" s="3"/>
      <c r="Z137" s="3"/>
      <c r="AA137" s="3"/>
      <c r="AB137" s="3"/>
      <c r="AC137" s="2"/>
      <c r="AD137" s="2"/>
      <c r="AE137" s="2"/>
      <c r="AF137" s="2"/>
      <c r="AG137" s="2"/>
      <c r="AH137" s="2"/>
      <c r="AI137" s="2"/>
      <c r="AJ137" s="3"/>
      <c r="AK137" s="2"/>
      <c r="AL137" s="2"/>
      <c r="AM137" s="2"/>
      <c r="AN137" s="2"/>
      <c r="AO137" s="3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3"/>
      <c r="BC137" s="3"/>
      <c r="BD137" s="3"/>
      <c r="BE137" s="3"/>
      <c r="BF137" s="3"/>
      <c r="BG137" s="3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2"/>
      <c r="DI137" s="2"/>
      <c r="DJ137" s="3"/>
      <c r="DK137" s="3"/>
      <c r="DL137" s="2"/>
      <c r="DM137" s="2"/>
      <c r="DN137" s="2"/>
      <c r="DO137" s="3"/>
      <c r="DP137" s="3"/>
      <c r="GO137" t="s">
        <v>134</v>
      </c>
      <c r="GP137" t="s">
        <v>501</v>
      </c>
      <c r="GQ137" t="s">
        <v>502</v>
      </c>
      <c r="GR137">
        <v>17</v>
      </c>
      <c r="GS137">
        <v>16</v>
      </c>
      <c r="GT137">
        <v>1</v>
      </c>
      <c r="GU137" t="s">
        <v>457</v>
      </c>
      <c r="GV137">
        <v>7522624.7151586004</v>
      </c>
      <c r="GW137">
        <v>123910309.314468</v>
      </c>
      <c r="GX137">
        <v>131432934.029627</v>
      </c>
      <c r="GY137">
        <v>0</v>
      </c>
      <c r="GZ137">
        <v>131432934.029627</v>
      </c>
      <c r="HA137">
        <v>131432934.029627</v>
      </c>
      <c r="HB137">
        <v>303000000</v>
      </c>
      <c r="HC137">
        <v>0</v>
      </c>
      <c r="HD137" t="s">
        <v>137</v>
      </c>
      <c r="HE137">
        <v>0</v>
      </c>
      <c r="HF137">
        <v>0</v>
      </c>
      <c r="HG137">
        <v>0</v>
      </c>
      <c r="HH137">
        <v>1072000</v>
      </c>
      <c r="HI137">
        <v>21440</v>
      </c>
      <c r="HJ137">
        <v>1050560</v>
      </c>
      <c r="HK137">
        <v>5200000</v>
      </c>
      <c r="HL137">
        <v>104000</v>
      </c>
      <c r="HM137">
        <v>5096000</v>
      </c>
      <c r="HN137">
        <v>0</v>
      </c>
      <c r="HO137">
        <v>269000</v>
      </c>
      <c r="HP137">
        <v>269000</v>
      </c>
      <c r="HQ137">
        <v>5380</v>
      </c>
      <c r="HR137">
        <v>263620</v>
      </c>
      <c r="HS137">
        <v>6541000</v>
      </c>
      <c r="HT137">
        <v>130820</v>
      </c>
      <c r="HU137">
        <v>6410180</v>
      </c>
      <c r="HV137">
        <v>110252000</v>
      </c>
      <c r="HW137">
        <v>7.0000000000000007E-2</v>
      </c>
      <c r="HX137">
        <v>0.96964931039809399</v>
      </c>
      <c r="HY137">
        <v>1</v>
      </c>
      <c r="HZ137">
        <v>300000</v>
      </c>
      <c r="IA137">
        <v>0</v>
      </c>
      <c r="IB137">
        <v>0</v>
      </c>
      <c r="IC137">
        <v>0</v>
      </c>
      <c r="ID137">
        <v>272700</v>
      </c>
      <c r="IE137">
        <v>572700</v>
      </c>
      <c r="IF137">
        <v>555318.16006498795</v>
      </c>
      <c r="IG137">
        <v>555318.16006498795</v>
      </c>
      <c r="IH137">
        <v>0</v>
      </c>
      <c r="II137">
        <v>561250.65885655303</v>
      </c>
      <c r="IJ137">
        <v>9048895.05201279</v>
      </c>
      <c r="IK137">
        <v>0</v>
      </c>
      <c r="IL137">
        <v>0</v>
      </c>
      <c r="IM137">
        <v>0</v>
      </c>
      <c r="IN137">
        <v>8579117.2139501702</v>
      </c>
      <c r="IO137">
        <v>138318824.36648101</v>
      </c>
      <c r="IP137">
        <v>146897941.58043101</v>
      </c>
      <c r="IQ137">
        <v>536000</v>
      </c>
      <c r="IR137">
        <v>2600000</v>
      </c>
      <c r="IS137">
        <v>0</v>
      </c>
      <c r="IT137">
        <v>135000</v>
      </c>
      <c r="IU137">
        <v>135000</v>
      </c>
      <c r="IV137">
        <v>3271000</v>
      </c>
      <c r="IW137">
        <v>268000</v>
      </c>
      <c r="IX137">
        <v>1300000</v>
      </c>
      <c r="IY137">
        <v>0</v>
      </c>
      <c r="IZ137">
        <v>68000</v>
      </c>
      <c r="JA137">
        <v>68000</v>
      </c>
      <c r="JB137">
        <v>1636000</v>
      </c>
      <c r="JC137">
        <v>90000</v>
      </c>
      <c r="JD137">
        <v>434000</v>
      </c>
      <c r="JE137">
        <v>0</v>
      </c>
      <c r="JF137">
        <v>23000</v>
      </c>
      <c r="JG137">
        <v>23000</v>
      </c>
      <c r="JH137">
        <v>547000</v>
      </c>
    </row>
    <row r="138" spans="2:268" customFormat="1" x14ac:dyDescent="0.25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3"/>
      <c r="N138" s="3"/>
      <c r="O138" s="3"/>
      <c r="P138" s="2"/>
      <c r="Q138" s="2"/>
      <c r="R138" s="2"/>
      <c r="S138" s="2"/>
      <c r="T138" s="2"/>
      <c r="U138" s="2"/>
      <c r="V138" s="3"/>
      <c r="W138" s="3"/>
      <c r="X138" s="3"/>
      <c r="Y138" s="3"/>
      <c r="Z138" s="3"/>
      <c r="AA138" s="3"/>
      <c r="AB138" s="3"/>
      <c r="AC138" s="2"/>
      <c r="AD138" s="2"/>
      <c r="AE138" s="2"/>
      <c r="AF138" s="2"/>
      <c r="AG138" s="2"/>
      <c r="AH138" s="2"/>
      <c r="AI138" s="2"/>
      <c r="AJ138" s="3"/>
      <c r="AK138" s="2"/>
      <c r="AL138" s="2"/>
      <c r="AM138" s="2"/>
      <c r="AN138" s="2"/>
      <c r="AO138" s="3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3"/>
      <c r="BC138" s="3"/>
      <c r="BD138" s="3"/>
      <c r="BE138" s="3"/>
      <c r="BF138" s="3"/>
      <c r="BG138" s="3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2"/>
      <c r="DI138" s="2"/>
      <c r="DJ138" s="3"/>
      <c r="DK138" s="3"/>
      <c r="DL138" s="2"/>
      <c r="DM138" s="2"/>
      <c r="DN138" s="2"/>
      <c r="DO138" s="3"/>
      <c r="DP138" s="3"/>
      <c r="GO138" t="s">
        <v>134</v>
      </c>
      <c r="GP138" t="s">
        <v>501</v>
      </c>
      <c r="GQ138" t="s">
        <v>502</v>
      </c>
      <c r="GR138">
        <v>18</v>
      </c>
      <c r="GS138">
        <v>17</v>
      </c>
      <c r="GT138">
        <v>1</v>
      </c>
      <c r="GU138" t="s">
        <v>457</v>
      </c>
      <c r="GV138">
        <v>8579117.2139501702</v>
      </c>
      <c r="GW138">
        <v>138318824.36648101</v>
      </c>
      <c r="GX138">
        <v>146897941.58043101</v>
      </c>
      <c r="GY138">
        <v>0</v>
      </c>
      <c r="GZ138">
        <v>146897941.58043101</v>
      </c>
      <c r="HA138">
        <v>146897941.58043101</v>
      </c>
      <c r="HB138">
        <v>303000000</v>
      </c>
      <c r="HC138">
        <v>0</v>
      </c>
      <c r="HD138" t="s">
        <v>137</v>
      </c>
      <c r="HE138">
        <v>0</v>
      </c>
      <c r="HF138">
        <v>0</v>
      </c>
      <c r="HG138">
        <v>0</v>
      </c>
      <c r="HH138">
        <v>1072000</v>
      </c>
      <c r="HI138">
        <v>21440</v>
      </c>
      <c r="HJ138">
        <v>1050560</v>
      </c>
      <c r="HK138">
        <v>5200000</v>
      </c>
      <c r="HL138">
        <v>104000</v>
      </c>
      <c r="HM138">
        <v>5096000</v>
      </c>
      <c r="HN138">
        <v>0</v>
      </c>
      <c r="HO138">
        <v>300000</v>
      </c>
      <c r="HP138">
        <v>300000</v>
      </c>
      <c r="HQ138">
        <v>6000</v>
      </c>
      <c r="HR138">
        <v>294000</v>
      </c>
      <c r="HS138">
        <v>6572000</v>
      </c>
      <c r="HT138">
        <v>131440</v>
      </c>
      <c r="HU138">
        <v>6440560</v>
      </c>
      <c r="HV138">
        <v>116824000</v>
      </c>
      <c r="HW138">
        <v>7.0000000000000007E-2</v>
      </c>
      <c r="HX138">
        <v>0.96964931039809399</v>
      </c>
      <c r="HY138">
        <v>1</v>
      </c>
      <c r="HZ138">
        <v>300000</v>
      </c>
      <c r="IA138">
        <v>0</v>
      </c>
      <c r="IB138">
        <v>0</v>
      </c>
      <c r="IC138">
        <v>0</v>
      </c>
      <c r="ID138">
        <v>272700</v>
      </c>
      <c r="IE138">
        <v>572700</v>
      </c>
      <c r="IF138">
        <v>555318.16006498795</v>
      </c>
      <c r="IG138">
        <v>555318.16006498795</v>
      </c>
      <c r="IH138">
        <v>0</v>
      </c>
      <c r="II138">
        <v>635205.13377196295</v>
      </c>
      <c r="IJ138">
        <v>10059617.705653699</v>
      </c>
      <c r="IK138">
        <v>0</v>
      </c>
      <c r="IL138">
        <v>0</v>
      </c>
      <c r="IM138">
        <v>0</v>
      </c>
      <c r="IN138">
        <v>9709564.1876571402</v>
      </c>
      <c r="IO138">
        <v>153768442.072135</v>
      </c>
      <c r="IP138">
        <v>163478006.259792</v>
      </c>
      <c r="IQ138">
        <v>536000</v>
      </c>
      <c r="IR138">
        <v>2600000</v>
      </c>
      <c r="IS138">
        <v>0</v>
      </c>
      <c r="IT138">
        <v>150000</v>
      </c>
      <c r="IU138">
        <v>150000</v>
      </c>
      <c r="IV138">
        <v>3286000</v>
      </c>
      <c r="IW138">
        <v>268000</v>
      </c>
      <c r="IX138">
        <v>1300000</v>
      </c>
      <c r="IY138">
        <v>0</v>
      </c>
      <c r="IZ138">
        <v>75000</v>
      </c>
      <c r="JA138">
        <v>75000</v>
      </c>
      <c r="JB138">
        <v>1643000</v>
      </c>
      <c r="JC138">
        <v>90000</v>
      </c>
      <c r="JD138">
        <v>434000</v>
      </c>
      <c r="JE138">
        <v>0</v>
      </c>
      <c r="JF138">
        <v>25000</v>
      </c>
      <c r="JG138">
        <v>25000</v>
      </c>
      <c r="JH138">
        <v>549000</v>
      </c>
    </row>
    <row r="139" spans="2:268" customFormat="1" x14ac:dyDescent="0.25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3"/>
      <c r="N139" s="3"/>
      <c r="O139" s="3"/>
      <c r="P139" s="2"/>
      <c r="Q139" s="2"/>
      <c r="R139" s="2"/>
      <c r="S139" s="2"/>
      <c r="T139" s="2"/>
      <c r="U139" s="2"/>
      <c r="V139" s="3"/>
      <c r="W139" s="3"/>
      <c r="X139" s="3"/>
      <c r="Y139" s="3"/>
      <c r="Z139" s="3"/>
      <c r="AA139" s="3"/>
      <c r="AB139" s="3"/>
      <c r="AC139" s="2"/>
      <c r="AD139" s="2"/>
      <c r="AE139" s="2"/>
      <c r="AF139" s="2"/>
      <c r="AG139" s="2"/>
      <c r="AH139" s="2"/>
      <c r="AI139" s="2"/>
      <c r="AJ139" s="3"/>
      <c r="AK139" s="2"/>
      <c r="AL139" s="2"/>
      <c r="AM139" s="2"/>
      <c r="AN139" s="2"/>
      <c r="AO139" s="3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3"/>
      <c r="BC139" s="3"/>
      <c r="BD139" s="3"/>
      <c r="BE139" s="3"/>
      <c r="BF139" s="3"/>
      <c r="BG139" s="3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2"/>
      <c r="DI139" s="2"/>
      <c r="DJ139" s="3"/>
      <c r="DK139" s="3"/>
      <c r="DL139" s="2"/>
      <c r="DM139" s="2"/>
      <c r="DN139" s="2"/>
      <c r="DO139" s="3"/>
      <c r="DP139" s="3"/>
      <c r="GO139" t="s">
        <v>134</v>
      </c>
      <c r="GP139" t="s">
        <v>501</v>
      </c>
      <c r="GQ139" t="s">
        <v>502</v>
      </c>
      <c r="GR139">
        <v>19</v>
      </c>
      <c r="GS139">
        <v>18</v>
      </c>
      <c r="GT139">
        <v>1</v>
      </c>
      <c r="GU139" t="s">
        <v>457</v>
      </c>
      <c r="GV139">
        <v>9709564.1876571402</v>
      </c>
      <c r="GW139">
        <v>153768442.072135</v>
      </c>
      <c r="GX139">
        <v>163478006.259792</v>
      </c>
      <c r="GY139">
        <v>0</v>
      </c>
      <c r="GZ139">
        <v>163478006.259792</v>
      </c>
      <c r="HA139">
        <v>163478006.259792</v>
      </c>
      <c r="HB139">
        <v>303000000</v>
      </c>
      <c r="HC139">
        <v>0</v>
      </c>
      <c r="HD139" t="s">
        <v>137</v>
      </c>
      <c r="HE139">
        <v>0</v>
      </c>
      <c r="HF139">
        <v>0</v>
      </c>
      <c r="HG139">
        <v>0</v>
      </c>
      <c r="HH139">
        <v>1072000</v>
      </c>
      <c r="HI139">
        <v>21440</v>
      </c>
      <c r="HJ139">
        <v>1050560</v>
      </c>
      <c r="HK139">
        <v>5200000</v>
      </c>
      <c r="HL139">
        <v>104000</v>
      </c>
      <c r="HM139">
        <v>5096000</v>
      </c>
      <c r="HN139">
        <v>0</v>
      </c>
      <c r="HO139">
        <v>334000</v>
      </c>
      <c r="HP139">
        <v>334000</v>
      </c>
      <c r="HQ139">
        <v>6680</v>
      </c>
      <c r="HR139">
        <v>327320</v>
      </c>
      <c r="HS139">
        <v>6606000</v>
      </c>
      <c r="HT139">
        <v>132120</v>
      </c>
      <c r="HU139">
        <v>6473880</v>
      </c>
      <c r="HV139">
        <v>123430000</v>
      </c>
      <c r="HW139">
        <v>7.0000000000000007E-2</v>
      </c>
      <c r="HX139">
        <v>0.96964931039809399</v>
      </c>
      <c r="HY139">
        <v>1</v>
      </c>
      <c r="HZ139">
        <v>300000</v>
      </c>
      <c r="IA139">
        <v>0</v>
      </c>
      <c r="IB139">
        <v>0</v>
      </c>
      <c r="IC139">
        <v>0</v>
      </c>
      <c r="ID139">
        <v>272700</v>
      </c>
      <c r="IE139">
        <v>572700</v>
      </c>
      <c r="IF139">
        <v>555318.16006498795</v>
      </c>
      <c r="IG139">
        <v>555318.16006498795</v>
      </c>
      <c r="IH139">
        <v>0</v>
      </c>
      <c r="II139">
        <v>714336.42193145095</v>
      </c>
      <c r="IJ139">
        <v>11143423.3450494</v>
      </c>
      <c r="IK139">
        <v>0</v>
      </c>
      <c r="IL139">
        <v>0</v>
      </c>
      <c r="IM139">
        <v>0</v>
      </c>
      <c r="IN139">
        <v>10919142.4495236</v>
      </c>
      <c r="IO139">
        <v>170335185.417184</v>
      </c>
      <c r="IP139">
        <v>181254327.86670801</v>
      </c>
      <c r="IQ139">
        <v>536000</v>
      </c>
      <c r="IR139">
        <v>2600000</v>
      </c>
      <c r="IS139">
        <v>0</v>
      </c>
      <c r="IT139">
        <v>167000</v>
      </c>
      <c r="IU139">
        <v>167000</v>
      </c>
      <c r="IV139">
        <v>3303000</v>
      </c>
      <c r="IW139">
        <v>268000</v>
      </c>
      <c r="IX139">
        <v>1300000</v>
      </c>
      <c r="IY139">
        <v>0</v>
      </c>
      <c r="IZ139">
        <v>84000</v>
      </c>
      <c r="JA139">
        <v>84000</v>
      </c>
      <c r="JB139">
        <v>1652000</v>
      </c>
      <c r="JC139">
        <v>90000</v>
      </c>
      <c r="JD139">
        <v>434000</v>
      </c>
      <c r="JE139">
        <v>0</v>
      </c>
      <c r="JF139">
        <v>28000</v>
      </c>
      <c r="JG139">
        <v>28000</v>
      </c>
      <c r="JH139">
        <v>552000</v>
      </c>
    </row>
    <row r="140" spans="2:268" customFormat="1" x14ac:dyDescent="0.25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3"/>
      <c r="N140" s="3"/>
      <c r="O140" s="3"/>
      <c r="P140" s="2"/>
      <c r="Q140" s="2"/>
      <c r="R140" s="2"/>
      <c r="S140" s="2"/>
      <c r="T140" s="2"/>
      <c r="U140" s="2"/>
      <c r="V140" s="3"/>
      <c r="W140" s="3"/>
      <c r="X140" s="3"/>
      <c r="Y140" s="3"/>
      <c r="Z140" s="3"/>
      <c r="AA140" s="3"/>
      <c r="AB140" s="3"/>
      <c r="AC140" s="2"/>
      <c r="AD140" s="2"/>
      <c r="AE140" s="2"/>
      <c r="AF140" s="2"/>
      <c r="AG140" s="2"/>
      <c r="AH140" s="2"/>
      <c r="AI140" s="2"/>
      <c r="AJ140" s="3"/>
      <c r="AK140" s="2"/>
      <c r="AL140" s="2"/>
      <c r="AM140" s="2"/>
      <c r="AN140" s="2"/>
      <c r="AO140" s="3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3"/>
      <c r="BC140" s="3"/>
      <c r="BD140" s="3"/>
      <c r="BE140" s="3"/>
      <c r="BF140" s="3"/>
      <c r="BG140" s="3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2"/>
      <c r="DI140" s="2"/>
      <c r="DJ140" s="3"/>
      <c r="DK140" s="3"/>
      <c r="DL140" s="2"/>
      <c r="DM140" s="2"/>
      <c r="DN140" s="2"/>
      <c r="DO140" s="3"/>
      <c r="DP140" s="3"/>
      <c r="GO140" t="s">
        <v>134</v>
      </c>
      <c r="GP140" t="s">
        <v>501</v>
      </c>
      <c r="GQ140" t="s">
        <v>502</v>
      </c>
      <c r="GR140">
        <v>20</v>
      </c>
      <c r="GS140">
        <v>19</v>
      </c>
      <c r="GT140">
        <v>1</v>
      </c>
      <c r="GU140" t="s">
        <v>457</v>
      </c>
      <c r="GV140">
        <v>10919142.4495236</v>
      </c>
      <c r="GW140">
        <v>170335185.417184</v>
      </c>
      <c r="GX140">
        <v>181254327.86670801</v>
      </c>
      <c r="GY140">
        <v>0</v>
      </c>
      <c r="GZ140">
        <v>181254327.86670801</v>
      </c>
      <c r="HA140">
        <v>181254327.86670801</v>
      </c>
      <c r="HB140">
        <v>303000000</v>
      </c>
      <c r="HC140">
        <v>10000000</v>
      </c>
      <c r="HD140" t="s">
        <v>458</v>
      </c>
      <c r="HE140">
        <v>0</v>
      </c>
      <c r="HF140">
        <v>10000000</v>
      </c>
      <c r="HG140">
        <v>10000000</v>
      </c>
      <c r="HH140">
        <v>1072000</v>
      </c>
      <c r="HI140">
        <v>21440</v>
      </c>
      <c r="HJ140">
        <v>1050560</v>
      </c>
      <c r="HK140">
        <v>5200000</v>
      </c>
      <c r="HL140">
        <v>104000</v>
      </c>
      <c r="HM140">
        <v>5096000</v>
      </c>
      <c r="HN140">
        <v>0</v>
      </c>
      <c r="HO140">
        <v>370000</v>
      </c>
      <c r="HP140">
        <v>370000</v>
      </c>
      <c r="HQ140">
        <v>7400</v>
      </c>
      <c r="HR140">
        <v>362600</v>
      </c>
      <c r="HS140">
        <v>6642000</v>
      </c>
      <c r="HT140">
        <v>132840</v>
      </c>
      <c r="HU140">
        <v>6509160</v>
      </c>
      <c r="HV140">
        <v>130072000</v>
      </c>
      <c r="HW140">
        <v>7.0000000000000007E-2</v>
      </c>
      <c r="HX140">
        <v>0.96964931039809399</v>
      </c>
      <c r="HY140">
        <v>1</v>
      </c>
      <c r="HZ140">
        <v>300000</v>
      </c>
      <c r="IA140">
        <v>0</v>
      </c>
      <c r="IB140">
        <v>0</v>
      </c>
      <c r="IC140">
        <v>0</v>
      </c>
      <c r="ID140">
        <v>272700</v>
      </c>
      <c r="IE140">
        <v>572700</v>
      </c>
      <c r="IF140">
        <v>555318.16006498795</v>
      </c>
      <c r="IG140">
        <v>555318.16006498795</v>
      </c>
      <c r="IH140">
        <v>0</v>
      </c>
      <c r="II140">
        <v>799006.90026210295</v>
      </c>
      <c r="IJ140">
        <v>11605564.9792029</v>
      </c>
      <c r="IK140">
        <v>321600</v>
      </c>
      <c r="IL140">
        <v>0</v>
      </c>
      <c r="IM140">
        <v>321600</v>
      </c>
      <c r="IN140">
        <v>12534991.1897207</v>
      </c>
      <c r="IO140">
        <v>177399350.39638701</v>
      </c>
      <c r="IP140">
        <v>189934341.586108</v>
      </c>
      <c r="IQ140">
        <v>536000</v>
      </c>
      <c r="IR140">
        <v>2600000</v>
      </c>
      <c r="IS140">
        <v>0</v>
      </c>
      <c r="IT140">
        <v>185000</v>
      </c>
      <c r="IU140">
        <v>185000</v>
      </c>
      <c r="IV140">
        <v>3321000</v>
      </c>
      <c r="IW140">
        <v>268000</v>
      </c>
      <c r="IX140">
        <v>1300000</v>
      </c>
      <c r="IY140">
        <v>0</v>
      </c>
      <c r="IZ140">
        <v>93000</v>
      </c>
      <c r="JA140">
        <v>93000</v>
      </c>
      <c r="JB140">
        <v>1661000</v>
      </c>
      <c r="JC140">
        <v>90000</v>
      </c>
      <c r="JD140">
        <v>434000</v>
      </c>
      <c r="JE140">
        <v>0</v>
      </c>
      <c r="JF140">
        <v>31000</v>
      </c>
      <c r="JG140">
        <v>31000</v>
      </c>
      <c r="JH140">
        <v>555000</v>
      </c>
    </row>
    <row r="141" spans="2:268" customFormat="1" x14ac:dyDescent="0.25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  <c r="N141" s="3"/>
      <c r="O141" s="3"/>
      <c r="P141" s="2"/>
      <c r="Q141" s="2"/>
      <c r="R141" s="2"/>
      <c r="S141" s="2"/>
      <c r="T141" s="2"/>
      <c r="U141" s="2"/>
      <c r="V141" s="3"/>
      <c r="W141" s="3"/>
      <c r="X141" s="3"/>
      <c r="Y141" s="3"/>
      <c r="Z141" s="3"/>
      <c r="AA141" s="3"/>
      <c r="AB141" s="3"/>
      <c r="AC141" s="2"/>
      <c r="AD141" s="2"/>
      <c r="AE141" s="2"/>
      <c r="AF141" s="2"/>
      <c r="AG141" s="2"/>
      <c r="AH141" s="2"/>
      <c r="AI141" s="2"/>
      <c r="AJ141" s="3"/>
      <c r="AK141" s="2"/>
      <c r="AL141" s="2"/>
      <c r="AM141" s="2"/>
      <c r="AN141" s="2"/>
      <c r="AO141" s="3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3"/>
      <c r="BC141" s="3"/>
      <c r="BD141" s="3"/>
      <c r="BE141" s="3"/>
      <c r="BF141" s="3"/>
      <c r="BG141" s="3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2"/>
      <c r="DI141" s="2"/>
      <c r="DJ141" s="3"/>
      <c r="DK141" s="3"/>
      <c r="DL141" s="2"/>
      <c r="DM141" s="2"/>
      <c r="DN141" s="2"/>
      <c r="DO141" s="3"/>
      <c r="DP141" s="3"/>
      <c r="GO141" t="s">
        <v>134</v>
      </c>
      <c r="GP141" t="s">
        <v>501</v>
      </c>
      <c r="GQ141" t="s">
        <v>502</v>
      </c>
      <c r="GR141">
        <v>21</v>
      </c>
      <c r="GS141">
        <v>20</v>
      </c>
      <c r="GT141">
        <v>1</v>
      </c>
      <c r="GU141" t="s">
        <v>457</v>
      </c>
      <c r="GV141">
        <v>12534991.1897207</v>
      </c>
      <c r="GW141">
        <v>177399350.39638701</v>
      </c>
      <c r="GX141">
        <v>189934341.586108</v>
      </c>
      <c r="GY141">
        <v>0</v>
      </c>
      <c r="GZ141">
        <v>189934341.586108</v>
      </c>
      <c r="HA141">
        <v>189934341.586108</v>
      </c>
      <c r="HB141">
        <v>303000000</v>
      </c>
      <c r="HC141">
        <v>10000000</v>
      </c>
      <c r="HD141" t="s">
        <v>458</v>
      </c>
      <c r="HE141">
        <v>0</v>
      </c>
      <c r="HF141">
        <v>10000000</v>
      </c>
      <c r="HG141">
        <v>10000000</v>
      </c>
      <c r="HH141">
        <v>1072000</v>
      </c>
      <c r="HI141">
        <v>21440</v>
      </c>
      <c r="HJ141">
        <v>1050560</v>
      </c>
      <c r="HK141">
        <v>5200000</v>
      </c>
      <c r="HL141">
        <v>104000</v>
      </c>
      <c r="HM141">
        <v>5096000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6272000</v>
      </c>
      <c r="HT141">
        <v>125440</v>
      </c>
      <c r="HU141">
        <v>6146560</v>
      </c>
      <c r="HV141">
        <v>136344000</v>
      </c>
      <c r="HW141">
        <v>7.0000000000000007E-2</v>
      </c>
      <c r="HX141">
        <v>0.96964931039809399</v>
      </c>
      <c r="HY141">
        <v>1</v>
      </c>
      <c r="HZ141">
        <v>300000</v>
      </c>
      <c r="IA141">
        <v>0</v>
      </c>
      <c r="IB141">
        <v>0</v>
      </c>
      <c r="IC141">
        <v>0</v>
      </c>
      <c r="ID141">
        <v>272700</v>
      </c>
      <c r="IE141">
        <v>572700</v>
      </c>
      <c r="IF141">
        <v>555318.16006498795</v>
      </c>
      <c r="IG141">
        <v>555318.16006498795</v>
      </c>
      <c r="IH141">
        <v>0</v>
      </c>
      <c r="II141">
        <v>912116.31207590201</v>
      </c>
      <c r="IJ141">
        <v>12074674.5277471</v>
      </c>
      <c r="IK141">
        <v>0</v>
      </c>
      <c r="IL141">
        <v>0</v>
      </c>
      <c r="IM141">
        <v>0</v>
      </c>
      <c r="IN141">
        <v>13942349.3417316</v>
      </c>
      <c r="IO141">
        <v>184570024.92413399</v>
      </c>
      <c r="IP141">
        <v>198512374.26586601</v>
      </c>
      <c r="IQ141">
        <v>536000</v>
      </c>
      <c r="IR141">
        <v>2600000</v>
      </c>
      <c r="IS141">
        <v>0</v>
      </c>
      <c r="IT141">
        <v>0</v>
      </c>
      <c r="IU141">
        <v>0</v>
      </c>
      <c r="IV141">
        <v>3136000</v>
      </c>
      <c r="IW141">
        <v>268000</v>
      </c>
      <c r="IX141">
        <v>1300000</v>
      </c>
      <c r="IY141">
        <v>0</v>
      </c>
      <c r="IZ141">
        <v>0</v>
      </c>
      <c r="JA141">
        <v>0</v>
      </c>
      <c r="JB141">
        <v>1568000</v>
      </c>
      <c r="JC141">
        <v>90000</v>
      </c>
      <c r="JD141">
        <v>434000</v>
      </c>
      <c r="JE141">
        <v>0</v>
      </c>
      <c r="JF141">
        <v>0</v>
      </c>
      <c r="JG141">
        <v>0</v>
      </c>
      <c r="JH141">
        <v>524000</v>
      </c>
    </row>
    <row r="142" spans="2:268" customFormat="1" x14ac:dyDescent="0.25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  <c r="N142" s="3"/>
      <c r="O142" s="3"/>
      <c r="P142" s="2"/>
      <c r="Q142" s="2"/>
      <c r="R142" s="2"/>
      <c r="S142" s="2"/>
      <c r="T142" s="2"/>
      <c r="U142" s="2"/>
      <c r="V142" s="3"/>
      <c r="W142" s="3"/>
      <c r="X142" s="3"/>
      <c r="Y142" s="3"/>
      <c r="Z142" s="3"/>
      <c r="AA142" s="3"/>
      <c r="AB142" s="3"/>
      <c r="AC142" s="2"/>
      <c r="AD142" s="2"/>
      <c r="AE142" s="2"/>
      <c r="AF142" s="2"/>
      <c r="AG142" s="2"/>
      <c r="AH142" s="2"/>
      <c r="AI142" s="2"/>
      <c r="AJ142" s="3"/>
      <c r="AK142" s="2"/>
      <c r="AL142" s="2"/>
      <c r="AM142" s="2"/>
      <c r="AN142" s="2"/>
      <c r="AO142" s="3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3"/>
      <c r="BC142" s="3"/>
      <c r="BD142" s="3"/>
      <c r="BE142" s="3"/>
      <c r="BF142" s="3"/>
      <c r="BG142" s="3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2"/>
      <c r="DI142" s="2"/>
      <c r="DJ142" s="3"/>
      <c r="DK142" s="3"/>
      <c r="DL142" s="2"/>
      <c r="DM142" s="2"/>
      <c r="DN142" s="2"/>
      <c r="DO142" s="3"/>
      <c r="DP142" s="3"/>
      <c r="GO142" t="s">
        <v>134</v>
      </c>
      <c r="GP142" t="s">
        <v>501</v>
      </c>
      <c r="GQ142" t="s">
        <v>502</v>
      </c>
      <c r="GR142">
        <v>22</v>
      </c>
      <c r="GS142">
        <v>21</v>
      </c>
      <c r="GT142">
        <v>1</v>
      </c>
      <c r="GU142" t="s">
        <v>457</v>
      </c>
      <c r="GV142">
        <v>13942349.3417316</v>
      </c>
      <c r="GW142">
        <v>184570024.92413399</v>
      </c>
      <c r="GX142">
        <v>198512374.26586601</v>
      </c>
      <c r="GY142">
        <v>0</v>
      </c>
      <c r="GZ142">
        <v>198512374.26586601</v>
      </c>
      <c r="HA142">
        <v>198512374.26586601</v>
      </c>
      <c r="HB142">
        <v>303000000</v>
      </c>
      <c r="HC142">
        <v>10000000</v>
      </c>
      <c r="HD142" t="s">
        <v>458</v>
      </c>
      <c r="HE142">
        <v>0</v>
      </c>
      <c r="HF142">
        <v>10000000</v>
      </c>
      <c r="HG142">
        <v>10000000</v>
      </c>
      <c r="HH142">
        <v>1072000</v>
      </c>
      <c r="HI142">
        <v>21440</v>
      </c>
      <c r="HJ142">
        <v>1050560</v>
      </c>
      <c r="HK142">
        <v>5200000</v>
      </c>
      <c r="HL142">
        <v>104000</v>
      </c>
      <c r="HM142">
        <v>5096000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6272000</v>
      </c>
      <c r="HT142">
        <v>125440</v>
      </c>
      <c r="HU142">
        <v>6146560</v>
      </c>
      <c r="HV142">
        <v>142616000</v>
      </c>
      <c r="HW142">
        <v>7.0000000000000007E-2</v>
      </c>
      <c r="HX142">
        <v>0.96964931039809399</v>
      </c>
      <c r="HY142">
        <v>1</v>
      </c>
      <c r="HZ142">
        <v>300000</v>
      </c>
      <c r="IA142">
        <v>0</v>
      </c>
      <c r="IB142">
        <v>0</v>
      </c>
      <c r="IC142">
        <v>0</v>
      </c>
      <c r="ID142">
        <v>272700</v>
      </c>
      <c r="IE142">
        <v>572700</v>
      </c>
      <c r="IF142">
        <v>555318.16006498795</v>
      </c>
      <c r="IG142">
        <v>555318.16006498795</v>
      </c>
      <c r="IH142">
        <v>0</v>
      </c>
      <c r="II142">
        <v>1010631.3827166701</v>
      </c>
      <c r="IJ142">
        <v>12576621.744689399</v>
      </c>
      <c r="IK142">
        <v>0</v>
      </c>
      <c r="IL142">
        <v>0</v>
      </c>
      <c r="IM142">
        <v>0</v>
      </c>
      <c r="IN142">
        <v>15448222.5643833</v>
      </c>
      <c r="IO142">
        <v>192242646.66882399</v>
      </c>
      <c r="IP142">
        <v>207690869.23320699</v>
      </c>
      <c r="IQ142">
        <v>536000</v>
      </c>
      <c r="IR142">
        <v>2600000</v>
      </c>
      <c r="IS142">
        <v>0</v>
      </c>
      <c r="IT142">
        <v>0</v>
      </c>
      <c r="IU142">
        <v>0</v>
      </c>
      <c r="IV142">
        <v>3136000</v>
      </c>
      <c r="IW142">
        <v>268000</v>
      </c>
      <c r="IX142">
        <v>1300000</v>
      </c>
      <c r="IY142">
        <v>0</v>
      </c>
      <c r="IZ142">
        <v>0</v>
      </c>
      <c r="JA142">
        <v>0</v>
      </c>
      <c r="JB142">
        <v>1568000</v>
      </c>
      <c r="JC142">
        <v>90000</v>
      </c>
      <c r="JD142">
        <v>434000</v>
      </c>
      <c r="JE142">
        <v>0</v>
      </c>
      <c r="JF142">
        <v>0</v>
      </c>
      <c r="JG142">
        <v>0</v>
      </c>
      <c r="JH142">
        <v>524000</v>
      </c>
    </row>
    <row r="143" spans="2:268" customFormat="1" x14ac:dyDescent="0.25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3"/>
      <c r="N143" s="3"/>
      <c r="O143" s="3"/>
      <c r="P143" s="2"/>
      <c r="Q143" s="2"/>
      <c r="R143" s="2"/>
      <c r="S143" s="2"/>
      <c r="T143" s="2"/>
      <c r="U143" s="2"/>
      <c r="V143" s="3"/>
      <c r="W143" s="3"/>
      <c r="X143" s="3"/>
      <c r="Y143" s="3"/>
      <c r="Z143" s="3"/>
      <c r="AA143" s="3"/>
      <c r="AB143" s="3"/>
      <c r="AC143" s="2"/>
      <c r="AD143" s="2"/>
      <c r="AE143" s="2"/>
      <c r="AF143" s="2"/>
      <c r="AG143" s="2"/>
      <c r="AH143" s="2"/>
      <c r="AI143" s="2"/>
      <c r="AJ143" s="3"/>
      <c r="AK143" s="2"/>
      <c r="AL143" s="2"/>
      <c r="AM143" s="2"/>
      <c r="AN143" s="2"/>
      <c r="AO143" s="3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3"/>
      <c r="BC143" s="3"/>
      <c r="BD143" s="3"/>
      <c r="BE143" s="3"/>
      <c r="BF143" s="3"/>
      <c r="BG143" s="3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2"/>
      <c r="DI143" s="2"/>
      <c r="DJ143" s="3"/>
      <c r="DK143" s="3"/>
      <c r="DL143" s="2"/>
      <c r="DM143" s="2"/>
      <c r="DN143" s="2"/>
      <c r="DO143" s="3"/>
      <c r="DP143" s="3"/>
      <c r="GO143" t="s">
        <v>134</v>
      </c>
      <c r="GP143" t="s">
        <v>501</v>
      </c>
      <c r="GQ143" t="s">
        <v>502</v>
      </c>
      <c r="GR143">
        <v>23</v>
      </c>
      <c r="GS143">
        <v>22</v>
      </c>
      <c r="GT143">
        <v>1</v>
      </c>
      <c r="GU143" t="s">
        <v>457</v>
      </c>
      <c r="GV143">
        <v>15448222.5643833</v>
      </c>
      <c r="GW143">
        <v>192242646.66882399</v>
      </c>
      <c r="GX143">
        <v>207690869.23320699</v>
      </c>
      <c r="GY143">
        <v>0</v>
      </c>
      <c r="GZ143">
        <v>207690869.23320699</v>
      </c>
      <c r="HA143">
        <v>207690869.23320699</v>
      </c>
      <c r="HB143">
        <v>303000000</v>
      </c>
      <c r="HC143">
        <v>10000000</v>
      </c>
      <c r="HD143" t="s">
        <v>458</v>
      </c>
      <c r="HE143">
        <v>0</v>
      </c>
      <c r="HF143">
        <v>10000000</v>
      </c>
      <c r="HG143">
        <v>10000000</v>
      </c>
      <c r="HH143">
        <v>1072000</v>
      </c>
      <c r="HI143">
        <v>21440</v>
      </c>
      <c r="HJ143">
        <v>1050560</v>
      </c>
      <c r="HK143">
        <v>5200000</v>
      </c>
      <c r="HL143">
        <v>104000</v>
      </c>
      <c r="HM143">
        <v>5096000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6272000</v>
      </c>
      <c r="HT143">
        <v>125440</v>
      </c>
      <c r="HU143">
        <v>6146560</v>
      </c>
      <c r="HV143">
        <v>148888000</v>
      </c>
      <c r="HW143">
        <v>7.0000000000000007E-2</v>
      </c>
      <c r="HX143">
        <v>0.96964931039809399</v>
      </c>
      <c r="HY143">
        <v>1</v>
      </c>
      <c r="HZ143">
        <v>300000</v>
      </c>
      <c r="IA143">
        <v>0</v>
      </c>
      <c r="IB143">
        <v>0</v>
      </c>
      <c r="IC143">
        <v>0</v>
      </c>
      <c r="ID143">
        <v>272700</v>
      </c>
      <c r="IE143">
        <v>572700</v>
      </c>
      <c r="IF143">
        <v>555318.16006498795</v>
      </c>
      <c r="IG143">
        <v>555318.16006498795</v>
      </c>
      <c r="IH143">
        <v>0</v>
      </c>
      <c r="II143">
        <v>1116042.50830228</v>
      </c>
      <c r="IJ143">
        <v>13113705.2668177</v>
      </c>
      <c r="IK143">
        <v>0</v>
      </c>
      <c r="IL143">
        <v>0</v>
      </c>
      <c r="IM143">
        <v>0</v>
      </c>
      <c r="IN143">
        <v>17059506.9126206</v>
      </c>
      <c r="IO143">
        <v>200452351.93564099</v>
      </c>
      <c r="IP143">
        <v>217511858.84826201</v>
      </c>
      <c r="IQ143">
        <v>536000</v>
      </c>
      <c r="IR143">
        <v>2600000</v>
      </c>
      <c r="IS143">
        <v>0</v>
      </c>
      <c r="IT143">
        <v>0</v>
      </c>
      <c r="IU143">
        <v>0</v>
      </c>
      <c r="IV143">
        <v>3136000</v>
      </c>
      <c r="IW143">
        <v>268000</v>
      </c>
      <c r="IX143">
        <v>1300000</v>
      </c>
      <c r="IY143">
        <v>0</v>
      </c>
      <c r="IZ143">
        <v>0</v>
      </c>
      <c r="JA143">
        <v>0</v>
      </c>
      <c r="JB143">
        <v>1568000</v>
      </c>
      <c r="JC143">
        <v>90000</v>
      </c>
      <c r="JD143">
        <v>434000</v>
      </c>
      <c r="JE143">
        <v>0</v>
      </c>
      <c r="JF143">
        <v>0</v>
      </c>
      <c r="JG143">
        <v>0</v>
      </c>
      <c r="JH143">
        <v>524000</v>
      </c>
    </row>
    <row r="144" spans="2:268" customFormat="1" x14ac:dyDescent="0.25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3"/>
      <c r="N144" s="3"/>
      <c r="O144" s="3"/>
      <c r="P144" s="2"/>
      <c r="Q144" s="2"/>
      <c r="R144" s="2"/>
      <c r="S144" s="2"/>
      <c r="T144" s="2"/>
      <c r="U144" s="2"/>
      <c r="V144" s="3"/>
      <c r="W144" s="3"/>
      <c r="X144" s="3"/>
      <c r="Y144" s="3"/>
      <c r="Z144" s="3"/>
      <c r="AA144" s="3"/>
      <c r="AB144" s="3"/>
      <c r="AC144" s="2"/>
      <c r="AD144" s="2"/>
      <c r="AE144" s="2"/>
      <c r="AF144" s="2"/>
      <c r="AG144" s="2"/>
      <c r="AH144" s="2"/>
      <c r="AI144" s="2"/>
      <c r="AJ144" s="3"/>
      <c r="AK144" s="2"/>
      <c r="AL144" s="2"/>
      <c r="AM144" s="2"/>
      <c r="AN144" s="2"/>
      <c r="AO144" s="3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3"/>
      <c r="BC144" s="3"/>
      <c r="BD144" s="3"/>
      <c r="BE144" s="3"/>
      <c r="BF144" s="3"/>
      <c r="BG144" s="3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2"/>
      <c r="DI144" s="2"/>
      <c r="DJ144" s="3"/>
      <c r="DK144" s="3"/>
      <c r="DL144" s="2"/>
      <c r="DM144" s="2"/>
      <c r="DN144" s="2"/>
      <c r="DO144" s="3"/>
      <c r="DP144" s="3"/>
      <c r="GO144" t="s">
        <v>134</v>
      </c>
      <c r="GP144" t="s">
        <v>501</v>
      </c>
      <c r="GQ144" t="s">
        <v>502</v>
      </c>
      <c r="GR144">
        <v>24</v>
      </c>
      <c r="GS144">
        <v>23</v>
      </c>
      <c r="GT144">
        <v>1</v>
      </c>
      <c r="GU144" t="s">
        <v>457</v>
      </c>
      <c r="GV144">
        <v>17059506.9126206</v>
      </c>
      <c r="GW144">
        <v>200452351.93564099</v>
      </c>
      <c r="GX144">
        <v>217511858.84826201</v>
      </c>
      <c r="GY144">
        <v>0</v>
      </c>
      <c r="GZ144">
        <v>217511858.84826201</v>
      </c>
      <c r="HA144">
        <v>217511858.84826201</v>
      </c>
      <c r="HB144">
        <v>303000000</v>
      </c>
      <c r="HC144">
        <v>0</v>
      </c>
      <c r="HD144" t="s">
        <v>137</v>
      </c>
      <c r="HE144">
        <v>0</v>
      </c>
      <c r="HF144">
        <v>0</v>
      </c>
      <c r="HG144">
        <v>0</v>
      </c>
      <c r="HH144">
        <v>1072000</v>
      </c>
      <c r="HI144">
        <v>21440</v>
      </c>
      <c r="HJ144">
        <v>1050560</v>
      </c>
      <c r="HK144">
        <v>5200000</v>
      </c>
      <c r="HL144">
        <v>104000</v>
      </c>
      <c r="HM144">
        <v>5096000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6272000</v>
      </c>
      <c r="HT144">
        <v>125440</v>
      </c>
      <c r="HU144">
        <v>6146560</v>
      </c>
      <c r="HV144">
        <v>155160000</v>
      </c>
      <c r="HW144">
        <v>7.0000000000000007E-2</v>
      </c>
      <c r="HX144">
        <v>0.96964931039809399</v>
      </c>
      <c r="HY144">
        <v>1</v>
      </c>
      <c r="HZ144">
        <v>300000</v>
      </c>
      <c r="IA144">
        <v>0</v>
      </c>
      <c r="IB144">
        <v>0</v>
      </c>
      <c r="IC144">
        <v>0</v>
      </c>
      <c r="ID144">
        <v>272700</v>
      </c>
      <c r="IE144">
        <v>572700</v>
      </c>
      <c r="IF144">
        <v>555318.16006498795</v>
      </c>
      <c r="IG144">
        <v>555318.16006498795</v>
      </c>
      <c r="IH144">
        <v>0</v>
      </c>
      <c r="II144">
        <v>1228832.4126788899</v>
      </c>
      <c r="IJ144">
        <v>14388384.635494901</v>
      </c>
      <c r="IK144">
        <v>0</v>
      </c>
      <c r="IL144">
        <v>0</v>
      </c>
      <c r="IM144">
        <v>0</v>
      </c>
      <c r="IN144">
        <v>18783581.165234499</v>
      </c>
      <c r="IO144">
        <v>219936736.571136</v>
      </c>
      <c r="IP144">
        <v>238720317.73637101</v>
      </c>
      <c r="IQ144">
        <v>536000</v>
      </c>
      <c r="IR144">
        <v>2600000</v>
      </c>
      <c r="IS144">
        <v>0</v>
      </c>
      <c r="IT144">
        <v>0</v>
      </c>
      <c r="IU144">
        <v>0</v>
      </c>
      <c r="IV144">
        <v>3136000</v>
      </c>
      <c r="IW144">
        <v>268000</v>
      </c>
      <c r="IX144">
        <v>1300000</v>
      </c>
      <c r="IY144">
        <v>0</v>
      </c>
      <c r="IZ144">
        <v>0</v>
      </c>
      <c r="JA144">
        <v>0</v>
      </c>
      <c r="JB144">
        <v>1568000</v>
      </c>
      <c r="JC144">
        <v>90000</v>
      </c>
      <c r="JD144">
        <v>434000</v>
      </c>
      <c r="JE144">
        <v>0</v>
      </c>
      <c r="JF144">
        <v>0</v>
      </c>
      <c r="JG144">
        <v>0</v>
      </c>
      <c r="JH144">
        <v>524000</v>
      </c>
    </row>
    <row r="145" spans="2:268" customFormat="1" x14ac:dyDescent="0.25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s="3"/>
      <c r="O145" s="3"/>
      <c r="P145" s="2"/>
      <c r="Q145" s="2"/>
      <c r="R145" s="2"/>
      <c r="S145" s="2"/>
      <c r="T145" s="2"/>
      <c r="U145" s="2"/>
      <c r="V145" s="3"/>
      <c r="W145" s="3"/>
      <c r="X145" s="3"/>
      <c r="Y145" s="3"/>
      <c r="Z145" s="3"/>
      <c r="AA145" s="3"/>
      <c r="AB145" s="3"/>
      <c r="AC145" s="2"/>
      <c r="AD145" s="2"/>
      <c r="AE145" s="2"/>
      <c r="AF145" s="2"/>
      <c r="AG145" s="2"/>
      <c r="AH145" s="2"/>
      <c r="AI145" s="2"/>
      <c r="AJ145" s="3"/>
      <c r="AK145" s="2"/>
      <c r="AL145" s="2"/>
      <c r="AM145" s="2"/>
      <c r="AN145" s="2"/>
      <c r="AO145" s="3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3"/>
      <c r="BC145" s="3"/>
      <c r="BD145" s="3"/>
      <c r="BE145" s="3"/>
      <c r="BF145" s="3"/>
      <c r="BG145" s="3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2"/>
      <c r="DI145" s="2"/>
      <c r="DJ145" s="3"/>
      <c r="DK145" s="3"/>
      <c r="DL145" s="2"/>
      <c r="DM145" s="2"/>
      <c r="DN145" s="2"/>
      <c r="DO145" s="3"/>
      <c r="DP145" s="3"/>
      <c r="GO145" t="s">
        <v>134</v>
      </c>
      <c r="GP145" t="s">
        <v>501</v>
      </c>
      <c r="GQ145" t="s">
        <v>502</v>
      </c>
      <c r="GR145">
        <v>25</v>
      </c>
      <c r="GS145">
        <v>24</v>
      </c>
      <c r="GT145">
        <v>1</v>
      </c>
      <c r="GU145" t="s">
        <v>457</v>
      </c>
      <c r="GV145">
        <v>18783581.165234499</v>
      </c>
      <c r="GW145">
        <v>219936736.571136</v>
      </c>
      <c r="GX145">
        <v>238720317.73637101</v>
      </c>
      <c r="GY145">
        <v>0</v>
      </c>
      <c r="GZ145">
        <v>238720317.73637101</v>
      </c>
      <c r="HA145">
        <v>238720317.73637101</v>
      </c>
      <c r="HB145">
        <v>303000000</v>
      </c>
      <c r="HC145">
        <v>0</v>
      </c>
      <c r="HD145" t="s">
        <v>137</v>
      </c>
      <c r="HE145">
        <v>0</v>
      </c>
      <c r="HF145">
        <v>0</v>
      </c>
      <c r="HG145">
        <v>0</v>
      </c>
      <c r="HH145">
        <v>1072000</v>
      </c>
      <c r="HI145">
        <v>21440</v>
      </c>
      <c r="HJ145">
        <v>1050560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1072000</v>
      </c>
      <c r="HT145">
        <v>21440</v>
      </c>
      <c r="HU145">
        <v>1050560</v>
      </c>
      <c r="HV145">
        <v>156232000</v>
      </c>
      <c r="HW145">
        <v>7.0000000000000007E-2</v>
      </c>
      <c r="HX145">
        <v>0.96964931039809399</v>
      </c>
      <c r="HY145">
        <v>1</v>
      </c>
      <c r="HZ145">
        <v>300000</v>
      </c>
      <c r="IA145">
        <v>0</v>
      </c>
      <c r="IB145">
        <v>0</v>
      </c>
      <c r="IC145">
        <v>0</v>
      </c>
      <c r="ID145">
        <v>272700</v>
      </c>
      <c r="IE145">
        <v>572700</v>
      </c>
      <c r="IF145">
        <v>555318.16006498795</v>
      </c>
      <c r="IG145">
        <v>555318.16006498795</v>
      </c>
      <c r="IH145">
        <v>0</v>
      </c>
      <c r="II145">
        <v>1349517.6103618699</v>
      </c>
      <c r="IJ145">
        <v>15395571.5599795</v>
      </c>
      <c r="IK145">
        <v>0</v>
      </c>
      <c r="IL145">
        <v>0</v>
      </c>
      <c r="IM145">
        <v>0</v>
      </c>
      <c r="IN145">
        <v>20628340.6155314</v>
      </c>
      <c r="IO145">
        <v>235332308.131116</v>
      </c>
      <c r="IP145">
        <v>255960648.746647</v>
      </c>
      <c r="IQ145">
        <v>536000</v>
      </c>
      <c r="IR145">
        <v>2600000</v>
      </c>
      <c r="IS145">
        <v>0</v>
      </c>
      <c r="IT145">
        <v>0</v>
      </c>
      <c r="IU145">
        <v>0</v>
      </c>
      <c r="IV145">
        <v>3136000</v>
      </c>
      <c r="IW145">
        <v>268000</v>
      </c>
      <c r="IX145">
        <v>1300000</v>
      </c>
      <c r="IY145">
        <v>0</v>
      </c>
      <c r="IZ145">
        <v>0</v>
      </c>
      <c r="JA145">
        <v>0</v>
      </c>
      <c r="JB145">
        <v>1568000</v>
      </c>
      <c r="JC145">
        <v>90000</v>
      </c>
      <c r="JD145">
        <v>434000</v>
      </c>
      <c r="JE145">
        <v>0</v>
      </c>
      <c r="JF145">
        <v>0</v>
      </c>
      <c r="JG145">
        <v>0</v>
      </c>
      <c r="JH145">
        <v>524000</v>
      </c>
    </row>
    <row r="146" spans="2:268" customFormat="1" x14ac:dyDescent="0.25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3"/>
      <c r="N146" s="3"/>
      <c r="O146" s="3"/>
      <c r="P146" s="2"/>
      <c r="Q146" s="2"/>
      <c r="R146" s="2"/>
      <c r="S146" s="2"/>
      <c r="T146" s="2"/>
      <c r="U146" s="2"/>
      <c r="V146" s="3"/>
      <c r="W146" s="3"/>
      <c r="X146" s="3"/>
      <c r="Y146" s="3"/>
      <c r="Z146" s="3"/>
      <c r="AA146" s="3"/>
      <c r="AB146" s="3"/>
      <c r="AC146" s="2"/>
      <c r="AD146" s="2"/>
      <c r="AE146" s="2"/>
      <c r="AF146" s="2"/>
      <c r="AG146" s="2"/>
      <c r="AH146" s="2"/>
      <c r="AI146" s="2"/>
      <c r="AJ146" s="3"/>
      <c r="AK146" s="2"/>
      <c r="AL146" s="2"/>
      <c r="AM146" s="2"/>
      <c r="AN146" s="2"/>
      <c r="AO146" s="3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3"/>
      <c r="BC146" s="3"/>
      <c r="BD146" s="3"/>
      <c r="BE146" s="3"/>
      <c r="BF146" s="3"/>
      <c r="BG146" s="3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2"/>
      <c r="DI146" s="2"/>
      <c r="DJ146" s="3"/>
      <c r="DK146" s="3"/>
      <c r="DL146" s="2"/>
      <c r="DM146" s="2"/>
      <c r="DN146" s="2"/>
      <c r="DO146" s="3"/>
      <c r="DP146" s="3"/>
      <c r="GO146" t="s">
        <v>134</v>
      </c>
      <c r="GP146" t="s">
        <v>501</v>
      </c>
      <c r="GQ146" t="s">
        <v>502</v>
      </c>
      <c r="GR146">
        <v>26</v>
      </c>
      <c r="GS146">
        <v>25</v>
      </c>
      <c r="GT146">
        <v>1</v>
      </c>
      <c r="GU146" t="s">
        <v>457</v>
      </c>
      <c r="GV146">
        <v>20628340.6155314</v>
      </c>
      <c r="GW146">
        <v>235332308.131116</v>
      </c>
      <c r="GX146">
        <v>255960648.746647</v>
      </c>
      <c r="GY146">
        <v>0</v>
      </c>
      <c r="GZ146">
        <v>255960648.746647</v>
      </c>
      <c r="HA146">
        <v>255960648.746647</v>
      </c>
      <c r="HB146">
        <v>303000000</v>
      </c>
      <c r="HC146">
        <v>0</v>
      </c>
      <c r="HD146" t="s">
        <v>137</v>
      </c>
      <c r="HE146">
        <v>0</v>
      </c>
      <c r="HF146">
        <v>0</v>
      </c>
      <c r="HG146">
        <v>0</v>
      </c>
      <c r="HH146">
        <v>1072000</v>
      </c>
      <c r="HI146">
        <v>21440</v>
      </c>
      <c r="HJ146">
        <v>1050560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1072000</v>
      </c>
      <c r="HT146">
        <v>21440</v>
      </c>
      <c r="HU146">
        <v>1050560</v>
      </c>
      <c r="HV146">
        <v>157304000</v>
      </c>
      <c r="HW146">
        <v>7.0000000000000007E-2</v>
      </c>
      <c r="HX146">
        <v>0.96964931039809399</v>
      </c>
      <c r="HY146">
        <v>1</v>
      </c>
      <c r="HZ146">
        <v>300000</v>
      </c>
      <c r="IA146">
        <v>0</v>
      </c>
      <c r="IB146">
        <v>0</v>
      </c>
      <c r="IC146">
        <v>0</v>
      </c>
      <c r="ID146">
        <v>272700</v>
      </c>
      <c r="IE146">
        <v>572700</v>
      </c>
      <c r="IF146">
        <v>555318.16006498795</v>
      </c>
      <c r="IG146">
        <v>555318.16006498795</v>
      </c>
      <c r="IH146">
        <v>0</v>
      </c>
      <c r="II146">
        <v>1478650.77188265</v>
      </c>
      <c r="IJ146">
        <v>16473261.569178101</v>
      </c>
      <c r="IK146">
        <v>0</v>
      </c>
      <c r="IL146">
        <v>0</v>
      </c>
      <c r="IM146">
        <v>0</v>
      </c>
      <c r="IN146">
        <v>22602233.227349099</v>
      </c>
      <c r="IO146">
        <v>251805569.70029399</v>
      </c>
      <c r="IP146">
        <v>274407802.927643</v>
      </c>
      <c r="IQ146">
        <v>536000</v>
      </c>
      <c r="IR146">
        <v>2600000</v>
      </c>
      <c r="IS146">
        <v>0</v>
      </c>
      <c r="IT146">
        <v>0</v>
      </c>
      <c r="IU146">
        <v>0</v>
      </c>
      <c r="IV146">
        <v>3136000</v>
      </c>
      <c r="IW146">
        <v>268000</v>
      </c>
      <c r="IX146">
        <v>1300000</v>
      </c>
      <c r="IY146">
        <v>0</v>
      </c>
      <c r="IZ146">
        <v>0</v>
      </c>
      <c r="JA146">
        <v>0</v>
      </c>
      <c r="JB146">
        <v>1568000</v>
      </c>
      <c r="JC146">
        <v>90000</v>
      </c>
      <c r="JD146">
        <v>434000</v>
      </c>
      <c r="JE146">
        <v>0</v>
      </c>
      <c r="JF146">
        <v>0</v>
      </c>
      <c r="JG146">
        <v>0</v>
      </c>
      <c r="JH146">
        <v>524000</v>
      </c>
    </row>
    <row r="147" spans="2:268" customFormat="1" x14ac:dyDescent="0.25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3"/>
      <c r="N147" s="3"/>
      <c r="O147" s="3"/>
      <c r="P147" s="2"/>
      <c r="Q147" s="2"/>
      <c r="R147" s="2"/>
      <c r="S147" s="2"/>
      <c r="T147" s="2"/>
      <c r="U147" s="2"/>
      <c r="V147" s="3"/>
      <c r="W147" s="3"/>
      <c r="X147" s="3"/>
      <c r="Y147" s="3"/>
      <c r="Z147" s="3"/>
      <c r="AA147" s="3"/>
      <c r="AB147" s="3"/>
      <c r="AC147" s="2"/>
      <c r="AD147" s="2"/>
      <c r="AE147" s="2"/>
      <c r="AF147" s="2"/>
      <c r="AG147" s="2"/>
      <c r="AH147" s="2"/>
      <c r="AI147" s="2"/>
      <c r="AJ147" s="3"/>
      <c r="AK147" s="2"/>
      <c r="AL147" s="2"/>
      <c r="AM147" s="2"/>
      <c r="AN147" s="2"/>
      <c r="AO147" s="3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3"/>
      <c r="BC147" s="3"/>
      <c r="BD147" s="3"/>
      <c r="BE147" s="3"/>
      <c r="BF147" s="3"/>
      <c r="BG147" s="3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2"/>
      <c r="DI147" s="2"/>
      <c r="DJ147" s="3"/>
      <c r="DK147" s="3"/>
      <c r="DL147" s="2"/>
      <c r="DM147" s="2"/>
      <c r="DN147" s="2"/>
      <c r="DO147" s="3"/>
      <c r="DP147" s="3"/>
      <c r="GO147" t="s">
        <v>134</v>
      </c>
      <c r="GP147" t="s">
        <v>501</v>
      </c>
      <c r="GQ147" t="s">
        <v>502</v>
      </c>
      <c r="GR147">
        <v>27</v>
      </c>
      <c r="GS147">
        <v>26</v>
      </c>
      <c r="GT147">
        <v>1</v>
      </c>
      <c r="GU147" t="s">
        <v>457</v>
      </c>
      <c r="GV147">
        <v>22602233.227349099</v>
      </c>
      <c r="GW147">
        <v>251805569.70029399</v>
      </c>
      <c r="GX147">
        <v>274407802.927643</v>
      </c>
      <c r="GY147">
        <v>0</v>
      </c>
      <c r="GZ147">
        <v>274407802.927643</v>
      </c>
      <c r="HA147">
        <v>274407802.927643</v>
      </c>
      <c r="HB147">
        <v>303000000</v>
      </c>
      <c r="HC147">
        <v>0</v>
      </c>
      <c r="HD147" t="s">
        <v>137</v>
      </c>
      <c r="HE147">
        <v>0</v>
      </c>
      <c r="HF147">
        <v>0</v>
      </c>
      <c r="HG147">
        <v>0</v>
      </c>
      <c r="HH147">
        <v>1072000</v>
      </c>
      <c r="HI147">
        <v>21440</v>
      </c>
      <c r="HJ147">
        <v>1050560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1072000</v>
      </c>
      <c r="HT147">
        <v>21440</v>
      </c>
      <c r="HU147">
        <v>1050560</v>
      </c>
      <c r="HV147">
        <v>158376000</v>
      </c>
      <c r="HW147">
        <v>7.0000000000000007E-2</v>
      </c>
      <c r="HX147">
        <v>0.96964931039809399</v>
      </c>
      <c r="HY147">
        <v>1</v>
      </c>
      <c r="HZ147">
        <v>300000</v>
      </c>
      <c r="IA147">
        <v>0</v>
      </c>
      <c r="IB147">
        <v>0</v>
      </c>
      <c r="IC147">
        <v>0</v>
      </c>
      <c r="ID147">
        <v>272700</v>
      </c>
      <c r="IE147">
        <v>572700</v>
      </c>
      <c r="IF147">
        <v>555318.16006498795</v>
      </c>
      <c r="IG147">
        <v>555318.16006498795</v>
      </c>
      <c r="IH147">
        <v>0</v>
      </c>
      <c r="II147">
        <v>1616823.2547098801</v>
      </c>
      <c r="IJ147">
        <v>17626389.879020602</v>
      </c>
      <c r="IK147">
        <v>0</v>
      </c>
      <c r="IL147">
        <v>0</v>
      </c>
      <c r="IM147">
        <v>0</v>
      </c>
      <c r="IN147">
        <v>24714298.321993999</v>
      </c>
      <c r="IO147">
        <v>269431959.57931399</v>
      </c>
      <c r="IP147">
        <v>294146257.901308</v>
      </c>
      <c r="IQ147">
        <v>536000</v>
      </c>
      <c r="IR147">
        <v>2600000</v>
      </c>
      <c r="IS147">
        <v>0</v>
      </c>
      <c r="IT147">
        <v>0</v>
      </c>
      <c r="IU147">
        <v>0</v>
      </c>
      <c r="IV147">
        <v>3136000</v>
      </c>
      <c r="IW147">
        <v>268000</v>
      </c>
      <c r="IX147">
        <v>1300000</v>
      </c>
      <c r="IY147">
        <v>0</v>
      </c>
      <c r="IZ147">
        <v>0</v>
      </c>
      <c r="JA147">
        <v>0</v>
      </c>
      <c r="JB147">
        <v>1568000</v>
      </c>
      <c r="JC147">
        <v>90000</v>
      </c>
      <c r="JD147">
        <v>434000</v>
      </c>
      <c r="JE147">
        <v>0</v>
      </c>
      <c r="JF147">
        <v>0</v>
      </c>
      <c r="JG147">
        <v>0</v>
      </c>
      <c r="JH147">
        <v>524000</v>
      </c>
    </row>
    <row r="148" spans="2:268" customFormat="1" x14ac:dyDescent="0.25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3"/>
      <c r="N148" s="3"/>
      <c r="O148" s="3"/>
      <c r="P148" s="2"/>
      <c r="Q148" s="2"/>
      <c r="R148" s="2"/>
      <c r="S148" s="2"/>
      <c r="T148" s="2"/>
      <c r="U148" s="2"/>
      <c r="V148" s="3"/>
      <c r="W148" s="3"/>
      <c r="X148" s="3"/>
      <c r="Y148" s="3"/>
      <c r="Z148" s="3"/>
      <c r="AA148" s="3"/>
      <c r="AB148" s="3"/>
      <c r="AC148" s="2"/>
      <c r="AD148" s="2"/>
      <c r="AE148" s="2"/>
      <c r="AF148" s="2"/>
      <c r="AG148" s="2"/>
      <c r="AH148" s="2"/>
      <c r="AI148" s="2"/>
      <c r="AJ148" s="3"/>
      <c r="AK148" s="2"/>
      <c r="AL148" s="2"/>
      <c r="AM148" s="2"/>
      <c r="AN148" s="2"/>
      <c r="AO148" s="3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3"/>
      <c r="BC148" s="3"/>
      <c r="BD148" s="3"/>
      <c r="BE148" s="3"/>
      <c r="BF148" s="3"/>
      <c r="BG148" s="3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2"/>
      <c r="DI148" s="2"/>
      <c r="DJ148" s="3"/>
      <c r="DK148" s="3"/>
      <c r="DL148" s="2"/>
      <c r="DM148" s="2"/>
      <c r="DN148" s="2"/>
      <c r="DO148" s="3"/>
      <c r="DP148" s="3"/>
      <c r="GO148" t="s">
        <v>134</v>
      </c>
      <c r="GP148" t="s">
        <v>501</v>
      </c>
      <c r="GQ148" t="s">
        <v>502</v>
      </c>
      <c r="GR148">
        <v>28</v>
      </c>
      <c r="GS148">
        <v>27</v>
      </c>
      <c r="GT148">
        <v>1</v>
      </c>
      <c r="GU148" t="s">
        <v>457</v>
      </c>
      <c r="GV148">
        <v>24714298.321993999</v>
      </c>
      <c r="GW148">
        <v>269431959.57931399</v>
      </c>
      <c r="GX148">
        <v>294146257.901308</v>
      </c>
      <c r="GY148">
        <v>0</v>
      </c>
      <c r="GZ148">
        <v>294146257.901308</v>
      </c>
      <c r="HA148">
        <v>294146257.901308</v>
      </c>
      <c r="HB148">
        <v>303000000</v>
      </c>
      <c r="HC148">
        <v>0</v>
      </c>
      <c r="HD148" t="s">
        <v>137</v>
      </c>
      <c r="HE148">
        <v>0</v>
      </c>
      <c r="HF148">
        <v>0</v>
      </c>
      <c r="HG148">
        <v>0</v>
      </c>
      <c r="HH148">
        <v>1072000</v>
      </c>
      <c r="HI148">
        <v>21440</v>
      </c>
      <c r="HJ148">
        <v>1050560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1072000</v>
      </c>
      <c r="HT148">
        <v>21440</v>
      </c>
      <c r="HU148">
        <v>1050560</v>
      </c>
      <c r="HV148">
        <v>159448000</v>
      </c>
      <c r="HW148">
        <v>7.0000000000000007E-2</v>
      </c>
      <c r="HX148">
        <v>0.96964931039809399</v>
      </c>
      <c r="HY148">
        <v>1</v>
      </c>
      <c r="HZ148">
        <v>300000</v>
      </c>
      <c r="IA148">
        <v>0</v>
      </c>
      <c r="IB148">
        <v>0</v>
      </c>
      <c r="IC148">
        <v>0</v>
      </c>
      <c r="ID148">
        <v>272700</v>
      </c>
      <c r="IE148">
        <v>572700</v>
      </c>
      <c r="IF148">
        <v>555318.16006498795</v>
      </c>
      <c r="IG148">
        <v>555318.16006498795</v>
      </c>
      <c r="IH148">
        <v>0</v>
      </c>
      <c r="II148">
        <v>1764667.81133503</v>
      </c>
      <c r="IJ148">
        <v>18860237.170552</v>
      </c>
      <c r="IK148">
        <v>0</v>
      </c>
      <c r="IL148">
        <v>0</v>
      </c>
      <c r="IM148">
        <v>0</v>
      </c>
      <c r="IN148">
        <v>26974207.973264001</v>
      </c>
      <c r="IO148">
        <v>288292196.74986601</v>
      </c>
      <c r="IP148">
        <v>315266404.72312999</v>
      </c>
      <c r="IQ148">
        <v>536000</v>
      </c>
      <c r="IR148">
        <v>2600000</v>
      </c>
      <c r="IS148">
        <v>0</v>
      </c>
      <c r="IT148">
        <v>0</v>
      </c>
      <c r="IU148">
        <v>0</v>
      </c>
      <c r="IV148">
        <v>3136000</v>
      </c>
      <c r="IW148">
        <v>268000</v>
      </c>
      <c r="IX148">
        <v>1300000</v>
      </c>
      <c r="IY148">
        <v>0</v>
      </c>
      <c r="IZ148">
        <v>0</v>
      </c>
      <c r="JA148">
        <v>0</v>
      </c>
      <c r="JB148">
        <v>1568000</v>
      </c>
      <c r="JC148">
        <v>90000</v>
      </c>
      <c r="JD148">
        <v>434000</v>
      </c>
      <c r="JE148">
        <v>0</v>
      </c>
      <c r="JF148">
        <v>0</v>
      </c>
      <c r="JG148">
        <v>0</v>
      </c>
      <c r="JH148">
        <v>524000</v>
      </c>
    </row>
    <row r="149" spans="2:268" customFormat="1" x14ac:dyDescent="0.25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3"/>
      <c r="N149" s="3"/>
      <c r="O149" s="3"/>
      <c r="P149" s="2"/>
      <c r="Q149" s="2"/>
      <c r="R149" s="2"/>
      <c r="S149" s="2"/>
      <c r="T149" s="2"/>
      <c r="U149" s="2"/>
      <c r="V149" s="3"/>
      <c r="W149" s="3"/>
      <c r="X149" s="3"/>
      <c r="Y149" s="3"/>
      <c r="Z149" s="3"/>
      <c r="AA149" s="3"/>
      <c r="AB149" s="3"/>
      <c r="AC149" s="2"/>
      <c r="AD149" s="2"/>
      <c r="AE149" s="2"/>
      <c r="AF149" s="2"/>
      <c r="AG149" s="2"/>
      <c r="AH149" s="2"/>
      <c r="AI149" s="2"/>
      <c r="AJ149" s="3"/>
      <c r="AK149" s="2"/>
      <c r="AL149" s="2"/>
      <c r="AM149" s="2"/>
      <c r="AN149" s="2"/>
      <c r="AO149" s="3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3"/>
      <c r="BC149" s="3"/>
      <c r="BD149" s="3"/>
      <c r="BE149" s="3"/>
      <c r="BF149" s="3"/>
      <c r="BG149" s="3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2"/>
      <c r="DI149" s="2"/>
      <c r="DJ149" s="3"/>
      <c r="DK149" s="3"/>
      <c r="DL149" s="2"/>
      <c r="DM149" s="2"/>
      <c r="DN149" s="2"/>
      <c r="DO149" s="3"/>
      <c r="DP149" s="3"/>
      <c r="GO149" t="s">
        <v>134</v>
      </c>
      <c r="GP149" t="s">
        <v>501</v>
      </c>
      <c r="GQ149" t="s">
        <v>502</v>
      </c>
      <c r="GR149">
        <v>29</v>
      </c>
      <c r="GS149">
        <v>28</v>
      </c>
      <c r="GT149">
        <v>1</v>
      </c>
      <c r="GU149" t="s">
        <v>457</v>
      </c>
      <c r="GV149">
        <v>26974207.973264001</v>
      </c>
      <c r="GW149">
        <v>288292196.74986601</v>
      </c>
      <c r="GX149">
        <v>315266404.72312999</v>
      </c>
      <c r="GY149">
        <v>0</v>
      </c>
      <c r="GZ149">
        <v>315266404.72312999</v>
      </c>
      <c r="HA149">
        <v>315266404.72312999</v>
      </c>
      <c r="HB149">
        <v>303000000</v>
      </c>
      <c r="HC149">
        <v>0</v>
      </c>
      <c r="HD149" t="s">
        <v>137</v>
      </c>
      <c r="HE149">
        <v>0</v>
      </c>
      <c r="HF149">
        <v>0</v>
      </c>
      <c r="HG149">
        <v>0</v>
      </c>
      <c r="HH149">
        <v>1072000</v>
      </c>
      <c r="HI149">
        <v>21440</v>
      </c>
      <c r="HJ149">
        <v>1050560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1072000</v>
      </c>
      <c r="HT149">
        <v>21440</v>
      </c>
      <c r="HU149">
        <v>1050560</v>
      </c>
      <c r="HV149">
        <v>160520000</v>
      </c>
      <c r="HW149">
        <v>7.0000000000000007E-2</v>
      </c>
      <c r="HX149">
        <v>0.96964931039809399</v>
      </c>
      <c r="HY149">
        <v>1</v>
      </c>
      <c r="HZ149">
        <v>300000</v>
      </c>
      <c r="IA149">
        <v>0</v>
      </c>
      <c r="IB149">
        <v>0</v>
      </c>
      <c r="IC149">
        <v>0</v>
      </c>
      <c r="ID149">
        <v>272700</v>
      </c>
      <c r="IE149">
        <v>572700</v>
      </c>
      <c r="IF149">
        <v>555318.16006498795</v>
      </c>
      <c r="IG149">
        <v>555318.16006498795</v>
      </c>
      <c r="IH149">
        <v>0</v>
      </c>
      <c r="II149">
        <v>1922861.48692393</v>
      </c>
      <c r="IJ149">
        <v>20180453.772490699</v>
      </c>
      <c r="IK149">
        <v>0</v>
      </c>
      <c r="IL149">
        <v>0</v>
      </c>
      <c r="IM149">
        <v>0</v>
      </c>
      <c r="IN149">
        <v>29392311.300122902</v>
      </c>
      <c r="IO149">
        <v>308472650.52235699</v>
      </c>
      <c r="IP149">
        <v>337864961.82248002</v>
      </c>
      <c r="IQ149">
        <v>536000</v>
      </c>
      <c r="IR149">
        <v>2600000</v>
      </c>
      <c r="IS149">
        <v>0</v>
      </c>
      <c r="IT149">
        <v>0</v>
      </c>
      <c r="IU149">
        <v>0</v>
      </c>
      <c r="IV149">
        <v>3136000</v>
      </c>
      <c r="IW149">
        <v>268000</v>
      </c>
      <c r="IX149">
        <v>1300000</v>
      </c>
      <c r="IY149">
        <v>0</v>
      </c>
      <c r="IZ149">
        <v>0</v>
      </c>
      <c r="JA149">
        <v>0</v>
      </c>
      <c r="JB149">
        <v>1568000</v>
      </c>
      <c r="JC149">
        <v>90000</v>
      </c>
      <c r="JD149">
        <v>434000</v>
      </c>
      <c r="JE149">
        <v>0</v>
      </c>
      <c r="JF149">
        <v>0</v>
      </c>
      <c r="JG149">
        <v>0</v>
      </c>
      <c r="JH149">
        <v>524000</v>
      </c>
    </row>
    <row r="150" spans="2:268" customFormat="1" x14ac:dyDescent="0.25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  <c r="N150" s="3"/>
      <c r="O150" s="3"/>
      <c r="P150" s="2"/>
      <c r="Q150" s="2"/>
      <c r="R150" s="2"/>
      <c r="S150" s="2"/>
      <c r="T150" s="2"/>
      <c r="U150" s="2"/>
      <c r="V150" s="3"/>
      <c r="W150" s="3"/>
      <c r="X150" s="3"/>
      <c r="Y150" s="3"/>
      <c r="Z150" s="3"/>
      <c r="AA150" s="3"/>
      <c r="AB150" s="3"/>
      <c r="AC150" s="2"/>
      <c r="AD150" s="2"/>
      <c r="AE150" s="2"/>
      <c r="AF150" s="2"/>
      <c r="AG150" s="2"/>
      <c r="AH150" s="2"/>
      <c r="AI150" s="2"/>
      <c r="AJ150" s="3"/>
      <c r="AK150" s="2"/>
      <c r="AL150" s="2"/>
      <c r="AM150" s="2"/>
      <c r="AN150" s="2"/>
      <c r="AO150" s="3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3"/>
      <c r="BC150" s="3"/>
      <c r="BD150" s="3"/>
      <c r="BE150" s="3"/>
      <c r="BF150" s="3"/>
      <c r="BG150" s="3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2"/>
      <c r="DI150" s="2"/>
      <c r="DJ150" s="3"/>
      <c r="DK150" s="3"/>
      <c r="DL150" s="2"/>
      <c r="DM150" s="2"/>
      <c r="DN150" s="2"/>
      <c r="DO150" s="3"/>
      <c r="DP150" s="3"/>
      <c r="GO150" t="s">
        <v>134</v>
      </c>
      <c r="GP150" t="s">
        <v>501</v>
      </c>
      <c r="GQ150" t="s">
        <v>502</v>
      </c>
      <c r="GR150">
        <v>30</v>
      </c>
      <c r="GS150">
        <v>29</v>
      </c>
      <c r="GT150">
        <v>1</v>
      </c>
      <c r="GU150" t="s">
        <v>457</v>
      </c>
      <c r="GV150">
        <v>29392311.300122902</v>
      </c>
      <c r="GW150">
        <v>308472650.52235699</v>
      </c>
      <c r="GX150">
        <v>337864961.82248002</v>
      </c>
      <c r="GY150">
        <v>0</v>
      </c>
      <c r="GZ150">
        <v>337864961.82248002</v>
      </c>
      <c r="HA150">
        <v>337864961.82248002</v>
      </c>
      <c r="HB150">
        <v>303000000</v>
      </c>
      <c r="HC150">
        <v>0</v>
      </c>
      <c r="HD150" t="s">
        <v>137</v>
      </c>
      <c r="HE150">
        <v>0</v>
      </c>
      <c r="HF150">
        <v>0</v>
      </c>
      <c r="HG150">
        <v>0</v>
      </c>
      <c r="HH150">
        <v>1072000</v>
      </c>
      <c r="HI150">
        <v>21440</v>
      </c>
      <c r="HJ150">
        <v>1050560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1072000</v>
      </c>
      <c r="HT150">
        <v>21440</v>
      </c>
      <c r="HU150">
        <v>1050560</v>
      </c>
      <c r="HV150">
        <v>161592000</v>
      </c>
      <c r="HW150">
        <v>7.0000000000000007E-2</v>
      </c>
      <c r="HX150">
        <v>0.96964931039809399</v>
      </c>
      <c r="HY150">
        <v>1</v>
      </c>
      <c r="HZ150">
        <v>300000</v>
      </c>
      <c r="IA150">
        <v>0</v>
      </c>
      <c r="IB150">
        <v>0</v>
      </c>
      <c r="IC150">
        <v>0</v>
      </c>
      <c r="ID150">
        <v>272700</v>
      </c>
      <c r="IE150">
        <v>572700</v>
      </c>
      <c r="IF150">
        <v>555318.16006498795</v>
      </c>
      <c r="IG150">
        <v>555318.16006498795</v>
      </c>
      <c r="IH150">
        <v>0</v>
      </c>
      <c r="II150">
        <v>2092128.7198040599</v>
      </c>
      <c r="IJ150">
        <v>21593085.536564998</v>
      </c>
      <c r="IK150">
        <v>0</v>
      </c>
      <c r="IL150">
        <v>0</v>
      </c>
      <c r="IM150">
        <v>0</v>
      </c>
      <c r="IN150">
        <v>31979681.859862</v>
      </c>
      <c r="IO150">
        <v>330065736.05892199</v>
      </c>
      <c r="IP150">
        <v>362045417.91878402</v>
      </c>
      <c r="IQ150">
        <v>536000</v>
      </c>
      <c r="IR150">
        <v>2600000</v>
      </c>
      <c r="IS150">
        <v>0</v>
      </c>
      <c r="IT150">
        <v>0</v>
      </c>
      <c r="IU150">
        <v>0</v>
      </c>
      <c r="IV150">
        <v>3136000</v>
      </c>
      <c r="IW150">
        <v>268000</v>
      </c>
      <c r="IX150">
        <v>1300000</v>
      </c>
      <c r="IY150">
        <v>0</v>
      </c>
      <c r="IZ150">
        <v>0</v>
      </c>
      <c r="JA150">
        <v>0</v>
      </c>
      <c r="JB150">
        <v>1568000</v>
      </c>
      <c r="JC150">
        <v>90000</v>
      </c>
      <c r="JD150">
        <v>434000</v>
      </c>
      <c r="JE150">
        <v>0</v>
      </c>
      <c r="JF150">
        <v>0</v>
      </c>
      <c r="JG150">
        <v>0</v>
      </c>
      <c r="JH150">
        <v>524000</v>
      </c>
    </row>
    <row r="151" spans="2:268" customFormat="1" x14ac:dyDescent="0.25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3"/>
      <c r="N151" s="3"/>
      <c r="O151" s="3"/>
      <c r="P151" s="2"/>
      <c r="Q151" s="2"/>
      <c r="R151" s="2"/>
      <c r="S151" s="2"/>
      <c r="T151" s="2"/>
      <c r="U151" s="2"/>
      <c r="V151" s="3"/>
      <c r="W151" s="3"/>
      <c r="X151" s="3"/>
      <c r="Y151" s="3"/>
      <c r="Z151" s="3"/>
      <c r="AA151" s="3"/>
      <c r="AB151" s="3"/>
      <c r="AC151" s="2"/>
      <c r="AD151" s="2"/>
      <c r="AE151" s="2"/>
      <c r="AF151" s="2"/>
      <c r="AG151" s="2"/>
      <c r="AH151" s="2"/>
      <c r="AI151" s="2"/>
      <c r="AJ151" s="3"/>
      <c r="AK151" s="2"/>
      <c r="AL151" s="2"/>
      <c r="AM151" s="2"/>
      <c r="AN151" s="2"/>
      <c r="AO151" s="3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3"/>
      <c r="BC151" s="3"/>
      <c r="BD151" s="3"/>
      <c r="BE151" s="3"/>
      <c r="BF151" s="3"/>
      <c r="BG151" s="3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2"/>
      <c r="DI151" s="2"/>
      <c r="DJ151" s="3"/>
      <c r="DK151" s="3"/>
      <c r="DL151" s="2"/>
      <c r="DM151" s="2"/>
      <c r="DN151" s="2"/>
      <c r="DO151" s="3"/>
      <c r="DP151" s="3"/>
      <c r="GO151" t="s">
        <v>134</v>
      </c>
      <c r="GP151" t="s">
        <v>501</v>
      </c>
      <c r="GQ151" t="s">
        <v>502</v>
      </c>
      <c r="GR151">
        <v>31</v>
      </c>
      <c r="GS151">
        <v>30</v>
      </c>
      <c r="GT151">
        <v>1</v>
      </c>
      <c r="GU151" t="s">
        <v>457</v>
      </c>
      <c r="GV151">
        <v>31979681.859862</v>
      </c>
      <c r="GW151">
        <v>330065736.05892199</v>
      </c>
      <c r="GX151">
        <v>362045417.91878402</v>
      </c>
      <c r="GY151">
        <v>0</v>
      </c>
      <c r="GZ151">
        <v>362045417.91878402</v>
      </c>
      <c r="HA151">
        <v>362045417.91878402</v>
      </c>
      <c r="HB151">
        <v>303000000</v>
      </c>
      <c r="HC151">
        <v>0</v>
      </c>
      <c r="HD151" t="s">
        <v>137</v>
      </c>
      <c r="HE151">
        <v>0</v>
      </c>
      <c r="HF151">
        <v>0</v>
      </c>
      <c r="HG151">
        <v>0</v>
      </c>
      <c r="HH151">
        <v>1072000</v>
      </c>
      <c r="HI151">
        <v>21440</v>
      </c>
      <c r="HJ151">
        <v>1050560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1072000</v>
      </c>
      <c r="HT151">
        <v>21440</v>
      </c>
      <c r="HU151">
        <v>1050560</v>
      </c>
      <c r="HV151">
        <v>162664000</v>
      </c>
      <c r="HW151">
        <v>7.0000000000000007E-2</v>
      </c>
      <c r="HX151">
        <v>0.96964931039809399</v>
      </c>
      <c r="HY151">
        <v>1</v>
      </c>
      <c r="HZ151">
        <v>300000</v>
      </c>
      <c r="IA151">
        <v>0</v>
      </c>
      <c r="IB151">
        <v>0</v>
      </c>
      <c r="IC151">
        <v>0</v>
      </c>
      <c r="ID151">
        <v>272700</v>
      </c>
      <c r="IE151">
        <v>572700</v>
      </c>
      <c r="IF151">
        <v>555318.16006498795</v>
      </c>
      <c r="IG151">
        <v>555318.16006498795</v>
      </c>
      <c r="IH151">
        <v>0</v>
      </c>
      <c r="II151">
        <v>2273244.6589857899</v>
      </c>
      <c r="IJ151">
        <v>23104601.5241246</v>
      </c>
      <c r="IK151">
        <v>0</v>
      </c>
      <c r="IL151">
        <v>0</v>
      </c>
      <c r="IM151">
        <v>0</v>
      </c>
      <c r="IN151">
        <v>34748168.358782798</v>
      </c>
      <c r="IO151">
        <v>353170337.58304697</v>
      </c>
      <c r="IP151">
        <v>387918505.94182998</v>
      </c>
      <c r="IQ151">
        <v>536000</v>
      </c>
      <c r="IR151">
        <v>2600000</v>
      </c>
      <c r="IS151">
        <v>0</v>
      </c>
      <c r="IT151">
        <v>0</v>
      </c>
      <c r="IU151">
        <v>0</v>
      </c>
      <c r="IV151">
        <v>3136000</v>
      </c>
      <c r="IW151">
        <v>268000</v>
      </c>
      <c r="IX151">
        <v>1300000</v>
      </c>
      <c r="IY151">
        <v>0</v>
      </c>
      <c r="IZ151">
        <v>0</v>
      </c>
      <c r="JA151">
        <v>0</v>
      </c>
      <c r="JB151">
        <v>1568000</v>
      </c>
      <c r="JC151">
        <v>90000</v>
      </c>
      <c r="JD151">
        <v>434000</v>
      </c>
      <c r="JE151">
        <v>0</v>
      </c>
      <c r="JF151">
        <v>0</v>
      </c>
      <c r="JG151">
        <v>0</v>
      </c>
      <c r="JH151">
        <v>524000</v>
      </c>
    </row>
    <row r="152" spans="2:268" customFormat="1" x14ac:dyDescent="0.25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3"/>
      <c r="N152" s="3"/>
      <c r="O152" s="3"/>
      <c r="P152" s="2"/>
      <c r="Q152" s="2"/>
      <c r="R152" s="2"/>
      <c r="S152" s="2"/>
      <c r="T152" s="2"/>
      <c r="U152" s="2"/>
      <c r="V152" s="3"/>
      <c r="W152" s="3"/>
      <c r="X152" s="3"/>
      <c r="Y152" s="3"/>
      <c r="Z152" s="3"/>
      <c r="AA152" s="3"/>
      <c r="AB152" s="3"/>
      <c r="AC152" s="2"/>
      <c r="AD152" s="2"/>
      <c r="AE152" s="2"/>
      <c r="AF152" s="2"/>
      <c r="AG152" s="2"/>
      <c r="AH152" s="2"/>
      <c r="AI152" s="2"/>
      <c r="AJ152" s="3"/>
      <c r="AK152" s="2"/>
      <c r="AL152" s="2"/>
      <c r="AM152" s="2"/>
      <c r="AN152" s="2"/>
      <c r="AO152" s="3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3"/>
      <c r="BC152" s="3"/>
      <c r="BD152" s="3"/>
      <c r="BE152" s="3"/>
      <c r="BF152" s="3"/>
      <c r="BG152" s="3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2"/>
      <c r="DI152" s="2"/>
      <c r="DJ152" s="3"/>
      <c r="DK152" s="3"/>
      <c r="DL152" s="2"/>
      <c r="DM152" s="2"/>
      <c r="DN152" s="2"/>
      <c r="DO152" s="3"/>
      <c r="DP152" s="3"/>
      <c r="GO152" t="s">
        <v>134</v>
      </c>
      <c r="GP152" t="s">
        <v>501</v>
      </c>
      <c r="GQ152" t="s">
        <v>502</v>
      </c>
      <c r="GR152">
        <v>32</v>
      </c>
      <c r="GS152">
        <v>31</v>
      </c>
      <c r="GT152">
        <v>1</v>
      </c>
      <c r="GU152" t="s">
        <v>457</v>
      </c>
      <c r="GV152">
        <v>34748168.358782798</v>
      </c>
      <c r="GW152">
        <v>353170337.58304697</v>
      </c>
      <c r="GX152">
        <v>387918505.94182998</v>
      </c>
      <c r="GY152">
        <v>0</v>
      </c>
      <c r="GZ152">
        <v>387918505.94182998</v>
      </c>
      <c r="HA152">
        <v>387918505.94182998</v>
      </c>
      <c r="HB152">
        <v>303000000</v>
      </c>
      <c r="HC152">
        <v>0</v>
      </c>
      <c r="HD152" t="s">
        <v>137</v>
      </c>
      <c r="HE152">
        <v>0</v>
      </c>
      <c r="HF152">
        <v>0</v>
      </c>
      <c r="HG152">
        <v>0</v>
      </c>
      <c r="HH152">
        <v>1072000</v>
      </c>
      <c r="HI152">
        <v>21440</v>
      </c>
      <c r="HJ152">
        <v>1050560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1072000</v>
      </c>
      <c r="HT152">
        <v>21440</v>
      </c>
      <c r="HU152">
        <v>1050560</v>
      </c>
      <c r="HV152">
        <v>163736000</v>
      </c>
      <c r="HW152">
        <v>7.0000000000000007E-2</v>
      </c>
      <c r="HX152">
        <v>0.96964931039809399</v>
      </c>
      <c r="HY152">
        <v>1</v>
      </c>
      <c r="HZ152">
        <v>300000</v>
      </c>
      <c r="IA152">
        <v>0</v>
      </c>
      <c r="IB152">
        <v>0</v>
      </c>
      <c r="IC152">
        <v>0</v>
      </c>
      <c r="ID152">
        <v>272700</v>
      </c>
      <c r="IE152">
        <v>572700</v>
      </c>
      <c r="IF152">
        <v>555318.16006498795</v>
      </c>
      <c r="IG152">
        <v>555318.16006498795</v>
      </c>
      <c r="IH152">
        <v>0</v>
      </c>
      <c r="II152">
        <v>2467038.71391025</v>
      </c>
      <c r="IJ152">
        <v>24721923.630813301</v>
      </c>
      <c r="IK152">
        <v>0</v>
      </c>
      <c r="IL152">
        <v>0</v>
      </c>
      <c r="IM152">
        <v>0</v>
      </c>
      <c r="IN152">
        <v>37710448.912628099</v>
      </c>
      <c r="IO152">
        <v>377892261.21385998</v>
      </c>
      <c r="IP152">
        <v>415602710.12648797</v>
      </c>
      <c r="IQ152">
        <v>536000</v>
      </c>
      <c r="IR152">
        <v>2600000</v>
      </c>
      <c r="IS152">
        <v>0</v>
      </c>
      <c r="IT152">
        <v>0</v>
      </c>
      <c r="IU152">
        <v>0</v>
      </c>
      <c r="IV152">
        <v>3136000</v>
      </c>
      <c r="IW152">
        <v>268000</v>
      </c>
      <c r="IX152">
        <v>1300000</v>
      </c>
      <c r="IY152">
        <v>0</v>
      </c>
      <c r="IZ152">
        <v>0</v>
      </c>
      <c r="JA152">
        <v>0</v>
      </c>
      <c r="JB152">
        <v>1568000</v>
      </c>
      <c r="JC152">
        <v>90000</v>
      </c>
      <c r="JD152">
        <v>434000</v>
      </c>
      <c r="JE152">
        <v>0</v>
      </c>
      <c r="JF152">
        <v>0</v>
      </c>
      <c r="JG152">
        <v>0</v>
      </c>
      <c r="JH152">
        <v>524000</v>
      </c>
    </row>
    <row r="153" spans="2:268" customFormat="1" x14ac:dyDescent="0.25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3"/>
      <c r="N153" s="3"/>
      <c r="O153" s="3"/>
      <c r="P153" s="2"/>
      <c r="Q153" s="2"/>
      <c r="R153" s="2"/>
      <c r="S153" s="2"/>
      <c r="T153" s="2"/>
      <c r="U153" s="2"/>
      <c r="V153" s="3"/>
      <c r="W153" s="3"/>
      <c r="X153" s="3"/>
      <c r="Y153" s="3"/>
      <c r="Z153" s="3"/>
      <c r="AA153" s="3"/>
      <c r="AB153" s="3"/>
      <c r="AC153" s="2"/>
      <c r="AD153" s="2"/>
      <c r="AE153" s="2"/>
      <c r="AF153" s="2"/>
      <c r="AG153" s="2"/>
      <c r="AH153" s="2"/>
      <c r="AI153" s="2"/>
      <c r="AJ153" s="3"/>
      <c r="AK153" s="2"/>
      <c r="AL153" s="2"/>
      <c r="AM153" s="2"/>
      <c r="AN153" s="2"/>
      <c r="AO153" s="3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3"/>
      <c r="BC153" s="3"/>
      <c r="BD153" s="3"/>
      <c r="BE153" s="3"/>
      <c r="BF153" s="3"/>
      <c r="BG153" s="3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2"/>
      <c r="DI153" s="2"/>
      <c r="DJ153" s="3"/>
      <c r="DK153" s="3"/>
      <c r="DL153" s="2"/>
      <c r="DM153" s="2"/>
      <c r="DN153" s="2"/>
      <c r="DO153" s="3"/>
      <c r="DP153" s="3"/>
      <c r="GO153" t="s">
        <v>134</v>
      </c>
      <c r="GP153" t="s">
        <v>501</v>
      </c>
      <c r="GQ153" t="s">
        <v>502</v>
      </c>
      <c r="GR153">
        <v>33</v>
      </c>
      <c r="GS153">
        <v>32</v>
      </c>
      <c r="GT153">
        <v>1</v>
      </c>
      <c r="GU153" t="s">
        <v>457</v>
      </c>
      <c r="GV153">
        <v>37710448.912628099</v>
      </c>
      <c r="GW153">
        <v>377892261.21385998</v>
      </c>
      <c r="GX153">
        <v>415602710.12648797</v>
      </c>
      <c r="GY153">
        <v>0</v>
      </c>
      <c r="GZ153">
        <v>415602710.12648797</v>
      </c>
      <c r="HA153">
        <v>415602710.12648797</v>
      </c>
      <c r="HB153">
        <v>303000000</v>
      </c>
      <c r="HC153">
        <v>0</v>
      </c>
      <c r="HD153" t="s">
        <v>137</v>
      </c>
      <c r="HE153">
        <v>0</v>
      </c>
      <c r="HF153">
        <v>0</v>
      </c>
      <c r="HG153">
        <v>0</v>
      </c>
      <c r="HH153">
        <v>1072000</v>
      </c>
      <c r="HI153">
        <v>21440</v>
      </c>
      <c r="HJ153">
        <v>1050560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1072000</v>
      </c>
      <c r="HT153">
        <v>21440</v>
      </c>
      <c r="HU153">
        <v>1050560</v>
      </c>
      <c r="HV153">
        <v>164808000</v>
      </c>
      <c r="HW153">
        <v>7.0000000000000007E-2</v>
      </c>
      <c r="HX153">
        <v>0.96964931039809399</v>
      </c>
      <c r="HY153">
        <v>1</v>
      </c>
      <c r="HZ153">
        <v>300000</v>
      </c>
      <c r="IA153">
        <v>0</v>
      </c>
      <c r="IB153">
        <v>0</v>
      </c>
      <c r="IC153">
        <v>0</v>
      </c>
      <c r="ID153">
        <v>272700</v>
      </c>
      <c r="IE153">
        <v>572700</v>
      </c>
      <c r="IF153">
        <v>555318.16006498795</v>
      </c>
      <c r="IG153">
        <v>555318.16006498795</v>
      </c>
      <c r="IH153">
        <v>0</v>
      </c>
      <c r="II153">
        <v>2674398.3526794198</v>
      </c>
      <c r="IJ153">
        <v>26452458.284970202</v>
      </c>
      <c r="IK153">
        <v>0</v>
      </c>
      <c r="IL153">
        <v>0</v>
      </c>
      <c r="IM153">
        <v>0</v>
      </c>
      <c r="IN153">
        <v>40880089.105242498</v>
      </c>
      <c r="IO153">
        <v>404344719.49883002</v>
      </c>
      <c r="IP153">
        <v>445224808.60407299</v>
      </c>
      <c r="IQ153">
        <v>536000</v>
      </c>
      <c r="IR153">
        <v>2600000</v>
      </c>
      <c r="IS153">
        <v>0</v>
      </c>
      <c r="IT153">
        <v>0</v>
      </c>
      <c r="IU153">
        <v>0</v>
      </c>
      <c r="IV153">
        <v>3136000</v>
      </c>
      <c r="IW153">
        <v>268000</v>
      </c>
      <c r="IX153">
        <v>1300000</v>
      </c>
      <c r="IY153">
        <v>0</v>
      </c>
      <c r="IZ153">
        <v>0</v>
      </c>
      <c r="JA153">
        <v>0</v>
      </c>
      <c r="JB153">
        <v>1568000</v>
      </c>
      <c r="JC153">
        <v>90000</v>
      </c>
      <c r="JD153">
        <v>434000</v>
      </c>
      <c r="JE153">
        <v>0</v>
      </c>
      <c r="JF153">
        <v>0</v>
      </c>
      <c r="JG153">
        <v>0</v>
      </c>
      <c r="JH153">
        <v>524000</v>
      </c>
    </row>
    <row r="154" spans="2:268" customFormat="1" x14ac:dyDescent="0.25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3"/>
      <c r="N154" s="3"/>
      <c r="O154" s="3"/>
      <c r="P154" s="2"/>
      <c r="Q154" s="2"/>
      <c r="R154" s="2"/>
      <c r="S154" s="2"/>
      <c r="T154" s="2"/>
      <c r="U154" s="2"/>
      <c r="V154" s="3"/>
      <c r="W154" s="3"/>
      <c r="X154" s="3"/>
      <c r="Y154" s="3"/>
      <c r="Z154" s="3"/>
      <c r="AA154" s="3"/>
      <c r="AB154" s="3"/>
      <c r="AC154" s="2"/>
      <c r="AD154" s="2"/>
      <c r="AE154" s="2"/>
      <c r="AF154" s="2"/>
      <c r="AG154" s="2"/>
      <c r="AH154" s="2"/>
      <c r="AI154" s="2"/>
      <c r="AJ154" s="3"/>
      <c r="AK154" s="2"/>
      <c r="AL154" s="2"/>
      <c r="AM154" s="2"/>
      <c r="AN154" s="2"/>
      <c r="AO154" s="3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3"/>
      <c r="BC154" s="3"/>
      <c r="BD154" s="3"/>
      <c r="BE154" s="3"/>
      <c r="BF154" s="3"/>
      <c r="BG154" s="3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2"/>
      <c r="DI154" s="2"/>
      <c r="DJ154" s="3"/>
      <c r="DK154" s="3"/>
      <c r="DL154" s="2"/>
      <c r="DM154" s="2"/>
      <c r="DN154" s="2"/>
      <c r="DO154" s="3"/>
      <c r="DP154" s="3"/>
      <c r="GO154" t="s">
        <v>134</v>
      </c>
      <c r="GP154" t="s">
        <v>501</v>
      </c>
      <c r="GQ154" t="s">
        <v>502</v>
      </c>
      <c r="GR154">
        <v>34</v>
      </c>
      <c r="GS154">
        <v>33</v>
      </c>
      <c r="GT154">
        <v>1</v>
      </c>
      <c r="GU154" t="s">
        <v>457</v>
      </c>
      <c r="GV154">
        <v>40880089.105242498</v>
      </c>
      <c r="GW154">
        <v>404344719.49883002</v>
      </c>
      <c r="GX154">
        <v>445224808.60407299</v>
      </c>
      <c r="GY154">
        <v>0</v>
      </c>
      <c r="GZ154">
        <v>445224808.60407299</v>
      </c>
      <c r="HA154">
        <v>445224808.60407299</v>
      </c>
      <c r="HB154">
        <v>303000000</v>
      </c>
      <c r="HC154">
        <v>0</v>
      </c>
      <c r="HD154" t="s">
        <v>137</v>
      </c>
      <c r="HE154">
        <v>0</v>
      </c>
      <c r="HF154">
        <v>0</v>
      </c>
      <c r="HG154">
        <v>0</v>
      </c>
      <c r="HH154">
        <v>1072000</v>
      </c>
      <c r="HI154">
        <v>21440</v>
      </c>
      <c r="HJ154">
        <v>1050560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1072000</v>
      </c>
      <c r="HT154">
        <v>21440</v>
      </c>
      <c r="HU154">
        <v>1050560</v>
      </c>
      <c r="HV154">
        <v>165880000</v>
      </c>
      <c r="HW154">
        <v>7.0000000000000007E-2</v>
      </c>
      <c r="HX154">
        <v>0.96964931039809399</v>
      </c>
      <c r="HY154">
        <v>1</v>
      </c>
      <c r="HZ154">
        <v>300000</v>
      </c>
      <c r="IA154">
        <v>0</v>
      </c>
      <c r="IB154">
        <v>0</v>
      </c>
      <c r="IC154">
        <v>0</v>
      </c>
      <c r="ID154">
        <v>272700</v>
      </c>
      <c r="IE154">
        <v>572700</v>
      </c>
      <c r="IF154">
        <v>555318.16006498795</v>
      </c>
      <c r="IG154">
        <v>555318.16006498795</v>
      </c>
      <c r="IH154">
        <v>0</v>
      </c>
      <c r="II154">
        <v>2896273.1661624298</v>
      </c>
      <c r="IJ154">
        <v>28304130.364918102</v>
      </c>
      <c r="IK154">
        <v>0</v>
      </c>
      <c r="IL154">
        <v>0</v>
      </c>
      <c r="IM154">
        <v>0</v>
      </c>
      <c r="IN154">
        <v>44271604.111339897</v>
      </c>
      <c r="IO154">
        <v>432648849.86374801</v>
      </c>
      <c r="IP154">
        <v>476920453.975088</v>
      </c>
      <c r="IQ154">
        <v>536000</v>
      </c>
      <c r="IR154">
        <v>2600000</v>
      </c>
      <c r="IS154">
        <v>0</v>
      </c>
      <c r="IT154">
        <v>0</v>
      </c>
      <c r="IU154">
        <v>0</v>
      </c>
      <c r="IV154">
        <v>3136000</v>
      </c>
      <c r="IW154">
        <v>268000</v>
      </c>
      <c r="IX154">
        <v>1300000</v>
      </c>
      <c r="IY154">
        <v>0</v>
      </c>
      <c r="IZ154">
        <v>0</v>
      </c>
      <c r="JA154">
        <v>0</v>
      </c>
      <c r="JB154">
        <v>1568000</v>
      </c>
      <c r="JC154">
        <v>90000</v>
      </c>
      <c r="JD154">
        <v>434000</v>
      </c>
      <c r="JE154">
        <v>0</v>
      </c>
      <c r="JF154">
        <v>0</v>
      </c>
      <c r="JG154">
        <v>0</v>
      </c>
      <c r="JH154">
        <v>524000</v>
      </c>
    </row>
    <row r="155" spans="2:268" customFormat="1" x14ac:dyDescent="0.25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3"/>
      <c r="N155" s="3"/>
      <c r="O155" s="3"/>
      <c r="P155" s="2"/>
      <c r="Q155" s="2"/>
      <c r="R155" s="2"/>
      <c r="S155" s="2"/>
      <c r="T155" s="2"/>
      <c r="U155" s="2"/>
      <c r="V155" s="3"/>
      <c r="W155" s="3"/>
      <c r="X155" s="3"/>
      <c r="Y155" s="3"/>
      <c r="Z155" s="3"/>
      <c r="AA155" s="3"/>
      <c r="AB155" s="3"/>
      <c r="AC155" s="2"/>
      <c r="AD155" s="2"/>
      <c r="AE155" s="2"/>
      <c r="AF155" s="2"/>
      <c r="AG155" s="2"/>
      <c r="AH155" s="2"/>
      <c r="AI155" s="2"/>
      <c r="AJ155" s="3"/>
      <c r="AK155" s="2"/>
      <c r="AL155" s="2"/>
      <c r="AM155" s="2"/>
      <c r="AN155" s="2"/>
      <c r="AO155" s="3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3"/>
      <c r="BC155" s="3"/>
      <c r="BD155" s="3"/>
      <c r="BE155" s="3"/>
      <c r="BF155" s="3"/>
      <c r="BG155" s="3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2"/>
      <c r="DI155" s="2"/>
      <c r="DJ155" s="3"/>
      <c r="DK155" s="3"/>
      <c r="DL155" s="2"/>
      <c r="DM155" s="2"/>
      <c r="DN155" s="2"/>
      <c r="DO155" s="3"/>
      <c r="DP155" s="3"/>
      <c r="GO155" t="s">
        <v>134</v>
      </c>
      <c r="GP155" t="s">
        <v>501</v>
      </c>
      <c r="GQ155" t="s">
        <v>502</v>
      </c>
      <c r="GR155">
        <v>35</v>
      </c>
      <c r="GS155">
        <v>34</v>
      </c>
      <c r="GT155">
        <v>1</v>
      </c>
      <c r="GU155" t="s">
        <v>457</v>
      </c>
      <c r="GV155">
        <v>44271604.111339897</v>
      </c>
      <c r="GW155">
        <v>432648849.86374801</v>
      </c>
      <c r="GX155">
        <v>476920453.975088</v>
      </c>
      <c r="GY155">
        <v>0</v>
      </c>
      <c r="GZ155">
        <v>476920453.975088</v>
      </c>
      <c r="HA155">
        <v>476920453.975088</v>
      </c>
      <c r="HB155">
        <v>303000000</v>
      </c>
      <c r="HC155">
        <v>0</v>
      </c>
      <c r="HD155" t="s">
        <v>137</v>
      </c>
      <c r="HE155">
        <v>0</v>
      </c>
      <c r="HF155">
        <v>0</v>
      </c>
      <c r="HG155">
        <v>0</v>
      </c>
      <c r="HH155">
        <v>1072000</v>
      </c>
      <c r="HI155">
        <v>21440</v>
      </c>
      <c r="HJ155">
        <v>1050560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1072000</v>
      </c>
      <c r="HT155">
        <v>21440</v>
      </c>
      <c r="HU155">
        <v>1050560</v>
      </c>
      <c r="HV155">
        <v>166952000</v>
      </c>
      <c r="HW155">
        <v>7.0000000000000007E-2</v>
      </c>
      <c r="HX155">
        <v>0.96964931039809399</v>
      </c>
      <c r="HY155">
        <v>1</v>
      </c>
      <c r="HZ155">
        <v>300000</v>
      </c>
      <c r="IA155">
        <v>0</v>
      </c>
      <c r="IB155">
        <v>0</v>
      </c>
      <c r="IC155">
        <v>0</v>
      </c>
      <c r="ID155">
        <v>272700</v>
      </c>
      <c r="IE155">
        <v>572700</v>
      </c>
      <c r="IF155">
        <v>555318.16006498795</v>
      </c>
      <c r="IG155">
        <v>555318.16006498795</v>
      </c>
      <c r="IH155">
        <v>0</v>
      </c>
      <c r="II155">
        <v>3133679.2165892501</v>
      </c>
      <c r="IJ155">
        <v>30285419.4904624</v>
      </c>
      <c r="IK155">
        <v>0</v>
      </c>
      <c r="IL155">
        <v>0</v>
      </c>
      <c r="IM155">
        <v>0</v>
      </c>
      <c r="IN155">
        <v>47900525.167864203</v>
      </c>
      <c r="IO155">
        <v>462934269.35421097</v>
      </c>
      <c r="IP155">
        <v>510834794.522075</v>
      </c>
      <c r="IQ155">
        <v>536000</v>
      </c>
      <c r="IR155">
        <v>2600000</v>
      </c>
      <c r="IS155">
        <v>0</v>
      </c>
      <c r="IT155">
        <v>0</v>
      </c>
      <c r="IU155">
        <v>0</v>
      </c>
      <c r="IV155">
        <v>3136000</v>
      </c>
      <c r="IW155">
        <v>268000</v>
      </c>
      <c r="IX155">
        <v>1300000</v>
      </c>
      <c r="IY155">
        <v>0</v>
      </c>
      <c r="IZ155">
        <v>0</v>
      </c>
      <c r="JA155">
        <v>0</v>
      </c>
      <c r="JB155">
        <v>1568000</v>
      </c>
      <c r="JC155">
        <v>90000</v>
      </c>
      <c r="JD155">
        <v>434000</v>
      </c>
      <c r="JE155">
        <v>0</v>
      </c>
      <c r="JF155">
        <v>0</v>
      </c>
      <c r="JG155">
        <v>0</v>
      </c>
      <c r="JH155">
        <v>524000</v>
      </c>
    </row>
    <row r="156" spans="2:268" customFormat="1" x14ac:dyDescent="0.25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3"/>
      <c r="N156" s="3"/>
      <c r="O156" s="3"/>
      <c r="P156" s="2"/>
      <c r="Q156" s="2"/>
      <c r="R156" s="2"/>
      <c r="S156" s="2"/>
      <c r="T156" s="2"/>
      <c r="U156" s="2"/>
      <c r="V156" s="3"/>
      <c r="W156" s="3"/>
      <c r="X156" s="3"/>
      <c r="Y156" s="3"/>
      <c r="Z156" s="3"/>
      <c r="AA156" s="3"/>
      <c r="AB156" s="3"/>
      <c r="AC156" s="2"/>
      <c r="AD156" s="2"/>
      <c r="AE156" s="2"/>
      <c r="AF156" s="2"/>
      <c r="AG156" s="2"/>
      <c r="AH156" s="2"/>
      <c r="AI156" s="2"/>
      <c r="AJ156" s="3"/>
      <c r="AK156" s="2"/>
      <c r="AL156" s="2"/>
      <c r="AM156" s="2"/>
      <c r="AN156" s="2"/>
      <c r="AO156" s="3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3"/>
      <c r="BC156" s="3"/>
      <c r="BD156" s="3"/>
      <c r="BE156" s="3"/>
      <c r="BF156" s="3"/>
      <c r="BG156" s="3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2"/>
      <c r="DI156" s="2"/>
      <c r="DJ156" s="3"/>
      <c r="DK156" s="3"/>
      <c r="DL156" s="2"/>
      <c r="DM156" s="2"/>
      <c r="DN156" s="2"/>
      <c r="DO156" s="3"/>
      <c r="DP156" s="3"/>
      <c r="GO156" t="s">
        <v>134</v>
      </c>
      <c r="GP156" t="s">
        <v>501</v>
      </c>
      <c r="GQ156" t="s">
        <v>502</v>
      </c>
      <c r="GR156">
        <v>36</v>
      </c>
      <c r="GS156">
        <v>35</v>
      </c>
      <c r="GT156">
        <v>1</v>
      </c>
      <c r="GU156" t="s">
        <v>457</v>
      </c>
      <c r="GV156">
        <v>47900525.167864203</v>
      </c>
      <c r="GW156">
        <v>462934269.35421097</v>
      </c>
      <c r="GX156">
        <v>510834794.522075</v>
      </c>
      <c r="GY156">
        <v>0</v>
      </c>
      <c r="GZ156">
        <v>510834794.522075</v>
      </c>
      <c r="HA156">
        <v>510834794.522075</v>
      </c>
      <c r="HB156">
        <v>303000000</v>
      </c>
      <c r="HC156">
        <v>0</v>
      </c>
      <c r="HD156" t="s">
        <v>137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7.0000000000000007E-2</v>
      </c>
      <c r="HX156">
        <v>0.96964931039809399</v>
      </c>
      <c r="HY156">
        <v>1</v>
      </c>
      <c r="HZ156">
        <v>300000</v>
      </c>
      <c r="IA156">
        <v>0</v>
      </c>
      <c r="IB156">
        <v>0</v>
      </c>
      <c r="IC156">
        <v>0</v>
      </c>
      <c r="ID156">
        <v>272700</v>
      </c>
      <c r="IE156">
        <v>572700</v>
      </c>
      <c r="IF156">
        <v>555318.16006498795</v>
      </c>
      <c r="IG156">
        <v>555318.16006498795</v>
      </c>
      <c r="IH156">
        <v>0</v>
      </c>
      <c r="II156">
        <v>3314164.4905459401</v>
      </c>
      <c r="IJ156">
        <v>32405398.8547948</v>
      </c>
      <c r="IK156">
        <v>0</v>
      </c>
      <c r="IL156">
        <v>0</v>
      </c>
      <c r="IM156">
        <v>0</v>
      </c>
      <c r="IN156">
        <v>50659371.498345099</v>
      </c>
      <c r="IO156">
        <v>495339668.209005</v>
      </c>
      <c r="IP156">
        <v>545999039.70735097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</row>
    <row r="157" spans="2:268" customFormat="1" x14ac:dyDescent="0.25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3"/>
      <c r="N157" s="3"/>
      <c r="O157" s="3"/>
      <c r="P157" s="2"/>
      <c r="Q157" s="2"/>
      <c r="R157" s="2"/>
      <c r="S157" s="2"/>
      <c r="T157" s="2"/>
      <c r="U157" s="2"/>
      <c r="V157" s="3"/>
      <c r="W157" s="3"/>
      <c r="X157" s="3"/>
      <c r="Y157" s="3"/>
      <c r="Z157" s="3"/>
      <c r="AA157" s="3"/>
      <c r="AB157" s="3"/>
      <c r="AC157" s="2"/>
      <c r="AD157" s="2"/>
      <c r="AE157" s="2"/>
      <c r="AF157" s="2"/>
      <c r="AG157" s="2"/>
      <c r="AH157" s="2"/>
      <c r="AI157" s="2"/>
      <c r="AJ157" s="3"/>
      <c r="AK157" s="2"/>
      <c r="AL157" s="2"/>
      <c r="AM157" s="2"/>
      <c r="AN157" s="2"/>
      <c r="AO157" s="3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3"/>
      <c r="BC157" s="3"/>
      <c r="BD157" s="3"/>
      <c r="BE157" s="3"/>
      <c r="BF157" s="3"/>
      <c r="BG157" s="3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2"/>
      <c r="DI157" s="2"/>
      <c r="DJ157" s="3"/>
      <c r="DK157" s="3"/>
      <c r="DL157" s="2"/>
      <c r="DM157" s="2"/>
      <c r="DN157" s="2"/>
      <c r="DO157" s="3"/>
      <c r="DP157" s="3"/>
      <c r="GO157" t="s">
        <v>134</v>
      </c>
      <c r="GP157" t="s">
        <v>501</v>
      </c>
      <c r="GQ157" t="s">
        <v>502</v>
      </c>
      <c r="GR157">
        <v>37</v>
      </c>
      <c r="GS157">
        <v>36</v>
      </c>
      <c r="GT157">
        <v>1</v>
      </c>
      <c r="GU157" t="s">
        <v>457</v>
      </c>
      <c r="GV157">
        <v>50659371.498345099</v>
      </c>
      <c r="GW157">
        <v>495339668.209005</v>
      </c>
      <c r="GX157">
        <v>545999039.70735097</v>
      </c>
      <c r="GY157">
        <v>0</v>
      </c>
      <c r="GZ157">
        <v>545999039.70735097</v>
      </c>
      <c r="HA157">
        <v>545999039.70735097</v>
      </c>
      <c r="HB157">
        <v>303000000</v>
      </c>
      <c r="HC157">
        <v>0</v>
      </c>
      <c r="HD157" t="s">
        <v>137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7.0000000000000007E-2</v>
      </c>
      <c r="HX157">
        <v>0.96964931039809399</v>
      </c>
      <c r="HY157">
        <v>1</v>
      </c>
      <c r="HZ157">
        <v>300000</v>
      </c>
      <c r="IA157">
        <v>0</v>
      </c>
      <c r="IB157">
        <v>0</v>
      </c>
      <c r="IC157">
        <v>0</v>
      </c>
      <c r="ID157">
        <v>272700</v>
      </c>
      <c r="IE157">
        <v>572700</v>
      </c>
      <c r="IF157">
        <v>555318.16006498795</v>
      </c>
      <c r="IG157">
        <v>555318.16006498795</v>
      </c>
      <c r="IH157">
        <v>0</v>
      </c>
      <c r="II157">
        <v>3507283.7336796098</v>
      </c>
      <c r="IJ157">
        <v>34673776.774630398</v>
      </c>
      <c r="IK157">
        <v>0</v>
      </c>
      <c r="IL157">
        <v>0</v>
      </c>
      <c r="IM157">
        <v>0</v>
      </c>
      <c r="IN157">
        <v>53611337.071959801</v>
      </c>
      <c r="IO157">
        <v>530013444.98363602</v>
      </c>
      <c r="IP157">
        <v>583624782.05559599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</row>
    <row r="158" spans="2:268" customFormat="1" x14ac:dyDescent="0.25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3"/>
      <c r="N158" s="3"/>
      <c r="O158" s="3"/>
      <c r="P158" s="2"/>
      <c r="Q158" s="2"/>
      <c r="R158" s="2"/>
      <c r="S158" s="2"/>
      <c r="T158" s="2"/>
      <c r="U158" s="2"/>
      <c r="V158" s="3"/>
      <c r="W158" s="3"/>
      <c r="X158" s="3"/>
      <c r="Y158" s="3"/>
      <c r="Z158" s="3"/>
      <c r="AA158" s="3"/>
      <c r="AB158" s="3"/>
      <c r="AC158" s="2"/>
      <c r="AD158" s="2"/>
      <c r="AE158" s="2"/>
      <c r="AF158" s="2"/>
      <c r="AG158" s="2"/>
      <c r="AH158" s="2"/>
      <c r="AI158" s="2"/>
      <c r="AJ158" s="3"/>
      <c r="AK158" s="2"/>
      <c r="AL158" s="2"/>
      <c r="AM158" s="2"/>
      <c r="AN158" s="2"/>
      <c r="AO158" s="3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3"/>
      <c r="BC158" s="3"/>
      <c r="BD158" s="3"/>
      <c r="BE158" s="3"/>
      <c r="BF158" s="3"/>
      <c r="BG158" s="3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2"/>
      <c r="DI158" s="2"/>
      <c r="DJ158" s="3"/>
      <c r="DK158" s="3"/>
      <c r="DL158" s="2"/>
      <c r="DM158" s="2"/>
      <c r="DN158" s="2"/>
      <c r="DO158" s="3"/>
      <c r="DP158" s="3"/>
      <c r="GO158" t="s">
        <v>134</v>
      </c>
      <c r="GP158" t="s">
        <v>501</v>
      </c>
      <c r="GQ158" t="s">
        <v>502</v>
      </c>
      <c r="GR158">
        <v>38</v>
      </c>
      <c r="GS158">
        <v>37</v>
      </c>
      <c r="GT158">
        <v>1</v>
      </c>
      <c r="GU158" t="s">
        <v>457</v>
      </c>
      <c r="GV158">
        <v>53611337.071959801</v>
      </c>
      <c r="GW158">
        <v>530013444.98363602</v>
      </c>
      <c r="GX158">
        <v>583624782.05559599</v>
      </c>
      <c r="GY158">
        <v>0</v>
      </c>
      <c r="GZ158">
        <v>583624782.05559599</v>
      </c>
      <c r="HA158">
        <v>583624782.05559599</v>
      </c>
      <c r="HB158">
        <v>303000000</v>
      </c>
      <c r="HC158">
        <v>0</v>
      </c>
      <c r="HD158" t="s">
        <v>137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7.0000000000000007E-2</v>
      </c>
      <c r="HX158">
        <v>0.96964931039809399</v>
      </c>
      <c r="HY158">
        <v>1</v>
      </c>
      <c r="HZ158">
        <v>300000</v>
      </c>
      <c r="IA158">
        <v>0</v>
      </c>
      <c r="IB158">
        <v>0</v>
      </c>
      <c r="IC158">
        <v>0</v>
      </c>
      <c r="ID158">
        <v>272700</v>
      </c>
      <c r="IE158">
        <v>572700</v>
      </c>
      <c r="IF158">
        <v>555318.16006498795</v>
      </c>
      <c r="IG158">
        <v>555318.16006498795</v>
      </c>
      <c r="IH158">
        <v>0</v>
      </c>
      <c r="II158">
        <v>3713921.3238326302</v>
      </c>
      <c r="IJ158">
        <v>37100941.148854502</v>
      </c>
      <c r="IK158">
        <v>0</v>
      </c>
      <c r="IL158">
        <v>0</v>
      </c>
      <c r="IM158">
        <v>0</v>
      </c>
      <c r="IN158">
        <v>56769940.2357274</v>
      </c>
      <c r="IO158">
        <v>567114386.13249004</v>
      </c>
      <c r="IP158">
        <v>623884326.36821795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</row>
    <row r="159" spans="2:268" customFormat="1" x14ac:dyDescent="0.25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3"/>
      <c r="N159" s="3"/>
      <c r="O159" s="3"/>
      <c r="P159" s="2"/>
      <c r="Q159" s="2"/>
      <c r="R159" s="2"/>
      <c r="S159" s="2"/>
      <c r="T159" s="2"/>
      <c r="U159" s="2"/>
      <c r="V159" s="3"/>
      <c r="W159" s="3"/>
      <c r="X159" s="3"/>
      <c r="Y159" s="3"/>
      <c r="Z159" s="3"/>
      <c r="AA159" s="3"/>
      <c r="AB159" s="3"/>
      <c r="AC159" s="2"/>
      <c r="AD159" s="2"/>
      <c r="AE159" s="2"/>
      <c r="AF159" s="2"/>
      <c r="AG159" s="2"/>
      <c r="AH159" s="2"/>
      <c r="AI159" s="2"/>
      <c r="AJ159" s="3"/>
      <c r="AK159" s="2"/>
      <c r="AL159" s="2"/>
      <c r="AM159" s="2"/>
      <c r="AN159" s="2"/>
      <c r="AO159" s="3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3"/>
      <c r="BC159" s="3"/>
      <c r="BD159" s="3"/>
      <c r="BE159" s="3"/>
      <c r="BF159" s="3"/>
      <c r="BG159" s="3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2"/>
      <c r="DI159" s="2"/>
      <c r="DJ159" s="3"/>
      <c r="DK159" s="3"/>
      <c r="DL159" s="2"/>
      <c r="DM159" s="2"/>
      <c r="DN159" s="2"/>
      <c r="DO159" s="3"/>
      <c r="DP159" s="3"/>
      <c r="GO159" t="s">
        <v>134</v>
      </c>
      <c r="GP159" t="s">
        <v>501</v>
      </c>
      <c r="GQ159" t="s">
        <v>502</v>
      </c>
      <c r="GR159">
        <v>39</v>
      </c>
      <c r="GS159">
        <v>38</v>
      </c>
      <c r="GT159">
        <v>1</v>
      </c>
      <c r="GU159" t="s">
        <v>457</v>
      </c>
      <c r="GV159">
        <v>56769940.2357274</v>
      </c>
      <c r="GW159">
        <v>567114386.13249004</v>
      </c>
      <c r="GX159">
        <v>623884326.36821795</v>
      </c>
      <c r="GY159">
        <v>0</v>
      </c>
      <c r="GZ159">
        <v>623884326.36821795</v>
      </c>
      <c r="HA159">
        <v>623884326.36821795</v>
      </c>
      <c r="HB159">
        <v>303000000</v>
      </c>
      <c r="HC159">
        <v>0</v>
      </c>
      <c r="HD159" t="s">
        <v>137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7.0000000000000007E-2</v>
      </c>
      <c r="HX159">
        <v>0.96964931039809399</v>
      </c>
      <c r="HY159">
        <v>1</v>
      </c>
      <c r="HZ159">
        <v>300000</v>
      </c>
      <c r="IA159">
        <v>0</v>
      </c>
      <c r="IB159">
        <v>0</v>
      </c>
      <c r="IC159">
        <v>0</v>
      </c>
      <c r="ID159">
        <v>272700</v>
      </c>
      <c r="IE159">
        <v>572700</v>
      </c>
      <c r="IF159">
        <v>555318.16006498795</v>
      </c>
      <c r="IG159">
        <v>555318.16006498795</v>
      </c>
      <c r="IH159">
        <v>0</v>
      </c>
      <c r="II159">
        <v>3935023.5452963701</v>
      </c>
      <c r="IJ159">
        <v>39698007.0292743</v>
      </c>
      <c r="IK159">
        <v>0</v>
      </c>
      <c r="IL159">
        <v>0</v>
      </c>
      <c r="IM159">
        <v>0</v>
      </c>
      <c r="IN159">
        <v>60149645.620958798</v>
      </c>
      <c r="IO159">
        <v>606812393.16176498</v>
      </c>
      <c r="IP159">
        <v>666962038.78272402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</row>
    <row r="160" spans="2:268" customFormat="1" x14ac:dyDescent="0.25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s="3"/>
      <c r="O160" s="3"/>
      <c r="P160" s="2"/>
      <c r="Q160" s="2"/>
      <c r="R160" s="2"/>
      <c r="S160" s="2"/>
      <c r="T160" s="2"/>
      <c r="U160" s="2"/>
      <c r="V160" s="3"/>
      <c r="W160" s="3"/>
      <c r="X160" s="3"/>
      <c r="Y160" s="3"/>
      <c r="Z160" s="3"/>
      <c r="AA160" s="3"/>
      <c r="AB160" s="3"/>
      <c r="AC160" s="2"/>
      <c r="AD160" s="2"/>
      <c r="AE160" s="2"/>
      <c r="AF160" s="2"/>
      <c r="AG160" s="2"/>
      <c r="AH160" s="2"/>
      <c r="AI160" s="2"/>
      <c r="AJ160" s="3"/>
      <c r="AK160" s="2"/>
      <c r="AL160" s="2"/>
      <c r="AM160" s="2"/>
      <c r="AN160" s="2"/>
      <c r="AO160" s="3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3"/>
      <c r="BC160" s="3"/>
      <c r="BD160" s="3"/>
      <c r="BE160" s="3"/>
      <c r="BF160" s="3"/>
      <c r="BG160" s="3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2"/>
      <c r="DI160" s="2"/>
      <c r="DJ160" s="3"/>
      <c r="DK160" s="3"/>
      <c r="DL160" s="2"/>
      <c r="DM160" s="2"/>
      <c r="DN160" s="2"/>
      <c r="DO160" s="3"/>
      <c r="DP160" s="3"/>
      <c r="GO160" t="s">
        <v>134</v>
      </c>
      <c r="GP160" t="s">
        <v>501</v>
      </c>
      <c r="GQ160" t="s">
        <v>502</v>
      </c>
      <c r="GR160">
        <v>40</v>
      </c>
      <c r="GS160">
        <v>39</v>
      </c>
      <c r="GT160">
        <v>1</v>
      </c>
      <c r="GU160" t="s">
        <v>457</v>
      </c>
      <c r="GV160">
        <v>60149645.620958798</v>
      </c>
      <c r="GW160">
        <v>606812393.16176498</v>
      </c>
      <c r="GX160">
        <v>666962038.78272402</v>
      </c>
      <c r="GY160">
        <v>0</v>
      </c>
      <c r="GZ160">
        <v>666962038.78272402</v>
      </c>
      <c r="HA160">
        <v>666962038.78272402</v>
      </c>
      <c r="HB160">
        <v>303000000</v>
      </c>
      <c r="HC160">
        <v>0</v>
      </c>
      <c r="HD160" t="s">
        <v>137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7.0000000000000007E-2</v>
      </c>
      <c r="HX160">
        <v>0.96964931039809399</v>
      </c>
      <c r="HY160">
        <v>1</v>
      </c>
      <c r="HZ160">
        <v>300000</v>
      </c>
      <c r="IA160">
        <v>0</v>
      </c>
      <c r="IB160">
        <v>0</v>
      </c>
      <c r="IC160">
        <v>0</v>
      </c>
      <c r="ID160">
        <v>272700</v>
      </c>
      <c r="IE160">
        <v>572700</v>
      </c>
      <c r="IF160">
        <v>555318.16006498795</v>
      </c>
      <c r="IG160">
        <v>555318.16006498795</v>
      </c>
      <c r="IH160">
        <v>0</v>
      </c>
      <c r="II160">
        <v>4171602.9222625699</v>
      </c>
      <c r="IJ160">
        <v>42476867.521323502</v>
      </c>
      <c r="IK160">
        <v>0</v>
      </c>
      <c r="IL160">
        <v>0</v>
      </c>
      <c r="IM160">
        <v>0</v>
      </c>
      <c r="IN160">
        <v>63765930.383156396</v>
      </c>
      <c r="IO160">
        <v>649289260.68308794</v>
      </c>
      <c r="IP160">
        <v>713055191.06624496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</row>
    <row r="161" spans="2:268" customFormat="1" x14ac:dyDescent="0.25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3"/>
      <c r="N161" s="3"/>
      <c r="O161" s="3"/>
      <c r="P161" s="2"/>
      <c r="Q161" s="2"/>
      <c r="R161" s="2"/>
      <c r="S161" s="2"/>
      <c r="T161" s="2"/>
      <c r="U161" s="2"/>
      <c r="V161" s="3"/>
      <c r="W161" s="3"/>
      <c r="X161" s="3"/>
      <c r="Y161" s="3"/>
      <c r="Z161" s="3"/>
      <c r="AA161" s="3"/>
      <c r="AB161" s="3"/>
      <c r="AC161" s="2"/>
      <c r="AD161" s="2"/>
      <c r="AE161" s="2"/>
      <c r="AF161" s="2"/>
      <c r="AG161" s="2"/>
      <c r="AH161" s="2"/>
      <c r="AI161" s="2"/>
      <c r="AJ161" s="3"/>
      <c r="AK161" s="2"/>
      <c r="AL161" s="2"/>
      <c r="AM161" s="2"/>
      <c r="AN161" s="2"/>
      <c r="AO161" s="3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3"/>
      <c r="BC161" s="3"/>
      <c r="BD161" s="3"/>
      <c r="BE161" s="3"/>
      <c r="BF161" s="3"/>
      <c r="BG161" s="3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2"/>
      <c r="DI161" s="2"/>
      <c r="DJ161" s="3"/>
      <c r="DK161" s="3"/>
      <c r="DL161" s="2"/>
      <c r="DM161" s="2"/>
      <c r="DN161" s="2"/>
      <c r="DO161" s="3"/>
      <c r="DP161" s="3"/>
      <c r="GO161" t="s">
        <v>134</v>
      </c>
      <c r="GP161" t="s">
        <v>501</v>
      </c>
      <c r="GQ161" t="s">
        <v>502</v>
      </c>
      <c r="GR161">
        <v>41</v>
      </c>
      <c r="GS161">
        <v>40</v>
      </c>
      <c r="GT161">
        <v>1</v>
      </c>
      <c r="GU161" t="s">
        <v>457</v>
      </c>
      <c r="GV161">
        <v>63765930.383156396</v>
      </c>
      <c r="GW161">
        <v>649289260.68308794</v>
      </c>
      <c r="GX161">
        <v>713055191.06624496</v>
      </c>
      <c r="GY161">
        <v>0</v>
      </c>
      <c r="GZ161">
        <v>713055191.06624496</v>
      </c>
      <c r="HA161">
        <v>713055191.06624496</v>
      </c>
      <c r="HB161">
        <v>303000000</v>
      </c>
      <c r="HC161">
        <v>0</v>
      </c>
      <c r="HD161" t="s">
        <v>137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7.0000000000000007E-2</v>
      </c>
      <c r="HX161">
        <v>0.96964931039809399</v>
      </c>
      <c r="HY161">
        <v>1</v>
      </c>
      <c r="HZ161">
        <v>300000</v>
      </c>
      <c r="IA161">
        <v>0</v>
      </c>
      <c r="IB161">
        <v>0</v>
      </c>
      <c r="IC161">
        <v>0</v>
      </c>
      <c r="ID161">
        <v>272700</v>
      </c>
      <c r="IE161">
        <v>572700</v>
      </c>
      <c r="IF161">
        <v>555318.16006498795</v>
      </c>
      <c r="IG161">
        <v>555318.16006498795</v>
      </c>
      <c r="IH161">
        <v>0</v>
      </c>
      <c r="II161">
        <v>4424742.8556164</v>
      </c>
      <c r="IJ161">
        <v>45450248.247816198</v>
      </c>
      <c r="IK161">
        <v>0</v>
      </c>
      <c r="IL161">
        <v>0</v>
      </c>
      <c r="IM161">
        <v>0</v>
      </c>
      <c r="IN161">
        <v>67635355.078707799</v>
      </c>
      <c r="IO161">
        <v>694739508.93090498</v>
      </c>
      <c r="IP161">
        <v>762374864.00961196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</row>
    <row r="162" spans="2:268" customFormat="1" x14ac:dyDescent="0.25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3"/>
      <c r="N162" s="3"/>
      <c r="O162" s="3"/>
      <c r="P162" s="2"/>
      <c r="Q162" s="2"/>
      <c r="R162" s="2"/>
      <c r="S162" s="2"/>
      <c r="T162" s="2"/>
      <c r="U162" s="2"/>
      <c r="V162" s="3"/>
      <c r="W162" s="3"/>
      <c r="X162" s="3"/>
      <c r="Y162" s="3"/>
      <c r="Z162" s="3"/>
      <c r="AA162" s="3"/>
      <c r="AB162" s="3"/>
      <c r="AC162" s="2"/>
      <c r="AD162" s="2"/>
      <c r="AE162" s="2"/>
      <c r="AF162" s="2"/>
      <c r="AG162" s="2"/>
      <c r="AH162" s="2"/>
      <c r="AI162" s="2"/>
      <c r="AJ162" s="3"/>
      <c r="AK162" s="2"/>
      <c r="AL162" s="2"/>
      <c r="AM162" s="2"/>
      <c r="AN162" s="2"/>
      <c r="AO162" s="3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3"/>
      <c r="BC162" s="3"/>
      <c r="BD162" s="3"/>
      <c r="BE162" s="3"/>
      <c r="BF162" s="3"/>
      <c r="BG162" s="3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2"/>
      <c r="DI162" s="2"/>
      <c r="DJ162" s="3"/>
      <c r="DK162" s="3"/>
      <c r="DL162" s="2"/>
      <c r="DM162" s="2"/>
      <c r="DN162" s="2"/>
      <c r="DO162" s="3"/>
      <c r="DP162" s="3"/>
      <c r="GO162" t="s">
        <v>134</v>
      </c>
      <c r="GP162" t="s">
        <v>501</v>
      </c>
      <c r="GQ162" t="s">
        <v>502</v>
      </c>
      <c r="GR162">
        <v>42</v>
      </c>
      <c r="GS162">
        <v>41</v>
      </c>
      <c r="GT162">
        <v>1</v>
      </c>
      <c r="GU162" t="s">
        <v>457</v>
      </c>
      <c r="GV162">
        <v>67635355.078707799</v>
      </c>
      <c r="GW162">
        <v>694739508.93090498</v>
      </c>
      <c r="GX162">
        <v>762374864.00961196</v>
      </c>
      <c r="GY162">
        <v>0</v>
      </c>
      <c r="GZ162">
        <v>762374864.00961196</v>
      </c>
      <c r="HA162">
        <v>762374864.00961196</v>
      </c>
      <c r="HB162">
        <v>303000000</v>
      </c>
      <c r="HC162">
        <v>0</v>
      </c>
      <c r="HD162" t="s">
        <v>137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7.0000000000000007E-2</v>
      </c>
      <c r="HX162">
        <v>0.96964931039809399</v>
      </c>
      <c r="HY162">
        <v>1</v>
      </c>
      <c r="HZ162">
        <v>300000</v>
      </c>
      <c r="IA162">
        <v>0</v>
      </c>
      <c r="IB162">
        <v>0</v>
      </c>
      <c r="IC162">
        <v>0</v>
      </c>
      <c r="ID162">
        <v>272700</v>
      </c>
      <c r="IE162">
        <v>572700</v>
      </c>
      <c r="IF162">
        <v>555318.16006498795</v>
      </c>
      <c r="IG162">
        <v>555318.16006498795</v>
      </c>
      <c r="IH162">
        <v>0</v>
      </c>
      <c r="II162">
        <v>4695602.5843049996</v>
      </c>
      <c r="IJ162">
        <v>48631765.625163302</v>
      </c>
      <c r="IK162">
        <v>0</v>
      </c>
      <c r="IL162">
        <v>0</v>
      </c>
      <c r="IM162">
        <v>0</v>
      </c>
      <c r="IN162">
        <v>71775639.502947807</v>
      </c>
      <c r="IO162">
        <v>743371274.55606794</v>
      </c>
      <c r="IP162">
        <v>815146914.05901599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</row>
    <row r="163" spans="2:268" customFormat="1" x14ac:dyDescent="0.25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3"/>
      <c r="N163" s="3"/>
      <c r="O163" s="3"/>
      <c r="P163" s="2"/>
      <c r="Q163" s="2"/>
      <c r="R163" s="2"/>
      <c r="S163" s="2"/>
      <c r="T163" s="2"/>
      <c r="U163" s="2"/>
      <c r="V163" s="3"/>
      <c r="W163" s="3"/>
      <c r="X163" s="3"/>
      <c r="Y163" s="3"/>
      <c r="Z163" s="3"/>
      <c r="AA163" s="3"/>
      <c r="AB163" s="3"/>
      <c r="AC163" s="2"/>
      <c r="AD163" s="2"/>
      <c r="AE163" s="2"/>
      <c r="AF163" s="2"/>
      <c r="AG163" s="2"/>
      <c r="AH163" s="2"/>
      <c r="AI163" s="2"/>
      <c r="AJ163" s="3"/>
      <c r="AK163" s="2"/>
      <c r="AL163" s="2"/>
      <c r="AM163" s="2"/>
      <c r="AN163" s="2"/>
      <c r="AO163" s="3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3"/>
      <c r="BC163" s="3"/>
      <c r="BD163" s="3"/>
      <c r="BE163" s="3"/>
      <c r="BF163" s="3"/>
      <c r="BG163" s="3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2"/>
      <c r="DI163" s="2"/>
      <c r="DJ163" s="3"/>
      <c r="DK163" s="3"/>
      <c r="DL163" s="2"/>
      <c r="DM163" s="2"/>
      <c r="DN163" s="2"/>
      <c r="DO163" s="3"/>
      <c r="DP163" s="3"/>
      <c r="GO163" t="s">
        <v>134</v>
      </c>
      <c r="GP163" t="s">
        <v>501</v>
      </c>
      <c r="GQ163" t="s">
        <v>502</v>
      </c>
      <c r="GR163">
        <v>43</v>
      </c>
      <c r="GS163">
        <v>42</v>
      </c>
      <c r="GT163">
        <v>1</v>
      </c>
      <c r="GU163" t="s">
        <v>457</v>
      </c>
      <c r="GV163">
        <v>71775639.502947807</v>
      </c>
      <c r="GW163">
        <v>743371274.55606794</v>
      </c>
      <c r="GX163">
        <v>815146914.05901599</v>
      </c>
      <c r="GY163">
        <v>0</v>
      </c>
      <c r="GZ163">
        <v>815146914.05901599</v>
      </c>
      <c r="HA163">
        <v>815146914.05901599</v>
      </c>
      <c r="HB163">
        <v>303000000</v>
      </c>
      <c r="HC163">
        <v>0</v>
      </c>
      <c r="HD163" t="s">
        <v>137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7.0000000000000007E-2</v>
      </c>
      <c r="HX163">
        <v>0.96964931039809399</v>
      </c>
      <c r="HY163">
        <v>1</v>
      </c>
      <c r="HZ163">
        <v>300000</v>
      </c>
      <c r="IA163">
        <v>0</v>
      </c>
      <c r="IB163">
        <v>0</v>
      </c>
      <c r="IC163">
        <v>0</v>
      </c>
      <c r="ID163">
        <v>272700</v>
      </c>
      <c r="IE163">
        <v>572700</v>
      </c>
      <c r="IF163">
        <v>555318.16006498795</v>
      </c>
      <c r="IG163">
        <v>555318.16006498795</v>
      </c>
      <c r="IH163">
        <v>0</v>
      </c>
      <c r="II163">
        <v>4985422.4940018002</v>
      </c>
      <c r="IJ163">
        <v>52035989.218924798</v>
      </c>
      <c r="IK163">
        <v>0</v>
      </c>
      <c r="IL163">
        <v>0</v>
      </c>
      <c r="IM163">
        <v>0</v>
      </c>
      <c r="IN163">
        <v>76205743.836884603</v>
      </c>
      <c r="IO163">
        <v>795407263.77499294</v>
      </c>
      <c r="IP163">
        <v>871613007.61187696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</row>
    <row r="164" spans="2:268" customFormat="1" x14ac:dyDescent="0.25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3"/>
      <c r="N164" s="3"/>
      <c r="O164" s="3"/>
      <c r="P164" s="2"/>
      <c r="Q164" s="2"/>
      <c r="R164" s="2"/>
      <c r="S164" s="2"/>
      <c r="T164" s="2"/>
      <c r="U164" s="2"/>
      <c r="V164" s="3"/>
      <c r="W164" s="3"/>
      <c r="X164" s="3"/>
      <c r="Y164" s="3"/>
      <c r="Z164" s="3"/>
      <c r="AA164" s="3"/>
      <c r="AB164" s="3"/>
      <c r="AC164" s="2"/>
      <c r="AD164" s="2"/>
      <c r="AE164" s="2"/>
      <c r="AF164" s="2"/>
      <c r="AG164" s="2"/>
      <c r="AH164" s="2"/>
      <c r="AI164" s="2"/>
      <c r="AJ164" s="3"/>
      <c r="AK164" s="2"/>
      <c r="AL164" s="2"/>
      <c r="AM164" s="2"/>
      <c r="AN164" s="2"/>
      <c r="AO164" s="3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3"/>
      <c r="BC164" s="3"/>
      <c r="BD164" s="3"/>
      <c r="BE164" s="3"/>
      <c r="BF164" s="3"/>
      <c r="BG164" s="3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2"/>
      <c r="DI164" s="2"/>
      <c r="DJ164" s="3"/>
      <c r="DK164" s="3"/>
      <c r="DL164" s="2"/>
      <c r="DM164" s="2"/>
      <c r="DN164" s="2"/>
      <c r="DO164" s="3"/>
      <c r="DP164" s="3"/>
      <c r="GO164" t="s">
        <v>134</v>
      </c>
      <c r="GP164" t="s">
        <v>501</v>
      </c>
      <c r="GQ164" t="s">
        <v>502</v>
      </c>
      <c r="GR164">
        <v>44</v>
      </c>
      <c r="GS164">
        <v>43</v>
      </c>
      <c r="GT164">
        <v>1</v>
      </c>
      <c r="GU164" t="s">
        <v>457</v>
      </c>
      <c r="GV164">
        <v>76205743.836884603</v>
      </c>
      <c r="GW164">
        <v>795407263.77499294</v>
      </c>
      <c r="GX164">
        <v>871613007.61187696</v>
      </c>
      <c r="GY164">
        <v>0</v>
      </c>
      <c r="GZ164">
        <v>871613007.61187696</v>
      </c>
      <c r="HA164">
        <v>871613007.61187696</v>
      </c>
      <c r="HB164">
        <v>303000000</v>
      </c>
      <c r="HC164">
        <v>0</v>
      </c>
      <c r="HD164" t="s">
        <v>137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7.0000000000000007E-2</v>
      </c>
      <c r="HX164">
        <v>0.96964931039809399</v>
      </c>
      <c r="HY164">
        <v>1</v>
      </c>
      <c r="HZ164">
        <v>300000</v>
      </c>
      <c r="IA164">
        <v>0</v>
      </c>
      <c r="IB164">
        <v>0</v>
      </c>
      <c r="IC164">
        <v>0</v>
      </c>
      <c r="ID164">
        <v>272700</v>
      </c>
      <c r="IE164">
        <v>572700</v>
      </c>
      <c r="IF164">
        <v>555318.16006498795</v>
      </c>
      <c r="IG164">
        <v>555318.16006498795</v>
      </c>
      <c r="IH164">
        <v>0</v>
      </c>
      <c r="II164">
        <v>5295529.7973773703</v>
      </c>
      <c r="IJ164">
        <v>55678508.464249499</v>
      </c>
      <c r="IK164">
        <v>0</v>
      </c>
      <c r="IL164">
        <v>0</v>
      </c>
      <c r="IM164">
        <v>0</v>
      </c>
      <c r="IN164">
        <v>80945955.474197</v>
      </c>
      <c r="IO164">
        <v>851085772.23924196</v>
      </c>
      <c r="IP164">
        <v>932031727.71343899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</row>
    <row r="165" spans="2:268" customFormat="1" x14ac:dyDescent="0.25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3"/>
      <c r="N165" s="3"/>
      <c r="O165" s="3"/>
      <c r="P165" s="2"/>
      <c r="Q165" s="2"/>
      <c r="R165" s="2"/>
      <c r="S165" s="2"/>
      <c r="T165" s="2"/>
      <c r="U165" s="2"/>
      <c r="V165" s="3"/>
      <c r="W165" s="3"/>
      <c r="X165" s="3"/>
      <c r="Y165" s="3"/>
      <c r="Z165" s="3"/>
      <c r="AA165" s="3"/>
      <c r="AB165" s="3"/>
      <c r="AC165" s="2"/>
      <c r="AD165" s="2"/>
      <c r="AE165" s="2"/>
      <c r="AF165" s="2"/>
      <c r="AG165" s="2"/>
      <c r="AH165" s="2"/>
      <c r="AI165" s="2"/>
      <c r="AJ165" s="3"/>
      <c r="AK165" s="2"/>
      <c r="AL165" s="2"/>
      <c r="AM165" s="2"/>
      <c r="AN165" s="2"/>
      <c r="AO165" s="3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3"/>
      <c r="BC165" s="3"/>
      <c r="BD165" s="3"/>
      <c r="BE165" s="3"/>
      <c r="BF165" s="3"/>
      <c r="BG165" s="3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2"/>
      <c r="DI165" s="2"/>
      <c r="DJ165" s="3"/>
      <c r="DK165" s="3"/>
      <c r="DL165" s="2"/>
      <c r="DM165" s="2"/>
      <c r="DN165" s="2"/>
      <c r="DO165" s="3"/>
      <c r="DP165" s="3"/>
      <c r="GO165" t="s">
        <v>134</v>
      </c>
      <c r="GP165" t="s">
        <v>501</v>
      </c>
      <c r="GQ165" t="s">
        <v>502</v>
      </c>
      <c r="GR165">
        <v>45</v>
      </c>
      <c r="GS165">
        <v>44</v>
      </c>
      <c r="GT165">
        <v>1</v>
      </c>
      <c r="GU165" t="s">
        <v>457</v>
      </c>
      <c r="GV165">
        <v>80945955.474197</v>
      </c>
      <c r="GW165">
        <v>851085772.23924196</v>
      </c>
      <c r="GX165">
        <v>932031727.71343899</v>
      </c>
      <c r="GY165">
        <v>0</v>
      </c>
      <c r="GZ165">
        <v>932031727.71343899</v>
      </c>
      <c r="HA165">
        <v>932031727.71343899</v>
      </c>
      <c r="HB165">
        <v>303000000</v>
      </c>
      <c r="HC165">
        <v>0</v>
      </c>
      <c r="HD165" t="s">
        <v>137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7.0000000000000007E-2</v>
      </c>
      <c r="HX165">
        <v>0.96964931039809399</v>
      </c>
      <c r="HY165">
        <v>1</v>
      </c>
      <c r="HZ165">
        <v>300000</v>
      </c>
      <c r="IA165">
        <v>0</v>
      </c>
      <c r="IB165">
        <v>0</v>
      </c>
      <c r="IC165">
        <v>0</v>
      </c>
      <c r="ID165">
        <v>272700</v>
      </c>
      <c r="IE165">
        <v>572700</v>
      </c>
      <c r="IF165">
        <v>555318.16006498795</v>
      </c>
      <c r="IG165">
        <v>555318.16006498795</v>
      </c>
      <c r="IH165">
        <v>0</v>
      </c>
      <c r="II165">
        <v>5627344.6119892402</v>
      </c>
      <c r="IJ165">
        <v>59576004.056746997</v>
      </c>
      <c r="IK165">
        <v>0</v>
      </c>
      <c r="IL165">
        <v>0</v>
      </c>
      <c r="IM165">
        <v>0</v>
      </c>
      <c r="IN165">
        <v>86017981.926121205</v>
      </c>
      <c r="IO165">
        <v>910661776.29598904</v>
      </c>
      <c r="IP165">
        <v>996679758.22211003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</row>
    <row r="166" spans="2:268" customFormat="1" x14ac:dyDescent="0.25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3"/>
      <c r="N166" s="3"/>
      <c r="O166" s="3"/>
      <c r="P166" s="2"/>
      <c r="Q166" s="2"/>
      <c r="R166" s="2"/>
      <c r="S166" s="2"/>
      <c r="T166" s="2"/>
      <c r="U166" s="2"/>
      <c r="V166" s="3"/>
      <c r="W166" s="3"/>
      <c r="X166" s="3"/>
      <c r="Y166" s="3"/>
      <c r="Z166" s="3"/>
      <c r="AA166" s="3"/>
      <c r="AB166" s="3"/>
      <c r="AC166" s="2"/>
      <c r="AD166" s="2"/>
      <c r="AE166" s="2"/>
      <c r="AF166" s="2"/>
      <c r="AG166" s="2"/>
      <c r="AH166" s="2"/>
      <c r="AI166" s="2"/>
      <c r="AJ166" s="3"/>
      <c r="AK166" s="2"/>
      <c r="AL166" s="2"/>
      <c r="AM166" s="2"/>
      <c r="AN166" s="2"/>
      <c r="AO166" s="3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3"/>
      <c r="BC166" s="3"/>
      <c r="BD166" s="3"/>
      <c r="BE166" s="3"/>
      <c r="BF166" s="3"/>
      <c r="BG166" s="3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2"/>
      <c r="DI166" s="2"/>
      <c r="DJ166" s="3"/>
      <c r="DK166" s="3"/>
      <c r="DL166" s="2"/>
      <c r="DM166" s="2"/>
      <c r="DN166" s="2"/>
      <c r="DO166" s="3"/>
      <c r="DP166" s="3"/>
      <c r="GO166" t="s">
        <v>134</v>
      </c>
      <c r="GP166" t="s">
        <v>501</v>
      </c>
      <c r="GQ166" t="s">
        <v>502</v>
      </c>
      <c r="GR166">
        <v>46</v>
      </c>
      <c r="GS166">
        <v>45</v>
      </c>
      <c r="GT166">
        <v>1</v>
      </c>
      <c r="GU166" t="s">
        <v>457</v>
      </c>
      <c r="GV166">
        <v>86017981.926121205</v>
      </c>
      <c r="GW166">
        <v>910661776.29598904</v>
      </c>
      <c r="GX166">
        <v>996679758.22211003</v>
      </c>
      <c r="GY166">
        <v>0</v>
      </c>
      <c r="GZ166">
        <v>996679758.22211003</v>
      </c>
      <c r="HA166">
        <v>996679758.22211003</v>
      </c>
      <c r="HB166">
        <v>303000000</v>
      </c>
      <c r="HC166">
        <v>0</v>
      </c>
      <c r="HD166" t="s">
        <v>137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7.0000000000000007E-2</v>
      </c>
      <c r="HX166">
        <v>0.96964931039809399</v>
      </c>
      <c r="HY166">
        <v>1</v>
      </c>
      <c r="HZ166">
        <v>300000</v>
      </c>
      <c r="IA166">
        <v>0</v>
      </c>
      <c r="IB166">
        <v>0</v>
      </c>
      <c r="IC166">
        <v>0</v>
      </c>
      <c r="ID166">
        <v>272700</v>
      </c>
      <c r="IE166">
        <v>572700</v>
      </c>
      <c r="IF166">
        <v>555318.16006498795</v>
      </c>
      <c r="IG166">
        <v>555318.16006498795</v>
      </c>
      <c r="IH166">
        <v>0</v>
      </c>
      <c r="II166">
        <v>5982386.46362394</v>
      </c>
      <c r="IJ166">
        <v>63746324.340719201</v>
      </c>
      <c r="IK166">
        <v>0</v>
      </c>
      <c r="IL166">
        <v>0</v>
      </c>
      <c r="IM166">
        <v>0</v>
      </c>
      <c r="IN166">
        <v>91445050.229680195</v>
      </c>
      <c r="IO166">
        <v>974408100.63670802</v>
      </c>
      <c r="IP166">
        <v>1065853150.86639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</row>
    <row r="167" spans="2:268" customFormat="1" x14ac:dyDescent="0.25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3"/>
      <c r="N167" s="3"/>
      <c r="O167" s="3"/>
      <c r="P167" s="2"/>
      <c r="Q167" s="2"/>
      <c r="R167" s="2"/>
      <c r="S167" s="2"/>
      <c r="T167" s="2"/>
      <c r="U167" s="2"/>
      <c r="V167" s="3"/>
      <c r="W167" s="3"/>
      <c r="X167" s="3"/>
      <c r="Y167" s="3"/>
      <c r="Z167" s="3"/>
      <c r="AA167" s="3"/>
      <c r="AB167" s="3"/>
      <c r="AC167" s="2"/>
      <c r="AD167" s="2"/>
      <c r="AE167" s="2"/>
      <c r="AF167" s="2"/>
      <c r="AG167" s="2"/>
      <c r="AH167" s="2"/>
      <c r="AI167" s="2"/>
      <c r="AJ167" s="3"/>
      <c r="AK167" s="2"/>
      <c r="AL167" s="2"/>
      <c r="AM167" s="2"/>
      <c r="AN167" s="2"/>
      <c r="AO167" s="3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3"/>
      <c r="BC167" s="3"/>
      <c r="BD167" s="3"/>
      <c r="BE167" s="3"/>
      <c r="BF167" s="3"/>
      <c r="BG167" s="3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2"/>
      <c r="DI167" s="2"/>
      <c r="DJ167" s="3"/>
      <c r="DK167" s="3"/>
      <c r="DL167" s="2"/>
      <c r="DM167" s="2"/>
      <c r="DN167" s="2"/>
      <c r="DO167" s="3"/>
      <c r="DP167" s="3"/>
      <c r="GO167" t="s">
        <v>134</v>
      </c>
      <c r="GP167" t="s">
        <v>501</v>
      </c>
      <c r="GQ167" t="s">
        <v>502</v>
      </c>
      <c r="GR167">
        <v>47</v>
      </c>
      <c r="GS167">
        <v>46</v>
      </c>
      <c r="GT167">
        <v>1</v>
      </c>
      <c r="GU167" t="s">
        <v>457</v>
      </c>
      <c r="GV167">
        <v>91445050.229680195</v>
      </c>
      <c r="GW167">
        <v>974408100.63670802</v>
      </c>
      <c r="GX167">
        <v>1065853150.86639</v>
      </c>
      <c r="GY167">
        <v>0</v>
      </c>
      <c r="GZ167">
        <v>1065853150.86639</v>
      </c>
      <c r="HA167">
        <v>1065853150.86639</v>
      </c>
      <c r="HB167">
        <v>303000000</v>
      </c>
      <c r="HC167">
        <v>0</v>
      </c>
      <c r="HD167" t="s">
        <v>137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7.0000000000000007E-2</v>
      </c>
      <c r="HX167">
        <v>0.96964931039809399</v>
      </c>
      <c r="HY167">
        <v>1</v>
      </c>
      <c r="HZ167">
        <v>300000</v>
      </c>
      <c r="IA167">
        <v>0</v>
      </c>
      <c r="IB167">
        <v>0</v>
      </c>
      <c r="IC167">
        <v>0</v>
      </c>
      <c r="ID167">
        <v>272700</v>
      </c>
      <c r="IE167">
        <v>572700</v>
      </c>
      <c r="IF167">
        <v>555318.16006498795</v>
      </c>
      <c r="IG167">
        <v>555318.16006498795</v>
      </c>
      <c r="IH167">
        <v>0</v>
      </c>
      <c r="II167">
        <v>6362281.2448730599</v>
      </c>
      <c r="IJ167">
        <v>68208567.044569597</v>
      </c>
      <c r="IK167">
        <v>0</v>
      </c>
      <c r="IL167">
        <v>0</v>
      </c>
      <c r="IM167">
        <v>0</v>
      </c>
      <c r="IN167">
        <v>97252013.314488202</v>
      </c>
      <c r="IO167">
        <v>1042616667.68128</v>
      </c>
      <c r="IP167">
        <v>1139868680.99577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</row>
    <row r="168" spans="2:268" customFormat="1" x14ac:dyDescent="0.25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3"/>
      <c r="N168" s="3"/>
      <c r="O168" s="3"/>
      <c r="P168" s="2"/>
      <c r="Q168" s="2"/>
      <c r="R168" s="2"/>
      <c r="S168" s="2"/>
      <c r="T168" s="2"/>
      <c r="U168" s="2"/>
      <c r="V168" s="3"/>
      <c r="W168" s="3"/>
      <c r="X168" s="3"/>
      <c r="Y168" s="3"/>
      <c r="Z168" s="3"/>
      <c r="AA168" s="3"/>
      <c r="AB168" s="3"/>
      <c r="AC168" s="2"/>
      <c r="AD168" s="2"/>
      <c r="AE168" s="2"/>
      <c r="AF168" s="2"/>
      <c r="AG168" s="2"/>
      <c r="AH168" s="2"/>
      <c r="AI168" s="2"/>
      <c r="AJ168" s="3"/>
      <c r="AK168" s="2"/>
      <c r="AL168" s="2"/>
      <c r="AM168" s="2"/>
      <c r="AN168" s="2"/>
      <c r="AO168" s="3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3"/>
      <c r="BC168" s="3"/>
      <c r="BD168" s="3"/>
      <c r="BE168" s="3"/>
      <c r="BF168" s="3"/>
      <c r="BG168" s="3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2"/>
      <c r="DI168" s="2"/>
      <c r="DJ168" s="3"/>
      <c r="DK168" s="3"/>
      <c r="DL168" s="2"/>
      <c r="DM168" s="2"/>
      <c r="DN168" s="2"/>
      <c r="DO168" s="3"/>
      <c r="DP168" s="3"/>
      <c r="GO168" t="s">
        <v>134</v>
      </c>
      <c r="GP168" t="s">
        <v>501</v>
      </c>
      <c r="GQ168" t="s">
        <v>502</v>
      </c>
      <c r="GR168">
        <v>48</v>
      </c>
      <c r="GS168">
        <v>47</v>
      </c>
      <c r="GT168">
        <v>1</v>
      </c>
      <c r="GU168" t="s">
        <v>457</v>
      </c>
      <c r="GV168">
        <v>97252013.314488202</v>
      </c>
      <c r="GW168">
        <v>1042616667.68128</v>
      </c>
      <c r="GX168">
        <v>1139868680.99577</v>
      </c>
      <c r="GY168">
        <v>0</v>
      </c>
      <c r="GZ168">
        <v>1139868680.99577</v>
      </c>
      <c r="HA168">
        <v>1139868680.99577</v>
      </c>
      <c r="HB168">
        <v>303000000</v>
      </c>
      <c r="HC168">
        <v>0</v>
      </c>
      <c r="HD168" t="s">
        <v>137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7.0000000000000007E-2</v>
      </c>
      <c r="HX168">
        <v>0.96964931039809399</v>
      </c>
      <c r="HY168">
        <v>1</v>
      </c>
      <c r="HZ168">
        <v>300000</v>
      </c>
      <c r="IA168">
        <v>0</v>
      </c>
      <c r="IB168">
        <v>0</v>
      </c>
      <c r="IC168">
        <v>0</v>
      </c>
      <c r="ID168">
        <v>272700</v>
      </c>
      <c r="IE168">
        <v>572700</v>
      </c>
      <c r="IF168">
        <v>555318.16006498795</v>
      </c>
      <c r="IG168">
        <v>555318.16006498795</v>
      </c>
      <c r="IH168">
        <v>0</v>
      </c>
      <c r="II168">
        <v>6768768.6608096296</v>
      </c>
      <c r="IJ168">
        <v>72983166.737689495</v>
      </c>
      <c r="IK168">
        <v>0</v>
      </c>
      <c r="IL168">
        <v>0</v>
      </c>
      <c r="IM168">
        <v>0</v>
      </c>
      <c r="IN168">
        <v>103465463.81523301</v>
      </c>
      <c r="IO168">
        <v>1115599834.4189701</v>
      </c>
      <c r="IP168">
        <v>1219065298.2342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</row>
    <row r="169" spans="2:268" customFormat="1" x14ac:dyDescent="0.25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3"/>
      <c r="N169" s="3"/>
      <c r="O169" s="3"/>
      <c r="P169" s="2"/>
      <c r="Q169" s="2"/>
      <c r="R169" s="2"/>
      <c r="S169" s="2"/>
      <c r="T169" s="2"/>
      <c r="U169" s="2"/>
      <c r="V169" s="3"/>
      <c r="W169" s="3"/>
      <c r="X169" s="3"/>
      <c r="Y169" s="3"/>
      <c r="Z169" s="3"/>
      <c r="AA169" s="3"/>
      <c r="AB169" s="3"/>
      <c r="AC169" s="2"/>
      <c r="AD169" s="2"/>
      <c r="AE169" s="2"/>
      <c r="AF169" s="2"/>
      <c r="AG169" s="2"/>
      <c r="AH169" s="2"/>
      <c r="AI169" s="2"/>
      <c r="AJ169" s="3"/>
      <c r="AK169" s="2"/>
      <c r="AL169" s="2"/>
      <c r="AM169" s="2"/>
      <c r="AN169" s="2"/>
      <c r="AO169" s="3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3"/>
      <c r="BC169" s="3"/>
      <c r="BD169" s="3"/>
      <c r="BE169" s="3"/>
      <c r="BF169" s="3"/>
      <c r="BG169" s="3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2"/>
      <c r="DI169" s="2"/>
      <c r="DJ169" s="3"/>
      <c r="DK169" s="3"/>
      <c r="DL169" s="2"/>
      <c r="DM169" s="2"/>
      <c r="DN169" s="2"/>
      <c r="DO169" s="3"/>
      <c r="DP169" s="3"/>
      <c r="GO169" t="s">
        <v>134</v>
      </c>
      <c r="GP169" t="s">
        <v>501</v>
      </c>
      <c r="GQ169" t="s">
        <v>502</v>
      </c>
      <c r="GR169">
        <v>49</v>
      </c>
      <c r="GS169">
        <v>48</v>
      </c>
      <c r="GT169">
        <v>1</v>
      </c>
      <c r="GU169" t="s">
        <v>457</v>
      </c>
      <c r="GV169">
        <v>103465463.81523301</v>
      </c>
      <c r="GW169">
        <v>1115599834.4189701</v>
      </c>
      <c r="GX169">
        <v>1219065298.2342</v>
      </c>
      <c r="GY169">
        <v>0</v>
      </c>
      <c r="GZ169">
        <v>1219065298.2342</v>
      </c>
      <c r="HA169">
        <v>1219065298.2342</v>
      </c>
      <c r="HB169">
        <v>303000000</v>
      </c>
      <c r="HC169">
        <v>0</v>
      </c>
      <c r="HD169" t="s">
        <v>137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7.0000000000000007E-2</v>
      </c>
      <c r="HX169">
        <v>0.96964931039809399</v>
      </c>
      <c r="HY169">
        <v>1</v>
      </c>
      <c r="HZ169">
        <v>300000</v>
      </c>
      <c r="IA169">
        <v>0</v>
      </c>
      <c r="IB169">
        <v>0</v>
      </c>
      <c r="IC169">
        <v>0</v>
      </c>
      <c r="ID169">
        <v>272700</v>
      </c>
      <c r="IE169">
        <v>572700</v>
      </c>
      <c r="IF169">
        <v>555318.16006498795</v>
      </c>
      <c r="IG169">
        <v>555318.16006498795</v>
      </c>
      <c r="IH169">
        <v>0</v>
      </c>
      <c r="II169">
        <v>7203710.1958617503</v>
      </c>
      <c r="IJ169">
        <v>78091988.409327701</v>
      </c>
      <c r="IK169">
        <v>0</v>
      </c>
      <c r="IL169">
        <v>0</v>
      </c>
      <c r="IM169">
        <v>0</v>
      </c>
      <c r="IN169">
        <v>110113855.85103001</v>
      </c>
      <c r="IO169">
        <v>1193691822.82829</v>
      </c>
      <c r="IP169">
        <v>1303805678.6793201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</row>
    <row r="170" spans="2:268" customFormat="1" x14ac:dyDescent="0.25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3"/>
      <c r="N170" s="3"/>
      <c r="O170" s="3"/>
      <c r="P170" s="2"/>
      <c r="Q170" s="2"/>
      <c r="R170" s="2"/>
      <c r="S170" s="2"/>
      <c r="T170" s="2"/>
      <c r="U170" s="2"/>
      <c r="V170" s="3"/>
      <c r="W170" s="3"/>
      <c r="X170" s="3"/>
      <c r="Y170" s="3"/>
      <c r="Z170" s="3"/>
      <c r="AA170" s="3"/>
      <c r="AB170" s="3"/>
      <c r="AC170" s="2"/>
      <c r="AD170" s="2"/>
      <c r="AE170" s="2"/>
      <c r="AF170" s="2"/>
      <c r="AG170" s="2"/>
      <c r="AH170" s="2"/>
      <c r="AI170" s="2"/>
      <c r="AJ170" s="3"/>
      <c r="AK170" s="2"/>
      <c r="AL170" s="2"/>
      <c r="AM170" s="2"/>
      <c r="AN170" s="2"/>
      <c r="AO170" s="3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3"/>
      <c r="BC170" s="3"/>
      <c r="BD170" s="3"/>
      <c r="BE170" s="3"/>
      <c r="BF170" s="3"/>
      <c r="BG170" s="3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2"/>
      <c r="DI170" s="2"/>
      <c r="DJ170" s="3"/>
      <c r="DK170" s="3"/>
      <c r="DL170" s="2"/>
      <c r="DM170" s="2"/>
      <c r="DN170" s="2"/>
      <c r="DO170" s="3"/>
      <c r="DP170" s="3"/>
      <c r="GO170" t="s">
        <v>134</v>
      </c>
      <c r="GP170" t="s">
        <v>501</v>
      </c>
      <c r="GQ170" t="s">
        <v>502</v>
      </c>
      <c r="GR170">
        <v>50</v>
      </c>
      <c r="GS170">
        <v>49</v>
      </c>
      <c r="GT170">
        <v>1</v>
      </c>
      <c r="GU170" t="s">
        <v>457</v>
      </c>
      <c r="GV170">
        <v>110113855.85103001</v>
      </c>
      <c r="GW170">
        <v>1193691822.82829</v>
      </c>
      <c r="GX170">
        <v>1303805678.6793201</v>
      </c>
      <c r="GY170">
        <v>0</v>
      </c>
      <c r="GZ170">
        <v>1303805678.6793201</v>
      </c>
      <c r="HA170">
        <v>1303805678.6793201</v>
      </c>
      <c r="HB170">
        <v>303000000</v>
      </c>
      <c r="HC170">
        <v>0</v>
      </c>
      <c r="HD170" t="s">
        <v>137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7.0000000000000007E-2</v>
      </c>
      <c r="HX170">
        <v>0.96964931039809399</v>
      </c>
      <c r="HY170">
        <v>1</v>
      </c>
      <c r="HZ170">
        <v>300000</v>
      </c>
      <c r="IA170">
        <v>0</v>
      </c>
      <c r="IB170">
        <v>0</v>
      </c>
      <c r="IC170">
        <v>0</v>
      </c>
      <c r="ID170">
        <v>272700</v>
      </c>
      <c r="IE170">
        <v>572700</v>
      </c>
      <c r="IF170">
        <v>555318.16006498795</v>
      </c>
      <c r="IG170">
        <v>555318.16006498795</v>
      </c>
      <c r="IH170">
        <v>0</v>
      </c>
      <c r="II170">
        <v>7669097.6383675197</v>
      </c>
      <c r="IJ170">
        <v>83558427.597980693</v>
      </c>
      <c r="IK170">
        <v>0</v>
      </c>
      <c r="IL170">
        <v>0</v>
      </c>
      <c r="IM170">
        <v>0</v>
      </c>
      <c r="IN170">
        <v>117227635.32933199</v>
      </c>
      <c r="IO170">
        <v>1277250250.42628</v>
      </c>
      <c r="IP170">
        <v>1394477885.75561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</row>
    <row r="171" spans="2:268" customFormat="1" x14ac:dyDescent="0.25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3"/>
      <c r="N171" s="3"/>
      <c r="O171" s="3"/>
      <c r="P171" s="2"/>
      <c r="Q171" s="2"/>
      <c r="R171" s="2"/>
      <c r="S171" s="2"/>
      <c r="T171" s="2"/>
      <c r="U171" s="2"/>
      <c r="V171" s="3"/>
      <c r="W171" s="3"/>
      <c r="X171" s="3"/>
      <c r="Y171" s="3"/>
      <c r="Z171" s="3"/>
      <c r="AA171" s="3"/>
      <c r="AB171" s="3"/>
      <c r="AC171" s="2"/>
      <c r="AD171" s="2"/>
      <c r="AE171" s="2"/>
      <c r="AF171" s="2"/>
      <c r="AG171" s="2"/>
      <c r="AH171" s="2"/>
      <c r="AI171" s="2"/>
      <c r="AJ171" s="3"/>
      <c r="AK171" s="2"/>
      <c r="AL171" s="2"/>
      <c r="AM171" s="2"/>
      <c r="AN171" s="2"/>
      <c r="AO171" s="3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3"/>
      <c r="BC171" s="3"/>
      <c r="BD171" s="3"/>
      <c r="BE171" s="3"/>
      <c r="BF171" s="3"/>
      <c r="BG171" s="3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2"/>
      <c r="DI171" s="2"/>
      <c r="DJ171" s="3"/>
      <c r="DK171" s="3"/>
      <c r="DL171" s="2"/>
      <c r="DM171" s="2"/>
      <c r="DN171" s="2"/>
      <c r="DO171" s="3"/>
      <c r="DP171" s="3"/>
      <c r="GO171" t="s">
        <v>134</v>
      </c>
      <c r="GP171" t="s">
        <v>501</v>
      </c>
      <c r="GQ171" t="s">
        <v>502</v>
      </c>
      <c r="GR171">
        <v>51</v>
      </c>
      <c r="GS171">
        <v>50</v>
      </c>
      <c r="GT171">
        <v>1</v>
      </c>
      <c r="GU171" t="s">
        <v>457</v>
      </c>
      <c r="GV171">
        <v>117227635.32933199</v>
      </c>
      <c r="GW171">
        <v>1277250250.42628</v>
      </c>
      <c r="GX171">
        <v>1394477885.75561</v>
      </c>
      <c r="GY171">
        <v>0</v>
      </c>
      <c r="GZ171">
        <v>1394477885.75561</v>
      </c>
      <c r="HA171">
        <v>1394477885.75561</v>
      </c>
      <c r="HB171">
        <v>303000000</v>
      </c>
      <c r="HC171">
        <v>0</v>
      </c>
      <c r="HD171" t="s">
        <v>137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7.0000000000000007E-2</v>
      </c>
      <c r="HX171">
        <v>0.96964931039809399</v>
      </c>
      <c r="HY171">
        <v>1</v>
      </c>
      <c r="HZ171">
        <v>300000</v>
      </c>
      <c r="IA171">
        <v>0</v>
      </c>
      <c r="IB171">
        <v>0</v>
      </c>
      <c r="IC171">
        <v>0</v>
      </c>
      <c r="ID171">
        <v>272700</v>
      </c>
      <c r="IE171">
        <v>572700</v>
      </c>
      <c r="IF171">
        <v>555318.16006498795</v>
      </c>
      <c r="IG171">
        <v>555318.16006498795</v>
      </c>
      <c r="IH171">
        <v>0</v>
      </c>
      <c r="II171">
        <v>8167062.2018486997</v>
      </c>
      <c r="IJ171">
        <v>89407517.529839307</v>
      </c>
      <c r="IK171">
        <v>0</v>
      </c>
      <c r="IL171">
        <v>0</v>
      </c>
      <c r="IM171">
        <v>0</v>
      </c>
      <c r="IN171">
        <v>124839379.371116</v>
      </c>
      <c r="IO171">
        <v>1366657767.95612</v>
      </c>
      <c r="IP171">
        <v>1491497147.32723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</row>
    <row r="172" spans="2:268" customFormat="1" x14ac:dyDescent="0.25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3"/>
      <c r="N172" s="3"/>
      <c r="O172" s="3"/>
      <c r="P172" s="2"/>
      <c r="Q172" s="2"/>
      <c r="R172" s="2"/>
      <c r="S172" s="2"/>
      <c r="T172" s="2"/>
      <c r="U172" s="2"/>
      <c r="V172" s="3"/>
      <c r="W172" s="3"/>
      <c r="X172" s="3"/>
      <c r="Y172" s="3"/>
      <c r="Z172" s="3"/>
      <c r="AA172" s="3"/>
      <c r="AB172" s="3"/>
      <c r="AC172" s="2"/>
      <c r="AD172" s="2"/>
      <c r="AE172" s="2"/>
      <c r="AF172" s="2"/>
      <c r="AG172" s="2"/>
      <c r="AH172" s="2"/>
      <c r="AI172" s="2"/>
      <c r="AJ172" s="3"/>
      <c r="AK172" s="2"/>
      <c r="AL172" s="2"/>
      <c r="AM172" s="2"/>
      <c r="AN172" s="2"/>
      <c r="AO172" s="3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3"/>
      <c r="BC172" s="3"/>
      <c r="BD172" s="3"/>
      <c r="BE172" s="3"/>
      <c r="BF172" s="3"/>
      <c r="BG172" s="3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2"/>
      <c r="DI172" s="2"/>
      <c r="DJ172" s="3"/>
      <c r="DK172" s="3"/>
      <c r="DL172" s="2"/>
      <c r="DM172" s="2"/>
      <c r="DN172" s="2"/>
      <c r="DO172" s="3"/>
      <c r="DP172" s="3"/>
      <c r="GO172" t="s">
        <v>134</v>
      </c>
      <c r="GP172" t="s">
        <v>501</v>
      </c>
      <c r="GQ172" t="s">
        <v>502</v>
      </c>
      <c r="GR172">
        <v>52</v>
      </c>
      <c r="GS172">
        <v>51</v>
      </c>
      <c r="GT172">
        <v>1</v>
      </c>
      <c r="GU172" t="s">
        <v>457</v>
      </c>
      <c r="GV172">
        <v>124839379.371116</v>
      </c>
      <c r="GW172">
        <v>1366657767.95612</v>
      </c>
      <c r="GX172">
        <v>1491497147.32723</v>
      </c>
      <c r="GY172">
        <v>0</v>
      </c>
      <c r="GZ172">
        <v>1491497147.32723</v>
      </c>
      <c r="HA172">
        <v>1491497147.32723</v>
      </c>
      <c r="HB172">
        <v>303000000</v>
      </c>
      <c r="HC172">
        <v>0</v>
      </c>
      <c r="HD172" t="s">
        <v>137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7.0000000000000007E-2</v>
      </c>
      <c r="HX172">
        <v>0.96964931039809399</v>
      </c>
      <c r="HY172">
        <v>1</v>
      </c>
      <c r="HZ172">
        <v>300000</v>
      </c>
      <c r="IA172">
        <v>0</v>
      </c>
      <c r="IB172">
        <v>0</v>
      </c>
      <c r="IC172">
        <v>0</v>
      </c>
      <c r="ID172">
        <v>272700</v>
      </c>
      <c r="IE172">
        <v>572700</v>
      </c>
      <c r="IF172">
        <v>555318.16006498795</v>
      </c>
      <c r="IG172">
        <v>555318.16006498795</v>
      </c>
      <c r="IH172">
        <v>0</v>
      </c>
      <c r="II172">
        <v>8699884.2847735602</v>
      </c>
      <c r="IJ172">
        <v>95666043.756928101</v>
      </c>
      <c r="IK172">
        <v>0</v>
      </c>
      <c r="IL172">
        <v>0</v>
      </c>
      <c r="IM172">
        <v>0</v>
      </c>
      <c r="IN172">
        <v>132983945.49582399</v>
      </c>
      <c r="IO172">
        <v>1462323811.7130401</v>
      </c>
      <c r="IP172">
        <v>1595307757.2088699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</row>
    <row r="173" spans="2:268" customFormat="1" x14ac:dyDescent="0.25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3"/>
      <c r="N173" s="3"/>
      <c r="O173" s="3"/>
      <c r="P173" s="2"/>
      <c r="Q173" s="2"/>
      <c r="R173" s="2"/>
      <c r="S173" s="2"/>
      <c r="T173" s="2"/>
      <c r="U173" s="2"/>
      <c r="V173" s="3"/>
      <c r="W173" s="3"/>
      <c r="X173" s="3"/>
      <c r="Y173" s="3"/>
      <c r="Z173" s="3"/>
      <c r="AA173" s="3"/>
      <c r="AB173" s="3"/>
      <c r="AC173" s="2"/>
      <c r="AD173" s="2"/>
      <c r="AE173" s="2"/>
      <c r="AF173" s="2"/>
      <c r="AG173" s="2"/>
      <c r="AH173" s="2"/>
      <c r="AI173" s="2"/>
      <c r="AJ173" s="3"/>
      <c r="AK173" s="2"/>
      <c r="AL173" s="2"/>
      <c r="AM173" s="2"/>
      <c r="AN173" s="2"/>
      <c r="AO173" s="3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3"/>
      <c r="BC173" s="3"/>
      <c r="BD173" s="3"/>
      <c r="BE173" s="3"/>
      <c r="BF173" s="3"/>
      <c r="BG173" s="3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2"/>
      <c r="DI173" s="2"/>
      <c r="DJ173" s="3"/>
      <c r="DK173" s="3"/>
      <c r="DL173" s="2"/>
      <c r="DM173" s="2"/>
      <c r="DN173" s="2"/>
      <c r="DO173" s="3"/>
      <c r="DP173" s="3"/>
      <c r="GO173" t="s">
        <v>134</v>
      </c>
      <c r="GP173" t="s">
        <v>501</v>
      </c>
      <c r="GQ173" t="s">
        <v>502</v>
      </c>
      <c r="GR173">
        <v>53</v>
      </c>
      <c r="GS173">
        <v>52</v>
      </c>
      <c r="GT173">
        <v>1</v>
      </c>
      <c r="GU173" t="s">
        <v>457</v>
      </c>
      <c r="GV173">
        <v>132983945.49582399</v>
      </c>
      <c r="GW173">
        <v>1462323811.7130401</v>
      </c>
      <c r="GX173">
        <v>1595307757.2088699</v>
      </c>
      <c r="GY173">
        <v>0</v>
      </c>
      <c r="GZ173">
        <v>1595307757.2088699</v>
      </c>
      <c r="HA173">
        <v>1595307757.2088699</v>
      </c>
      <c r="HB173">
        <v>303000000</v>
      </c>
      <c r="HC173">
        <v>0</v>
      </c>
      <c r="HD173" t="s">
        <v>137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7.0000000000000007E-2</v>
      </c>
      <c r="HX173">
        <v>0.96964931039809399</v>
      </c>
      <c r="HY173">
        <v>1</v>
      </c>
      <c r="HZ173">
        <v>300000</v>
      </c>
      <c r="IA173">
        <v>0</v>
      </c>
      <c r="IB173">
        <v>0</v>
      </c>
      <c r="IC173">
        <v>0</v>
      </c>
      <c r="ID173">
        <v>272700</v>
      </c>
      <c r="IE173">
        <v>572700</v>
      </c>
      <c r="IF173">
        <v>555318.16006498795</v>
      </c>
      <c r="IG173">
        <v>555318.16006498795</v>
      </c>
      <c r="IH173">
        <v>0</v>
      </c>
      <c r="II173">
        <v>9270003.9135031607</v>
      </c>
      <c r="IJ173">
        <v>102362666.819913</v>
      </c>
      <c r="IK173">
        <v>0</v>
      </c>
      <c r="IL173">
        <v>0</v>
      </c>
      <c r="IM173">
        <v>0</v>
      </c>
      <c r="IN173">
        <v>141698631.24926299</v>
      </c>
      <c r="IO173">
        <v>1564686478.5329599</v>
      </c>
      <c r="IP173">
        <v>1706385109.7822199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</row>
    <row r="174" spans="2:268" customFormat="1" x14ac:dyDescent="0.25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3"/>
      <c r="N174" s="3"/>
      <c r="O174" s="3"/>
      <c r="P174" s="2"/>
      <c r="Q174" s="2"/>
      <c r="R174" s="2"/>
      <c r="S174" s="2"/>
      <c r="T174" s="2"/>
      <c r="U174" s="2"/>
      <c r="V174" s="3"/>
      <c r="W174" s="3"/>
      <c r="X174" s="3"/>
      <c r="Y174" s="3"/>
      <c r="Z174" s="3"/>
      <c r="AA174" s="3"/>
      <c r="AB174" s="3"/>
      <c r="AC174" s="2"/>
      <c r="AD174" s="2"/>
      <c r="AE174" s="2"/>
      <c r="AF174" s="2"/>
      <c r="AG174" s="2"/>
      <c r="AH174" s="2"/>
      <c r="AI174" s="2"/>
      <c r="AJ174" s="3"/>
      <c r="AK174" s="2"/>
      <c r="AL174" s="2"/>
      <c r="AM174" s="2"/>
      <c r="AN174" s="2"/>
      <c r="AO174" s="3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3"/>
      <c r="BC174" s="3"/>
      <c r="BD174" s="3"/>
      <c r="BE174" s="3"/>
      <c r="BF174" s="3"/>
      <c r="BG174" s="3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2"/>
      <c r="DI174" s="2"/>
      <c r="DJ174" s="3"/>
      <c r="DK174" s="3"/>
      <c r="DL174" s="2"/>
      <c r="DM174" s="2"/>
      <c r="DN174" s="2"/>
      <c r="DO174" s="3"/>
      <c r="DP174" s="3"/>
      <c r="GO174" t="s">
        <v>134</v>
      </c>
      <c r="GP174" t="s">
        <v>501</v>
      </c>
      <c r="GQ174" t="s">
        <v>502</v>
      </c>
      <c r="GR174">
        <v>54</v>
      </c>
      <c r="GS174">
        <v>53</v>
      </c>
      <c r="GT174">
        <v>1</v>
      </c>
      <c r="GU174" t="s">
        <v>457</v>
      </c>
      <c r="GV174">
        <v>141698631.24926299</v>
      </c>
      <c r="GW174">
        <v>1564686478.5329599</v>
      </c>
      <c r="GX174">
        <v>1706385109.7822199</v>
      </c>
      <c r="GY174">
        <v>0</v>
      </c>
      <c r="GZ174">
        <v>1706385109.7822199</v>
      </c>
      <c r="HA174">
        <v>1706385109.7822199</v>
      </c>
      <c r="HB174">
        <v>303000000</v>
      </c>
      <c r="HC174">
        <v>0</v>
      </c>
      <c r="HD174" t="s">
        <v>137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7.0000000000000007E-2</v>
      </c>
      <c r="HX174">
        <v>0.96964931039809399</v>
      </c>
      <c r="HY174">
        <v>1</v>
      </c>
      <c r="HZ174">
        <v>300000</v>
      </c>
      <c r="IA174">
        <v>0</v>
      </c>
      <c r="IB174">
        <v>0</v>
      </c>
      <c r="IC174">
        <v>0</v>
      </c>
      <c r="ID174">
        <v>272700</v>
      </c>
      <c r="IE174">
        <v>572700</v>
      </c>
      <c r="IF174">
        <v>555318.16006498795</v>
      </c>
      <c r="IG174">
        <v>555318.16006498795</v>
      </c>
      <c r="IH174">
        <v>0</v>
      </c>
      <c r="II174">
        <v>9880031.9162438307</v>
      </c>
      <c r="IJ174">
        <v>109528053.497307</v>
      </c>
      <c r="IK174">
        <v>0</v>
      </c>
      <c r="IL174">
        <v>0</v>
      </c>
      <c r="IM174">
        <v>0</v>
      </c>
      <c r="IN174">
        <v>151023345.00544101</v>
      </c>
      <c r="IO174">
        <v>1674214532.0302601</v>
      </c>
      <c r="IP174">
        <v>1825237877.0357001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</row>
    <row r="175" spans="2:268" customFormat="1" x14ac:dyDescent="0.25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3"/>
      <c r="N175" s="3"/>
      <c r="O175" s="3"/>
      <c r="P175" s="2"/>
      <c r="Q175" s="2"/>
      <c r="R175" s="2"/>
      <c r="S175" s="2"/>
      <c r="T175" s="2"/>
      <c r="U175" s="2"/>
      <c r="V175" s="3"/>
      <c r="W175" s="3"/>
      <c r="X175" s="3"/>
      <c r="Y175" s="3"/>
      <c r="Z175" s="3"/>
      <c r="AA175" s="3"/>
      <c r="AB175" s="3"/>
      <c r="AC175" s="2"/>
      <c r="AD175" s="2"/>
      <c r="AE175" s="2"/>
      <c r="AF175" s="2"/>
      <c r="AG175" s="2"/>
      <c r="AH175" s="2"/>
      <c r="AI175" s="2"/>
      <c r="AJ175" s="3"/>
      <c r="AK175" s="2"/>
      <c r="AL175" s="2"/>
      <c r="AM175" s="2"/>
      <c r="AN175" s="2"/>
      <c r="AO175" s="3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3"/>
      <c r="BC175" s="3"/>
      <c r="BD175" s="3"/>
      <c r="BE175" s="3"/>
      <c r="BF175" s="3"/>
      <c r="BG175" s="3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2"/>
      <c r="DI175" s="2"/>
      <c r="DJ175" s="3"/>
      <c r="DK175" s="3"/>
      <c r="DL175" s="2"/>
      <c r="DM175" s="2"/>
      <c r="DN175" s="2"/>
      <c r="DO175" s="3"/>
      <c r="DP175" s="3"/>
      <c r="GO175" t="s">
        <v>134</v>
      </c>
      <c r="GP175" t="s">
        <v>501</v>
      </c>
      <c r="GQ175" t="s">
        <v>502</v>
      </c>
      <c r="GR175">
        <v>55</v>
      </c>
      <c r="GS175">
        <v>54</v>
      </c>
      <c r="GT175">
        <v>1</v>
      </c>
      <c r="GU175" t="s">
        <v>457</v>
      </c>
      <c r="GV175">
        <v>151023345.00544101</v>
      </c>
      <c r="GW175">
        <v>1674214532.0302601</v>
      </c>
      <c r="GX175">
        <v>1825237877.0357001</v>
      </c>
      <c r="GY175">
        <v>0</v>
      </c>
      <c r="GZ175">
        <v>1825237877.0357001</v>
      </c>
      <c r="HA175">
        <v>1825237877.0357001</v>
      </c>
      <c r="HB175">
        <v>303000000</v>
      </c>
      <c r="HC175">
        <v>0</v>
      </c>
      <c r="HD175" t="s">
        <v>137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7.0000000000000007E-2</v>
      </c>
      <c r="HX175">
        <v>0.96964931039809399</v>
      </c>
      <c r="HY175">
        <v>1</v>
      </c>
      <c r="HZ175">
        <v>300000</v>
      </c>
      <c r="IA175">
        <v>0</v>
      </c>
      <c r="IB175">
        <v>0</v>
      </c>
      <c r="IC175">
        <v>0</v>
      </c>
      <c r="ID175">
        <v>272700</v>
      </c>
      <c r="IE175">
        <v>572700</v>
      </c>
      <c r="IF175">
        <v>555318.16006498795</v>
      </c>
      <c r="IG175">
        <v>555318.16006498795</v>
      </c>
      <c r="IH175">
        <v>0</v>
      </c>
      <c r="II175">
        <v>10532761.8791763</v>
      </c>
      <c r="IJ175">
        <v>117195017.242118</v>
      </c>
      <c r="IK175">
        <v>0</v>
      </c>
      <c r="IL175">
        <v>0</v>
      </c>
      <c r="IM175">
        <v>0</v>
      </c>
      <c r="IN175">
        <v>161000788.72455299</v>
      </c>
      <c r="IO175">
        <v>1791409549.2723801</v>
      </c>
      <c r="IP175">
        <v>1952410337.9969299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</row>
    <row r="176" spans="2:268" customFormat="1" x14ac:dyDescent="0.25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s="3"/>
      <c r="O176" s="3"/>
      <c r="P176" s="2"/>
      <c r="Q176" s="2"/>
      <c r="R176" s="2"/>
      <c r="S176" s="2"/>
      <c r="T176" s="2"/>
      <c r="U176" s="2"/>
      <c r="V176" s="3"/>
      <c r="W176" s="3"/>
      <c r="X176" s="3"/>
      <c r="Y176" s="3"/>
      <c r="Z176" s="3"/>
      <c r="AA176" s="3"/>
      <c r="AB176" s="3"/>
      <c r="AC176" s="2"/>
      <c r="AD176" s="2"/>
      <c r="AE176" s="2"/>
      <c r="AF176" s="2"/>
      <c r="AG176" s="2"/>
      <c r="AH176" s="2"/>
      <c r="AI176" s="2"/>
      <c r="AJ176" s="3"/>
      <c r="AK176" s="2"/>
      <c r="AL176" s="2"/>
      <c r="AM176" s="2"/>
      <c r="AN176" s="2"/>
      <c r="AO176" s="3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3"/>
      <c r="BC176" s="3"/>
      <c r="BD176" s="3"/>
      <c r="BE176" s="3"/>
      <c r="BF176" s="3"/>
      <c r="BG176" s="3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2"/>
      <c r="DI176" s="2"/>
      <c r="DJ176" s="3"/>
      <c r="DK176" s="3"/>
      <c r="DL176" s="2"/>
      <c r="DM176" s="2"/>
      <c r="DN176" s="2"/>
      <c r="DO176" s="3"/>
      <c r="DP176" s="3"/>
      <c r="GO176" t="s">
        <v>134</v>
      </c>
      <c r="GP176" t="s">
        <v>501</v>
      </c>
      <c r="GQ176" t="s">
        <v>502</v>
      </c>
      <c r="GR176">
        <v>56</v>
      </c>
      <c r="GS176">
        <v>55</v>
      </c>
      <c r="GT176">
        <v>1</v>
      </c>
      <c r="GU176" t="s">
        <v>457</v>
      </c>
      <c r="GV176">
        <v>161000788.72455299</v>
      </c>
      <c r="GW176">
        <v>1791409549.2723801</v>
      </c>
      <c r="GX176">
        <v>1952410337.9969299</v>
      </c>
      <c r="GY176">
        <v>0</v>
      </c>
      <c r="GZ176">
        <v>1952410337.9969299</v>
      </c>
      <c r="HA176">
        <v>1952410337.9969299</v>
      </c>
      <c r="HB176">
        <v>303000000</v>
      </c>
      <c r="HC176">
        <v>0</v>
      </c>
      <c r="HD176" t="s">
        <v>137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7.0000000000000007E-2</v>
      </c>
      <c r="HX176">
        <v>0.96964931039809399</v>
      </c>
      <c r="HY176">
        <v>1</v>
      </c>
      <c r="HZ176">
        <v>300000</v>
      </c>
      <c r="IA176">
        <v>0</v>
      </c>
      <c r="IB176">
        <v>0</v>
      </c>
      <c r="IC176">
        <v>0</v>
      </c>
      <c r="ID176">
        <v>272700</v>
      </c>
      <c r="IE176">
        <v>572700</v>
      </c>
      <c r="IF176">
        <v>555318.16006498795</v>
      </c>
      <c r="IG176">
        <v>555318.16006498795</v>
      </c>
      <c r="IH176">
        <v>0</v>
      </c>
      <c r="II176">
        <v>11231182.939514101</v>
      </c>
      <c r="IJ176">
        <v>125398668.449067</v>
      </c>
      <c r="IK176">
        <v>0</v>
      </c>
      <c r="IL176">
        <v>0</v>
      </c>
      <c r="IM176">
        <v>0</v>
      </c>
      <c r="IN176">
        <v>171676653.504002</v>
      </c>
      <c r="IO176">
        <v>1916808217.7214501</v>
      </c>
      <c r="IP176">
        <v>2088484871.22545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</row>
    <row r="177" spans="2:268" customFormat="1" x14ac:dyDescent="0.25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3"/>
      <c r="N177" s="3"/>
      <c r="O177" s="3"/>
      <c r="P177" s="2"/>
      <c r="Q177" s="2"/>
      <c r="R177" s="2"/>
      <c r="S177" s="2"/>
      <c r="T177" s="2"/>
      <c r="U177" s="2"/>
      <c r="V177" s="3"/>
      <c r="W177" s="3"/>
      <c r="X177" s="3"/>
      <c r="Y177" s="3"/>
      <c r="Z177" s="3"/>
      <c r="AA177" s="3"/>
      <c r="AB177" s="3"/>
      <c r="AC177" s="2"/>
      <c r="AD177" s="2"/>
      <c r="AE177" s="2"/>
      <c r="AF177" s="2"/>
      <c r="AG177" s="2"/>
      <c r="AH177" s="2"/>
      <c r="AI177" s="2"/>
      <c r="AJ177" s="3"/>
      <c r="AK177" s="2"/>
      <c r="AL177" s="2"/>
      <c r="AM177" s="2"/>
      <c r="AN177" s="2"/>
      <c r="AO177" s="3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3"/>
      <c r="BC177" s="3"/>
      <c r="BD177" s="3"/>
      <c r="BE177" s="3"/>
      <c r="BF177" s="3"/>
      <c r="BG177" s="3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2"/>
      <c r="DI177" s="2"/>
      <c r="DJ177" s="3"/>
      <c r="DK177" s="3"/>
      <c r="DL177" s="2"/>
      <c r="DM177" s="2"/>
      <c r="DN177" s="2"/>
      <c r="DO177" s="3"/>
      <c r="DP177" s="3"/>
      <c r="GO177" t="s">
        <v>134</v>
      </c>
      <c r="GP177" t="s">
        <v>501</v>
      </c>
      <c r="GQ177" t="s">
        <v>502</v>
      </c>
      <c r="GR177">
        <v>57</v>
      </c>
      <c r="GS177">
        <v>56</v>
      </c>
      <c r="GT177">
        <v>1</v>
      </c>
      <c r="GU177" t="s">
        <v>457</v>
      </c>
      <c r="GV177">
        <v>171676653.504002</v>
      </c>
      <c r="GW177">
        <v>1916808217.7214501</v>
      </c>
      <c r="GX177">
        <v>2088484871.22545</v>
      </c>
      <c r="GY177">
        <v>0</v>
      </c>
      <c r="GZ177">
        <v>2088484871.22545</v>
      </c>
      <c r="HA177">
        <v>2088484871.22545</v>
      </c>
      <c r="HB177">
        <v>303000000</v>
      </c>
      <c r="HC177">
        <v>0</v>
      </c>
      <c r="HD177" t="s">
        <v>137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7.0000000000000007E-2</v>
      </c>
      <c r="HX177">
        <v>0.96964931039809399</v>
      </c>
      <c r="HY177">
        <v>1</v>
      </c>
      <c r="HZ177">
        <v>300000</v>
      </c>
      <c r="IA177">
        <v>0</v>
      </c>
      <c r="IB177">
        <v>0</v>
      </c>
      <c r="IC177">
        <v>0</v>
      </c>
      <c r="ID177">
        <v>272700</v>
      </c>
      <c r="IE177">
        <v>572700</v>
      </c>
      <c r="IF177">
        <v>555318.16006498795</v>
      </c>
      <c r="IG177">
        <v>555318.16006498795</v>
      </c>
      <c r="IH177">
        <v>0</v>
      </c>
      <c r="II177">
        <v>11978493.474075601</v>
      </c>
      <c r="IJ177">
        <v>134176575.240501</v>
      </c>
      <c r="IK177">
        <v>0</v>
      </c>
      <c r="IL177">
        <v>0</v>
      </c>
      <c r="IM177">
        <v>0</v>
      </c>
      <c r="IN177">
        <v>183099828.818012</v>
      </c>
      <c r="IO177">
        <v>2050984792.9619501</v>
      </c>
      <c r="IP177">
        <v>2234084621.7799602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</row>
    <row r="178" spans="2:268" customFormat="1" x14ac:dyDescent="0.25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3"/>
      <c r="N178" s="3"/>
      <c r="O178" s="3"/>
      <c r="P178" s="2"/>
      <c r="Q178" s="2"/>
      <c r="R178" s="2"/>
      <c r="S178" s="2"/>
      <c r="T178" s="2"/>
      <c r="U178" s="2"/>
      <c r="V178" s="3"/>
      <c r="W178" s="3"/>
      <c r="X178" s="3"/>
      <c r="Y178" s="3"/>
      <c r="Z178" s="3"/>
      <c r="AA178" s="3"/>
      <c r="AB178" s="3"/>
      <c r="AC178" s="2"/>
      <c r="AD178" s="2"/>
      <c r="AE178" s="2"/>
      <c r="AF178" s="2"/>
      <c r="AG178" s="2"/>
      <c r="AH178" s="2"/>
      <c r="AI178" s="2"/>
      <c r="AJ178" s="3"/>
      <c r="AK178" s="2"/>
      <c r="AL178" s="2"/>
      <c r="AM178" s="2"/>
      <c r="AN178" s="2"/>
      <c r="AO178" s="3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3"/>
      <c r="BC178" s="3"/>
      <c r="BD178" s="3"/>
      <c r="BE178" s="3"/>
      <c r="BF178" s="3"/>
      <c r="BG178" s="3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2"/>
      <c r="DI178" s="2"/>
      <c r="DJ178" s="3"/>
      <c r="DK178" s="3"/>
      <c r="DL178" s="2"/>
      <c r="DM178" s="2"/>
      <c r="DN178" s="2"/>
      <c r="DO178" s="3"/>
      <c r="DP178" s="3"/>
      <c r="GO178" t="s">
        <v>134</v>
      </c>
      <c r="GP178" t="s">
        <v>501</v>
      </c>
      <c r="GQ178" t="s">
        <v>502</v>
      </c>
      <c r="GR178">
        <v>58</v>
      </c>
      <c r="GS178">
        <v>57</v>
      </c>
      <c r="GT178">
        <v>1</v>
      </c>
      <c r="GU178" t="s">
        <v>457</v>
      </c>
      <c r="GV178">
        <v>183099828.818012</v>
      </c>
      <c r="GW178">
        <v>2050984792.9619501</v>
      </c>
      <c r="GX178">
        <v>2234084621.7799602</v>
      </c>
      <c r="GY178">
        <v>0</v>
      </c>
      <c r="GZ178">
        <v>2234084621.7799602</v>
      </c>
      <c r="HA178">
        <v>2234084621.7799602</v>
      </c>
      <c r="HB178">
        <v>303000000</v>
      </c>
      <c r="HC178">
        <v>0</v>
      </c>
      <c r="HD178" t="s">
        <v>137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7.0000000000000007E-2</v>
      </c>
      <c r="HX178">
        <v>0.96964931039809399</v>
      </c>
      <c r="HY178">
        <v>1</v>
      </c>
      <c r="HZ178">
        <v>300000</v>
      </c>
      <c r="IA178">
        <v>0</v>
      </c>
      <c r="IB178">
        <v>0</v>
      </c>
      <c r="IC178">
        <v>0</v>
      </c>
      <c r="ID178">
        <v>272700</v>
      </c>
      <c r="IE178">
        <v>572700</v>
      </c>
      <c r="IF178">
        <v>555318.16006498795</v>
      </c>
      <c r="IG178">
        <v>555318.16006498795</v>
      </c>
      <c r="IH178">
        <v>0</v>
      </c>
      <c r="II178">
        <v>12778115.7460563</v>
      </c>
      <c r="IJ178">
        <v>143568935.50733599</v>
      </c>
      <c r="IK178">
        <v>0</v>
      </c>
      <c r="IL178">
        <v>0</v>
      </c>
      <c r="IM178">
        <v>0</v>
      </c>
      <c r="IN178">
        <v>195322626.40400401</v>
      </c>
      <c r="IO178">
        <v>2194553728.4692898</v>
      </c>
      <c r="IP178">
        <v>2389876354.8732901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</row>
    <row r="179" spans="2:268" customFormat="1" x14ac:dyDescent="0.25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3"/>
      <c r="N179" s="3"/>
      <c r="O179" s="3"/>
      <c r="P179" s="2"/>
      <c r="Q179" s="2"/>
      <c r="R179" s="2"/>
      <c r="S179" s="2"/>
      <c r="T179" s="2"/>
      <c r="U179" s="2"/>
      <c r="V179" s="3"/>
      <c r="W179" s="3"/>
      <c r="X179" s="3"/>
      <c r="Y179" s="3"/>
      <c r="Z179" s="3"/>
      <c r="AA179" s="3"/>
      <c r="AB179" s="3"/>
      <c r="AC179" s="2"/>
      <c r="AD179" s="2"/>
      <c r="AE179" s="2"/>
      <c r="AF179" s="2"/>
      <c r="AG179" s="2"/>
      <c r="AH179" s="2"/>
      <c r="AI179" s="2"/>
      <c r="AJ179" s="3"/>
      <c r="AK179" s="2"/>
      <c r="AL179" s="2"/>
      <c r="AM179" s="2"/>
      <c r="AN179" s="2"/>
      <c r="AO179" s="3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3"/>
      <c r="BC179" s="3"/>
      <c r="BD179" s="3"/>
      <c r="BE179" s="3"/>
      <c r="BF179" s="3"/>
      <c r="BG179" s="3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2"/>
      <c r="DI179" s="2"/>
      <c r="DJ179" s="3"/>
      <c r="DK179" s="3"/>
      <c r="DL179" s="2"/>
      <c r="DM179" s="2"/>
      <c r="DN179" s="2"/>
      <c r="DO179" s="3"/>
      <c r="DP179" s="3"/>
      <c r="GO179" t="s">
        <v>134</v>
      </c>
      <c r="GP179" t="s">
        <v>501</v>
      </c>
      <c r="GQ179" t="s">
        <v>502</v>
      </c>
      <c r="GR179">
        <v>59</v>
      </c>
      <c r="GS179">
        <v>58</v>
      </c>
      <c r="GT179">
        <v>1</v>
      </c>
      <c r="GU179" t="s">
        <v>457</v>
      </c>
      <c r="GV179">
        <v>195322626.40400401</v>
      </c>
      <c r="GW179">
        <v>2194553728.4692898</v>
      </c>
      <c r="GX179">
        <v>2389876354.8732901</v>
      </c>
      <c r="GY179">
        <v>0</v>
      </c>
      <c r="GZ179">
        <v>2389876354.8732901</v>
      </c>
      <c r="HA179">
        <v>2389876354.8732901</v>
      </c>
      <c r="HB179">
        <v>303000000</v>
      </c>
      <c r="HC179">
        <v>0</v>
      </c>
      <c r="HD179" t="s">
        <v>137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7.0000000000000007E-2</v>
      </c>
      <c r="HX179">
        <v>0.96964931039809399</v>
      </c>
      <c r="HY179">
        <v>1</v>
      </c>
      <c r="HZ179">
        <v>300000</v>
      </c>
      <c r="IA179">
        <v>0</v>
      </c>
      <c r="IB179">
        <v>0</v>
      </c>
      <c r="IC179">
        <v>0</v>
      </c>
      <c r="ID179">
        <v>272700</v>
      </c>
      <c r="IE179">
        <v>572700</v>
      </c>
      <c r="IF179">
        <v>555318.16006498795</v>
      </c>
      <c r="IG179">
        <v>555318.16006498795</v>
      </c>
      <c r="IH179">
        <v>0</v>
      </c>
      <c r="II179">
        <v>13633711.577075699</v>
      </c>
      <c r="IJ179">
        <v>153618760.99285001</v>
      </c>
      <c r="IK179">
        <v>0</v>
      </c>
      <c r="IL179">
        <v>0</v>
      </c>
      <c r="IM179">
        <v>0</v>
      </c>
      <c r="IN179">
        <v>208401019.821015</v>
      </c>
      <c r="IO179">
        <v>2348172489.4621401</v>
      </c>
      <c r="IP179">
        <v>2556573509.2831502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</row>
    <row r="180" spans="2:268" customFormat="1" x14ac:dyDescent="0.25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3"/>
      <c r="N180" s="3"/>
      <c r="O180" s="3"/>
      <c r="P180" s="2"/>
      <c r="Q180" s="2"/>
      <c r="R180" s="2"/>
      <c r="S180" s="2"/>
      <c r="T180" s="2"/>
      <c r="U180" s="2"/>
      <c r="V180" s="3"/>
      <c r="W180" s="3"/>
      <c r="X180" s="3"/>
      <c r="Y180" s="3"/>
      <c r="Z180" s="3"/>
      <c r="AA180" s="3"/>
      <c r="AB180" s="3"/>
      <c r="AC180" s="2"/>
      <c r="AD180" s="2"/>
      <c r="AE180" s="2"/>
      <c r="AF180" s="2"/>
      <c r="AG180" s="2"/>
      <c r="AH180" s="2"/>
      <c r="AI180" s="2"/>
      <c r="AJ180" s="3"/>
      <c r="AK180" s="2"/>
      <c r="AL180" s="2"/>
      <c r="AM180" s="2"/>
      <c r="AN180" s="2"/>
      <c r="AO180" s="3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3"/>
      <c r="BC180" s="3"/>
      <c r="BD180" s="3"/>
      <c r="BE180" s="3"/>
      <c r="BF180" s="3"/>
      <c r="BG180" s="3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2"/>
      <c r="DI180" s="2"/>
      <c r="DJ180" s="3"/>
      <c r="DK180" s="3"/>
      <c r="DL180" s="2"/>
      <c r="DM180" s="2"/>
      <c r="DN180" s="2"/>
      <c r="DO180" s="3"/>
      <c r="DP180" s="3"/>
      <c r="GO180" t="s">
        <v>134</v>
      </c>
      <c r="GP180" t="s">
        <v>501</v>
      </c>
      <c r="GQ180" t="s">
        <v>502</v>
      </c>
      <c r="GR180">
        <v>60</v>
      </c>
      <c r="GS180">
        <v>59</v>
      </c>
      <c r="GT180">
        <v>1</v>
      </c>
      <c r="GU180" t="s">
        <v>457</v>
      </c>
      <c r="GV180">
        <v>208401019.821015</v>
      </c>
      <c r="GW180">
        <v>2348172489.4621401</v>
      </c>
      <c r="GX180">
        <v>2556573509.2831502</v>
      </c>
      <c r="GY180">
        <v>0</v>
      </c>
      <c r="GZ180">
        <v>2556573509.2831502</v>
      </c>
      <c r="HA180">
        <v>2556573509.2831502</v>
      </c>
      <c r="HB180">
        <v>303000000</v>
      </c>
      <c r="HC180">
        <v>0</v>
      </c>
      <c r="HD180" t="s">
        <v>137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7.0000000000000007E-2</v>
      </c>
      <c r="HX180">
        <v>0.96964931039809399</v>
      </c>
      <c r="HY180">
        <v>1</v>
      </c>
      <c r="HZ180">
        <v>300000</v>
      </c>
      <c r="IA180">
        <v>0</v>
      </c>
      <c r="IB180">
        <v>0</v>
      </c>
      <c r="IC180">
        <v>0</v>
      </c>
      <c r="ID180">
        <v>272700</v>
      </c>
      <c r="IE180">
        <v>572700</v>
      </c>
      <c r="IF180">
        <v>555318.16006498795</v>
      </c>
      <c r="IG180">
        <v>555318.16006498795</v>
      </c>
      <c r="IH180">
        <v>0</v>
      </c>
      <c r="II180">
        <v>14549199.1162665</v>
      </c>
      <c r="IJ180">
        <v>164372074.26234901</v>
      </c>
      <c r="IK180">
        <v>0</v>
      </c>
      <c r="IL180">
        <v>0</v>
      </c>
      <c r="IM180">
        <v>0</v>
      </c>
      <c r="IN180">
        <v>222394900.77721599</v>
      </c>
      <c r="IO180">
        <v>2512544563.7244802</v>
      </c>
      <c r="IP180">
        <v>2734939464.5016999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</row>
    <row r="181" spans="2:268" customFormat="1" x14ac:dyDescent="0.25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3"/>
      <c r="N181" s="3"/>
      <c r="O181" s="3"/>
      <c r="P181" s="2"/>
      <c r="Q181" s="2"/>
      <c r="R181" s="2"/>
      <c r="S181" s="2"/>
      <c r="T181" s="2"/>
      <c r="U181" s="2"/>
      <c r="V181" s="3"/>
      <c r="W181" s="3"/>
      <c r="X181" s="3"/>
      <c r="Y181" s="3"/>
      <c r="Z181" s="3"/>
      <c r="AA181" s="3"/>
      <c r="AB181" s="3"/>
      <c r="AC181" s="2"/>
      <c r="AD181" s="2"/>
      <c r="AE181" s="2"/>
      <c r="AF181" s="2"/>
      <c r="AG181" s="2"/>
      <c r="AH181" s="2"/>
      <c r="AI181" s="2"/>
      <c r="AJ181" s="3"/>
      <c r="AK181" s="2"/>
      <c r="AL181" s="2"/>
      <c r="AM181" s="2"/>
      <c r="AN181" s="2"/>
      <c r="AO181" s="3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3"/>
      <c r="BC181" s="3"/>
      <c r="BD181" s="3"/>
      <c r="BE181" s="3"/>
      <c r="BF181" s="3"/>
      <c r="BG181" s="3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2"/>
      <c r="DI181" s="2"/>
      <c r="DJ181" s="3"/>
      <c r="DK181" s="3"/>
      <c r="DL181" s="2"/>
      <c r="DM181" s="2"/>
      <c r="DN181" s="2"/>
      <c r="DO181" s="3"/>
      <c r="DP181" s="3"/>
      <c r="GO181" t="s">
        <v>134</v>
      </c>
      <c r="GP181" t="s">
        <v>501</v>
      </c>
      <c r="GQ181" t="s">
        <v>502</v>
      </c>
      <c r="GR181">
        <v>61</v>
      </c>
      <c r="GS181">
        <v>60</v>
      </c>
      <c r="GT181">
        <v>1</v>
      </c>
      <c r="GU181" t="s">
        <v>457</v>
      </c>
      <c r="GV181">
        <v>222394900.77721599</v>
      </c>
      <c r="GW181">
        <v>2512544563.7244802</v>
      </c>
      <c r="GX181">
        <v>2734939464.5016999</v>
      </c>
      <c r="GY181">
        <v>0</v>
      </c>
      <c r="GZ181">
        <v>2734939464.5016999</v>
      </c>
      <c r="HA181">
        <v>2734939464.5016999</v>
      </c>
      <c r="HB181">
        <v>303000000</v>
      </c>
      <c r="HC181">
        <v>0</v>
      </c>
      <c r="HD181" t="s">
        <v>137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7.0000000000000007E-2</v>
      </c>
      <c r="HX181">
        <v>0.96964931039809399</v>
      </c>
      <c r="HY181">
        <v>1</v>
      </c>
      <c r="HZ181">
        <v>300000</v>
      </c>
      <c r="IA181">
        <v>0</v>
      </c>
      <c r="IB181">
        <v>0</v>
      </c>
      <c r="IC181">
        <v>0</v>
      </c>
      <c r="ID181">
        <v>272700</v>
      </c>
      <c r="IE181">
        <v>572700</v>
      </c>
      <c r="IF181">
        <v>555318.16006498795</v>
      </c>
      <c r="IG181">
        <v>555318.16006498795</v>
      </c>
      <c r="IH181">
        <v>0</v>
      </c>
      <c r="II181">
        <v>15528770.783200599</v>
      </c>
      <c r="IJ181">
        <v>175878119.46071401</v>
      </c>
      <c r="IK181">
        <v>0</v>
      </c>
      <c r="IL181">
        <v>0</v>
      </c>
      <c r="IM181">
        <v>0</v>
      </c>
      <c r="IN181">
        <v>237368353.400352</v>
      </c>
      <c r="IO181">
        <v>2688422683.1852002</v>
      </c>
      <c r="IP181">
        <v>2925791036.5855498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</row>
    <row r="182" spans="2:268" customFormat="1" x14ac:dyDescent="0.25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3"/>
      <c r="N182" s="3"/>
      <c r="O182" s="3"/>
      <c r="P182" s="2"/>
      <c r="Q182" s="2"/>
      <c r="R182" s="2"/>
      <c r="S182" s="2"/>
      <c r="T182" s="2"/>
      <c r="U182" s="2"/>
      <c r="V182" s="3"/>
      <c r="W182" s="3"/>
      <c r="X182" s="3"/>
      <c r="Y182" s="3"/>
      <c r="Z182" s="3"/>
      <c r="AA182" s="3"/>
      <c r="AB182" s="3"/>
      <c r="AC182" s="2"/>
      <c r="AD182" s="2"/>
      <c r="AE182" s="2"/>
      <c r="AF182" s="2"/>
      <c r="AG182" s="2"/>
      <c r="AH182" s="2"/>
      <c r="AI182" s="2"/>
      <c r="AJ182" s="3"/>
      <c r="AK182" s="2"/>
      <c r="AL182" s="2"/>
      <c r="AM182" s="2"/>
      <c r="AN182" s="2"/>
      <c r="AO182" s="3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3"/>
      <c r="BC182" s="3"/>
      <c r="BD182" s="3"/>
      <c r="BE182" s="3"/>
      <c r="BF182" s="3"/>
      <c r="BG182" s="3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2"/>
      <c r="DI182" s="2"/>
      <c r="DJ182" s="3"/>
      <c r="DK182" s="3"/>
      <c r="DL182" s="2"/>
      <c r="DM182" s="2"/>
      <c r="DN182" s="2"/>
      <c r="DO182" s="3"/>
      <c r="DP182" s="3"/>
      <c r="GO182" t="s">
        <v>134</v>
      </c>
      <c r="GP182" t="s">
        <v>501</v>
      </c>
      <c r="GQ182" t="s">
        <v>502</v>
      </c>
      <c r="GR182">
        <v>62</v>
      </c>
      <c r="GS182">
        <v>61</v>
      </c>
      <c r="GT182">
        <v>1</v>
      </c>
      <c r="GU182" t="s">
        <v>457</v>
      </c>
      <c r="GV182">
        <v>237368353.400352</v>
      </c>
      <c r="GW182">
        <v>2688422683.1852002</v>
      </c>
      <c r="GX182">
        <v>2925791036.5855498</v>
      </c>
      <c r="GY182">
        <v>0</v>
      </c>
      <c r="GZ182">
        <v>2925791036.5855498</v>
      </c>
      <c r="HA182">
        <v>2925791036.5855498</v>
      </c>
      <c r="HB182">
        <v>303000000</v>
      </c>
      <c r="HC182">
        <v>0</v>
      </c>
      <c r="HD182" t="s">
        <v>137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7.0000000000000007E-2</v>
      </c>
      <c r="HX182">
        <v>0.96964931039809399</v>
      </c>
      <c r="HY182">
        <v>1</v>
      </c>
      <c r="HZ182">
        <v>300000</v>
      </c>
      <c r="IA182">
        <v>0</v>
      </c>
      <c r="IB182">
        <v>0</v>
      </c>
      <c r="IC182">
        <v>0</v>
      </c>
      <c r="ID182">
        <v>272700</v>
      </c>
      <c r="IE182">
        <v>572700</v>
      </c>
      <c r="IF182">
        <v>555318.16006498795</v>
      </c>
      <c r="IG182">
        <v>555318.16006498795</v>
      </c>
      <c r="IH182">
        <v>0</v>
      </c>
      <c r="II182">
        <v>16576912.4668201</v>
      </c>
      <c r="IJ182">
        <v>188189587.82296401</v>
      </c>
      <c r="IK182">
        <v>0</v>
      </c>
      <c r="IL182">
        <v>0</v>
      </c>
      <c r="IM182">
        <v>0</v>
      </c>
      <c r="IN182">
        <v>253389947.70710701</v>
      </c>
      <c r="IO182">
        <v>2876612271.0081601</v>
      </c>
      <c r="IP182">
        <v>3130002218.71527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</row>
    <row r="183" spans="2:268" customFormat="1" x14ac:dyDescent="0.25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3"/>
      <c r="N183" s="3"/>
      <c r="O183" s="3"/>
      <c r="P183" s="2"/>
      <c r="Q183" s="2"/>
      <c r="R183" s="2"/>
      <c r="S183" s="2"/>
      <c r="T183" s="2"/>
      <c r="U183" s="2"/>
      <c r="V183" s="3"/>
      <c r="W183" s="3"/>
      <c r="X183" s="3"/>
      <c r="Y183" s="3"/>
      <c r="Z183" s="3"/>
      <c r="AA183" s="3"/>
      <c r="AB183" s="3"/>
      <c r="AC183" s="2"/>
      <c r="AD183" s="2"/>
      <c r="AE183" s="2"/>
      <c r="AF183" s="2"/>
      <c r="AG183" s="2"/>
      <c r="AH183" s="2"/>
      <c r="AI183" s="2"/>
      <c r="AJ183" s="3"/>
      <c r="AK183" s="2"/>
      <c r="AL183" s="2"/>
      <c r="AM183" s="2"/>
      <c r="AN183" s="2"/>
      <c r="AO183" s="3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3"/>
      <c r="BC183" s="3"/>
      <c r="BD183" s="3"/>
      <c r="BE183" s="3"/>
      <c r="BF183" s="3"/>
      <c r="BG183" s="3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2"/>
      <c r="DI183" s="2"/>
      <c r="DJ183" s="3"/>
      <c r="DK183" s="3"/>
      <c r="DL183" s="2"/>
      <c r="DM183" s="2"/>
      <c r="DN183" s="2"/>
      <c r="DO183" s="3"/>
      <c r="DP183" s="3"/>
      <c r="GO183" t="s">
        <v>134</v>
      </c>
      <c r="GP183" t="s">
        <v>501</v>
      </c>
      <c r="GQ183" t="s">
        <v>502</v>
      </c>
      <c r="GR183">
        <v>63</v>
      </c>
      <c r="GS183">
        <v>62</v>
      </c>
      <c r="GT183">
        <v>1</v>
      </c>
      <c r="GU183" t="s">
        <v>457</v>
      </c>
      <c r="GV183">
        <v>253389947.70710701</v>
      </c>
      <c r="GW183">
        <v>2876612271.0081601</v>
      </c>
      <c r="GX183">
        <v>3130002218.71527</v>
      </c>
      <c r="GY183">
        <v>0</v>
      </c>
      <c r="GZ183">
        <v>3130002218.71527</v>
      </c>
      <c r="HA183">
        <v>3130002218.71527</v>
      </c>
      <c r="HB183">
        <v>303000000</v>
      </c>
      <c r="HC183">
        <v>0</v>
      </c>
      <c r="HD183" t="s">
        <v>137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7.0000000000000007E-2</v>
      </c>
      <c r="HX183">
        <v>0.96964931039809399</v>
      </c>
      <c r="HY183">
        <v>1</v>
      </c>
      <c r="HZ183">
        <v>300000</v>
      </c>
      <c r="IA183">
        <v>0</v>
      </c>
      <c r="IB183">
        <v>0</v>
      </c>
      <c r="IC183">
        <v>0</v>
      </c>
      <c r="ID183">
        <v>272700</v>
      </c>
      <c r="IE183">
        <v>572700</v>
      </c>
      <c r="IF183">
        <v>555318.16006498795</v>
      </c>
      <c r="IG183">
        <v>555318.16006498795</v>
      </c>
      <c r="IH183">
        <v>0</v>
      </c>
      <c r="II183">
        <v>17698424.068292901</v>
      </c>
      <c r="IJ183">
        <v>201362858.97057101</v>
      </c>
      <c r="IK183">
        <v>0</v>
      </c>
      <c r="IL183">
        <v>0</v>
      </c>
      <c r="IM183">
        <v>0</v>
      </c>
      <c r="IN183">
        <v>270533053.61533499</v>
      </c>
      <c r="IO183">
        <v>3077975129.9787302</v>
      </c>
      <c r="IP183">
        <v>3348508183.59407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</row>
    <row r="184" spans="2:268" customFormat="1" x14ac:dyDescent="0.25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3"/>
      <c r="N184" s="3"/>
      <c r="O184" s="3"/>
      <c r="P184" s="2"/>
      <c r="Q184" s="2"/>
      <c r="R184" s="2"/>
      <c r="S184" s="2"/>
      <c r="T184" s="2"/>
      <c r="U184" s="2"/>
      <c r="V184" s="3"/>
      <c r="W184" s="3"/>
      <c r="X184" s="3"/>
      <c r="Y184" s="3"/>
      <c r="Z184" s="3"/>
      <c r="AA184" s="3"/>
      <c r="AB184" s="3"/>
      <c r="AC184" s="2"/>
      <c r="AD184" s="2"/>
      <c r="AE184" s="2"/>
      <c r="AF184" s="2"/>
      <c r="AG184" s="2"/>
      <c r="AH184" s="2"/>
      <c r="AI184" s="2"/>
      <c r="AJ184" s="3"/>
      <c r="AK184" s="2"/>
      <c r="AL184" s="2"/>
      <c r="AM184" s="2"/>
      <c r="AN184" s="2"/>
      <c r="AO184" s="3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3"/>
      <c r="BC184" s="3"/>
      <c r="BD184" s="3"/>
      <c r="BE184" s="3"/>
      <c r="BF184" s="3"/>
      <c r="BG184" s="3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2"/>
      <c r="DI184" s="2"/>
      <c r="DJ184" s="3"/>
      <c r="DK184" s="3"/>
      <c r="DL184" s="2"/>
      <c r="DM184" s="2"/>
      <c r="DN184" s="2"/>
      <c r="DO184" s="3"/>
      <c r="DP184" s="3"/>
      <c r="GO184" t="s">
        <v>134</v>
      </c>
      <c r="GP184" t="s">
        <v>501</v>
      </c>
      <c r="GQ184" t="s">
        <v>502</v>
      </c>
      <c r="GR184">
        <v>64</v>
      </c>
      <c r="GS184">
        <v>63</v>
      </c>
      <c r="GT184">
        <v>1</v>
      </c>
      <c r="GU184" t="s">
        <v>457</v>
      </c>
      <c r="GV184">
        <v>270533053.61533499</v>
      </c>
      <c r="GW184">
        <v>3077975129.9787302</v>
      </c>
      <c r="GX184">
        <v>3348508183.59407</v>
      </c>
      <c r="GY184">
        <v>0</v>
      </c>
      <c r="GZ184">
        <v>3348508183.59407</v>
      </c>
      <c r="HA184">
        <v>3348508183.59407</v>
      </c>
      <c r="HB184">
        <v>303000000</v>
      </c>
      <c r="HC184">
        <v>0</v>
      </c>
      <c r="HD184" t="s">
        <v>137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7.0000000000000007E-2</v>
      </c>
      <c r="HX184">
        <v>0.96964931039809399</v>
      </c>
      <c r="HY184">
        <v>1</v>
      </c>
      <c r="HZ184">
        <v>300000</v>
      </c>
      <c r="IA184">
        <v>0</v>
      </c>
      <c r="IB184">
        <v>0</v>
      </c>
      <c r="IC184">
        <v>0</v>
      </c>
      <c r="ID184">
        <v>272700</v>
      </c>
      <c r="IE184">
        <v>572700</v>
      </c>
      <c r="IF184">
        <v>555318.16006498795</v>
      </c>
      <c r="IG184">
        <v>555318.16006498795</v>
      </c>
      <c r="IH184">
        <v>0</v>
      </c>
      <c r="II184">
        <v>18898441.4818689</v>
      </c>
      <c r="IJ184">
        <v>215458259.09851101</v>
      </c>
      <c r="IK184">
        <v>0</v>
      </c>
      <c r="IL184">
        <v>0</v>
      </c>
      <c r="IM184">
        <v>0</v>
      </c>
      <c r="IN184">
        <v>288876176.93713802</v>
      </c>
      <c r="IO184">
        <v>3293433389.07725</v>
      </c>
      <c r="IP184">
        <v>3582309566.01438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</row>
    <row r="185" spans="2:268" customFormat="1" x14ac:dyDescent="0.25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3"/>
      <c r="N185" s="3"/>
      <c r="O185" s="3"/>
      <c r="P185" s="2"/>
      <c r="Q185" s="2"/>
      <c r="R185" s="2"/>
      <c r="S185" s="2"/>
      <c r="T185" s="2"/>
      <c r="U185" s="2"/>
      <c r="V185" s="3"/>
      <c r="W185" s="3"/>
      <c r="X185" s="3"/>
      <c r="Y185" s="3"/>
      <c r="Z185" s="3"/>
      <c r="AA185" s="3"/>
      <c r="AB185" s="3"/>
      <c r="AC185" s="2"/>
      <c r="AD185" s="2"/>
      <c r="AE185" s="2"/>
      <c r="AF185" s="2"/>
      <c r="AG185" s="2"/>
      <c r="AH185" s="2"/>
      <c r="AI185" s="2"/>
      <c r="AJ185" s="3"/>
      <c r="AK185" s="2"/>
      <c r="AL185" s="2"/>
      <c r="AM185" s="2"/>
      <c r="AN185" s="2"/>
      <c r="AO185" s="3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3"/>
      <c r="BC185" s="3"/>
      <c r="BD185" s="3"/>
      <c r="BE185" s="3"/>
      <c r="BF185" s="3"/>
      <c r="BG185" s="3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2"/>
      <c r="DI185" s="2"/>
      <c r="DJ185" s="3"/>
      <c r="DK185" s="3"/>
      <c r="DL185" s="2"/>
      <c r="DM185" s="2"/>
      <c r="DN185" s="2"/>
      <c r="DO185" s="3"/>
      <c r="DP185" s="3"/>
      <c r="GO185" t="s">
        <v>134</v>
      </c>
      <c r="GP185" t="s">
        <v>501</v>
      </c>
      <c r="GQ185" t="s">
        <v>502</v>
      </c>
      <c r="GR185">
        <v>65</v>
      </c>
      <c r="GS185">
        <v>64</v>
      </c>
      <c r="GT185">
        <v>1</v>
      </c>
      <c r="GU185" t="s">
        <v>457</v>
      </c>
      <c r="GV185">
        <v>288876176.93713802</v>
      </c>
      <c r="GW185">
        <v>3293433389.07725</v>
      </c>
      <c r="GX185">
        <v>3582309566.01438</v>
      </c>
      <c r="GY185">
        <v>0</v>
      </c>
      <c r="GZ185">
        <v>3582309566.01438</v>
      </c>
      <c r="HA185">
        <v>3582309566.01438</v>
      </c>
      <c r="HB185">
        <v>303000000</v>
      </c>
      <c r="HC185">
        <v>0</v>
      </c>
      <c r="HD185" t="s">
        <v>137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7.0000000000000007E-2</v>
      </c>
      <c r="HX185">
        <v>0.96964931039809399</v>
      </c>
      <c r="HY185">
        <v>1</v>
      </c>
      <c r="HZ185">
        <v>300000</v>
      </c>
      <c r="IA185">
        <v>0</v>
      </c>
      <c r="IB185">
        <v>0</v>
      </c>
      <c r="IC185">
        <v>0</v>
      </c>
      <c r="ID185">
        <v>272700</v>
      </c>
      <c r="IE185">
        <v>572700</v>
      </c>
      <c r="IF185">
        <v>555318.16006498795</v>
      </c>
      <c r="IG185">
        <v>555318.16006498795</v>
      </c>
      <c r="IH185">
        <v>0</v>
      </c>
      <c r="II185">
        <v>20182460.114395101</v>
      </c>
      <c r="IJ185">
        <v>230540337.23540699</v>
      </c>
      <c r="IK185">
        <v>0</v>
      </c>
      <c r="IL185">
        <v>0</v>
      </c>
      <c r="IM185">
        <v>0</v>
      </c>
      <c r="IN185">
        <v>308503318.891469</v>
      </c>
      <c r="IO185">
        <v>3523973726.3126502</v>
      </c>
      <c r="IP185">
        <v>3832477045.2041202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</row>
    <row r="186" spans="2:268" customFormat="1" x14ac:dyDescent="0.25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3"/>
      <c r="N186" s="3"/>
      <c r="O186" s="3"/>
      <c r="P186" s="2"/>
      <c r="Q186" s="2"/>
      <c r="R186" s="2"/>
      <c r="S186" s="2"/>
      <c r="T186" s="2"/>
      <c r="U186" s="2"/>
      <c r="V186" s="3"/>
      <c r="W186" s="3"/>
      <c r="X186" s="3"/>
      <c r="Y186" s="3"/>
      <c r="Z186" s="3"/>
      <c r="AA186" s="3"/>
      <c r="AB186" s="3"/>
      <c r="AC186" s="2"/>
      <c r="AD186" s="2"/>
      <c r="AE186" s="2"/>
      <c r="AF186" s="2"/>
      <c r="AG186" s="2"/>
      <c r="AH186" s="2"/>
      <c r="AI186" s="2"/>
      <c r="AJ186" s="3"/>
      <c r="AK186" s="2"/>
      <c r="AL186" s="2"/>
      <c r="AM186" s="2"/>
      <c r="AN186" s="2"/>
      <c r="AO186" s="3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3"/>
      <c r="BC186" s="3"/>
      <c r="BD186" s="3"/>
      <c r="BE186" s="3"/>
      <c r="BF186" s="3"/>
      <c r="BG186" s="3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2"/>
      <c r="DI186" s="2"/>
      <c r="DJ186" s="3"/>
      <c r="DK186" s="3"/>
      <c r="DL186" s="2"/>
      <c r="DM186" s="2"/>
      <c r="DN186" s="2"/>
      <c r="DO186" s="3"/>
      <c r="DP186" s="3"/>
      <c r="GO186" t="s">
        <v>134</v>
      </c>
      <c r="GP186" t="s">
        <v>501</v>
      </c>
      <c r="GQ186" t="s">
        <v>502</v>
      </c>
      <c r="GR186">
        <v>66</v>
      </c>
      <c r="GS186">
        <v>65</v>
      </c>
      <c r="GT186">
        <v>1</v>
      </c>
      <c r="GU186" t="s">
        <v>457</v>
      </c>
      <c r="GV186">
        <v>308503318.891469</v>
      </c>
      <c r="GW186">
        <v>3523973726.3126502</v>
      </c>
      <c r="GX186">
        <v>3832477045.2041202</v>
      </c>
      <c r="GY186">
        <v>0</v>
      </c>
      <c r="GZ186">
        <v>3832477045.2041202</v>
      </c>
      <c r="HA186">
        <v>3832477045.2041202</v>
      </c>
      <c r="HB186">
        <v>303000000</v>
      </c>
      <c r="HC186">
        <v>0</v>
      </c>
      <c r="HD186" t="s">
        <v>137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7.0000000000000007E-2</v>
      </c>
      <c r="HX186">
        <v>0.96964931039809399</v>
      </c>
      <c r="HY186">
        <v>1</v>
      </c>
      <c r="HZ186">
        <v>300000</v>
      </c>
      <c r="IA186">
        <v>0</v>
      </c>
      <c r="IB186">
        <v>0</v>
      </c>
      <c r="IC186">
        <v>0</v>
      </c>
      <c r="ID186">
        <v>272700</v>
      </c>
      <c r="IE186">
        <v>572700</v>
      </c>
      <c r="IF186">
        <v>555318.16006498795</v>
      </c>
      <c r="IG186">
        <v>555318.16006498795</v>
      </c>
      <c r="IH186">
        <v>0</v>
      </c>
      <c r="II186">
        <v>21556360.051198199</v>
      </c>
      <c r="IJ186">
        <v>246678160.84188601</v>
      </c>
      <c r="IK186">
        <v>0</v>
      </c>
      <c r="IL186">
        <v>0</v>
      </c>
      <c r="IM186">
        <v>0</v>
      </c>
      <c r="IN186">
        <v>329504360.78260201</v>
      </c>
      <c r="IO186">
        <v>3770651887.1545401</v>
      </c>
      <c r="IP186">
        <v>4100156247.93714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</row>
    <row r="187" spans="2:268" customFormat="1" x14ac:dyDescent="0.25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s="3"/>
      <c r="O187" s="3"/>
      <c r="P187" s="2"/>
      <c r="Q187" s="2"/>
      <c r="R187" s="2"/>
      <c r="S187" s="2"/>
      <c r="T187" s="2"/>
      <c r="U187" s="2"/>
      <c r="V187" s="3"/>
      <c r="W187" s="3"/>
      <c r="X187" s="3"/>
      <c r="Y187" s="3"/>
      <c r="Z187" s="3"/>
      <c r="AA187" s="3"/>
      <c r="AB187" s="3"/>
      <c r="AC187" s="2"/>
      <c r="AD187" s="2"/>
      <c r="AE187" s="2"/>
      <c r="AF187" s="2"/>
      <c r="AG187" s="2"/>
      <c r="AH187" s="2"/>
      <c r="AI187" s="2"/>
      <c r="AJ187" s="3"/>
      <c r="AK187" s="2"/>
      <c r="AL187" s="2"/>
      <c r="AM187" s="2"/>
      <c r="AN187" s="2"/>
      <c r="AO187" s="3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3"/>
      <c r="BC187" s="3"/>
      <c r="BD187" s="3"/>
      <c r="BE187" s="3"/>
      <c r="BF187" s="3"/>
      <c r="BG187" s="3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2"/>
      <c r="DI187" s="2"/>
      <c r="DJ187" s="3"/>
      <c r="DK187" s="3"/>
      <c r="DL187" s="2"/>
      <c r="DM187" s="2"/>
      <c r="DN187" s="2"/>
      <c r="DO187" s="3"/>
      <c r="DP187" s="3"/>
      <c r="GO187" t="s">
        <v>134</v>
      </c>
      <c r="GP187" t="s">
        <v>501</v>
      </c>
      <c r="GQ187" t="s">
        <v>502</v>
      </c>
      <c r="GR187">
        <v>67</v>
      </c>
      <c r="GS187">
        <v>66</v>
      </c>
      <c r="GT187">
        <v>1</v>
      </c>
      <c r="GU187" t="s">
        <v>457</v>
      </c>
      <c r="GV187">
        <v>329504360.78260201</v>
      </c>
      <c r="GW187">
        <v>3770651887.1545401</v>
      </c>
      <c r="GX187">
        <v>4100156247.93714</v>
      </c>
      <c r="GY187">
        <v>0</v>
      </c>
      <c r="GZ187">
        <v>4100156247.93714</v>
      </c>
      <c r="HA187">
        <v>4100156247.93714</v>
      </c>
      <c r="HB187">
        <v>0</v>
      </c>
      <c r="HC187">
        <v>0</v>
      </c>
      <c r="HD187" t="s">
        <v>137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7.0000000000000007E-2</v>
      </c>
      <c r="HX187">
        <v>0.96964931039809399</v>
      </c>
      <c r="HY187">
        <v>1</v>
      </c>
      <c r="HZ187">
        <v>300000</v>
      </c>
      <c r="IA187">
        <v>0</v>
      </c>
      <c r="IB187">
        <v>0</v>
      </c>
      <c r="IC187">
        <v>0</v>
      </c>
      <c r="ID187">
        <v>0</v>
      </c>
      <c r="IE187">
        <v>300000</v>
      </c>
      <c r="IF187">
        <v>290894.79311942798</v>
      </c>
      <c r="IG187">
        <v>290894.79311942798</v>
      </c>
      <c r="IH187">
        <v>0</v>
      </c>
      <c r="II187">
        <v>23044942.619263802</v>
      </c>
      <c r="IJ187">
        <v>263945632.10081801</v>
      </c>
      <c r="IK187">
        <v>0</v>
      </c>
      <c r="IL187">
        <v>0</v>
      </c>
      <c r="IM187">
        <v>0</v>
      </c>
      <c r="IN187">
        <v>352258408.60874599</v>
      </c>
      <c r="IO187">
        <v>4034597519.2553601</v>
      </c>
      <c r="IP187">
        <v>4386855927.8641005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</row>
    <row r="188" spans="2:268" customFormat="1" x14ac:dyDescent="0.25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3"/>
      <c r="N188" s="3"/>
      <c r="O188" s="3"/>
      <c r="P188" s="2"/>
      <c r="Q188" s="2"/>
      <c r="R188" s="2"/>
      <c r="S188" s="2"/>
      <c r="T188" s="2"/>
      <c r="U188" s="2"/>
      <c r="V188" s="3"/>
      <c r="W188" s="3"/>
      <c r="X188" s="3"/>
      <c r="Y188" s="3"/>
      <c r="Z188" s="3"/>
      <c r="AA188" s="3"/>
      <c r="AB188" s="3"/>
      <c r="AC188" s="2"/>
      <c r="AD188" s="2"/>
      <c r="AE188" s="2"/>
      <c r="AF188" s="2"/>
      <c r="AG188" s="2"/>
      <c r="AH188" s="2"/>
      <c r="AI188" s="2"/>
      <c r="AJ188" s="3"/>
      <c r="AK188" s="2"/>
      <c r="AL188" s="2"/>
      <c r="AM188" s="2"/>
      <c r="AN188" s="2"/>
      <c r="AO188" s="3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3"/>
      <c r="BC188" s="3"/>
      <c r="BD188" s="3"/>
      <c r="BE188" s="3"/>
      <c r="BF188" s="3"/>
      <c r="BG188" s="3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2"/>
      <c r="DI188" s="2"/>
      <c r="DJ188" s="3"/>
      <c r="DK188" s="3"/>
      <c r="DL188" s="2"/>
      <c r="DM188" s="2"/>
      <c r="DN188" s="2"/>
      <c r="DO188" s="3"/>
      <c r="DP188" s="3"/>
      <c r="GO188" t="s">
        <v>134</v>
      </c>
      <c r="GP188" t="s">
        <v>501</v>
      </c>
      <c r="GQ188" t="s">
        <v>502</v>
      </c>
      <c r="GR188">
        <v>68</v>
      </c>
      <c r="GS188">
        <v>67</v>
      </c>
      <c r="GT188">
        <v>1</v>
      </c>
      <c r="GU188" t="s">
        <v>457</v>
      </c>
      <c r="GV188">
        <v>352258408.60874599</v>
      </c>
      <c r="GW188">
        <v>4034597519.2553601</v>
      </c>
      <c r="GX188">
        <v>4386855927.8641005</v>
      </c>
      <c r="GY188">
        <v>0</v>
      </c>
      <c r="GZ188">
        <v>4386855927.8641005</v>
      </c>
      <c r="HA188">
        <v>4386855927.8641005</v>
      </c>
      <c r="HB188">
        <v>0</v>
      </c>
      <c r="HC188">
        <v>0</v>
      </c>
      <c r="HD188" t="s">
        <v>137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7.0000000000000007E-2</v>
      </c>
      <c r="HX188">
        <v>0.96964931039809399</v>
      </c>
      <c r="HY188">
        <v>1</v>
      </c>
      <c r="HZ188">
        <v>300000</v>
      </c>
      <c r="IA188">
        <v>0</v>
      </c>
      <c r="IB188">
        <v>0</v>
      </c>
      <c r="IC188">
        <v>0</v>
      </c>
      <c r="ID188">
        <v>0</v>
      </c>
      <c r="IE188">
        <v>300000</v>
      </c>
      <c r="IF188">
        <v>290894.79311942798</v>
      </c>
      <c r="IG188">
        <v>290894.79311942798</v>
      </c>
      <c r="IH188">
        <v>0</v>
      </c>
      <c r="II188">
        <v>24637725.9670939</v>
      </c>
      <c r="IJ188">
        <v>282421826.347875</v>
      </c>
      <c r="IK188">
        <v>0</v>
      </c>
      <c r="IL188">
        <v>0</v>
      </c>
      <c r="IM188">
        <v>0</v>
      </c>
      <c r="IN188">
        <v>376605239.78272098</v>
      </c>
      <c r="IO188">
        <v>4317019345.6032305</v>
      </c>
      <c r="IP188">
        <v>4693624585.3859501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</row>
    <row r="189" spans="2:268" customFormat="1" x14ac:dyDescent="0.25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3"/>
      <c r="N189" s="3"/>
      <c r="O189" s="3"/>
      <c r="P189" s="2"/>
      <c r="Q189" s="2"/>
      <c r="R189" s="2"/>
      <c r="S189" s="2"/>
      <c r="T189" s="2"/>
      <c r="U189" s="2"/>
      <c r="V189" s="3"/>
      <c r="W189" s="3"/>
      <c r="X189" s="3"/>
      <c r="Y189" s="3"/>
      <c r="Z189" s="3"/>
      <c r="AA189" s="3"/>
      <c r="AB189" s="3"/>
      <c r="AC189" s="2"/>
      <c r="AD189" s="2"/>
      <c r="AE189" s="2"/>
      <c r="AF189" s="2"/>
      <c r="AG189" s="2"/>
      <c r="AH189" s="2"/>
      <c r="AI189" s="2"/>
      <c r="AJ189" s="3"/>
      <c r="AK189" s="2"/>
      <c r="AL189" s="2"/>
      <c r="AM189" s="2"/>
      <c r="AN189" s="2"/>
      <c r="AO189" s="3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3"/>
      <c r="BC189" s="3"/>
      <c r="BD189" s="3"/>
      <c r="BE189" s="3"/>
      <c r="BF189" s="3"/>
      <c r="BG189" s="3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2"/>
      <c r="DI189" s="2"/>
      <c r="DJ189" s="3"/>
      <c r="DK189" s="3"/>
      <c r="DL189" s="2"/>
      <c r="DM189" s="2"/>
      <c r="DN189" s="2"/>
      <c r="DO189" s="3"/>
      <c r="DP189" s="3"/>
      <c r="GO189" t="s">
        <v>134</v>
      </c>
      <c r="GP189" t="s">
        <v>501</v>
      </c>
      <c r="GQ189" t="s">
        <v>502</v>
      </c>
      <c r="GR189">
        <v>69</v>
      </c>
      <c r="GS189">
        <v>68</v>
      </c>
      <c r="GT189">
        <v>1</v>
      </c>
      <c r="GU189" t="s">
        <v>457</v>
      </c>
      <c r="GV189">
        <v>376605239.78272098</v>
      </c>
      <c r="GW189">
        <v>4317019345.6032305</v>
      </c>
      <c r="GX189">
        <v>4693624585.3859501</v>
      </c>
      <c r="GY189">
        <v>0</v>
      </c>
      <c r="GZ189">
        <v>4693624585.3859501</v>
      </c>
      <c r="HA189">
        <v>4693624585.3859501</v>
      </c>
      <c r="HB189">
        <v>0</v>
      </c>
      <c r="HC189">
        <v>0</v>
      </c>
      <c r="HD189" t="s">
        <v>137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7.0000000000000007E-2</v>
      </c>
      <c r="HX189">
        <v>0.96964931039809399</v>
      </c>
      <c r="HY189">
        <v>1</v>
      </c>
      <c r="HZ189">
        <v>300000</v>
      </c>
      <c r="IA189">
        <v>0</v>
      </c>
      <c r="IB189">
        <v>0</v>
      </c>
      <c r="IC189">
        <v>0</v>
      </c>
      <c r="ID189">
        <v>0</v>
      </c>
      <c r="IE189">
        <v>300000</v>
      </c>
      <c r="IF189">
        <v>290894.79311942798</v>
      </c>
      <c r="IG189">
        <v>290894.79311942798</v>
      </c>
      <c r="IH189">
        <v>0</v>
      </c>
      <c r="II189">
        <v>26342004.149272099</v>
      </c>
      <c r="IJ189">
        <v>302191354.19222599</v>
      </c>
      <c r="IK189">
        <v>0</v>
      </c>
      <c r="IL189">
        <v>0</v>
      </c>
      <c r="IM189">
        <v>0</v>
      </c>
      <c r="IN189">
        <v>402656349.13887298</v>
      </c>
      <c r="IO189">
        <v>4619210699.7954597</v>
      </c>
      <c r="IP189">
        <v>5021867048.93433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</row>
    <row r="190" spans="2:268" customFormat="1" x14ac:dyDescent="0.25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3"/>
      <c r="N190" s="3"/>
      <c r="O190" s="3"/>
      <c r="P190" s="2"/>
      <c r="Q190" s="2"/>
      <c r="R190" s="2"/>
      <c r="S190" s="2"/>
      <c r="T190" s="2"/>
      <c r="U190" s="2"/>
      <c r="V190" s="3"/>
      <c r="W190" s="3"/>
      <c r="X190" s="3"/>
      <c r="Y190" s="3"/>
      <c r="Z190" s="3"/>
      <c r="AA190" s="3"/>
      <c r="AB190" s="3"/>
      <c r="AC190" s="2"/>
      <c r="AD190" s="2"/>
      <c r="AE190" s="2"/>
      <c r="AF190" s="2"/>
      <c r="AG190" s="2"/>
      <c r="AH190" s="2"/>
      <c r="AI190" s="2"/>
      <c r="AJ190" s="3"/>
      <c r="AK190" s="2"/>
      <c r="AL190" s="2"/>
      <c r="AM190" s="2"/>
      <c r="AN190" s="2"/>
      <c r="AO190" s="3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3"/>
      <c r="BC190" s="3"/>
      <c r="BD190" s="3"/>
      <c r="BE190" s="3"/>
      <c r="BF190" s="3"/>
      <c r="BG190" s="3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2"/>
      <c r="DI190" s="2"/>
      <c r="DJ190" s="3"/>
      <c r="DK190" s="3"/>
      <c r="DL190" s="2"/>
      <c r="DM190" s="2"/>
      <c r="DN190" s="2"/>
      <c r="DO190" s="3"/>
      <c r="DP190" s="3"/>
      <c r="GO190" t="s">
        <v>134</v>
      </c>
      <c r="GP190" t="s">
        <v>501</v>
      </c>
      <c r="GQ190" t="s">
        <v>502</v>
      </c>
      <c r="GR190">
        <v>70</v>
      </c>
      <c r="GS190">
        <v>69</v>
      </c>
      <c r="GT190">
        <v>1</v>
      </c>
      <c r="GU190" t="s">
        <v>457</v>
      </c>
      <c r="GV190">
        <v>402656349.13887298</v>
      </c>
      <c r="GW190">
        <v>4619210699.7954597</v>
      </c>
      <c r="GX190">
        <v>5021867048.93433</v>
      </c>
      <c r="GY190">
        <v>0</v>
      </c>
      <c r="GZ190">
        <v>5021867048.93433</v>
      </c>
      <c r="HA190">
        <v>5021867048.93433</v>
      </c>
      <c r="HB190">
        <v>0</v>
      </c>
      <c r="HC190">
        <v>0</v>
      </c>
      <c r="HD190" t="s">
        <v>137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7.0000000000000007E-2</v>
      </c>
      <c r="HX190">
        <v>0.96964931039809399</v>
      </c>
      <c r="HY190">
        <v>1</v>
      </c>
      <c r="HZ190">
        <v>300000</v>
      </c>
      <c r="IA190">
        <v>0</v>
      </c>
      <c r="IB190">
        <v>0</v>
      </c>
      <c r="IC190">
        <v>0</v>
      </c>
      <c r="ID190">
        <v>0</v>
      </c>
      <c r="IE190">
        <v>300000</v>
      </c>
      <c r="IF190">
        <v>290894.79311942798</v>
      </c>
      <c r="IG190">
        <v>290894.79311942798</v>
      </c>
      <c r="IH190">
        <v>0</v>
      </c>
      <c r="II190">
        <v>28165581.804202799</v>
      </c>
      <c r="IJ190">
        <v>323344748.98568201</v>
      </c>
      <c r="IK190">
        <v>0</v>
      </c>
      <c r="IL190">
        <v>0</v>
      </c>
      <c r="IM190">
        <v>0</v>
      </c>
      <c r="IN190">
        <v>430531036.149957</v>
      </c>
      <c r="IO190">
        <v>4942555448.7811403</v>
      </c>
      <c r="IP190">
        <v>5373086484.9310999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</row>
    <row r="191" spans="2:268" customFormat="1" x14ac:dyDescent="0.25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3"/>
      <c r="N191" s="3"/>
      <c r="O191" s="3"/>
      <c r="P191" s="2"/>
      <c r="Q191" s="2"/>
      <c r="R191" s="2"/>
      <c r="S191" s="2"/>
      <c r="T191" s="2"/>
      <c r="U191" s="2"/>
      <c r="V191" s="3"/>
      <c r="W191" s="3"/>
      <c r="X191" s="3"/>
      <c r="Y191" s="3"/>
      <c r="Z191" s="3"/>
      <c r="AA191" s="3"/>
      <c r="AB191" s="3"/>
      <c r="AC191" s="2"/>
      <c r="AD191" s="2"/>
      <c r="AE191" s="2"/>
      <c r="AF191" s="2"/>
      <c r="AG191" s="2"/>
      <c r="AH191" s="2"/>
      <c r="AI191" s="2"/>
      <c r="AJ191" s="3"/>
      <c r="AK191" s="2"/>
      <c r="AL191" s="2"/>
      <c r="AM191" s="2"/>
      <c r="AN191" s="2"/>
      <c r="AO191" s="3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3"/>
      <c r="BC191" s="3"/>
      <c r="BD191" s="3"/>
      <c r="BE191" s="3"/>
      <c r="BF191" s="3"/>
      <c r="BG191" s="3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2"/>
      <c r="DI191" s="2"/>
      <c r="DJ191" s="3"/>
      <c r="DK191" s="3"/>
      <c r="DL191" s="2"/>
      <c r="DM191" s="2"/>
      <c r="DN191" s="2"/>
      <c r="DO191" s="3"/>
      <c r="DP191" s="3"/>
      <c r="GO191" t="s">
        <v>134</v>
      </c>
      <c r="GP191" t="s">
        <v>501</v>
      </c>
      <c r="GQ191" t="s">
        <v>502</v>
      </c>
      <c r="GR191">
        <v>71</v>
      </c>
      <c r="GS191">
        <v>70</v>
      </c>
      <c r="GT191">
        <v>1</v>
      </c>
      <c r="GU191" t="s">
        <v>457</v>
      </c>
      <c r="GV191">
        <v>430531036.149957</v>
      </c>
      <c r="GW191">
        <v>4942555448.7811403</v>
      </c>
      <c r="GX191">
        <v>5373086484.9310999</v>
      </c>
      <c r="GY191">
        <v>0</v>
      </c>
      <c r="GZ191">
        <v>5373086484.9310999</v>
      </c>
      <c r="HA191">
        <v>5373086484.9310999</v>
      </c>
      <c r="HB191">
        <v>0</v>
      </c>
      <c r="HC191">
        <v>0</v>
      </c>
      <c r="HD191" t="s">
        <v>137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7.0000000000000007E-2</v>
      </c>
      <c r="HX191">
        <v>0.96964931039809399</v>
      </c>
      <c r="HY191">
        <v>1</v>
      </c>
      <c r="HZ191">
        <v>300000</v>
      </c>
      <c r="IA191">
        <v>0</v>
      </c>
      <c r="IB191">
        <v>0</v>
      </c>
      <c r="IC191">
        <v>0</v>
      </c>
      <c r="ID191">
        <v>0</v>
      </c>
      <c r="IE191">
        <v>300000</v>
      </c>
      <c r="IF191">
        <v>290894.79311942798</v>
      </c>
      <c r="IG191">
        <v>290894.79311942798</v>
      </c>
      <c r="IH191">
        <v>0</v>
      </c>
      <c r="II191">
        <v>30116809.894978601</v>
      </c>
      <c r="IJ191">
        <v>345978881.41468</v>
      </c>
      <c r="IK191">
        <v>0</v>
      </c>
      <c r="IL191">
        <v>0</v>
      </c>
      <c r="IM191">
        <v>0</v>
      </c>
      <c r="IN191">
        <v>460356951.25181597</v>
      </c>
      <c r="IO191">
        <v>5288534330.1958199</v>
      </c>
      <c r="IP191">
        <v>5748891281.4476299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</row>
    <row r="192" spans="2:268" customFormat="1" x14ac:dyDescent="0.25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3"/>
      <c r="N192" s="3"/>
      <c r="O192" s="3"/>
      <c r="P192" s="2"/>
      <c r="Q192" s="2"/>
      <c r="R192" s="2"/>
      <c r="S192" s="2"/>
      <c r="T192" s="2"/>
      <c r="U192" s="2"/>
      <c r="V192" s="3"/>
      <c r="W192" s="3"/>
      <c r="X192" s="3"/>
      <c r="Y192" s="3"/>
      <c r="Z192" s="3"/>
      <c r="AA192" s="3"/>
      <c r="AB192" s="3"/>
      <c r="AC192" s="2"/>
      <c r="AD192" s="2"/>
      <c r="AE192" s="2"/>
      <c r="AF192" s="2"/>
      <c r="AG192" s="2"/>
      <c r="AH192" s="2"/>
      <c r="AI192" s="2"/>
      <c r="AJ192" s="3"/>
      <c r="AK192" s="2"/>
      <c r="AL192" s="2"/>
      <c r="AM192" s="2"/>
      <c r="AN192" s="2"/>
      <c r="AO192" s="3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3"/>
      <c r="BC192" s="3"/>
      <c r="BD192" s="3"/>
      <c r="BE192" s="3"/>
      <c r="BF192" s="3"/>
      <c r="BG192" s="3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2"/>
      <c r="DI192" s="2"/>
      <c r="DJ192" s="3"/>
      <c r="DK192" s="3"/>
      <c r="DL192" s="2"/>
      <c r="DM192" s="2"/>
      <c r="DN192" s="2"/>
      <c r="DO192" s="3"/>
      <c r="DP192" s="3"/>
      <c r="GO192" t="s">
        <v>134</v>
      </c>
      <c r="GP192" t="s">
        <v>501</v>
      </c>
      <c r="GQ192" t="s">
        <v>502</v>
      </c>
      <c r="GR192">
        <v>72</v>
      </c>
      <c r="GS192">
        <v>71</v>
      </c>
      <c r="GT192">
        <v>1</v>
      </c>
      <c r="GU192" t="s">
        <v>457</v>
      </c>
      <c r="GV192">
        <v>460356951.25181597</v>
      </c>
      <c r="GW192">
        <v>5288534330.1958199</v>
      </c>
      <c r="GX192">
        <v>5748891281.4476299</v>
      </c>
      <c r="GY192">
        <v>0</v>
      </c>
      <c r="GZ192">
        <v>5748891281.4476299</v>
      </c>
      <c r="HA192">
        <v>5748891281.4476299</v>
      </c>
      <c r="HB192">
        <v>0</v>
      </c>
      <c r="HC192">
        <v>0</v>
      </c>
      <c r="HD192" t="s">
        <v>137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7.0000000000000007E-2</v>
      </c>
      <c r="HX192">
        <v>0.96964931039809399</v>
      </c>
      <c r="HY192">
        <v>1</v>
      </c>
      <c r="HZ192">
        <v>300000</v>
      </c>
      <c r="IA192">
        <v>0</v>
      </c>
      <c r="IB192">
        <v>0</v>
      </c>
      <c r="IC192">
        <v>0</v>
      </c>
      <c r="ID192">
        <v>0</v>
      </c>
      <c r="IE192">
        <v>300000</v>
      </c>
      <c r="IF192">
        <v>290894.79311942798</v>
      </c>
      <c r="IG192">
        <v>290894.79311942798</v>
      </c>
      <c r="IH192">
        <v>0</v>
      </c>
      <c r="II192">
        <v>32204623.9521087</v>
      </c>
      <c r="IJ192">
        <v>370197403.11370701</v>
      </c>
      <c r="IK192">
        <v>0</v>
      </c>
      <c r="IL192">
        <v>0</v>
      </c>
      <c r="IM192">
        <v>0</v>
      </c>
      <c r="IN192">
        <v>492270680.41080499</v>
      </c>
      <c r="IO192">
        <v>5658731733.3095303</v>
      </c>
      <c r="IP192">
        <v>6151002413.7203302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</row>
    <row r="193" spans="2:268" customFormat="1" x14ac:dyDescent="0.25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3"/>
      <c r="N193" s="3"/>
      <c r="O193" s="3"/>
      <c r="P193" s="2"/>
      <c r="Q193" s="2"/>
      <c r="R193" s="2"/>
      <c r="S193" s="2"/>
      <c r="T193" s="2"/>
      <c r="U193" s="2"/>
      <c r="V193" s="3"/>
      <c r="W193" s="3"/>
      <c r="X193" s="3"/>
      <c r="Y193" s="3"/>
      <c r="Z193" s="3"/>
      <c r="AA193" s="3"/>
      <c r="AB193" s="3"/>
      <c r="AC193" s="2"/>
      <c r="AD193" s="2"/>
      <c r="AE193" s="2"/>
      <c r="AF193" s="2"/>
      <c r="AG193" s="2"/>
      <c r="AH193" s="2"/>
      <c r="AI193" s="2"/>
      <c r="AJ193" s="3"/>
      <c r="AK193" s="2"/>
      <c r="AL193" s="2"/>
      <c r="AM193" s="2"/>
      <c r="AN193" s="2"/>
      <c r="AO193" s="3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3"/>
      <c r="BC193" s="3"/>
      <c r="BD193" s="3"/>
      <c r="BE193" s="3"/>
      <c r="BF193" s="3"/>
      <c r="BG193" s="3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2"/>
      <c r="DI193" s="2"/>
      <c r="DJ193" s="3"/>
      <c r="DK193" s="3"/>
      <c r="DL193" s="2"/>
      <c r="DM193" s="2"/>
      <c r="DN193" s="2"/>
      <c r="DO193" s="3"/>
      <c r="DP193" s="3"/>
      <c r="GO193" t="s">
        <v>134</v>
      </c>
      <c r="GP193" t="s">
        <v>501</v>
      </c>
      <c r="GQ193" t="s">
        <v>502</v>
      </c>
      <c r="GR193">
        <v>73</v>
      </c>
      <c r="GS193">
        <v>72</v>
      </c>
      <c r="GT193">
        <v>1</v>
      </c>
      <c r="GU193" t="s">
        <v>457</v>
      </c>
      <c r="GV193">
        <v>492270680.41080499</v>
      </c>
      <c r="GW193">
        <v>5658731733.3095303</v>
      </c>
      <c r="GX193">
        <v>6151002413.7203302</v>
      </c>
      <c r="GY193">
        <v>0</v>
      </c>
      <c r="GZ193">
        <v>6151002413.7203302</v>
      </c>
      <c r="HA193">
        <v>6151002413.7203302</v>
      </c>
      <c r="HB193">
        <v>0</v>
      </c>
      <c r="HC193">
        <v>0</v>
      </c>
      <c r="HD193" t="s">
        <v>137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7.0000000000000007E-2</v>
      </c>
      <c r="HX193">
        <v>0.96964931039809399</v>
      </c>
      <c r="HY193">
        <v>1</v>
      </c>
      <c r="HZ193">
        <v>300000</v>
      </c>
      <c r="IA193">
        <v>0</v>
      </c>
      <c r="IB193">
        <v>0</v>
      </c>
      <c r="IC193">
        <v>0</v>
      </c>
      <c r="ID193">
        <v>0</v>
      </c>
      <c r="IE193">
        <v>300000</v>
      </c>
      <c r="IF193">
        <v>290894.79311942798</v>
      </c>
      <c r="IG193">
        <v>290894.79311942798</v>
      </c>
      <c r="IH193">
        <v>0</v>
      </c>
      <c r="II193">
        <v>34438584.993238002</v>
      </c>
      <c r="IJ193">
        <v>396111221.33166701</v>
      </c>
      <c r="IK193">
        <v>0</v>
      </c>
      <c r="IL193">
        <v>0</v>
      </c>
      <c r="IM193">
        <v>0</v>
      </c>
      <c r="IN193">
        <v>526418370.61092401</v>
      </c>
      <c r="IO193">
        <v>6054842954.6411896</v>
      </c>
      <c r="IP193">
        <v>6581261325.25212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</row>
    <row r="194" spans="2:268" customFormat="1" x14ac:dyDescent="0.25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3"/>
      <c r="N194" s="3"/>
      <c r="O194" s="3"/>
      <c r="P194" s="2"/>
      <c r="Q194" s="2"/>
      <c r="R194" s="2"/>
      <c r="S194" s="2"/>
      <c r="T194" s="2"/>
      <c r="U194" s="2"/>
      <c r="V194" s="3"/>
      <c r="W194" s="3"/>
      <c r="X194" s="3"/>
      <c r="Y194" s="3"/>
      <c r="Z194" s="3"/>
      <c r="AA194" s="3"/>
      <c r="AB194" s="3"/>
      <c r="AC194" s="2"/>
      <c r="AD194" s="2"/>
      <c r="AE194" s="2"/>
      <c r="AF194" s="2"/>
      <c r="AG194" s="2"/>
      <c r="AH194" s="2"/>
      <c r="AI194" s="2"/>
      <c r="AJ194" s="3"/>
      <c r="AK194" s="2"/>
      <c r="AL194" s="2"/>
      <c r="AM194" s="2"/>
      <c r="AN194" s="2"/>
      <c r="AO194" s="3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3"/>
      <c r="BC194" s="3"/>
      <c r="BD194" s="3"/>
      <c r="BE194" s="3"/>
      <c r="BF194" s="3"/>
      <c r="BG194" s="3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2"/>
      <c r="DI194" s="2"/>
      <c r="DJ194" s="3"/>
      <c r="DK194" s="3"/>
      <c r="DL194" s="2"/>
      <c r="DM194" s="2"/>
      <c r="DN194" s="2"/>
      <c r="DO194" s="3"/>
      <c r="DP194" s="3"/>
      <c r="GO194" t="s">
        <v>134</v>
      </c>
      <c r="GP194" t="s">
        <v>501</v>
      </c>
      <c r="GQ194" t="s">
        <v>502</v>
      </c>
      <c r="GR194">
        <v>74</v>
      </c>
      <c r="GS194">
        <v>73</v>
      </c>
      <c r="GT194">
        <v>1</v>
      </c>
      <c r="GU194" t="s">
        <v>457</v>
      </c>
      <c r="GV194">
        <v>526418370.61092401</v>
      </c>
      <c r="GW194">
        <v>6054842954.6411896</v>
      </c>
      <c r="GX194">
        <v>6581261325.25212</v>
      </c>
      <c r="GY194">
        <v>0</v>
      </c>
      <c r="GZ194">
        <v>6581261325.25212</v>
      </c>
      <c r="HA194">
        <v>6581261325.25212</v>
      </c>
      <c r="HB194">
        <v>0</v>
      </c>
      <c r="HC194">
        <v>0</v>
      </c>
      <c r="HD194" t="s">
        <v>137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7.0000000000000007E-2</v>
      </c>
      <c r="HX194">
        <v>0.96964931039809399</v>
      </c>
      <c r="HY194">
        <v>1</v>
      </c>
      <c r="HZ194">
        <v>300000</v>
      </c>
      <c r="IA194">
        <v>0</v>
      </c>
      <c r="IB194">
        <v>0</v>
      </c>
      <c r="IC194">
        <v>0</v>
      </c>
      <c r="ID194">
        <v>0</v>
      </c>
      <c r="IE194">
        <v>300000</v>
      </c>
      <c r="IF194">
        <v>290894.79311942798</v>
      </c>
      <c r="IG194">
        <v>290894.79311942798</v>
      </c>
      <c r="IH194">
        <v>0</v>
      </c>
      <c r="II194">
        <v>36828923.307246298</v>
      </c>
      <c r="IJ194">
        <v>423839006.824884</v>
      </c>
      <c r="IK194">
        <v>0</v>
      </c>
      <c r="IL194">
        <v>0</v>
      </c>
      <c r="IM194">
        <v>0</v>
      </c>
      <c r="IN194">
        <v>562956399.12504995</v>
      </c>
      <c r="IO194">
        <v>6478681961.4660797</v>
      </c>
      <c r="IP194">
        <v>7041638360.5911303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</row>
    <row r="195" spans="2:268" customFormat="1" x14ac:dyDescent="0.25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3"/>
      <c r="N195" s="3"/>
      <c r="O195" s="3"/>
      <c r="P195" s="2"/>
      <c r="Q195" s="2"/>
      <c r="R195" s="2"/>
      <c r="S195" s="2"/>
      <c r="T195" s="2"/>
      <c r="U195" s="2"/>
      <c r="V195" s="3"/>
      <c r="W195" s="3"/>
      <c r="X195" s="3"/>
      <c r="Y195" s="3"/>
      <c r="Z195" s="3"/>
      <c r="AA195" s="3"/>
      <c r="AB195" s="3"/>
      <c r="AC195" s="2"/>
      <c r="AD195" s="2"/>
      <c r="AE195" s="2"/>
      <c r="AF195" s="2"/>
      <c r="AG195" s="2"/>
      <c r="AH195" s="2"/>
      <c r="AI195" s="2"/>
      <c r="AJ195" s="3"/>
      <c r="AK195" s="2"/>
      <c r="AL195" s="2"/>
      <c r="AM195" s="2"/>
      <c r="AN195" s="2"/>
      <c r="AO195" s="3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3"/>
      <c r="BC195" s="3"/>
      <c r="BD195" s="3"/>
      <c r="BE195" s="3"/>
      <c r="BF195" s="3"/>
      <c r="BG195" s="3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2"/>
      <c r="DI195" s="2"/>
      <c r="DJ195" s="3"/>
      <c r="DK195" s="3"/>
      <c r="DL195" s="2"/>
      <c r="DM195" s="2"/>
      <c r="DN195" s="2"/>
      <c r="DO195" s="3"/>
      <c r="DP195" s="3"/>
      <c r="GO195" t="s">
        <v>134</v>
      </c>
      <c r="GP195" t="s">
        <v>501</v>
      </c>
      <c r="GQ195" t="s">
        <v>502</v>
      </c>
      <c r="GR195">
        <v>75</v>
      </c>
      <c r="GS195">
        <v>74</v>
      </c>
      <c r="GT195">
        <v>1</v>
      </c>
      <c r="GU195" t="s">
        <v>457</v>
      </c>
      <c r="GV195">
        <v>562956399.12504995</v>
      </c>
      <c r="GW195">
        <v>6478681961.4660797</v>
      </c>
      <c r="GX195">
        <v>7041638360.5911303</v>
      </c>
      <c r="GY195">
        <v>0</v>
      </c>
      <c r="GZ195">
        <v>7041638360.5911303</v>
      </c>
      <c r="HA195">
        <v>7041638360.5911303</v>
      </c>
      <c r="HB195">
        <v>0</v>
      </c>
      <c r="HC195">
        <v>0</v>
      </c>
      <c r="HD195" t="s">
        <v>137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7.0000000000000007E-2</v>
      </c>
      <c r="HX195">
        <v>0.96964931039809399</v>
      </c>
      <c r="HY195">
        <v>1</v>
      </c>
      <c r="HZ195">
        <v>300000</v>
      </c>
      <c r="IA195">
        <v>0</v>
      </c>
      <c r="IB195">
        <v>0</v>
      </c>
      <c r="IC195">
        <v>0</v>
      </c>
      <c r="ID195">
        <v>0</v>
      </c>
      <c r="IE195">
        <v>300000</v>
      </c>
      <c r="IF195">
        <v>290894.79311942798</v>
      </c>
      <c r="IG195">
        <v>290894.79311942798</v>
      </c>
      <c r="IH195">
        <v>0</v>
      </c>
      <c r="II195">
        <v>39386585.303235203</v>
      </c>
      <c r="IJ195">
        <v>453507737.302625</v>
      </c>
      <c r="IK195">
        <v>0</v>
      </c>
      <c r="IL195">
        <v>0</v>
      </c>
      <c r="IM195">
        <v>0</v>
      </c>
      <c r="IN195">
        <v>602052089.63516605</v>
      </c>
      <c r="IO195">
        <v>6932189698.7686996</v>
      </c>
      <c r="IP195">
        <v>7534241788.4038696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</row>
    <row r="196" spans="2:268" customFormat="1" x14ac:dyDescent="0.25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3"/>
      <c r="N196" s="3"/>
      <c r="O196" s="3"/>
      <c r="P196" s="2"/>
      <c r="Q196" s="2"/>
      <c r="R196" s="2"/>
      <c r="S196" s="2"/>
      <c r="T196" s="2"/>
      <c r="U196" s="2"/>
      <c r="V196" s="3"/>
      <c r="W196" s="3"/>
      <c r="X196" s="3"/>
      <c r="Y196" s="3"/>
      <c r="Z196" s="3"/>
      <c r="AA196" s="3"/>
      <c r="AB196" s="3"/>
      <c r="AC196" s="2"/>
      <c r="AD196" s="2"/>
      <c r="AE196" s="2"/>
      <c r="AF196" s="2"/>
      <c r="AG196" s="2"/>
      <c r="AH196" s="2"/>
      <c r="AI196" s="2"/>
      <c r="AJ196" s="3"/>
      <c r="AK196" s="2"/>
      <c r="AL196" s="2"/>
      <c r="AM196" s="2"/>
      <c r="AN196" s="2"/>
      <c r="AO196" s="3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3"/>
      <c r="BC196" s="3"/>
      <c r="BD196" s="3"/>
      <c r="BE196" s="3"/>
      <c r="BF196" s="3"/>
      <c r="BG196" s="3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2"/>
      <c r="DI196" s="2"/>
      <c r="DJ196" s="3"/>
      <c r="DK196" s="3"/>
      <c r="DL196" s="2"/>
      <c r="DM196" s="2"/>
      <c r="DN196" s="2"/>
      <c r="DO196" s="3"/>
      <c r="DP196" s="3"/>
      <c r="GO196" t="s">
        <v>134</v>
      </c>
      <c r="GP196" t="s">
        <v>501</v>
      </c>
      <c r="GQ196" t="s">
        <v>502</v>
      </c>
      <c r="GR196">
        <v>76</v>
      </c>
      <c r="GS196">
        <v>75</v>
      </c>
      <c r="GT196">
        <v>1</v>
      </c>
      <c r="GU196" t="s">
        <v>457</v>
      </c>
      <c r="GV196">
        <v>602052089.63516605</v>
      </c>
      <c r="GW196">
        <v>6932189698.7686996</v>
      </c>
      <c r="GX196">
        <v>7534241788.4038696</v>
      </c>
      <c r="GY196">
        <v>0</v>
      </c>
      <c r="GZ196">
        <v>7534241788.4038696</v>
      </c>
      <c r="HA196">
        <v>7534241788.4038696</v>
      </c>
      <c r="HB196">
        <v>0</v>
      </c>
      <c r="HC196">
        <v>0</v>
      </c>
      <c r="HD196" t="s">
        <v>137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7.0000000000000007E-2</v>
      </c>
      <c r="HX196">
        <v>0.96964931039809399</v>
      </c>
      <c r="HY196">
        <v>1</v>
      </c>
      <c r="HZ196">
        <v>300000</v>
      </c>
      <c r="IA196">
        <v>0</v>
      </c>
      <c r="IB196">
        <v>0</v>
      </c>
      <c r="IC196">
        <v>0</v>
      </c>
      <c r="ID196">
        <v>0</v>
      </c>
      <c r="IE196">
        <v>300000</v>
      </c>
      <c r="IF196">
        <v>290894.79311942798</v>
      </c>
      <c r="IG196">
        <v>290894.79311942798</v>
      </c>
      <c r="IH196">
        <v>0</v>
      </c>
      <c r="II196">
        <v>42123283.6389433</v>
      </c>
      <c r="IJ196">
        <v>485253278.913809</v>
      </c>
      <c r="IK196">
        <v>0</v>
      </c>
      <c r="IL196">
        <v>0</v>
      </c>
      <c r="IM196">
        <v>0</v>
      </c>
      <c r="IN196">
        <v>643884478.48099005</v>
      </c>
      <c r="IO196">
        <v>7417442977.6825104</v>
      </c>
      <c r="IP196">
        <v>8061327456.1634998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</row>
    <row r="197" spans="2:268" customFormat="1" x14ac:dyDescent="0.25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3"/>
      <c r="N197" s="3"/>
      <c r="O197" s="3"/>
      <c r="P197" s="2"/>
      <c r="Q197" s="2"/>
      <c r="R197" s="2"/>
      <c r="S197" s="2"/>
      <c r="T197" s="2"/>
      <c r="U197" s="2"/>
      <c r="V197" s="3"/>
      <c r="W197" s="3"/>
      <c r="X197" s="3"/>
      <c r="Y197" s="3"/>
      <c r="Z197" s="3"/>
      <c r="AA197" s="3"/>
      <c r="AB197" s="3"/>
      <c r="AC197" s="2"/>
      <c r="AD197" s="2"/>
      <c r="AE197" s="2"/>
      <c r="AF197" s="2"/>
      <c r="AG197" s="2"/>
      <c r="AH197" s="2"/>
      <c r="AI197" s="2"/>
      <c r="AJ197" s="3"/>
      <c r="AK197" s="2"/>
      <c r="AL197" s="2"/>
      <c r="AM197" s="2"/>
      <c r="AN197" s="2"/>
      <c r="AO197" s="3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3"/>
      <c r="BC197" s="3"/>
      <c r="BD197" s="3"/>
      <c r="BE197" s="3"/>
      <c r="BF197" s="3"/>
      <c r="BG197" s="3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2"/>
      <c r="DI197" s="2"/>
      <c r="DJ197" s="3"/>
      <c r="DK197" s="3"/>
      <c r="DL197" s="2"/>
      <c r="DM197" s="2"/>
      <c r="DN197" s="2"/>
      <c r="DO197" s="3"/>
      <c r="DP197" s="3"/>
      <c r="GO197" t="s">
        <v>134</v>
      </c>
      <c r="GP197" t="s">
        <v>501</v>
      </c>
      <c r="GQ197" t="s">
        <v>502</v>
      </c>
      <c r="GR197">
        <v>77</v>
      </c>
      <c r="GS197">
        <v>76</v>
      </c>
      <c r="GT197">
        <v>1</v>
      </c>
      <c r="GU197" t="s">
        <v>457</v>
      </c>
      <c r="GV197">
        <v>643884478.48099005</v>
      </c>
      <c r="GW197">
        <v>7417442977.6825104</v>
      </c>
      <c r="GX197">
        <v>8061327456.1634998</v>
      </c>
      <c r="GY197">
        <v>0</v>
      </c>
      <c r="GZ197">
        <v>8061327456.1634998</v>
      </c>
      <c r="HA197">
        <v>8061327456.1634998</v>
      </c>
      <c r="HB197">
        <v>0</v>
      </c>
      <c r="HC197">
        <v>0</v>
      </c>
      <c r="HD197" t="s">
        <v>137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7.0000000000000007E-2</v>
      </c>
      <c r="HX197">
        <v>0.96964931039809399</v>
      </c>
      <c r="HY197">
        <v>1</v>
      </c>
      <c r="HZ197">
        <v>300000</v>
      </c>
      <c r="IA197">
        <v>0</v>
      </c>
      <c r="IB197">
        <v>0</v>
      </c>
      <c r="IC197">
        <v>0</v>
      </c>
      <c r="ID197">
        <v>0</v>
      </c>
      <c r="IE197">
        <v>300000</v>
      </c>
      <c r="IF197">
        <v>290894.79311942798</v>
      </c>
      <c r="IG197">
        <v>290894.79311942798</v>
      </c>
      <c r="IH197">
        <v>0</v>
      </c>
      <c r="II197">
        <v>45051550.858150899</v>
      </c>
      <c r="IJ197">
        <v>519221008.43777603</v>
      </c>
      <c r="IK197">
        <v>0</v>
      </c>
      <c r="IL197">
        <v>0</v>
      </c>
      <c r="IM197">
        <v>0</v>
      </c>
      <c r="IN197">
        <v>688645134.54602206</v>
      </c>
      <c r="IO197">
        <v>7936663986.1202898</v>
      </c>
      <c r="IP197">
        <v>8625309120.6663094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</row>
    <row r="198" spans="2:268" customFormat="1" x14ac:dyDescent="0.25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3"/>
      <c r="N198" s="3"/>
      <c r="O198" s="3"/>
      <c r="P198" s="2"/>
      <c r="Q198" s="2"/>
      <c r="R198" s="2"/>
      <c r="S198" s="2"/>
      <c r="T198" s="2"/>
      <c r="U198" s="2"/>
      <c r="V198" s="3"/>
      <c r="W198" s="3"/>
      <c r="X198" s="3"/>
      <c r="Y198" s="3"/>
      <c r="Z198" s="3"/>
      <c r="AA198" s="3"/>
      <c r="AB198" s="3"/>
      <c r="AC198" s="2"/>
      <c r="AD198" s="2"/>
      <c r="AE198" s="2"/>
      <c r="AF198" s="2"/>
      <c r="AG198" s="2"/>
      <c r="AH198" s="2"/>
      <c r="AI198" s="2"/>
      <c r="AJ198" s="3"/>
      <c r="AK198" s="2"/>
      <c r="AL198" s="2"/>
      <c r="AM198" s="2"/>
      <c r="AN198" s="2"/>
      <c r="AO198" s="3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3"/>
      <c r="BC198" s="3"/>
      <c r="BD198" s="3"/>
      <c r="BE198" s="3"/>
      <c r="BF198" s="3"/>
      <c r="BG198" s="3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2"/>
      <c r="DI198" s="2"/>
      <c r="DJ198" s="3"/>
      <c r="DK198" s="3"/>
      <c r="DL198" s="2"/>
      <c r="DM198" s="2"/>
      <c r="DN198" s="2"/>
      <c r="DO198" s="3"/>
      <c r="DP198" s="3"/>
      <c r="GO198" t="s">
        <v>134</v>
      </c>
      <c r="GP198" t="s">
        <v>501</v>
      </c>
      <c r="GQ198" t="s">
        <v>502</v>
      </c>
      <c r="GR198">
        <v>78</v>
      </c>
      <c r="GS198">
        <v>77</v>
      </c>
      <c r="GT198">
        <v>1</v>
      </c>
      <c r="GU198" t="s">
        <v>457</v>
      </c>
      <c r="GV198">
        <v>688645134.54602206</v>
      </c>
      <c r="GW198">
        <v>7936663986.1202898</v>
      </c>
      <c r="GX198">
        <v>8625309120.6663094</v>
      </c>
      <c r="GY198">
        <v>0</v>
      </c>
      <c r="GZ198">
        <v>8625309120.6663094</v>
      </c>
      <c r="HA198">
        <v>8625309120.6663094</v>
      </c>
      <c r="HB198">
        <v>0</v>
      </c>
      <c r="HC198">
        <v>0</v>
      </c>
      <c r="HD198" t="s">
        <v>137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7.0000000000000007E-2</v>
      </c>
      <c r="HX198">
        <v>0.96964931039809399</v>
      </c>
      <c r="HY198">
        <v>1</v>
      </c>
      <c r="HZ198">
        <v>300000</v>
      </c>
      <c r="IA198">
        <v>0</v>
      </c>
      <c r="IB198">
        <v>0</v>
      </c>
      <c r="IC198">
        <v>0</v>
      </c>
      <c r="ID198">
        <v>0</v>
      </c>
      <c r="IE198">
        <v>300000</v>
      </c>
      <c r="IF198">
        <v>290894.79311942798</v>
      </c>
      <c r="IG198">
        <v>290894.79311942798</v>
      </c>
      <c r="IH198">
        <v>0</v>
      </c>
      <c r="II198">
        <v>48184796.782703198</v>
      </c>
      <c r="IJ198">
        <v>555566479.02841997</v>
      </c>
      <c r="IK198">
        <v>0</v>
      </c>
      <c r="IL198">
        <v>0</v>
      </c>
      <c r="IM198">
        <v>0</v>
      </c>
      <c r="IN198">
        <v>736539036.53560495</v>
      </c>
      <c r="IO198">
        <v>8492230465.1487103</v>
      </c>
      <c r="IP198">
        <v>9228769501.6843109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</row>
    <row r="199" spans="2:268" customFormat="1" x14ac:dyDescent="0.25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3"/>
      <c r="N199" s="3"/>
      <c r="O199" s="3"/>
      <c r="P199" s="2"/>
      <c r="Q199" s="2"/>
      <c r="R199" s="2"/>
      <c r="S199" s="2"/>
      <c r="T199" s="2"/>
      <c r="U199" s="2"/>
      <c r="V199" s="3"/>
      <c r="W199" s="3"/>
      <c r="X199" s="3"/>
      <c r="Y199" s="3"/>
      <c r="Z199" s="3"/>
      <c r="AA199" s="3"/>
      <c r="AB199" s="3"/>
      <c r="AC199" s="2"/>
      <c r="AD199" s="2"/>
      <c r="AE199" s="2"/>
      <c r="AF199" s="2"/>
      <c r="AG199" s="2"/>
      <c r="AH199" s="2"/>
      <c r="AI199" s="2"/>
      <c r="AJ199" s="3"/>
      <c r="AK199" s="2"/>
      <c r="AL199" s="2"/>
      <c r="AM199" s="2"/>
      <c r="AN199" s="2"/>
      <c r="AO199" s="3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3"/>
      <c r="BC199" s="3"/>
      <c r="BD199" s="3"/>
      <c r="BE199" s="3"/>
      <c r="BF199" s="3"/>
      <c r="BG199" s="3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2"/>
      <c r="DI199" s="2"/>
      <c r="DJ199" s="3"/>
      <c r="DK199" s="3"/>
      <c r="DL199" s="2"/>
      <c r="DM199" s="2"/>
      <c r="DN199" s="2"/>
      <c r="DO199" s="3"/>
      <c r="DP199" s="3"/>
      <c r="GO199" t="s">
        <v>134</v>
      </c>
      <c r="GP199" t="s">
        <v>501</v>
      </c>
      <c r="GQ199" t="s">
        <v>502</v>
      </c>
      <c r="GR199">
        <v>79</v>
      </c>
      <c r="GS199">
        <v>78</v>
      </c>
      <c r="GT199">
        <v>1</v>
      </c>
      <c r="GU199" t="s">
        <v>457</v>
      </c>
      <c r="GV199">
        <v>736539036.53560495</v>
      </c>
      <c r="GW199">
        <v>8492230465.1487103</v>
      </c>
      <c r="GX199">
        <v>9228769501.6843109</v>
      </c>
      <c r="GY199">
        <v>0</v>
      </c>
      <c r="GZ199">
        <v>9228769501.6843109</v>
      </c>
      <c r="HA199">
        <v>9228769501.6843109</v>
      </c>
      <c r="HB199">
        <v>0</v>
      </c>
      <c r="HC199">
        <v>0</v>
      </c>
      <c r="HD199" t="s">
        <v>137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7.0000000000000007E-2</v>
      </c>
      <c r="HX199">
        <v>0.96964931039809399</v>
      </c>
      <c r="HY199">
        <v>1</v>
      </c>
      <c r="HZ199">
        <v>300000</v>
      </c>
      <c r="IA199">
        <v>0</v>
      </c>
      <c r="IB199">
        <v>0</v>
      </c>
      <c r="IC199">
        <v>0</v>
      </c>
      <c r="ID199">
        <v>0</v>
      </c>
      <c r="IE199">
        <v>300000</v>
      </c>
      <c r="IF199">
        <v>290894.79311942798</v>
      </c>
      <c r="IG199">
        <v>290894.79311942798</v>
      </c>
      <c r="IH199">
        <v>0</v>
      </c>
      <c r="II199">
        <v>51537369.921974003</v>
      </c>
      <c r="IJ199">
        <v>594456132.56041002</v>
      </c>
      <c r="IK199">
        <v>0</v>
      </c>
      <c r="IL199">
        <v>0</v>
      </c>
      <c r="IM199">
        <v>0</v>
      </c>
      <c r="IN199">
        <v>787785511.66445994</v>
      </c>
      <c r="IO199">
        <v>9086686597.7091198</v>
      </c>
      <c r="IP199">
        <v>9874472109.3735809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</row>
    <row r="200" spans="2:268" customFormat="1" x14ac:dyDescent="0.25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3"/>
      <c r="N200" s="3"/>
      <c r="O200" s="3"/>
      <c r="P200" s="2"/>
      <c r="Q200" s="2"/>
      <c r="R200" s="2"/>
      <c r="S200" s="2"/>
      <c r="T200" s="2"/>
      <c r="U200" s="2"/>
      <c r="V200" s="3"/>
      <c r="W200" s="3"/>
      <c r="X200" s="3"/>
      <c r="Y200" s="3"/>
      <c r="Z200" s="3"/>
      <c r="AA200" s="3"/>
      <c r="AB200" s="3"/>
      <c r="AC200" s="2"/>
      <c r="AD200" s="2"/>
      <c r="AE200" s="2"/>
      <c r="AF200" s="2"/>
      <c r="AG200" s="2"/>
      <c r="AH200" s="2"/>
      <c r="AI200" s="2"/>
      <c r="AJ200" s="3"/>
      <c r="AK200" s="2"/>
      <c r="AL200" s="2"/>
      <c r="AM200" s="2"/>
      <c r="AN200" s="2"/>
      <c r="AO200" s="3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3"/>
      <c r="BC200" s="3"/>
      <c r="BD200" s="3"/>
      <c r="BE200" s="3"/>
      <c r="BF200" s="3"/>
      <c r="BG200" s="3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2"/>
      <c r="DI200" s="2"/>
      <c r="DJ200" s="3"/>
      <c r="DK200" s="3"/>
      <c r="DL200" s="2"/>
      <c r="DM200" s="2"/>
      <c r="DN200" s="2"/>
      <c r="DO200" s="3"/>
      <c r="DP200" s="3"/>
      <c r="GO200" t="s">
        <v>134</v>
      </c>
      <c r="GP200" t="s">
        <v>501</v>
      </c>
      <c r="GQ200" t="s">
        <v>502</v>
      </c>
      <c r="GR200">
        <v>80</v>
      </c>
      <c r="GS200">
        <v>79</v>
      </c>
      <c r="GT200">
        <v>1</v>
      </c>
      <c r="GU200" t="s">
        <v>457</v>
      </c>
      <c r="GV200">
        <v>787785511.66445994</v>
      </c>
      <c r="GW200">
        <v>9086686597.7091198</v>
      </c>
      <c r="GX200">
        <v>9874472109.3735809</v>
      </c>
      <c r="GY200">
        <v>0</v>
      </c>
      <c r="GZ200">
        <v>9874472109.3735809</v>
      </c>
      <c r="HA200">
        <v>9874472109.3735809</v>
      </c>
      <c r="HB200">
        <v>0</v>
      </c>
      <c r="HC200">
        <v>0</v>
      </c>
      <c r="HD200" t="s">
        <v>137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7.0000000000000007E-2</v>
      </c>
      <c r="HX200">
        <v>0.96964931039809399</v>
      </c>
      <c r="HY200">
        <v>1</v>
      </c>
      <c r="HZ200">
        <v>300000</v>
      </c>
      <c r="IA200">
        <v>0</v>
      </c>
      <c r="IB200">
        <v>0</v>
      </c>
      <c r="IC200">
        <v>0</v>
      </c>
      <c r="ID200">
        <v>0</v>
      </c>
      <c r="IE200">
        <v>300000</v>
      </c>
      <c r="IF200">
        <v>290894.79311942798</v>
      </c>
      <c r="IG200">
        <v>290894.79311942798</v>
      </c>
      <c r="IH200">
        <v>0</v>
      </c>
      <c r="II200">
        <v>55124623.180993803</v>
      </c>
      <c r="IJ200">
        <v>636068061.83963799</v>
      </c>
      <c r="IK200">
        <v>0</v>
      </c>
      <c r="IL200">
        <v>0</v>
      </c>
      <c r="IM200">
        <v>0</v>
      </c>
      <c r="IN200">
        <v>842619240.05233395</v>
      </c>
      <c r="IO200">
        <v>9722754659.5487595</v>
      </c>
      <c r="IP200">
        <v>10565373899.601101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</row>
    <row r="201" spans="2:268" customFormat="1" x14ac:dyDescent="0.25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3"/>
      <c r="N201" s="3"/>
      <c r="O201" s="3"/>
      <c r="P201" s="2"/>
      <c r="Q201" s="2"/>
      <c r="R201" s="2"/>
      <c r="S201" s="2"/>
      <c r="T201" s="2"/>
      <c r="U201" s="2"/>
      <c r="V201" s="3"/>
      <c r="W201" s="3"/>
      <c r="X201" s="3"/>
      <c r="Y201" s="3"/>
      <c r="Z201" s="3"/>
      <c r="AA201" s="3"/>
      <c r="AB201" s="3"/>
      <c r="AC201" s="2"/>
      <c r="AD201" s="2"/>
      <c r="AE201" s="2"/>
      <c r="AF201" s="2"/>
      <c r="AG201" s="2"/>
      <c r="AH201" s="2"/>
      <c r="AI201" s="2"/>
      <c r="AJ201" s="3"/>
      <c r="AK201" s="2"/>
      <c r="AL201" s="2"/>
      <c r="AM201" s="2"/>
      <c r="AN201" s="2"/>
      <c r="AO201" s="3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3"/>
      <c r="BC201" s="3"/>
      <c r="BD201" s="3"/>
      <c r="BE201" s="3"/>
      <c r="BF201" s="3"/>
      <c r="BG201" s="3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2"/>
      <c r="DI201" s="2"/>
      <c r="DJ201" s="3"/>
      <c r="DK201" s="3"/>
      <c r="DL201" s="2"/>
      <c r="DM201" s="2"/>
      <c r="DN201" s="2"/>
      <c r="DO201" s="3"/>
      <c r="DP201" s="3"/>
      <c r="GO201" t="s">
        <v>134</v>
      </c>
      <c r="GP201" t="s">
        <v>501</v>
      </c>
      <c r="GQ201" t="s">
        <v>502</v>
      </c>
      <c r="GR201">
        <v>81</v>
      </c>
      <c r="GS201">
        <v>80</v>
      </c>
      <c r="GT201">
        <v>1</v>
      </c>
      <c r="GU201" t="s">
        <v>457</v>
      </c>
      <c r="GV201">
        <v>842619240.05233395</v>
      </c>
      <c r="GW201">
        <v>9722754659.5487595</v>
      </c>
      <c r="GX201">
        <v>10565373899.601101</v>
      </c>
      <c r="GY201">
        <v>0</v>
      </c>
      <c r="GZ201">
        <v>10565373899.601101</v>
      </c>
      <c r="HA201">
        <v>10565373899.601101</v>
      </c>
      <c r="HB201">
        <v>0</v>
      </c>
      <c r="HC201">
        <v>0</v>
      </c>
      <c r="HD201" t="s">
        <v>137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7.0000000000000007E-2</v>
      </c>
      <c r="HX201">
        <v>0.96964931039809399</v>
      </c>
      <c r="HY201">
        <v>1</v>
      </c>
      <c r="HZ201">
        <v>300000</v>
      </c>
      <c r="IA201">
        <v>0</v>
      </c>
      <c r="IB201">
        <v>0</v>
      </c>
      <c r="IC201">
        <v>0</v>
      </c>
      <c r="ID201">
        <v>0</v>
      </c>
      <c r="IE201">
        <v>300000</v>
      </c>
      <c r="IF201">
        <v>290894.79311942798</v>
      </c>
      <c r="IG201">
        <v>290894.79311942798</v>
      </c>
      <c r="IH201">
        <v>0</v>
      </c>
      <c r="II201">
        <v>58962984.168145001</v>
      </c>
      <c r="IJ201">
        <v>680592826.16841304</v>
      </c>
      <c r="IK201">
        <v>0</v>
      </c>
      <c r="IL201">
        <v>0</v>
      </c>
      <c r="IM201">
        <v>0</v>
      </c>
      <c r="IN201">
        <v>901291329.42736006</v>
      </c>
      <c r="IO201">
        <v>10403347485.717199</v>
      </c>
      <c r="IP201">
        <v>11304638815.144501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</row>
    <row r="202" spans="2:268" customFormat="1" x14ac:dyDescent="0.25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3"/>
      <c r="N202" s="3"/>
      <c r="O202" s="3"/>
      <c r="P202" s="2"/>
      <c r="Q202" s="2"/>
      <c r="R202" s="2"/>
      <c r="S202" s="2"/>
      <c r="T202" s="2"/>
      <c r="U202" s="2"/>
      <c r="V202" s="3"/>
      <c r="W202" s="3"/>
      <c r="X202" s="3"/>
      <c r="Y202" s="3"/>
      <c r="Z202" s="3"/>
      <c r="AA202" s="3"/>
      <c r="AB202" s="3"/>
      <c r="AC202" s="2"/>
      <c r="AD202" s="2"/>
      <c r="AE202" s="2"/>
      <c r="AF202" s="2"/>
      <c r="AG202" s="2"/>
      <c r="AH202" s="2"/>
      <c r="AI202" s="2"/>
      <c r="AJ202" s="3"/>
      <c r="AK202" s="2"/>
      <c r="AL202" s="2"/>
      <c r="AM202" s="2"/>
      <c r="AN202" s="2"/>
      <c r="AO202" s="3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3"/>
      <c r="BC202" s="3"/>
      <c r="BD202" s="3"/>
      <c r="BE202" s="3"/>
      <c r="BF202" s="3"/>
      <c r="BG202" s="3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2"/>
      <c r="DI202" s="2"/>
      <c r="DJ202" s="3"/>
      <c r="DK202" s="3"/>
      <c r="DL202" s="2"/>
      <c r="DM202" s="2"/>
      <c r="DN202" s="2"/>
      <c r="DO202" s="3"/>
      <c r="DP202" s="3"/>
      <c r="GO202" t="s">
        <v>134</v>
      </c>
      <c r="GP202" t="s">
        <v>501</v>
      </c>
      <c r="GQ202" t="s">
        <v>502</v>
      </c>
      <c r="GR202">
        <v>82</v>
      </c>
      <c r="GS202">
        <v>81</v>
      </c>
      <c r="GT202">
        <v>1</v>
      </c>
      <c r="GU202" t="s">
        <v>457</v>
      </c>
      <c r="GV202">
        <v>901291329.42736006</v>
      </c>
      <c r="GW202">
        <v>10403347485.717199</v>
      </c>
      <c r="GX202">
        <v>11304638815.144501</v>
      </c>
      <c r="GY202">
        <v>0</v>
      </c>
      <c r="GZ202">
        <v>11304638815.144501</v>
      </c>
      <c r="HA202">
        <v>11304638815.144501</v>
      </c>
      <c r="HB202">
        <v>0</v>
      </c>
      <c r="HC202">
        <v>0</v>
      </c>
      <c r="HD202" t="s">
        <v>137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7.0000000000000007E-2</v>
      </c>
      <c r="HX202">
        <v>0.96964931039809399</v>
      </c>
      <c r="HY202">
        <v>1</v>
      </c>
      <c r="HZ202">
        <v>300000</v>
      </c>
      <c r="IA202">
        <v>0</v>
      </c>
      <c r="IB202">
        <v>0</v>
      </c>
      <c r="IC202">
        <v>0</v>
      </c>
      <c r="ID202">
        <v>0</v>
      </c>
      <c r="IE202">
        <v>300000</v>
      </c>
      <c r="IF202">
        <v>290894.79311942798</v>
      </c>
      <c r="IG202">
        <v>290894.79311942798</v>
      </c>
      <c r="IH202">
        <v>0</v>
      </c>
      <c r="II202">
        <v>63070030.424396798</v>
      </c>
      <c r="IJ202">
        <v>728234324.00020194</v>
      </c>
      <c r="IK202">
        <v>0</v>
      </c>
      <c r="IL202">
        <v>0</v>
      </c>
      <c r="IM202">
        <v>0</v>
      </c>
      <c r="IN202">
        <v>964070465.05863702</v>
      </c>
      <c r="IO202">
        <v>11131581809.7174</v>
      </c>
      <c r="IP202">
        <v>12095652274.775999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</row>
    <row r="203" spans="2:268" customFormat="1" x14ac:dyDescent="0.25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3"/>
      <c r="N203" s="3"/>
      <c r="O203" s="3"/>
      <c r="P203" s="2"/>
      <c r="Q203" s="2"/>
      <c r="R203" s="2"/>
      <c r="S203" s="2"/>
      <c r="T203" s="2"/>
      <c r="U203" s="2"/>
      <c r="V203" s="3"/>
      <c r="W203" s="3"/>
      <c r="X203" s="3"/>
      <c r="Y203" s="3"/>
      <c r="Z203" s="3"/>
      <c r="AA203" s="3"/>
      <c r="AB203" s="3"/>
      <c r="AC203" s="2"/>
      <c r="AD203" s="2"/>
      <c r="AE203" s="2"/>
      <c r="AF203" s="2"/>
      <c r="AG203" s="2"/>
      <c r="AH203" s="2"/>
      <c r="AI203" s="2"/>
      <c r="AJ203" s="3"/>
      <c r="AK203" s="2"/>
      <c r="AL203" s="2"/>
      <c r="AM203" s="2"/>
      <c r="AN203" s="2"/>
      <c r="AO203" s="3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3"/>
      <c r="BC203" s="3"/>
      <c r="BD203" s="3"/>
      <c r="BE203" s="3"/>
      <c r="BF203" s="3"/>
      <c r="BG203" s="3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2"/>
      <c r="DI203" s="2"/>
      <c r="DJ203" s="3"/>
      <c r="DK203" s="3"/>
      <c r="DL203" s="2"/>
      <c r="DM203" s="2"/>
      <c r="DN203" s="2"/>
      <c r="DO203" s="3"/>
      <c r="DP203" s="3"/>
      <c r="GO203" t="s">
        <v>134</v>
      </c>
      <c r="GP203" t="s">
        <v>501</v>
      </c>
      <c r="GQ203" t="s">
        <v>502</v>
      </c>
      <c r="GR203">
        <v>83</v>
      </c>
      <c r="GS203">
        <v>82</v>
      </c>
      <c r="GT203">
        <v>1</v>
      </c>
      <c r="GU203" t="s">
        <v>457</v>
      </c>
      <c r="GV203">
        <v>964070465.05863702</v>
      </c>
      <c r="GW203">
        <v>11131581809.7174</v>
      </c>
      <c r="GX203">
        <v>12095652274.775999</v>
      </c>
      <c r="GY203">
        <v>0</v>
      </c>
      <c r="GZ203">
        <v>12095652274.775999</v>
      </c>
      <c r="HA203">
        <v>12095652274.775999</v>
      </c>
      <c r="HB203">
        <v>0</v>
      </c>
      <c r="HC203">
        <v>0</v>
      </c>
      <c r="HD203" t="s">
        <v>137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7.0000000000000007E-2</v>
      </c>
      <c r="HX203">
        <v>0.96964931039809399</v>
      </c>
      <c r="HY203">
        <v>1</v>
      </c>
      <c r="HZ203">
        <v>300000</v>
      </c>
      <c r="IA203">
        <v>0</v>
      </c>
      <c r="IB203">
        <v>0</v>
      </c>
      <c r="IC203">
        <v>0</v>
      </c>
      <c r="ID203">
        <v>0</v>
      </c>
      <c r="IE203">
        <v>300000</v>
      </c>
      <c r="IF203">
        <v>290894.79311942798</v>
      </c>
      <c r="IG203">
        <v>290894.79311942798</v>
      </c>
      <c r="IH203">
        <v>0</v>
      </c>
      <c r="II203">
        <v>67464569.918586299</v>
      </c>
      <c r="IJ203">
        <v>779210726.68021595</v>
      </c>
      <c r="IK203">
        <v>0</v>
      </c>
      <c r="IL203">
        <v>0</v>
      </c>
      <c r="IM203">
        <v>0</v>
      </c>
      <c r="IN203">
        <v>1031244140.1841</v>
      </c>
      <c r="IO203">
        <v>11910792536.3976</v>
      </c>
      <c r="IP203">
        <v>12942036676.581699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</row>
    <row r="204" spans="2:268" customFormat="1" x14ac:dyDescent="0.25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3"/>
      <c r="N204" s="3"/>
      <c r="O204" s="3"/>
      <c r="P204" s="2"/>
      <c r="Q204" s="2"/>
      <c r="R204" s="2"/>
      <c r="S204" s="2"/>
      <c r="T204" s="2"/>
      <c r="U204" s="2"/>
      <c r="V204" s="3"/>
      <c r="W204" s="3"/>
      <c r="X204" s="3"/>
      <c r="Y204" s="3"/>
      <c r="Z204" s="3"/>
      <c r="AA204" s="3"/>
      <c r="AB204" s="3"/>
      <c r="AC204" s="2"/>
      <c r="AD204" s="2"/>
      <c r="AE204" s="2"/>
      <c r="AF204" s="2"/>
      <c r="AG204" s="2"/>
      <c r="AH204" s="2"/>
      <c r="AI204" s="2"/>
      <c r="AJ204" s="3"/>
      <c r="AK204" s="2"/>
      <c r="AL204" s="2"/>
      <c r="AM204" s="2"/>
      <c r="AN204" s="2"/>
      <c r="AO204" s="3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3"/>
      <c r="BC204" s="3"/>
      <c r="BD204" s="3"/>
      <c r="BE204" s="3"/>
      <c r="BF204" s="3"/>
      <c r="BG204" s="3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2"/>
      <c r="DI204" s="2"/>
      <c r="DJ204" s="3"/>
      <c r="DK204" s="3"/>
      <c r="DL204" s="2"/>
      <c r="DM204" s="2"/>
      <c r="DN204" s="2"/>
      <c r="DO204" s="3"/>
      <c r="DP204" s="3"/>
      <c r="GO204" t="s">
        <v>134</v>
      </c>
      <c r="GP204" t="s">
        <v>501</v>
      </c>
      <c r="GQ204" t="s">
        <v>502</v>
      </c>
      <c r="GR204">
        <v>84</v>
      </c>
      <c r="GS204">
        <v>83</v>
      </c>
      <c r="GT204">
        <v>1</v>
      </c>
      <c r="GU204" t="s">
        <v>457</v>
      </c>
      <c r="GV204">
        <v>1031244140.1841</v>
      </c>
      <c r="GW204">
        <v>11910792536.3976</v>
      </c>
      <c r="GX204">
        <v>12942036676.581699</v>
      </c>
      <c r="GY204">
        <v>0</v>
      </c>
      <c r="GZ204">
        <v>12942036676.581699</v>
      </c>
      <c r="HA204">
        <v>12942036676.581699</v>
      </c>
      <c r="HB204">
        <v>0</v>
      </c>
      <c r="HC204">
        <v>0</v>
      </c>
      <c r="HD204" t="s">
        <v>137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7.0000000000000007E-2</v>
      </c>
      <c r="HX204">
        <v>0.96964931039809399</v>
      </c>
      <c r="HY204">
        <v>1</v>
      </c>
      <c r="HZ204">
        <v>300000</v>
      </c>
      <c r="IA204">
        <v>0</v>
      </c>
      <c r="IB204">
        <v>0</v>
      </c>
      <c r="IC204">
        <v>0</v>
      </c>
      <c r="ID204">
        <v>0</v>
      </c>
      <c r="IE204">
        <v>300000</v>
      </c>
      <c r="IF204">
        <v>290894.79311942798</v>
      </c>
      <c r="IG204">
        <v>290894.79311942798</v>
      </c>
      <c r="IH204">
        <v>0</v>
      </c>
      <c r="II204">
        <v>72166727.177368894</v>
      </c>
      <c r="IJ204">
        <v>833755477.54783106</v>
      </c>
      <c r="IK204">
        <v>0</v>
      </c>
      <c r="IL204">
        <v>0</v>
      </c>
      <c r="IM204">
        <v>0</v>
      </c>
      <c r="IN204">
        <v>1103119972.5683501</v>
      </c>
      <c r="IO204">
        <v>12744548013.9454</v>
      </c>
      <c r="IP204">
        <v>13847667986.5138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</row>
    <row r="205" spans="2:268" customFormat="1" x14ac:dyDescent="0.25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3"/>
      <c r="N205" s="3"/>
      <c r="O205" s="3"/>
      <c r="P205" s="2"/>
      <c r="Q205" s="2"/>
      <c r="R205" s="2"/>
      <c r="S205" s="2"/>
      <c r="T205" s="2"/>
      <c r="U205" s="2"/>
      <c r="V205" s="3"/>
      <c r="W205" s="3"/>
      <c r="X205" s="3"/>
      <c r="Y205" s="3"/>
      <c r="Z205" s="3"/>
      <c r="AA205" s="3"/>
      <c r="AB205" s="3"/>
      <c r="AC205" s="2"/>
      <c r="AD205" s="2"/>
      <c r="AE205" s="2"/>
      <c r="AF205" s="2"/>
      <c r="AG205" s="2"/>
      <c r="AH205" s="2"/>
      <c r="AI205" s="2"/>
      <c r="AJ205" s="3"/>
      <c r="AK205" s="2"/>
      <c r="AL205" s="2"/>
      <c r="AM205" s="2"/>
      <c r="AN205" s="2"/>
      <c r="AO205" s="3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3"/>
      <c r="BC205" s="3"/>
      <c r="BD205" s="3"/>
      <c r="BE205" s="3"/>
      <c r="BF205" s="3"/>
      <c r="BG205" s="3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2"/>
      <c r="DI205" s="2"/>
      <c r="DJ205" s="3"/>
      <c r="DK205" s="3"/>
      <c r="DL205" s="2"/>
      <c r="DM205" s="2"/>
      <c r="DN205" s="2"/>
      <c r="DO205" s="3"/>
      <c r="DP205" s="3"/>
      <c r="GO205" t="s">
        <v>134</v>
      </c>
      <c r="GP205" t="s">
        <v>501</v>
      </c>
      <c r="GQ205" t="s">
        <v>502</v>
      </c>
      <c r="GR205">
        <v>85</v>
      </c>
      <c r="GS205">
        <v>84</v>
      </c>
      <c r="GT205">
        <v>1</v>
      </c>
      <c r="GU205" t="s">
        <v>457</v>
      </c>
      <c r="GV205">
        <v>1103119972.5683501</v>
      </c>
      <c r="GW205">
        <v>12744548013.9454</v>
      </c>
      <c r="GX205">
        <v>13847667986.5138</v>
      </c>
      <c r="GY205">
        <v>0</v>
      </c>
      <c r="GZ205">
        <v>13847667986.5138</v>
      </c>
      <c r="HA205">
        <v>13847667986.5138</v>
      </c>
      <c r="HB205">
        <v>0</v>
      </c>
      <c r="HC205">
        <v>0</v>
      </c>
      <c r="HD205" t="s">
        <v>137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7.0000000000000007E-2</v>
      </c>
      <c r="HX205">
        <v>0.96964931039809399</v>
      </c>
      <c r="HY205">
        <v>1</v>
      </c>
      <c r="HZ205">
        <v>300000</v>
      </c>
      <c r="IA205">
        <v>0</v>
      </c>
      <c r="IB205">
        <v>0</v>
      </c>
      <c r="IC205">
        <v>0</v>
      </c>
      <c r="ID205">
        <v>0</v>
      </c>
      <c r="IE205">
        <v>300000</v>
      </c>
      <c r="IF205">
        <v>290894.79311942798</v>
      </c>
      <c r="IG205">
        <v>290894.79311942798</v>
      </c>
      <c r="IH205">
        <v>0</v>
      </c>
      <c r="II205">
        <v>77198035.444266394</v>
      </c>
      <c r="IJ205">
        <v>892118360.976179</v>
      </c>
      <c r="IK205">
        <v>0</v>
      </c>
      <c r="IL205">
        <v>0</v>
      </c>
      <c r="IM205">
        <v>0</v>
      </c>
      <c r="IN205">
        <v>1180027113.2195001</v>
      </c>
      <c r="IO205">
        <v>13636666374.9216</v>
      </c>
      <c r="IP205">
        <v>14816693488.1411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</row>
    <row r="206" spans="2:268" customFormat="1" x14ac:dyDescent="0.25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3"/>
      <c r="N206" s="3"/>
      <c r="O206" s="3"/>
      <c r="P206" s="2"/>
      <c r="Q206" s="2"/>
      <c r="R206" s="2"/>
      <c r="S206" s="2"/>
      <c r="T206" s="2"/>
      <c r="U206" s="2"/>
      <c r="V206" s="3"/>
      <c r="W206" s="3"/>
      <c r="X206" s="3"/>
      <c r="Y206" s="3"/>
      <c r="Z206" s="3"/>
      <c r="AA206" s="3"/>
      <c r="AB206" s="3"/>
      <c r="AC206" s="2"/>
      <c r="AD206" s="2"/>
      <c r="AE206" s="2"/>
      <c r="AF206" s="2"/>
      <c r="AG206" s="2"/>
      <c r="AH206" s="2"/>
      <c r="AI206" s="2"/>
      <c r="AJ206" s="3"/>
      <c r="AK206" s="2"/>
      <c r="AL206" s="2"/>
      <c r="AM206" s="2"/>
      <c r="AN206" s="2"/>
      <c r="AO206" s="3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3"/>
      <c r="BC206" s="3"/>
      <c r="BD206" s="3"/>
      <c r="BE206" s="3"/>
      <c r="BF206" s="3"/>
      <c r="BG206" s="3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2"/>
      <c r="DI206" s="2"/>
      <c r="DJ206" s="3"/>
      <c r="DK206" s="3"/>
      <c r="DL206" s="2"/>
      <c r="DM206" s="2"/>
      <c r="DN206" s="2"/>
      <c r="DO206" s="3"/>
      <c r="DP206" s="3"/>
      <c r="GO206" t="s">
        <v>134</v>
      </c>
      <c r="GP206" t="s">
        <v>501</v>
      </c>
      <c r="GQ206" t="s">
        <v>502</v>
      </c>
      <c r="GR206">
        <v>86</v>
      </c>
      <c r="GS206">
        <v>85</v>
      </c>
      <c r="GT206">
        <v>1</v>
      </c>
      <c r="GU206" t="s">
        <v>457</v>
      </c>
      <c r="GV206">
        <v>1180027113.2195001</v>
      </c>
      <c r="GW206">
        <v>13636666374.9216</v>
      </c>
      <c r="GX206">
        <v>14816693488.1411</v>
      </c>
      <c r="GY206">
        <v>0</v>
      </c>
      <c r="GZ206">
        <v>14816693488.1411</v>
      </c>
      <c r="HA206">
        <v>14816693488.1411</v>
      </c>
      <c r="HB206">
        <v>0</v>
      </c>
      <c r="HC206">
        <v>0</v>
      </c>
      <c r="HD206" t="s">
        <v>137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7.0000000000000007E-2</v>
      </c>
      <c r="HX206">
        <v>0.96964931039809399</v>
      </c>
      <c r="HY206">
        <v>1</v>
      </c>
      <c r="HZ206">
        <v>300000</v>
      </c>
      <c r="IA206">
        <v>0</v>
      </c>
      <c r="IB206">
        <v>0</v>
      </c>
      <c r="IC206">
        <v>0</v>
      </c>
      <c r="ID206">
        <v>0</v>
      </c>
      <c r="IE206">
        <v>300000</v>
      </c>
      <c r="IF206">
        <v>290894.79311942798</v>
      </c>
      <c r="IG206">
        <v>290894.79311942798</v>
      </c>
      <c r="IH206">
        <v>0</v>
      </c>
      <c r="II206">
        <v>82581535.289846703</v>
      </c>
      <c r="IJ206">
        <v>954566646.24451196</v>
      </c>
      <c r="IK206">
        <v>0</v>
      </c>
      <c r="IL206">
        <v>0</v>
      </c>
      <c r="IM206">
        <v>0</v>
      </c>
      <c r="IN206">
        <v>1262317753.7162299</v>
      </c>
      <c r="IO206">
        <v>14591233021.1661</v>
      </c>
      <c r="IP206">
        <v>15853550774.882299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</row>
    <row r="207" spans="2:268" customFormat="1" x14ac:dyDescent="0.25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3"/>
      <c r="N207" s="3"/>
      <c r="O207" s="3"/>
      <c r="P207" s="2"/>
      <c r="Q207" s="2"/>
      <c r="R207" s="2"/>
      <c r="S207" s="2"/>
      <c r="T207" s="2"/>
      <c r="U207" s="2"/>
      <c r="V207" s="3"/>
      <c r="W207" s="3"/>
      <c r="X207" s="3"/>
      <c r="Y207" s="3"/>
      <c r="Z207" s="3"/>
      <c r="AA207" s="3"/>
      <c r="AB207" s="3"/>
      <c r="AC207" s="2"/>
      <c r="AD207" s="2"/>
      <c r="AE207" s="2"/>
      <c r="AF207" s="2"/>
      <c r="AG207" s="2"/>
      <c r="AH207" s="2"/>
      <c r="AI207" s="2"/>
      <c r="AJ207" s="3"/>
      <c r="AK207" s="2"/>
      <c r="AL207" s="2"/>
      <c r="AM207" s="2"/>
      <c r="AN207" s="2"/>
      <c r="AO207" s="3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3"/>
      <c r="BC207" s="3"/>
      <c r="BD207" s="3"/>
      <c r="BE207" s="3"/>
      <c r="BF207" s="3"/>
      <c r="BG207" s="3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2"/>
      <c r="DI207" s="2"/>
      <c r="DJ207" s="3"/>
      <c r="DK207" s="3"/>
      <c r="DL207" s="2"/>
      <c r="DM207" s="2"/>
      <c r="DN207" s="2"/>
      <c r="DO207" s="3"/>
      <c r="DP207" s="3"/>
      <c r="GO207" t="s">
        <v>134</v>
      </c>
      <c r="GP207" t="s">
        <v>501</v>
      </c>
      <c r="GQ207" t="s">
        <v>502</v>
      </c>
      <c r="GR207">
        <v>87</v>
      </c>
      <c r="GS207">
        <v>86</v>
      </c>
      <c r="GT207">
        <v>1</v>
      </c>
      <c r="GU207" t="s">
        <v>457</v>
      </c>
      <c r="GV207">
        <v>1262317753.7162299</v>
      </c>
      <c r="GW207">
        <v>14591233021.1661</v>
      </c>
      <c r="GX207">
        <v>15853550774.882299</v>
      </c>
      <c r="GY207">
        <v>0</v>
      </c>
      <c r="GZ207">
        <v>15853550774.882299</v>
      </c>
      <c r="HA207">
        <v>15853550774.882299</v>
      </c>
      <c r="HB207">
        <v>0</v>
      </c>
      <c r="HC207">
        <v>0</v>
      </c>
      <c r="HD207" t="s">
        <v>137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7.0000000000000007E-2</v>
      </c>
      <c r="HX207">
        <v>0.96964931039809399</v>
      </c>
      <c r="HY207">
        <v>1</v>
      </c>
      <c r="HZ207">
        <v>300000</v>
      </c>
      <c r="IA207">
        <v>0</v>
      </c>
      <c r="IB207">
        <v>0</v>
      </c>
      <c r="IC207">
        <v>0</v>
      </c>
      <c r="ID207">
        <v>0</v>
      </c>
      <c r="IE207">
        <v>300000</v>
      </c>
      <c r="IF207">
        <v>290894.79311942798</v>
      </c>
      <c r="IG207">
        <v>290894.79311942798</v>
      </c>
      <c r="IH207">
        <v>0</v>
      </c>
      <c r="II207">
        <v>88341880.124617606</v>
      </c>
      <c r="IJ207">
        <v>1021386311.48163</v>
      </c>
      <c r="IK207">
        <v>0</v>
      </c>
      <c r="IL207">
        <v>0</v>
      </c>
      <c r="IM207">
        <v>0</v>
      </c>
      <c r="IN207">
        <v>1350368739.04773</v>
      </c>
      <c r="IO207">
        <v>15612619332.647699</v>
      </c>
      <c r="IP207">
        <v>16962988071.695499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</row>
    <row r="208" spans="2:268" customFormat="1" x14ac:dyDescent="0.25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3"/>
      <c r="N208" s="3"/>
      <c r="O208" s="3"/>
      <c r="P208" s="2"/>
      <c r="Q208" s="2"/>
      <c r="R208" s="2"/>
      <c r="S208" s="2"/>
      <c r="T208" s="2"/>
      <c r="U208" s="2"/>
      <c r="V208" s="3"/>
      <c r="W208" s="3"/>
      <c r="X208" s="3"/>
      <c r="Y208" s="3"/>
      <c r="Z208" s="3"/>
      <c r="AA208" s="3"/>
      <c r="AB208" s="3"/>
      <c r="AC208" s="2"/>
      <c r="AD208" s="2"/>
      <c r="AE208" s="2"/>
      <c r="AF208" s="2"/>
      <c r="AG208" s="2"/>
      <c r="AH208" s="2"/>
      <c r="AI208" s="2"/>
      <c r="AJ208" s="3"/>
      <c r="AK208" s="2"/>
      <c r="AL208" s="2"/>
      <c r="AM208" s="2"/>
      <c r="AN208" s="2"/>
      <c r="AO208" s="3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3"/>
      <c r="BC208" s="3"/>
      <c r="BD208" s="3"/>
      <c r="BE208" s="3"/>
      <c r="BF208" s="3"/>
      <c r="BG208" s="3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2"/>
      <c r="DI208" s="2"/>
      <c r="DJ208" s="3"/>
      <c r="DK208" s="3"/>
      <c r="DL208" s="2"/>
      <c r="DM208" s="2"/>
      <c r="DN208" s="2"/>
      <c r="DO208" s="3"/>
      <c r="DP208" s="3"/>
      <c r="GO208" t="s">
        <v>134</v>
      </c>
      <c r="GP208" t="s">
        <v>501</v>
      </c>
      <c r="GQ208" t="s">
        <v>502</v>
      </c>
      <c r="GR208">
        <v>88</v>
      </c>
      <c r="GS208">
        <v>87</v>
      </c>
      <c r="GT208">
        <v>1</v>
      </c>
      <c r="GU208" t="s">
        <v>457</v>
      </c>
      <c r="GV208">
        <v>1350368739.04773</v>
      </c>
      <c r="GW208">
        <v>15612619332.647699</v>
      </c>
      <c r="GX208">
        <v>16962988071.695499</v>
      </c>
      <c r="GY208">
        <v>0</v>
      </c>
      <c r="GZ208">
        <v>16962988071.695499</v>
      </c>
      <c r="HA208">
        <v>16962988071.695499</v>
      </c>
      <c r="HB208">
        <v>0</v>
      </c>
      <c r="HC208">
        <v>0</v>
      </c>
      <c r="HD208" t="s">
        <v>137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7.0000000000000007E-2</v>
      </c>
      <c r="HX208">
        <v>0.96964931039809399</v>
      </c>
      <c r="HY208">
        <v>1</v>
      </c>
      <c r="HZ208">
        <v>300000</v>
      </c>
      <c r="IA208">
        <v>0</v>
      </c>
      <c r="IB208">
        <v>0</v>
      </c>
      <c r="IC208">
        <v>0</v>
      </c>
      <c r="ID208">
        <v>0</v>
      </c>
      <c r="IE208">
        <v>300000</v>
      </c>
      <c r="IF208">
        <v>290894.79311942798</v>
      </c>
      <c r="IG208">
        <v>290894.79311942798</v>
      </c>
      <c r="IH208">
        <v>0</v>
      </c>
      <c r="II208">
        <v>94505449.097822502</v>
      </c>
      <c r="IJ208">
        <v>1092883353.2853401</v>
      </c>
      <c r="IK208">
        <v>0</v>
      </c>
      <c r="IL208">
        <v>0</v>
      </c>
      <c r="IM208">
        <v>0</v>
      </c>
      <c r="IN208">
        <v>1444583293.3524301</v>
      </c>
      <c r="IO208">
        <v>16705502685.9331</v>
      </c>
      <c r="IP208">
        <v>18150085979.2855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</row>
    <row r="209" spans="2:268" customFormat="1" x14ac:dyDescent="0.25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3"/>
      <c r="N209" s="3"/>
      <c r="O209" s="3"/>
      <c r="P209" s="2"/>
      <c r="Q209" s="2"/>
      <c r="R209" s="2"/>
      <c r="S209" s="2"/>
      <c r="T209" s="2"/>
      <c r="U209" s="2"/>
      <c r="V209" s="3"/>
      <c r="W209" s="3"/>
      <c r="X209" s="3"/>
      <c r="Y209" s="3"/>
      <c r="Z209" s="3"/>
      <c r="AA209" s="3"/>
      <c r="AB209" s="3"/>
      <c r="AC209" s="2"/>
      <c r="AD209" s="2"/>
      <c r="AE209" s="2"/>
      <c r="AF209" s="2"/>
      <c r="AG209" s="2"/>
      <c r="AH209" s="2"/>
      <c r="AI209" s="2"/>
      <c r="AJ209" s="3"/>
      <c r="AK209" s="2"/>
      <c r="AL209" s="2"/>
      <c r="AM209" s="2"/>
      <c r="AN209" s="2"/>
      <c r="AO209" s="3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3"/>
      <c r="BC209" s="3"/>
      <c r="BD209" s="3"/>
      <c r="BE209" s="3"/>
      <c r="BF209" s="3"/>
      <c r="BG209" s="3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2"/>
      <c r="DI209" s="2"/>
      <c r="DJ209" s="3"/>
      <c r="DK209" s="3"/>
      <c r="DL209" s="2"/>
      <c r="DM209" s="2"/>
      <c r="DN209" s="2"/>
      <c r="DO209" s="3"/>
      <c r="DP209" s="3"/>
      <c r="GO209" t="s">
        <v>134</v>
      </c>
      <c r="GP209" t="s">
        <v>501</v>
      </c>
      <c r="GQ209" t="s">
        <v>502</v>
      </c>
      <c r="GR209">
        <v>89</v>
      </c>
      <c r="GS209">
        <v>88</v>
      </c>
      <c r="GT209">
        <v>1</v>
      </c>
      <c r="GU209" t="s">
        <v>457</v>
      </c>
      <c r="GV209">
        <v>1444583293.3524301</v>
      </c>
      <c r="GW209">
        <v>16705502685.9331</v>
      </c>
      <c r="GX209">
        <v>18150085979.2855</v>
      </c>
      <c r="GY209">
        <v>0</v>
      </c>
      <c r="GZ209">
        <v>18150085979.2855</v>
      </c>
      <c r="HA209">
        <v>18150085979.2855</v>
      </c>
      <c r="HB209">
        <v>0</v>
      </c>
      <c r="HC209">
        <v>0</v>
      </c>
      <c r="HD209" t="s">
        <v>137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7.0000000000000007E-2</v>
      </c>
      <c r="HX209">
        <v>0.96964931039809399</v>
      </c>
      <c r="HY209">
        <v>1</v>
      </c>
      <c r="HZ209">
        <v>300000</v>
      </c>
      <c r="IA209">
        <v>0</v>
      </c>
      <c r="IB209">
        <v>0</v>
      </c>
      <c r="IC209">
        <v>0</v>
      </c>
      <c r="ID209">
        <v>0</v>
      </c>
      <c r="IE209">
        <v>300000</v>
      </c>
      <c r="IF209">
        <v>290894.79311942798</v>
      </c>
      <c r="IG209">
        <v>290894.79311942798</v>
      </c>
      <c r="IH209">
        <v>0</v>
      </c>
      <c r="II209">
        <v>101100467.899152</v>
      </c>
      <c r="IJ209">
        <v>1169385188.0153201</v>
      </c>
      <c r="IK209">
        <v>0</v>
      </c>
      <c r="IL209">
        <v>0</v>
      </c>
      <c r="IM209">
        <v>0</v>
      </c>
      <c r="IN209">
        <v>1545392866.4584601</v>
      </c>
      <c r="IO209">
        <v>17874887873.948399</v>
      </c>
      <c r="IP209">
        <v>19420280740.406898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</row>
    <row r="210" spans="2:268" customFormat="1" x14ac:dyDescent="0.25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3"/>
      <c r="N210" s="3"/>
      <c r="O210" s="3"/>
      <c r="P210" s="2"/>
      <c r="Q210" s="2"/>
      <c r="R210" s="2"/>
      <c r="S210" s="2"/>
      <c r="T210" s="2"/>
      <c r="U210" s="2"/>
      <c r="V210" s="3"/>
      <c r="W210" s="3"/>
      <c r="X210" s="3"/>
      <c r="Y210" s="3"/>
      <c r="Z210" s="3"/>
      <c r="AA210" s="3"/>
      <c r="AB210" s="3"/>
      <c r="AC210" s="2"/>
      <c r="AD210" s="2"/>
      <c r="AE210" s="2"/>
      <c r="AF210" s="2"/>
      <c r="AG210" s="2"/>
      <c r="AH210" s="2"/>
      <c r="AI210" s="2"/>
      <c r="AJ210" s="3"/>
      <c r="AK210" s="2"/>
      <c r="AL210" s="2"/>
      <c r="AM210" s="2"/>
      <c r="AN210" s="2"/>
      <c r="AO210" s="3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3"/>
      <c r="BC210" s="3"/>
      <c r="BD210" s="3"/>
      <c r="BE210" s="3"/>
      <c r="BF210" s="3"/>
      <c r="BG210" s="3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2"/>
      <c r="DI210" s="2"/>
      <c r="DJ210" s="3"/>
      <c r="DK210" s="3"/>
      <c r="DL210" s="2"/>
      <c r="DM210" s="2"/>
      <c r="DN210" s="2"/>
      <c r="DO210" s="3"/>
      <c r="DP210" s="3"/>
      <c r="GO210" t="s">
        <v>134</v>
      </c>
      <c r="GP210" t="s">
        <v>501</v>
      </c>
      <c r="GQ210" t="s">
        <v>502</v>
      </c>
      <c r="GR210">
        <v>90</v>
      </c>
      <c r="GS210">
        <v>89</v>
      </c>
      <c r="GT210">
        <v>1</v>
      </c>
      <c r="GU210" t="s">
        <v>457</v>
      </c>
      <c r="GV210">
        <v>1545392866.4584601</v>
      </c>
      <c r="GW210">
        <v>17874887873.948399</v>
      </c>
      <c r="GX210">
        <v>19420280740.406898</v>
      </c>
      <c r="GY210">
        <v>0</v>
      </c>
      <c r="GZ210">
        <v>19420280740.406898</v>
      </c>
      <c r="HA210">
        <v>19420280740.406898</v>
      </c>
      <c r="HB210">
        <v>0</v>
      </c>
      <c r="HC210">
        <v>0</v>
      </c>
      <c r="HD210" t="s">
        <v>137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7.0000000000000007E-2</v>
      </c>
      <c r="HX210">
        <v>0.96964931039809399</v>
      </c>
      <c r="HY210">
        <v>1</v>
      </c>
      <c r="HZ210">
        <v>300000</v>
      </c>
      <c r="IA210">
        <v>0</v>
      </c>
      <c r="IB210">
        <v>0</v>
      </c>
      <c r="IC210">
        <v>0</v>
      </c>
      <c r="ID210">
        <v>0</v>
      </c>
      <c r="IE210">
        <v>300000</v>
      </c>
      <c r="IF210">
        <v>290894.79311942798</v>
      </c>
      <c r="IG210">
        <v>290894.79311942798</v>
      </c>
      <c r="IH210">
        <v>0</v>
      </c>
      <c r="II210">
        <v>108157138.016574</v>
      </c>
      <c r="IJ210">
        <v>1251242151.1763899</v>
      </c>
      <c r="IK210">
        <v>0</v>
      </c>
      <c r="IL210">
        <v>0</v>
      </c>
      <c r="IM210">
        <v>0</v>
      </c>
      <c r="IN210">
        <v>1653259109.6819201</v>
      </c>
      <c r="IO210">
        <v>19126130025.124802</v>
      </c>
      <c r="IP210">
        <v>20779389134.806702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</row>
    <row r="211" spans="2:268" customFormat="1" x14ac:dyDescent="0.25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3"/>
      <c r="N211" s="3"/>
      <c r="O211" s="3"/>
      <c r="P211" s="2"/>
      <c r="Q211" s="2"/>
      <c r="R211" s="2"/>
      <c r="S211" s="2"/>
      <c r="T211" s="2"/>
      <c r="U211" s="2"/>
      <c r="V211" s="3"/>
      <c r="W211" s="3"/>
      <c r="X211" s="3"/>
      <c r="Y211" s="3"/>
      <c r="Z211" s="3"/>
      <c r="AA211" s="3"/>
      <c r="AB211" s="3"/>
      <c r="AC211" s="2"/>
      <c r="AD211" s="2"/>
      <c r="AE211" s="2"/>
      <c r="AF211" s="2"/>
      <c r="AG211" s="2"/>
      <c r="AH211" s="2"/>
      <c r="AI211" s="2"/>
      <c r="AJ211" s="3"/>
      <c r="AK211" s="2"/>
      <c r="AL211" s="2"/>
      <c r="AM211" s="2"/>
      <c r="AN211" s="2"/>
      <c r="AO211" s="3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3"/>
      <c r="BC211" s="3"/>
      <c r="BD211" s="3"/>
      <c r="BE211" s="3"/>
      <c r="BF211" s="3"/>
      <c r="BG211" s="3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2"/>
      <c r="DI211" s="2"/>
      <c r="DJ211" s="3"/>
      <c r="DK211" s="3"/>
      <c r="DL211" s="2"/>
      <c r="DM211" s="2"/>
      <c r="DN211" s="2"/>
      <c r="DO211" s="3"/>
      <c r="DP211" s="3"/>
      <c r="GO211" t="s">
        <v>134</v>
      </c>
      <c r="GP211" t="s">
        <v>501</v>
      </c>
      <c r="GQ211" t="s">
        <v>502</v>
      </c>
      <c r="GR211">
        <v>91</v>
      </c>
      <c r="GS211">
        <v>90</v>
      </c>
      <c r="GT211">
        <v>1</v>
      </c>
      <c r="GU211" t="s">
        <v>457</v>
      </c>
      <c r="GV211">
        <v>1653259109.6819201</v>
      </c>
      <c r="GW211">
        <v>19126130025.124802</v>
      </c>
      <c r="GX211">
        <v>20779389134.806702</v>
      </c>
      <c r="GY211">
        <v>0</v>
      </c>
      <c r="GZ211">
        <v>20779389134.806702</v>
      </c>
      <c r="HA211">
        <v>20779389134.806702</v>
      </c>
      <c r="HB211">
        <v>0</v>
      </c>
      <c r="HC211">
        <v>0</v>
      </c>
      <c r="HD211" t="s">
        <v>137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7.0000000000000007E-2</v>
      </c>
      <c r="HX211">
        <v>0.96964931039809399</v>
      </c>
      <c r="HY211">
        <v>1</v>
      </c>
      <c r="HZ211">
        <v>300000</v>
      </c>
      <c r="IA211">
        <v>0</v>
      </c>
      <c r="IB211">
        <v>0</v>
      </c>
      <c r="IC211">
        <v>0</v>
      </c>
      <c r="ID211">
        <v>0</v>
      </c>
      <c r="IE211">
        <v>300000</v>
      </c>
      <c r="IF211">
        <v>290894.79311942798</v>
      </c>
      <c r="IG211">
        <v>290894.79311942798</v>
      </c>
      <c r="IH211">
        <v>0</v>
      </c>
      <c r="II211">
        <v>115707775.042216</v>
      </c>
      <c r="IJ211">
        <v>1338829101.7587299</v>
      </c>
      <c r="IK211">
        <v>0</v>
      </c>
      <c r="IL211">
        <v>0</v>
      </c>
      <c r="IM211">
        <v>0</v>
      </c>
      <c r="IN211">
        <v>1768675989.93101</v>
      </c>
      <c r="IO211">
        <v>20464959126.883499</v>
      </c>
      <c r="IP211">
        <v>22233635116.814499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</row>
    <row r="212" spans="2:268" customFormat="1" x14ac:dyDescent="0.25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3"/>
      <c r="N212" s="3"/>
      <c r="O212" s="3"/>
      <c r="P212" s="2"/>
      <c r="Q212" s="2"/>
      <c r="R212" s="2"/>
      <c r="S212" s="2"/>
      <c r="T212" s="2"/>
      <c r="U212" s="2"/>
      <c r="V212" s="3"/>
      <c r="W212" s="3"/>
      <c r="X212" s="3"/>
      <c r="Y212" s="3"/>
      <c r="Z212" s="3"/>
      <c r="AA212" s="3"/>
      <c r="AB212" s="3"/>
      <c r="AC212" s="2"/>
      <c r="AD212" s="2"/>
      <c r="AE212" s="2"/>
      <c r="AF212" s="2"/>
      <c r="AG212" s="2"/>
      <c r="AH212" s="2"/>
      <c r="AI212" s="2"/>
      <c r="AJ212" s="3"/>
      <c r="AK212" s="2"/>
      <c r="AL212" s="2"/>
      <c r="AM212" s="2"/>
      <c r="AN212" s="2"/>
      <c r="AO212" s="3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3"/>
      <c r="BC212" s="3"/>
      <c r="BD212" s="3"/>
      <c r="BE212" s="3"/>
      <c r="BF212" s="3"/>
      <c r="BG212" s="3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2"/>
      <c r="DI212" s="2"/>
      <c r="DJ212" s="3"/>
      <c r="DK212" s="3"/>
      <c r="DL212" s="2"/>
      <c r="DM212" s="2"/>
      <c r="DN212" s="2"/>
      <c r="DO212" s="3"/>
      <c r="DP212" s="3"/>
      <c r="GO212" t="s">
        <v>134</v>
      </c>
      <c r="GP212" t="s">
        <v>501</v>
      </c>
      <c r="GQ212" t="s">
        <v>502</v>
      </c>
      <c r="GR212">
        <v>92</v>
      </c>
      <c r="GS212">
        <v>91</v>
      </c>
      <c r="GT212">
        <v>1</v>
      </c>
      <c r="GU212" t="s">
        <v>457</v>
      </c>
      <c r="GV212">
        <v>1768675989.93101</v>
      </c>
      <c r="GW212">
        <v>20464959126.883499</v>
      </c>
      <c r="GX212">
        <v>22233635116.814499</v>
      </c>
      <c r="GY212">
        <v>0</v>
      </c>
      <c r="GZ212">
        <v>22233635116.814499</v>
      </c>
      <c r="HA212">
        <v>22233635116.814499</v>
      </c>
      <c r="HB212">
        <v>0</v>
      </c>
      <c r="HC212">
        <v>0</v>
      </c>
      <c r="HD212" t="s">
        <v>137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7.0000000000000007E-2</v>
      </c>
      <c r="HX212">
        <v>0.96964931039809399</v>
      </c>
      <c r="HY212">
        <v>1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123807319.29517099</v>
      </c>
      <c r="IJ212">
        <v>1432547138.88185</v>
      </c>
      <c r="IK212">
        <v>0</v>
      </c>
      <c r="IL212">
        <v>0</v>
      </c>
      <c r="IM212">
        <v>0</v>
      </c>
      <c r="IN212">
        <v>1892483309.2261801</v>
      </c>
      <c r="IO212">
        <v>21897506265.7654</v>
      </c>
      <c r="IP212">
        <v>23789989574.991501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</row>
    <row r="213" spans="2:268" customFormat="1" x14ac:dyDescent="0.25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3"/>
      <c r="N213" s="3"/>
      <c r="O213" s="3"/>
      <c r="P213" s="2"/>
      <c r="Q213" s="2"/>
      <c r="R213" s="2"/>
      <c r="S213" s="2"/>
      <c r="T213" s="2"/>
      <c r="U213" s="2"/>
      <c r="V213" s="3"/>
      <c r="W213" s="3"/>
      <c r="X213" s="3"/>
      <c r="Y213" s="3"/>
      <c r="Z213" s="3"/>
      <c r="AA213" s="3"/>
      <c r="AB213" s="3"/>
      <c r="AC213" s="2"/>
      <c r="AD213" s="2"/>
      <c r="AE213" s="2"/>
      <c r="AF213" s="2"/>
      <c r="AG213" s="2"/>
      <c r="AH213" s="2"/>
      <c r="AI213" s="2"/>
      <c r="AJ213" s="3"/>
      <c r="AK213" s="2"/>
      <c r="AL213" s="2"/>
      <c r="AM213" s="2"/>
      <c r="AN213" s="2"/>
      <c r="AO213" s="3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3"/>
      <c r="BC213" s="3"/>
      <c r="BD213" s="3"/>
      <c r="BE213" s="3"/>
      <c r="BF213" s="3"/>
      <c r="BG213" s="3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2"/>
      <c r="DI213" s="2"/>
      <c r="DJ213" s="3"/>
      <c r="DK213" s="3"/>
      <c r="DL213" s="2"/>
      <c r="DM213" s="2"/>
      <c r="DN213" s="2"/>
      <c r="DO213" s="3"/>
      <c r="DP213" s="3"/>
      <c r="GO213" t="s">
        <v>134</v>
      </c>
      <c r="GP213" t="s">
        <v>501</v>
      </c>
      <c r="GQ213" t="s">
        <v>502</v>
      </c>
      <c r="GR213">
        <v>93</v>
      </c>
      <c r="GS213">
        <v>92</v>
      </c>
      <c r="GT213">
        <v>1</v>
      </c>
      <c r="GU213" t="s">
        <v>457</v>
      </c>
      <c r="GV213">
        <v>1892483309.2261801</v>
      </c>
      <c r="GW213">
        <v>21897506265.7654</v>
      </c>
      <c r="GX213">
        <v>23789989574.991501</v>
      </c>
      <c r="GY213">
        <v>0</v>
      </c>
      <c r="GZ213">
        <v>23789989574.991501</v>
      </c>
      <c r="HA213">
        <v>23789989574.991501</v>
      </c>
      <c r="HB213">
        <v>0</v>
      </c>
      <c r="HC213">
        <v>0</v>
      </c>
      <c r="HD213" t="s">
        <v>137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7.0000000000000007E-2</v>
      </c>
      <c r="HX213">
        <v>0.96964931039809399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132473831.645833</v>
      </c>
      <c r="IJ213">
        <v>1532825438.60358</v>
      </c>
      <c r="IK213">
        <v>0</v>
      </c>
      <c r="IL213">
        <v>0</v>
      </c>
      <c r="IM213">
        <v>0</v>
      </c>
      <c r="IN213">
        <v>2024957140.87202</v>
      </c>
      <c r="IO213">
        <v>23430331704.3689</v>
      </c>
      <c r="IP213">
        <v>25455288845.241001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</row>
    <row r="214" spans="2:268" customFormat="1" x14ac:dyDescent="0.25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3"/>
      <c r="N214" s="3"/>
      <c r="O214" s="3"/>
      <c r="P214" s="2"/>
      <c r="Q214" s="2"/>
      <c r="R214" s="2"/>
      <c r="S214" s="2"/>
      <c r="T214" s="2"/>
      <c r="U214" s="2"/>
      <c r="V214" s="3"/>
      <c r="W214" s="3"/>
      <c r="X214" s="3"/>
      <c r="Y214" s="3"/>
      <c r="Z214" s="3"/>
      <c r="AA214" s="3"/>
      <c r="AB214" s="3"/>
      <c r="AC214" s="2"/>
      <c r="AD214" s="2"/>
      <c r="AE214" s="2"/>
      <c r="AF214" s="2"/>
      <c r="AG214" s="2"/>
      <c r="AH214" s="2"/>
      <c r="AI214" s="2"/>
      <c r="AJ214" s="3"/>
      <c r="AK214" s="2"/>
      <c r="AL214" s="2"/>
      <c r="AM214" s="2"/>
      <c r="AN214" s="2"/>
      <c r="AO214" s="3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3"/>
      <c r="BC214" s="3"/>
      <c r="BD214" s="3"/>
      <c r="BE214" s="3"/>
      <c r="BF214" s="3"/>
      <c r="BG214" s="3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2"/>
      <c r="DI214" s="2"/>
      <c r="DJ214" s="3"/>
      <c r="DK214" s="3"/>
      <c r="DL214" s="2"/>
      <c r="DM214" s="2"/>
      <c r="DN214" s="2"/>
      <c r="DO214" s="3"/>
      <c r="DP214" s="3"/>
      <c r="GO214" t="s">
        <v>134</v>
      </c>
      <c r="GP214" t="s">
        <v>501</v>
      </c>
      <c r="GQ214" t="s">
        <v>502</v>
      </c>
      <c r="GR214">
        <v>94</v>
      </c>
      <c r="GS214">
        <v>93</v>
      </c>
      <c r="GT214">
        <v>1</v>
      </c>
      <c r="GU214" t="s">
        <v>457</v>
      </c>
      <c r="GV214">
        <v>2024957140.87202</v>
      </c>
      <c r="GW214">
        <v>23430331704.3689</v>
      </c>
      <c r="GX214">
        <v>25455288845.241001</v>
      </c>
      <c r="GY214">
        <v>0</v>
      </c>
      <c r="GZ214">
        <v>25455288845.241001</v>
      </c>
      <c r="HA214">
        <v>25455288845.241001</v>
      </c>
      <c r="HB214">
        <v>0</v>
      </c>
      <c r="HC214">
        <v>0</v>
      </c>
      <c r="HD214" t="s">
        <v>137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7.0000000000000007E-2</v>
      </c>
      <c r="HX214">
        <v>0.96964931039809399</v>
      </c>
      <c r="HY214">
        <v>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141746999.86104101</v>
      </c>
      <c r="IJ214">
        <v>1640123219.30583</v>
      </c>
      <c r="IK214">
        <v>0</v>
      </c>
      <c r="IL214">
        <v>0</v>
      </c>
      <c r="IM214">
        <v>0</v>
      </c>
      <c r="IN214">
        <v>2166704140.7330599</v>
      </c>
      <c r="IO214">
        <v>25070454923.674801</v>
      </c>
      <c r="IP214">
        <v>27237159064.407799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</row>
    <row r="215" spans="2:268" customFormat="1" x14ac:dyDescent="0.25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3"/>
      <c r="N215" s="3"/>
      <c r="O215" s="3"/>
      <c r="P215" s="2"/>
      <c r="Q215" s="2"/>
      <c r="R215" s="2"/>
      <c r="S215" s="2"/>
      <c r="T215" s="2"/>
      <c r="U215" s="2"/>
      <c r="V215" s="3"/>
      <c r="W215" s="3"/>
      <c r="X215" s="3"/>
      <c r="Y215" s="3"/>
      <c r="Z215" s="3"/>
      <c r="AA215" s="3"/>
      <c r="AB215" s="3"/>
      <c r="AC215" s="2"/>
      <c r="AD215" s="2"/>
      <c r="AE215" s="2"/>
      <c r="AF215" s="2"/>
      <c r="AG215" s="2"/>
      <c r="AH215" s="2"/>
      <c r="AI215" s="2"/>
      <c r="AJ215" s="3"/>
      <c r="AK215" s="2"/>
      <c r="AL215" s="2"/>
      <c r="AM215" s="2"/>
      <c r="AN215" s="2"/>
      <c r="AO215" s="3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3"/>
      <c r="BC215" s="3"/>
      <c r="BD215" s="3"/>
      <c r="BE215" s="3"/>
      <c r="BF215" s="3"/>
      <c r="BG215" s="3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2"/>
      <c r="DI215" s="2"/>
      <c r="DJ215" s="3"/>
      <c r="DK215" s="3"/>
      <c r="DL215" s="2"/>
      <c r="DM215" s="2"/>
      <c r="DN215" s="2"/>
      <c r="DO215" s="3"/>
      <c r="DP215" s="3"/>
      <c r="GO215" t="s">
        <v>134</v>
      </c>
      <c r="GP215" t="s">
        <v>501</v>
      </c>
      <c r="GQ215" t="s">
        <v>502</v>
      </c>
      <c r="GR215">
        <v>95</v>
      </c>
      <c r="GS215">
        <v>94</v>
      </c>
      <c r="GT215">
        <v>1</v>
      </c>
      <c r="GU215" t="s">
        <v>457</v>
      </c>
      <c r="GV215">
        <v>2166704140.7330599</v>
      </c>
      <c r="GW215">
        <v>25070454923.674801</v>
      </c>
      <c r="GX215">
        <v>27237159064.407799</v>
      </c>
      <c r="GY215">
        <v>0</v>
      </c>
      <c r="GZ215">
        <v>27237159064.407799</v>
      </c>
      <c r="HA215">
        <v>27237159064.407799</v>
      </c>
      <c r="HB215">
        <v>0</v>
      </c>
      <c r="HC215">
        <v>0</v>
      </c>
      <c r="HD215" t="s">
        <v>137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7.0000000000000007E-2</v>
      </c>
      <c r="HX215">
        <v>0.96964931039809399</v>
      </c>
      <c r="HY215">
        <v>1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151669289.85131401</v>
      </c>
      <c r="IJ215">
        <v>1754931844.6572299</v>
      </c>
      <c r="IK215">
        <v>0</v>
      </c>
      <c r="IL215">
        <v>0</v>
      </c>
      <c r="IM215">
        <v>0</v>
      </c>
      <c r="IN215">
        <v>2318373430.5843701</v>
      </c>
      <c r="IO215">
        <v>26825386768.332001</v>
      </c>
      <c r="IP215">
        <v>29143760198.916401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</row>
    <row r="216" spans="2:268" customFormat="1" x14ac:dyDescent="0.25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3"/>
      <c r="N216" s="3"/>
      <c r="O216" s="3"/>
      <c r="P216" s="2"/>
      <c r="Q216" s="2"/>
      <c r="R216" s="2"/>
      <c r="S216" s="2"/>
      <c r="T216" s="2"/>
      <c r="U216" s="2"/>
      <c r="V216" s="3"/>
      <c r="W216" s="3"/>
      <c r="X216" s="3"/>
      <c r="Y216" s="3"/>
      <c r="Z216" s="3"/>
      <c r="AA216" s="3"/>
      <c r="AB216" s="3"/>
      <c r="AC216" s="2"/>
      <c r="AD216" s="2"/>
      <c r="AE216" s="2"/>
      <c r="AF216" s="2"/>
      <c r="AG216" s="2"/>
      <c r="AH216" s="2"/>
      <c r="AI216" s="2"/>
      <c r="AJ216" s="3"/>
      <c r="AK216" s="2"/>
      <c r="AL216" s="2"/>
      <c r="AM216" s="2"/>
      <c r="AN216" s="2"/>
      <c r="AO216" s="3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3"/>
      <c r="BC216" s="3"/>
      <c r="BD216" s="3"/>
      <c r="BE216" s="3"/>
      <c r="BF216" s="3"/>
      <c r="BG216" s="3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2"/>
      <c r="DI216" s="2"/>
      <c r="DJ216" s="3"/>
      <c r="DK216" s="3"/>
      <c r="DL216" s="2"/>
      <c r="DM216" s="2"/>
      <c r="DN216" s="2"/>
      <c r="DO216" s="3"/>
      <c r="DP216" s="3"/>
      <c r="GO216" t="s">
        <v>134</v>
      </c>
      <c r="GP216" t="s">
        <v>501</v>
      </c>
      <c r="GQ216" t="s">
        <v>502</v>
      </c>
      <c r="GR216">
        <v>96</v>
      </c>
      <c r="GS216">
        <v>95</v>
      </c>
      <c r="GT216">
        <v>1</v>
      </c>
      <c r="GU216" t="s">
        <v>457</v>
      </c>
      <c r="GV216">
        <v>2318373430.5843701</v>
      </c>
      <c r="GW216">
        <v>26825386768.332001</v>
      </c>
      <c r="GX216">
        <v>29143760198.916401</v>
      </c>
      <c r="GY216">
        <v>0</v>
      </c>
      <c r="GZ216">
        <v>29143760198.916401</v>
      </c>
      <c r="HA216">
        <v>29143760198.916401</v>
      </c>
      <c r="HB216">
        <v>0</v>
      </c>
      <c r="HC216">
        <v>0</v>
      </c>
      <c r="HD216" t="s">
        <v>137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7.0000000000000007E-2</v>
      </c>
      <c r="HX216">
        <v>0.96964931039809399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162286140.14090601</v>
      </c>
      <c r="IJ216">
        <v>1877777073.7832401</v>
      </c>
      <c r="IK216">
        <v>0</v>
      </c>
      <c r="IL216">
        <v>0</v>
      </c>
      <c r="IM216">
        <v>0</v>
      </c>
      <c r="IN216">
        <v>2480659570.7252798</v>
      </c>
      <c r="IO216">
        <v>28703163842.1152</v>
      </c>
      <c r="IP216">
        <v>31183823412.8405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</row>
    <row r="217" spans="2:268" customFormat="1" x14ac:dyDescent="0.25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3"/>
      <c r="N217" s="3"/>
      <c r="O217" s="3"/>
      <c r="P217" s="2"/>
      <c r="Q217" s="2"/>
      <c r="R217" s="2"/>
      <c r="S217" s="2"/>
      <c r="T217" s="2"/>
      <c r="U217" s="2"/>
      <c r="V217" s="3"/>
      <c r="W217" s="3"/>
      <c r="X217" s="3"/>
      <c r="Y217" s="3"/>
      <c r="Z217" s="3"/>
      <c r="AA217" s="3"/>
      <c r="AB217" s="3"/>
      <c r="AC217" s="2"/>
      <c r="AD217" s="2"/>
      <c r="AE217" s="2"/>
      <c r="AF217" s="2"/>
      <c r="AG217" s="2"/>
      <c r="AH217" s="2"/>
      <c r="AI217" s="2"/>
      <c r="AJ217" s="3"/>
      <c r="AK217" s="2"/>
      <c r="AL217" s="2"/>
      <c r="AM217" s="2"/>
      <c r="AN217" s="2"/>
      <c r="AO217" s="3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3"/>
      <c r="BC217" s="3"/>
      <c r="BD217" s="3"/>
      <c r="BE217" s="3"/>
      <c r="BF217" s="3"/>
      <c r="BG217" s="3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2"/>
      <c r="DI217" s="2"/>
      <c r="DJ217" s="3"/>
      <c r="DK217" s="3"/>
      <c r="DL217" s="2"/>
      <c r="DM217" s="2"/>
      <c r="DN217" s="2"/>
      <c r="DO217" s="3"/>
      <c r="DP217" s="3"/>
      <c r="GO217" t="s">
        <v>134</v>
      </c>
      <c r="GP217" t="s">
        <v>501</v>
      </c>
      <c r="GQ217" t="s">
        <v>502</v>
      </c>
      <c r="GR217">
        <v>97</v>
      </c>
      <c r="GS217">
        <v>96</v>
      </c>
      <c r="GT217">
        <v>1</v>
      </c>
      <c r="GU217" t="s">
        <v>457</v>
      </c>
      <c r="GV217">
        <v>2480659570.7252798</v>
      </c>
      <c r="GW217">
        <v>28703163842.1152</v>
      </c>
      <c r="GX217">
        <v>31183823412.8405</v>
      </c>
      <c r="GY217">
        <v>0</v>
      </c>
      <c r="GZ217">
        <v>31183823412.8405</v>
      </c>
      <c r="HA217">
        <v>31183823412.8405</v>
      </c>
      <c r="HB217">
        <v>0</v>
      </c>
      <c r="HC217">
        <v>0</v>
      </c>
      <c r="HD217" t="s">
        <v>137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7.0000000000000007E-2</v>
      </c>
      <c r="HX217">
        <v>0.96964931039809399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173646169.95076901</v>
      </c>
      <c r="IJ217">
        <v>2009221468.94807</v>
      </c>
      <c r="IK217">
        <v>0</v>
      </c>
      <c r="IL217">
        <v>0</v>
      </c>
      <c r="IM217">
        <v>0</v>
      </c>
      <c r="IN217">
        <v>2654305740.6760502</v>
      </c>
      <c r="IO217">
        <v>30712385311.063301</v>
      </c>
      <c r="IP217">
        <v>33366691051.739399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</row>
    <row r="218" spans="2:268" customFormat="1" x14ac:dyDescent="0.25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3"/>
      <c r="N218" s="3"/>
      <c r="O218" s="3"/>
      <c r="P218" s="2"/>
      <c r="Q218" s="2"/>
      <c r="R218" s="2"/>
      <c r="S218" s="2"/>
      <c r="T218" s="2"/>
      <c r="U218" s="2"/>
      <c r="V218" s="3"/>
      <c r="W218" s="3"/>
      <c r="X218" s="3"/>
      <c r="Y218" s="3"/>
      <c r="Z218" s="3"/>
      <c r="AA218" s="3"/>
      <c r="AB218" s="3"/>
      <c r="AC218" s="2"/>
      <c r="AD218" s="2"/>
      <c r="AE218" s="2"/>
      <c r="AF218" s="2"/>
      <c r="AG218" s="2"/>
      <c r="AH218" s="2"/>
      <c r="AI218" s="2"/>
      <c r="AJ218" s="3"/>
      <c r="AK218" s="2"/>
      <c r="AL218" s="2"/>
      <c r="AM218" s="2"/>
      <c r="AN218" s="2"/>
      <c r="AO218" s="3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3"/>
      <c r="BC218" s="3"/>
      <c r="BD218" s="3"/>
      <c r="BE218" s="3"/>
      <c r="BF218" s="3"/>
      <c r="BG218" s="3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2"/>
      <c r="DI218" s="2"/>
      <c r="DJ218" s="3"/>
      <c r="DK218" s="3"/>
      <c r="DL218" s="2"/>
      <c r="DM218" s="2"/>
      <c r="DN218" s="2"/>
      <c r="DO218" s="3"/>
      <c r="DP218" s="3"/>
      <c r="GO218" t="s">
        <v>134</v>
      </c>
      <c r="GP218" t="s">
        <v>501</v>
      </c>
      <c r="GQ218" t="s">
        <v>502</v>
      </c>
      <c r="GR218">
        <v>98</v>
      </c>
      <c r="GS218">
        <v>97</v>
      </c>
      <c r="GT218">
        <v>1</v>
      </c>
      <c r="GU218" t="s">
        <v>457</v>
      </c>
      <c r="GV218">
        <v>2654305740.6760502</v>
      </c>
      <c r="GW218">
        <v>30712385311.063301</v>
      </c>
      <c r="GX218">
        <v>33366691051.739399</v>
      </c>
      <c r="GY218">
        <v>0</v>
      </c>
      <c r="GZ218">
        <v>33366691051.739399</v>
      </c>
      <c r="HA218">
        <v>33366691051.739399</v>
      </c>
      <c r="HB218">
        <v>0</v>
      </c>
      <c r="HC218">
        <v>0</v>
      </c>
      <c r="HD218" t="s">
        <v>137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7.0000000000000007E-2</v>
      </c>
      <c r="HX218">
        <v>0.96964931039809399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185801401.847323</v>
      </c>
      <c r="IJ218">
        <v>2149866971.7744298</v>
      </c>
      <c r="IK218">
        <v>0</v>
      </c>
      <c r="IL218">
        <v>0</v>
      </c>
      <c r="IM218">
        <v>0</v>
      </c>
      <c r="IN218">
        <v>2840107142.5233698</v>
      </c>
      <c r="IO218">
        <v>32862252282.8377</v>
      </c>
      <c r="IP218">
        <v>35702359425.361099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</row>
    <row r="219" spans="2:268" customFormat="1" x14ac:dyDescent="0.25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3"/>
      <c r="N219" s="3"/>
      <c r="O219" s="3"/>
      <c r="P219" s="2"/>
      <c r="Q219" s="2"/>
      <c r="R219" s="2"/>
      <c r="S219" s="2"/>
      <c r="T219" s="2"/>
      <c r="U219" s="2"/>
      <c r="V219" s="3"/>
      <c r="W219" s="3"/>
      <c r="X219" s="3"/>
      <c r="Y219" s="3"/>
      <c r="Z219" s="3"/>
      <c r="AA219" s="3"/>
      <c r="AB219" s="3"/>
      <c r="AC219" s="2"/>
      <c r="AD219" s="2"/>
      <c r="AE219" s="2"/>
      <c r="AF219" s="2"/>
      <c r="AG219" s="2"/>
      <c r="AH219" s="2"/>
      <c r="AI219" s="2"/>
      <c r="AJ219" s="3"/>
      <c r="AK219" s="2"/>
      <c r="AL219" s="2"/>
      <c r="AM219" s="2"/>
      <c r="AN219" s="2"/>
      <c r="AO219" s="3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3"/>
      <c r="BC219" s="3"/>
      <c r="BD219" s="3"/>
      <c r="BE219" s="3"/>
      <c r="BF219" s="3"/>
      <c r="BG219" s="3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2"/>
      <c r="DI219" s="2"/>
      <c r="DJ219" s="3"/>
      <c r="DK219" s="3"/>
      <c r="DL219" s="2"/>
      <c r="DM219" s="2"/>
      <c r="DN219" s="2"/>
      <c r="DO219" s="3"/>
      <c r="DP219" s="3"/>
      <c r="GO219" t="s">
        <v>134</v>
      </c>
      <c r="GP219" t="s">
        <v>501</v>
      </c>
      <c r="GQ219" t="s">
        <v>502</v>
      </c>
      <c r="GR219">
        <v>99</v>
      </c>
      <c r="GS219">
        <v>98</v>
      </c>
      <c r="GT219">
        <v>1</v>
      </c>
      <c r="GU219" t="s">
        <v>457</v>
      </c>
      <c r="GV219">
        <v>2840107142.5233698</v>
      </c>
      <c r="GW219">
        <v>32862252282.8377</v>
      </c>
      <c r="GX219">
        <v>35702359425.361099</v>
      </c>
      <c r="GY219">
        <v>0</v>
      </c>
      <c r="GZ219">
        <v>35702359425.361099</v>
      </c>
      <c r="HA219">
        <v>35702359425.361099</v>
      </c>
      <c r="HB219">
        <v>0</v>
      </c>
      <c r="HC219">
        <v>0</v>
      </c>
      <c r="HD219" t="s">
        <v>137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7.0000000000000007E-2</v>
      </c>
      <c r="HX219">
        <v>0.96964931039809399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198807499.97663599</v>
      </c>
      <c r="IJ219">
        <v>2300357659.7986398</v>
      </c>
      <c r="IK219">
        <v>0</v>
      </c>
      <c r="IL219">
        <v>0</v>
      </c>
      <c r="IM219">
        <v>0</v>
      </c>
      <c r="IN219">
        <v>3038914642.50001</v>
      </c>
      <c r="IO219">
        <v>35162609942.636398</v>
      </c>
      <c r="IP219">
        <v>38201524585.136398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</row>
    <row r="220" spans="2:268" customFormat="1" x14ac:dyDescent="0.25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3"/>
      <c r="N220" s="3"/>
      <c r="O220" s="3"/>
      <c r="P220" s="2"/>
      <c r="Q220" s="2"/>
      <c r="R220" s="2"/>
      <c r="S220" s="2"/>
      <c r="T220" s="2"/>
      <c r="U220" s="2"/>
      <c r="V220" s="3"/>
      <c r="W220" s="3"/>
      <c r="X220" s="3"/>
      <c r="Y220" s="3"/>
      <c r="Z220" s="3"/>
      <c r="AA220" s="3"/>
      <c r="AB220" s="3"/>
      <c r="AC220" s="2"/>
      <c r="AD220" s="2"/>
      <c r="AE220" s="2"/>
      <c r="AF220" s="2"/>
      <c r="AG220" s="2"/>
      <c r="AH220" s="2"/>
      <c r="AI220" s="2"/>
      <c r="AJ220" s="3"/>
      <c r="AK220" s="2"/>
      <c r="AL220" s="2"/>
      <c r="AM220" s="2"/>
      <c r="AN220" s="2"/>
      <c r="AO220" s="3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3"/>
      <c r="BC220" s="3"/>
      <c r="BD220" s="3"/>
      <c r="BE220" s="3"/>
      <c r="BF220" s="3"/>
      <c r="BG220" s="3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2"/>
      <c r="DI220" s="2"/>
      <c r="DJ220" s="3"/>
      <c r="DK220" s="3"/>
      <c r="DL220" s="2"/>
      <c r="DM220" s="2"/>
      <c r="DN220" s="2"/>
      <c r="DO220" s="3"/>
      <c r="DP220" s="3"/>
      <c r="GO220" t="s">
        <v>134</v>
      </c>
      <c r="GP220" t="s">
        <v>501</v>
      </c>
      <c r="GQ220" t="s">
        <v>502</v>
      </c>
      <c r="GR220">
        <v>100</v>
      </c>
      <c r="GS220">
        <v>99</v>
      </c>
      <c r="GT220">
        <v>1</v>
      </c>
      <c r="GU220" t="s">
        <v>457</v>
      </c>
      <c r="GV220">
        <v>3038914642.50001</v>
      </c>
      <c r="GW220">
        <v>35162609942.636398</v>
      </c>
      <c r="GX220">
        <v>38201524585.136398</v>
      </c>
      <c r="GY220">
        <v>0</v>
      </c>
      <c r="GZ220">
        <v>38201524585.136398</v>
      </c>
      <c r="HA220">
        <v>38201524585.136398</v>
      </c>
      <c r="HB220">
        <v>0</v>
      </c>
      <c r="HC220">
        <v>0</v>
      </c>
      <c r="HD220" t="s">
        <v>137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7.0000000000000007E-2</v>
      </c>
      <c r="HX220">
        <v>0.96964931039809399</v>
      </c>
      <c r="HY220">
        <v>1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212724024.97499999</v>
      </c>
      <c r="IJ220">
        <v>2461382695.98455</v>
      </c>
      <c r="IK220">
        <v>0</v>
      </c>
      <c r="IL220">
        <v>0</v>
      </c>
      <c r="IM220">
        <v>0</v>
      </c>
      <c r="IN220">
        <v>3251638667.4750099</v>
      </c>
      <c r="IO220">
        <v>37623992638.620903</v>
      </c>
      <c r="IP220">
        <v>40875631306.095901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</row>
    <row r="221" spans="2:268" customFormat="1" x14ac:dyDescent="0.25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3"/>
      <c r="N221" s="3"/>
      <c r="O221" s="3"/>
      <c r="P221" s="2"/>
      <c r="Q221" s="2"/>
      <c r="R221" s="2"/>
      <c r="S221" s="2"/>
      <c r="T221" s="2"/>
      <c r="U221" s="2"/>
      <c r="V221" s="3"/>
      <c r="W221" s="3"/>
      <c r="X221" s="3"/>
      <c r="Y221" s="3"/>
      <c r="Z221" s="3"/>
      <c r="AA221" s="3"/>
      <c r="AB221" s="3"/>
      <c r="AC221" s="2"/>
      <c r="AD221" s="2"/>
      <c r="AE221" s="2"/>
      <c r="AF221" s="2"/>
      <c r="AG221" s="2"/>
      <c r="AH221" s="2"/>
      <c r="AI221" s="2"/>
      <c r="AJ221" s="3"/>
      <c r="AK221" s="2"/>
      <c r="AL221" s="2"/>
      <c r="AM221" s="2"/>
      <c r="AN221" s="2"/>
      <c r="AO221" s="3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3"/>
      <c r="BC221" s="3"/>
      <c r="BD221" s="3"/>
      <c r="BE221" s="3"/>
      <c r="BF221" s="3"/>
      <c r="BG221" s="3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2"/>
      <c r="DI221" s="2"/>
      <c r="DJ221" s="3"/>
      <c r="DK221" s="3"/>
      <c r="DL221" s="2"/>
      <c r="DM221" s="2"/>
      <c r="DN221" s="2"/>
      <c r="DO221" s="3"/>
      <c r="DP221" s="3"/>
      <c r="GO221" t="s">
        <v>144</v>
      </c>
      <c r="GP221" t="s">
        <v>135</v>
      </c>
      <c r="GQ221" t="s">
        <v>502</v>
      </c>
      <c r="GR221">
        <v>1</v>
      </c>
      <c r="GS221">
        <v>0</v>
      </c>
      <c r="GT221">
        <v>1</v>
      </c>
      <c r="GU221" t="s">
        <v>136</v>
      </c>
      <c r="GV221">
        <v>0</v>
      </c>
      <c r="GW221">
        <v>0</v>
      </c>
      <c r="GX221">
        <v>0</v>
      </c>
      <c r="GY221">
        <v>1072000</v>
      </c>
      <c r="GZ221">
        <v>0</v>
      </c>
      <c r="HA221">
        <v>101000000</v>
      </c>
      <c r="HB221">
        <v>303000000</v>
      </c>
      <c r="HC221">
        <v>0</v>
      </c>
      <c r="HD221" t="s">
        <v>137</v>
      </c>
      <c r="HE221">
        <v>0</v>
      </c>
      <c r="HF221">
        <v>0</v>
      </c>
      <c r="HG221">
        <v>0</v>
      </c>
      <c r="HH221">
        <v>1072000</v>
      </c>
      <c r="HI221">
        <v>589600</v>
      </c>
      <c r="HJ221">
        <v>482400</v>
      </c>
      <c r="HK221">
        <v>5200000</v>
      </c>
      <c r="HL221">
        <v>104000</v>
      </c>
      <c r="HM221">
        <v>5096000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6272000</v>
      </c>
      <c r="HT221">
        <v>693600</v>
      </c>
      <c r="HU221">
        <v>5578400</v>
      </c>
      <c r="HV221">
        <v>6272000</v>
      </c>
      <c r="HW221">
        <v>0.05</v>
      </c>
      <c r="HX221">
        <v>0.97798234361883296</v>
      </c>
      <c r="HY221">
        <v>1</v>
      </c>
      <c r="HZ221">
        <v>300000</v>
      </c>
      <c r="IA221">
        <v>189879.99999999901</v>
      </c>
      <c r="IB221">
        <v>0</v>
      </c>
      <c r="IC221">
        <v>0</v>
      </c>
      <c r="ID221">
        <v>462579.99999999901</v>
      </c>
      <c r="IE221">
        <v>762579.99999999895</v>
      </c>
      <c r="IF221">
        <v>745789.77559684904</v>
      </c>
      <c r="IG221">
        <v>482400</v>
      </c>
      <c r="IH221">
        <v>263389.77559684898</v>
      </c>
      <c r="II221">
        <v>0</v>
      </c>
      <c r="IJ221">
        <v>241630.51122015799</v>
      </c>
      <c r="IK221">
        <v>0</v>
      </c>
      <c r="IL221">
        <v>0</v>
      </c>
      <c r="IM221">
        <v>0</v>
      </c>
      <c r="IN221">
        <v>0</v>
      </c>
      <c r="IO221">
        <v>5074240.7356233103</v>
      </c>
      <c r="IP221">
        <v>5074240.7356233103</v>
      </c>
      <c r="IQ221">
        <v>536000</v>
      </c>
      <c r="IR221">
        <v>2600000</v>
      </c>
      <c r="IS221">
        <v>0</v>
      </c>
      <c r="IT221">
        <v>0</v>
      </c>
      <c r="IU221">
        <v>0</v>
      </c>
      <c r="IV221">
        <v>3136000</v>
      </c>
      <c r="IW221">
        <v>268000</v>
      </c>
      <c r="IX221">
        <v>1300000</v>
      </c>
      <c r="IY221">
        <v>0</v>
      </c>
      <c r="IZ221">
        <v>0</v>
      </c>
      <c r="JA221">
        <v>0</v>
      </c>
      <c r="JB221">
        <v>1568000</v>
      </c>
      <c r="JC221">
        <v>90000</v>
      </c>
      <c r="JD221">
        <v>434000</v>
      </c>
      <c r="JE221">
        <v>0</v>
      </c>
      <c r="JF221">
        <v>0</v>
      </c>
      <c r="JG221">
        <v>0</v>
      </c>
      <c r="JH221">
        <v>524000</v>
      </c>
    </row>
    <row r="222" spans="2:268" customFormat="1" x14ac:dyDescent="0.25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3"/>
      <c r="N222" s="3"/>
      <c r="O222" s="3"/>
      <c r="P222" s="2"/>
      <c r="Q222" s="2"/>
      <c r="R222" s="2"/>
      <c r="S222" s="2"/>
      <c r="T222" s="2"/>
      <c r="U222" s="2"/>
      <c r="V222" s="3"/>
      <c r="W222" s="3"/>
      <c r="X222" s="3"/>
      <c r="Y222" s="3"/>
      <c r="Z222" s="3"/>
      <c r="AA222" s="3"/>
      <c r="AB222" s="3"/>
      <c r="AC222" s="2"/>
      <c r="AD222" s="2"/>
      <c r="AE222" s="2"/>
      <c r="AF222" s="2"/>
      <c r="AG222" s="2"/>
      <c r="AH222" s="2"/>
      <c r="AI222" s="2"/>
      <c r="AJ222" s="3"/>
      <c r="AK222" s="2"/>
      <c r="AL222" s="2"/>
      <c r="AM222" s="2"/>
      <c r="AN222" s="2"/>
      <c r="AO222" s="3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3"/>
      <c r="BC222" s="3"/>
      <c r="BD222" s="3"/>
      <c r="BE222" s="3"/>
      <c r="BF222" s="3"/>
      <c r="BG222" s="3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2"/>
      <c r="DI222" s="2"/>
      <c r="DJ222" s="3"/>
      <c r="DK222" s="3"/>
      <c r="DL222" s="2"/>
      <c r="DM222" s="2"/>
      <c r="DN222" s="2"/>
      <c r="DO222" s="3"/>
      <c r="DP222" s="3"/>
      <c r="GO222" t="s">
        <v>144</v>
      </c>
      <c r="GP222" t="s">
        <v>135</v>
      </c>
      <c r="GQ222" t="s">
        <v>502</v>
      </c>
      <c r="GR222">
        <v>2</v>
      </c>
      <c r="GS222">
        <v>1</v>
      </c>
      <c r="GT222">
        <v>1</v>
      </c>
      <c r="GU222" t="s">
        <v>457</v>
      </c>
      <c r="GV222">
        <v>0</v>
      </c>
      <c r="GW222">
        <v>5074240.7356233103</v>
      </c>
      <c r="GX222">
        <v>5074240.7356233103</v>
      </c>
      <c r="GY222">
        <v>1072000</v>
      </c>
      <c r="GZ222">
        <v>5074240.7356233103</v>
      </c>
      <c r="HA222">
        <v>101000000</v>
      </c>
      <c r="HB222">
        <v>303000000</v>
      </c>
      <c r="HC222">
        <v>0</v>
      </c>
      <c r="HD222" t="s">
        <v>137</v>
      </c>
      <c r="HE222">
        <v>0</v>
      </c>
      <c r="HF222">
        <v>0</v>
      </c>
      <c r="HG222">
        <v>0</v>
      </c>
      <c r="HH222">
        <v>1072000</v>
      </c>
      <c r="HI222">
        <v>428800</v>
      </c>
      <c r="HJ222">
        <v>643200</v>
      </c>
      <c r="HK222">
        <v>5200000</v>
      </c>
      <c r="HL222">
        <v>104000</v>
      </c>
      <c r="HM222">
        <v>5096000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6272000</v>
      </c>
      <c r="HT222">
        <v>532800</v>
      </c>
      <c r="HU222">
        <v>5739200</v>
      </c>
      <c r="HV222">
        <v>12544000</v>
      </c>
      <c r="HW222">
        <v>0.05</v>
      </c>
      <c r="HX222">
        <v>0.97798234361883296</v>
      </c>
      <c r="HY222">
        <v>1</v>
      </c>
      <c r="HZ222">
        <v>300000</v>
      </c>
      <c r="IA222">
        <v>80577.637782071804</v>
      </c>
      <c r="IB222">
        <v>0</v>
      </c>
      <c r="IC222">
        <v>0</v>
      </c>
      <c r="ID222">
        <v>353277.63778207201</v>
      </c>
      <c r="IE222">
        <v>653277.63778207195</v>
      </c>
      <c r="IF222">
        <v>638893.995231885</v>
      </c>
      <c r="IG222">
        <v>638893.995231885</v>
      </c>
      <c r="IH222">
        <v>0</v>
      </c>
      <c r="II222">
        <v>215.30023840572699</v>
      </c>
      <c r="IJ222">
        <v>508512.03678116499</v>
      </c>
      <c r="IK222">
        <v>0</v>
      </c>
      <c r="IL222">
        <v>0</v>
      </c>
      <c r="IM222">
        <v>0</v>
      </c>
      <c r="IN222">
        <v>4521.3050065202597</v>
      </c>
      <c r="IO222">
        <v>10678752.772404499</v>
      </c>
      <c r="IP222">
        <v>10683274.077411</v>
      </c>
      <c r="IQ222">
        <v>536000</v>
      </c>
      <c r="IR222">
        <v>2600000</v>
      </c>
      <c r="IS222">
        <v>0</v>
      </c>
      <c r="IT222">
        <v>0</v>
      </c>
      <c r="IU222">
        <v>0</v>
      </c>
      <c r="IV222">
        <v>3136000</v>
      </c>
      <c r="IW222">
        <v>268000</v>
      </c>
      <c r="IX222">
        <v>1300000</v>
      </c>
      <c r="IY222">
        <v>0</v>
      </c>
      <c r="IZ222">
        <v>0</v>
      </c>
      <c r="JA222">
        <v>0</v>
      </c>
      <c r="JB222">
        <v>1568000</v>
      </c>
      <c r="JC222">
        <v>90000</v>
      </c>
      <c r="JD222">
        <v>434000</v>
      </c>
      <c r="JE222">
        <v>0</v>
      </c>
      <c r="JF222">
        <v>0</v>
      </c>
      <c r="JG222">
        <v>0</v>
      </c>
      <c r="JH222">
        <v>524000</v>
      </c>
    </row>
    <row r="223" spans="2:268" customFormat="1" x14ac:dyDescent="0.25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3"/>
      <c r="N223" s="3"/>
      <c r="O223" s="3"/>
      <c r="P223" s="2"/>
      <c r="Q223" s="2"/>
      <c r="R223" s="2"/>
      <c r="S223" s="2"/>
      <c r="T223" s="2"/>
      <c r="U223" s="2"/>
      <c r="V223" s="3"/>
      <c r="W223" s="3"/>
      <c r="X223" s="3"/>
      <c r="Y223" s="3"/>
      <c r="Z223" s="3"/>
      <c r="AA223" s="3"/>
      <c r="AB223" s="3"/>
      <c r="AC223" s="2"/>
      <c r="AD223" s="2"/>
      <c r="AE223" s="2"/>
      <c r="AF223" s="2"/>
      <c r="AG223" s="2"/>
      <c r="AH223" s="2"/>
      <c r="AI223" s="2"/>
      <c r="AJ223" s="3"/>
      <c r="AK223" s="2"/>
      <c r="AL223" s="2"/>
      <c r="AM223" s="2"/>
      <c r="AN223" s="2"/>
      <c r="AO223" s="3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3"/>
      <c r="BC223" s="3"/>
      <c r="BD223" s="3"/>
      <c r="BE223" s="3"/>
      <c r="BF223" s="3"/>
      <c r="BG223" s="3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2"/>
      <c r="DI223" s="2"/>
      <c r="DJ223" s="3"/>
      <c r="DK223" s="3"/>
      <c r="DL223" s="2"/>
      <c r="DM223" s="2"/>
      <c r="DN223" s="2"/>
      <c r="DO223" s="3"/>
      <c r="DP223" s="3"/>
      <c r="GO223" t="s">
        <v>144</v>
      </c>
      <c r="GP223" t="s">
        <v>135</v>
      </c>
      <c r="GQ223" t="s">
        <v>502</v>
      </c>
      <c r="GR223">
        <v>3</v>
      </c>
      <c r="GS223">
        <v>2</v>
      </c>
      <c r="GT223">
        <v>1</v>
      </c>
      <c r="GU223" t="s">
        <v>457</v>
      </c>
      <c r="GV223">
        <v>4521.3050065202597</v>
      </c>
      <c r="GW223">
        <v>10678752.772404499</v>
      </c>
      <c r="GX223">
        <v>10683274.077411</v>
      </c>
      <c r="GY223">
        <v>1072000</v>
      </c>
      <c r="GZ223">
        <v>10678752.772404499</v>
      </c>
      <c r="HA223">
        <v>101000000</v>
      </c>
      <c r="HB223">
        <v>303000000</v>
      </c>
      <c r="HC223">
        <v>0</v>
      </c>
      <c r="HD223" t="s">
        <v>137</v>
      </c>
      <c r="HE223">
        <v>0</v>
      </c>
      <c r="HF223">
        <v>0</v>
      </c>
      <c r="HG223">
        <v>0</v>
      </c>
      <c r="HH223">
        <v>1072000</v>
      </c>
      <c r="HI223">
        <v>268000</v>
      </c>
      <c r="HJ223">
        <v>804000</v>
      </c>
      <c r="HK223">
        <v>5200000</v>
      </c>
      <c r="HL223">
        <v>104000</v>
      </c>
      <c r="HM223">
        <v>5096000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6272000</v>
      </c>
      <c r="HT223">
        <v>372000</v>
      </c>
      <c r="HU223">
        <v>5900000</v>
      </c>
      <c r="HV223">
        <v>18816000</v>
      </c>
      <c r="HW223">
        <v>0.05</v>
      </c>
      <c r="HX223">
        <v>0.97798234361883296</v>
      </c>
      <c r="HY223">
        <v>1</v>
      </c>
      <c r="HZ223">
        <v>300000</v>
      </c>
      <c r="IA223">
        <v>72253.380738073305</v>
      </c>
      <c r="IB223">
        <v>0</v>
      </c>
      <c r="IC223">
        <v>0</v>
      </c>
      <c r="ID223">
        <v>344953.38073807303</v>
      </c>
      <c r="IE223">
        <v>644953.38073807303</v>
      </c>
      <c r="IF223">
        <v>630753.01881911</v>
      </c>
      <c r="IG223">
        <v>630753.01881911</v>
      </c>
      <c r="IH223">
        <v>0</v>
      </c>
      <c r="II223">
        <v>8888.4143093705006</v>
      </c>
      <c r="IJ223">
        <v>788737.63862022397</v>
      </c>
      <c r="IK223">
        <v>0</v>
      </c>
      <c r="IL223">
        <v>0</v>
      </c>
      <c r="IM223">
        <v>0</v>
      </c>
      <c r="IN223">
        <v>186656.70049677999</v>
      </c>
      <c r="IO223">
        <v>16563490.411024701</v>
      </c>
      <c r="IP223">
        <v>16750147.111521499</v>
      </c>
      <c r="IQ223">
        <v>536000</v>
      </c>
      <c r="IR223">
        <v>2600000</v>
      </c>
      <c r="IS223">
        <v>0</v>
      </c>
      <c r="IT223">
        <v>0</v>
      </c>
      <c r="IU223">
        <v>0</v>
      </c>
      <c r="IV223">
        <v>3136000</v>
      </c>
      <c r="IW223">
        <v>268000</v>
      </c>
      <c r="IX223">
        <v>1300000</v>
      </c>
      <c r="IY223">
        <v>0</v>
      </c>
      <c r="IZ223">
        <v>0</v>
      </c>
      <c r="JA223">
        <v>0</v>
      </c>
      <c r="JB223">
        <v>1568000</v>
      </c>
      <c r="JC223">
        <v>90000</v>
      </c>
      <c r="JD223">
        <v>434000</v>
      </c>
      <c r="JE223">
        <v>0</v>
      </c>
      <c r="JF223">
        <v>0</v>
      </c>
      <c r="JG223">
        <v>0</v>
      </c>
      <c r="JH223">
        <v>524000</v>
      </c>
    </row>
    <row r="224" spans="2:268" customFormat="1" x14ac:dyDescent="0.25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3"/>
      <c r="N224" s="3"/>
      <c r="O224" s="3"/>
      <c r="P224" s="2"/>
      <c r="Q224" s="2"/>
      <c r="R224" s="2"/>
      <c r="S224" s="2"/>
      <c r="T224" s="2"/>
      <c r="U224" s="2"/>
      <c r="V224" s="3"/>
      <c r="W224" s="3"/>
      <c r="X224" s="3"/>
      <c r="Y224" s="3"/>
      <c r="Z224" s="3"/>
      <c r="AA224" s="3"/>
      <c r="AB224" s="3"/>
      <c r="AC224" s="2"/>
      <c r="AD224" s="2"/>
      <c r="AE224" s="2"/>
      <c r="AF224" s="2"/>
      <c r="AG224" s="2"/>
      <c r="AH224" s="2"/>
      <c r="AI224" s="2"/>
      <c r="AJ224" s="3"/>
      <c r="AK224" s="2"/>
      <c r="AL224" s="2"/>
      <c r="AM224" s="2"/>
      <c r="AN224" s="2"/>
      <c r="AO224" s="3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3"/>
      <c r="BC224" s="3"/>
      <c r="BD224" s="3"/>
      <c r="BE224" s="3"/>
      <c r="BF224" s="3"/>
      <c r="BG224" s="3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2"/>
      <c r="DI224" s="2"/>
      <c r="DJ224" s="3"/>
      <c r="DK224" s="3"/>
      <c r="DL224" s="2"/>
      <c r="DM224" s="2"/>
      <c r="DN224" s="2"/>
      <c r="DO224" s="3"/>
      <c r="DP224" s="3"/>
      <c r="GO224" t="s">
        <v>144</v>
      </c>
      <c r="GP224" t="s">
        <v>135</v>
      </c>
      <c r="GQ224" t="s">
        <v>502</v>
      </c>
      <c r="GR224">
        <v>4</v>
      </c>
      <c r="GS224">
        <v>3</v>
      </c>
      <c r="GT224">
        <v>1</v>
      </c>
      <c r="GU224" t="s">
        <v>457</v>
      </c>
      <c r="GV224">
        <v>186656.70049677999</v>
      </c>
      <c r="GW224">
        <v>16563490.411024701</v>
      </c>
      <c r="GX224">
        <v>16750147.111521499</v>
      </c>
      <c r="GY224">
        <v>1072000</v>
      </c>
      <c r="GZ224">
        <v>16563490.411024701</v>
      </c>
      <c r="HA224">
        <v>101000000</v>
      </c>
      <c r="HB224">
        <v>303000000</v>
      </c>
      <c r="HC224">
        <v>0</v>
      </c>
      <c r="HD224" t="s">
        <v>137</v>
      </c>
      <c r="HE224">
        <v>0</v>
      </c>
      <c r="HF224">
        <v>0</v>
      </c>
      <c r="HG224">
        <v>0</v>
      </c>
      <c r="HH224">
        <v>1072000</v>
      </c>
      <c r="HI224">
        <v>214400</v>
      </c>
      <c r="HJ224">
        <v>857600</v>
      </c>
      <c r="HK224">
        <v>5200000</v>
      </c>
      <c r="HL224">
        <v>104000</v>
      </c>
      <c r="HM224">
        <v>5096000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6272000</v>
      </c>
      <c r="HT224">
        <v>318400</v>
      </c>
      <c r="HU224">
        <v>5953600</v>
      </c>
      <c r="HV224">
        <v>25088000</v>
      </c>
      <c r="HW224">
        <v>0.05</v>
      </c>
      <c r="HX224">
        <v>0.97798234361883296</v>
      </c>
      <c r="HY224">
        <v>1</v>
      </c>
      <c r="HZ224">
        <v>300000</v>
      </c>
      <c r="IA224">
        <v>65714.885253013505</v>
      </c>
      <c r="IB224">
        <v>0</v>
      </c>
      <c r="IC224">
        <v>0</v>
      </c>
      <c r="ID224">
        <v>338414.885253013</v>
      </c>
      <c r="IE224">
        <v>638414.885253013</v>
      </c>
      <c r="IF224">
        <v>624358.48568089004</v>
      </c>
      <c r="IG224">
        <v>624358.48568089004</v>
      </c>
      <c r="IH224">
        <v>0</v>
      </c>
      <c r="II224">
        <v>20994.910740794501</v>
      </c>
      <c r="IJ224">
        <v>1082974.5205512301</v>
      </c>
      <c r="IK224">
        <v>64320</v>
      </c>
      <c r="IL224">
        <v>0</v>
      </c>
      <c r="IM224">
        <v>64320</v>
      </c>
      <c r="IN224">
        <v>505213.12555668497</v>
      </c>
      <c r="IO224">
        <v>22742464.931575902</v>
      </c>
      <c r="IP224">
        <v>23247678.057132602</v>
      </c>
      <c r="IQ224">
        <v>536000</v>
      </c>
      <c r="IR224">
        <v>2600000</v>
      </c>
      <c r="IS224">
        <v>0</v>
      </c>
      <c r="IT224">
        <v>0</v>
      </c>
      <c r="IU224">
        <v>0</v>
      </c>
      <c r="IV224">
        <v>3136000</v>
      </c>
      <c r="IW224">
        <v>268000</v>
      </c>
      <c r="IX224">
        <v>1300000</v>
      </c>
      <c r="IY224">
        <v>0</v>
      </c>
      <c r="IZ224">
        <v>0</v>
      </c>
      <c r="JA224">
        <v>0</v>
      </c>
      <c r="JB224">
        <v>1568000</v>
      </c>
      <c r="JC224">
        <v>90000</v>
      </c>
      <c r="JD224">
        <v>434000</v>
      </c>
      <c r="JE224">
        <v>0</v>
      </c>
      <c r="JF224">
        <v>0</v>
      </c>
      <c r="JG224">
        <v>0</v>
      </c>
      <c r="JH224">
        <v>524000</v>
      </c>
    </row>
    <row r="225" spans="2:268" customFormat="1" x14ac:dyDescent="0.25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3"/>
      <c r="N225" s="3"/>
      <c r="O225" s="3"/>
      <c r="P225" s="2"/>
      <c r="Q225" s="2"/>
      <c r="R225" s="2"/>
      <c r="S225" s="2"/>
      <c r="T225" s="2"/>
      <c r="U225" s="2"/>
      <c r="V225" s="3"/>
      <c r="W225" s="3"/>
      <c r="X225" s="3"/>
      <c r="Y225" s="3"/>
      <c r="Z225" s="3"/>
      <c r="AA225" s="3"/>
      <c r="AB225" s="3"/>
      <c r="AC225" s="2"/>
      <c r="AD225" s="2"/>
      <c r="AE225" s="2"/>
      <c r="AF225" s="2"/>
      <c r="AG225" s="2"/>
      <c r="AH225" s="2"/>
      <c r="AI225" s="2"/>
      <c r="AJ225" s="3"/>
      <c r="AK225" s="2"/>
      <c r="AL225" s="2"/>
      <c r="AM225" s="2"/>
      <c r="AN225" s="2"/>
      <c r="AO225" s="3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3"/>
      <c r="BC225" s="3"/>
      <c r="BD225" s="3"/>
      <c r="BE225" s="3"/>
      <c r="BF225" s="3"/>
      <c r="BG225" s="3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2"/>
      <c r="DI225" s="2"/>
      <c r="DJ225" s="3"/>
      <c r="DK225" s="3"/>
      <c r="DL225" s="2"/>
      <c r="DM225" s="2"/>
      <c r="DN225" s="2"/>
      <c r="DO225" s="3"/>
      <c r="DP225" s="3"/>
      <c r="GO225" t="s">
        <v>144</v>
      </c>
      <c r="GP225" t="s">
        <v>135</v>
      </c>
      <c r="GQ225" t="s">
        <v>502</v>
      </c>
      <c r="GR225">
        <v>5</v>
      </c>
      <c r="GS225">
        <v>4</v>
      </c>
      <c r="GT225">
        <v>1</v>
      </c>
      <c r="GU225" t="s">
        <v>457</v>
      </c>
      <c r="GV225">
        <v>505213.12555668497</v>
      </c>
      <c r="GW225">
        <v>22742464.931575902</v>
      </c>
      <c r="GX225">
        <v>23247678.057132602</v>
      </c>
      <c r="GY225">
        <v>857600</v>
      </c>
      <c r="GZ225">
        <v>22742464.931575902</v>
      </c>
      <c r="HA225">
        <v>101000000</v>
      </c>
      <c r="HB225">
        <v>303000000</v>
      </c>
      <c r="HC225">
        <v>1000000</v>
      </c>
      <c r="HD225" t="s">
        <v>458</v>
      </c>
      <c r="HE225">
        <v>0</v>
      </c>
      <c r="HF225">
        <v>1000000</v>
      </c>
      <c r="HG225">
        <v>1000000</v>
      </c>
      <c r="HH225">
        <v>1072000</v>
      </c>
      <c r="HI225">
        <v>107200</v>
      </c>
      <c r="HJ225">
        <v>964800</v>
      </c>
      <c r="HK225">
        <v>5200000</v>
      </c>
      <c r="HL225">
        <v>104000</v>
      </c>
      <c r="HM225">
        <v>5096000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6272000</v>
      </c>
      <c r="HT225">
        <v>211200</v>
      </c>
      <c r="HU225">
        <v>6060800</v>
      </c>
      <c r="HV225">
        <v>31360000</v>
      </c>
      <c r="HW225">
        <v>0.05</v>
      </c>
      <c r="HX225">
        <v>0.97798234361883296</v>
      </c>
      <c r="HY225">
        <v>1</v>
      </c>
      <c r="HZ225">
        <v>300000</v>
      </c>
      <c r="IA225">
        <v>59869.2878960116</v>
      </c>
      <c r="IB225">
        <v>0</v>
      </c>
      <c r="IC225">
        <v>0</v>
      </c>
      <c r="ID225">
        <v>332569.28789601201</v>
      </c>
      <c r="IE225">
        <v>632569.28789601102</v>
      </c>
      <c r="IF225">
        <v>618641.59467783803</v>
      </c>
      <c r="IG225">
        <v>618641.59467783803</v>
      </c>
      <c r="IH225">
        <v>0</v>
      </c>
      <c r="II225">
        <v>42568.576543942399</v>
      </c>
      <c r="IJ225">
        <v>1341923.2465788</v>
      </c>
      <c r="IK225">
        <v>0</v>
      </c>
      <c r="IL225">
        <v>0</v>
      </c>
      <c r="IM225">
        <v>0</v>
      </c>
      <c r="IN225">
        <v>893940.10742278898</v>
      </c>
      <c r="IO225">
        <v>28180388.1781547</v>
      </c>
      <c r="IP225">
        <v>29074328.285577498</v>
      </c>
      <c r="IQ225">
        <v>536000</v>
      </c>
      <c r="IR225">
        <v>2600000</v>
      </c>
      <c r="IS225">
        <v>0</v>
      </c>
      <c r="IT225">
        <v>0</v>
      </c>
      <c r="IU225">
        <v>0</v>
      </c>
      <c r="IV225">
        <v>3136000</v>
      </c>
      <c r="IW225">
        <v>268000</v>
      </c>
      <c r="IX225">
        <v>1300000</v>
      </c>
      <c r="IY225">
        <v>0</v>
      </c>
      <c r="IZ225">
        <v>0</v>
      </c>
      <c r="JA225">
        <v>0</v>
      </c>
      <c r="JB225">
        <v>1568000</v>
      </c>
      <c r="JC225">
        <v>90000</v>
      </c>
      <c r="JD225">
        <v>434000</v>
      </c>
      <c r="JE225">
        <v>0</v>
      </c>
      <c r="JF225">
        <v>0</v>
      </c>
      <c r="JG225">
        <v>0</v>
      </c>
      <c r="JH225">
        <v>524000</v>
      </c>
    </row>
    <row r="226" spans="2:268" customFormat="1" x14ac:dyDescent="0.25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3"/>
      <c r="N226" s="3"/>
      <c r="O226" s="3"/>
      <c r="P226" s="2"/>
      <c r="Q226" s="2"/>
      <c r="R226" s="2"/>
      <c r="S226" s="2"/>
      <c r="T226" s="2"/>
      <c r="U226" s="2"/>
      <c r="V226" s="3"/>
      <c r="W226" s="3"/>
      <c r="X226" s="3"/>
      <c r="Y226" s="3"/>
      <c r="Z226" s="3"/>
      <c r="AA226" s="3"/>
      <c r="AB226" s="3"/>
      <c r="AC226" s="2"/>
      <c r="AD226" s="2"/>
      <c r="AE226" s="2"/>
      <c r="AF226" s="2"/>
      <c r="AG226" s="2"/>
      <c r="AH226" s="2"/>
      <c r="AI226" s="2"/>
      <c r="AJ226" s="3"/>
      <c r="AK226" s="2"/>
      <c r="AL226" s="2"/>
      <c r="AM226" s="2"/>
      <c r="AN226" s="2"/>
      <c r="AO226" s="3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3"/>
      <c r="BC226" s="3"/>
      <c r="BD226" s="3"/>
      <c r="BE226" s="3"/>
      <c r="BF226" s="3"/>
      <c r="BG226" s="3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2"/>
      <c r="DI226" s="2"/>
      <c r="DJ226" s="3"/>
      <c r="DK226" s="3"/>
      <c r="DL226" s="2"/>
      <c r="DM226" s="2"/>
      <c r="DN226" s="2"/>
      <c r="DO226" s="3"/>
      <c r="DP226" s="3"/>
      <c r="GO226" t="s">
        <v>144</v>
      </c>
      <c r="GP226" t="s">
        <v>135</v>
      </c>
      <c r="GQ226" t="s">
        <v>502</v>
      </c>
      <c r="GR226">
        <v>6</v>
      </c>
      <c r="GS226">
        <v>5</v>
      </c>
      <c r="GT226">
        <v>1</v>
      </c>
      <c r="GU226" t="s">
        <v>457</v>
      </c>
      <c r="GV226">
        <v>893940.10742278898</v>
      </c>
      <c r="GW226">
        <v>28180388.1781547</v>
      </c>
      <c r="GX226">
        <v>29074328.285577498</v>
      </c>
      <c r="GY226">
        <v>643200</v>
      </c>
      <c r="GZ226">
        <v>28431128.285577498</v>
      </c>
      <c r="HA226">
        <v>101000000</v>
      </c>
      <c r="HB226">
        <v>303000000</v>
      </c>
      <c r="HC226">
        <v>1000000</v>
      </c>
      <c r="HD226" t="s">
        <v>458</v>
      </c>
      <c r="HE226">
        <v>0</v>
      </c>
      <c r="HF226">
        <v>1000000</v>
      </c>
      <c r="HG226">
        <v>1000000</v>
      </c>
      <c r="HH226">
        <v>1072000</v>
      </c>
      <c r="HI226">
        <v>75040</v>
      </c>
      <c r="HJ226">
        <v>996960</v>
      </c>
      <c r="HK226">
        <v>5200000</v>
      </c>
      <c r="HL226">
        <v>104000</v>
      </c>
      <c r="HM226">
        <v>5096000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6272000</v>
      </c>
      <c r="HT226">
        <v>179040</v>
      </c>
      <c r="HU226">
        <v>6092960</v>
      </c>
      <c r="HV226">
        <v>37632000</v>
      </c>
      <c r="HW226">
        <v>0.05</v>
      </c>
      <c r="HX226">
        <v>0.97798234361883296</v>
      </c>
      <c r="HY226">
        <v>1</v>
      </c>
      <c r="HZ226">
        <v>300000</v>
      </c>
      <c r="IA226">
        <v>53944.253785810899</v>
      </c>
      <c r="IB226">
        <v>0</v>
      </c>
      <c r="IC226">
        <v>0</v>
      </c>
      <c r="ID226">
        <v>326644.25378581102</v>
      </c>
      <c r="IE226">
        <v>626644.25378581102</v>
      </c>
      <c r="IF226">
        <v>612847.01593272202</v>
      </c>
      <c r="IG226">
        <v>612847.01593272202</v>
      </c>
      <c r="IH226">
        <v>0</v>
      </c>
      <c r="II226">
        <v>63902.654574503402</v>
      </c>
      <c r="IJ226">
        <v>1613819.4089077399</v>
      </c>
      <c r="IK226">
        <v>0</v>
      </c>
      <c r="IL226">
        <v>0</v>
      </c>
      <c r="IM226">
        <v>0</v>
      </c>
      <c r="IN226">
        <v>1341955.74606457</v>
      </c>
      <c r="IO226">
        <v>33890207.5870625</v>
      </c>
      <c r="IP226">
        <v>35232163.333126999</v>
      </c>
      <c r="IQ226">
        <v>536000</v>
      </c>
      <c r="IR226">
        <v>2600000</v>
      </c>
      <c r="IS226">
        <v>0</v>
      </c>
      <c r="IT226">
        <v>0</v>
      </c>
      <c r="IU226">
        <v>0</v>
      </c>
      <c r="IV226">
        <v>3136000</v>
      </c>
      <c r="IW226">
        <v>268000</v>
      </c>
      <c r="IX226">
        <v>1300000</v>
      </c>
      <c r="IY226">
        <v>0</v>
      </c>
      <c r="IZ226">
        <v>0</v>
      </c>
      <c r="JA226">
        <v>0</v>
      </c>
      <c r="JB226">
        <v>1568000</v>
      </c>
      <c r="JC226">
        <v>90000</v>
      </c>
      <c r="JD226">
        <v>434000</v>
      </c>
      <c r="JE226">
        <v>0</v>
      </c>
      <c r="JF226">
        <v>0</v>
      </c>
      <c r="JG226">
        <v>0</v>
      </c>
      <c r="JH226">
        <v>524000</v>
      </c>
    </row>
    <row r="227" spans="2:268" customFormat="1" x14ac:dyDescent="0.25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3"/>
      <c r="N227" s="3"/>
      <c r="O227" s="3"/>
      <c r="P227" s="2"/>
      <c r="Q227" s="2"/>
      <c r="R227" s="2"/>
      <c r="S227" s="2"/>
      <c r="T227" s="2"/>
      <c r="U227" s="2"/>
      <c r="V227" s="3"/>
      <c r="W227" s="3"/>
      <c r="X227" s="3"/>
      <c r="Y227" s="3"/>
      <c r="Z227" s="3"/>
      <c r="AA227" s="3"/>
      <c r="AB227" s="3"/>
      <c r="AC227" s="2"/>
      <c r="AD227" s="2"/>
      <c r="AE227" s="2"/>
      <c r="AF227" s="2"/>
      <c r="AG227" s="2"/>
      <c r="AH227" s="2"/>
      <c r="AI227" s="2"/>
      <c r="AJ227" s="3"/>
      <c r="AK227" s="2"/>
      <c r="AL227" s="2"/>
      <c r="AM227" s="2"/>
      <c r="AN227" s="2"/>
      <c r="AO227" s="3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3"/>
      <c r="BC227" s="3"/>
      <c r="BD227" s="3"/>
      <c r="BE227" s="3"/>
      <c r="BF227" s="3"/>
      <c r="BG227" s="3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2"/>
      <c r="DI227" s="2"/>
      <c r="DJ227" s="3"/>
      <c r="DK227" s="3"/>
      <c r="DL227" s="2"/>
      <c r="DM227" s="2"/>
      <c r="DN227" s="2"/>
      <c r="DO227" s="3"/>
      <c r="DP227" s="3"/>
      <c r="GO227" t="s">
        <v>144</v>
      </c>
      <c r="GP227" t="s">
        <v>135</v>
      </c>
      <c r="GQ227" t="s">
        <v>502</v>
      </c>
      <c r="GR227">
        <v>7</v>
      </c>
      <c r="GS227">
        <v>6</v>
      </c>
      <c r="GT227">
        <v>1</v>
      </c>
      <c r="GU227" t="s">
        <v>457</v>
      </c>
      <c r="GV227">
        <v>1341955.74606457</v>
      </c>
      <c r="GW227">
        <v>33890207.5870625</v>
      </c>
      <c r="GX227">
        <v>35232163.333126999</v>
      </c>
      <c r="GY227">
        <v>428800</v>
      </c>
      <c r="GZ227">
        <v>34803363.333126999</v>
      </c>
      <c r="HA227">
        <v>101000000</v>
      </c>
      <c r="HB227">
        <v>303000000</v>
      </c>
      <c r="HC227">
        <v>1000000</v>
      </c>
      <c r="HD227" t="s">
        <v>458</v>
      </c>
      <c r="HE227">
        <v>0</v>
      </c>
      <c r="HF227">
        <v>1000000</v>
      </c>
      <c r="HG227">
        <v>1000000</v>
      </c>
      <c r="HH227">
        <v>1072000</v>
      </c>
      <c r="HI227">
        <v>75040</v>
      </c>
      <c r="HJ227">
        <v>996960</v>
      </c>
      <c r="HK227">
        <v>5200000</v>
      </c>
      <c r="HL227">
        <v>104000</v>
      </c>
      <c r="HM227">
        <v>5096000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6272000</v>
      </c>
      <c r="HT227">
        <v>179040</v>
      </c>
      <c r="HU227">
        <v>6092960</v>
      </c>
      <c r="HV227">
        <v>43904000</v>
      </c>
      <c r="HW227">
        <v>0.05</v>
      </c>
      <c r="HX227">
        <v>0.97798234361883296</v>
      </c>
      <c r="HY227">
        <v>1</v>
      </c>
      <c r="HZ227">
        <v>300000</v>
      </c>
      <c r="IA227">
        <v>48010.520766817797</v>
      </c>
      <c r="IB227">
        <v>0</v>
      </c>
      <c r="IC227">
        <v>0</v>
      </c>
      <c r="ID227">
        <v>320710.52076681802</v>
      </c>
      <c r="IE227">
        <v>620710.52076681796</v>
      </c>
      <c r="IF227">
        <v>607043.92980839906</v>
      </c>
      <c r="IG227">
        <v>607043.92980839906</v>
      </c>
      <c r="IH227">
        <v>0</v>
      </c>
      <c r="II227">
        <v>86593.590812808601</v>
      </c>
      <c r="IJ227">
        <v>1899310.37935312</v>
      </c>
      <c r="IK227">
        <v>0</v>
      </c>
      <c r="IL227">
        <v>0</v>
      </c>
      <c r="IM227">
        <v>0</v>
      </c>
      <c r="IN227">
        <v>1818465.4070689799</v>
      </c>
      <c r="IO227">
        <v>39885517.966415599</v>
      </c>
      <c r="IP227">
        <v>41703983.373484597</v>
      </c>
      <c r="IQ227">
        <v>536000</v>
      </c>
      <c r="IR227">
        <v>2600000</v>
      </c>
      <c r="IS227">
        <v>0</v>
      </c>
      <c r="IT227">
        <v>0</v>
      </c>
      <c r="IU227">
        <v>0</v>
      </c>
      <c r="IV227">
        <v>3136000</v>
      </c>
      <c r="IW227">
        <v>268000</v>
      </c>
      <c r="IX227">
        <v>1300000</v>
      </c>
      <c r="IY227">
        <v>0</v>
      </c>
      <c r="IZ227">
        <v>0</v>
      </c>
      <c r="JA227">
        <v>0</v>
      </c>
      <c r="JB227">
        <v>1568000</v>
      </c>
      <c r="JC227">
        <v>90000</v>
      </c>
      <c r="JD227">
        <v>434000</v>
      </c>
      <c r="JE227">
        <v>0</v>
      </c>
      <c r="JF227">
        <v>0</v>
      </c>
      <c r="JG227">
        <v>0</v>
      </c>
      <c r="JH227">
        <v>524000</v>
      </c>
    </row>
    <row r="228" spans="2:268" customFormat="1" x14ac:dyDescent="0.25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3"/>
      <c r="N228" s="3"/>
      <c r="O228" s="3"/>
      <c r="P228" s="2"/>
      <c r="Q228" s="2"/>
      <c r="R228" s="2"/>
      <c r="S228" s="2"/>
      <c r="T228" s="2"/>
      <c r="U228" s="2"/>
      <c r="V228" s="3"/>
      <c r="W228" s="3"/>
      <c r="X228" s="3"/>
      <c r="Y228" s="3"/>
      <c r="Z228" s="3"/>
      <c r="AA228" s="3"/>
      <c r="AB228" s="3"/>
      <c r="AC228" s="2"/>
      <c r="AD228" s="2"/>
      <c r="AE228" s="2"/>
      <c r="AF228" s="2"/>
      <c r="AG228" s="2"/>
      <c r="AH228" s="2"/>
      <c r="AI228" s="2"/>
      <c r="AJ228" s="3"/>
      <c r="AK228" s="2"/>
      <c r="AL228" s="2"/>
      <c r="AM228" s="2"/>
      <c r="AN228" s="2"/>
      <c r="AO228" s="3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3"/>
      <c r="BC228" s="3"/>
      <c r="BD228" s="3"/>
      <c r="BE228" s="3"/>
      <c r="BF228" s="3"/>
      <c r="BG228" s="3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2"/>
      <c r="DI228" s="2"/>
      <c r="DJ228" s="3"/>
      <c r="DK228" s="3"/>
      <c r="DL228" s="2"/>
      <c r="DM228" s="2"/>
      <c r="DN228" s="2"/>
      <c r="DO228" s="3"/>
      <c r="DP228" s="3"/>
      <c r="GO228" t="s">
        <v>144</v>
      </c>
      <c r="GP228" t="s">
        <v>135</v>
      </c>
      <c r="GQ228" t="s">
        <v>502</v>
      </c>
      <c r="GR228">
        <v>8</v>
      </c>
      <c r="GS228">
        <v>7</v>
      </c>
      <c r="GT228">
        <v>1</v>
      </c>
      <c r="GU228" t="s">
        <v>457</v>
      </c>
      <c r="GV228">
        <v>1818465.4070689799</v>
      </c>
      <c r="GW228">
        <v>39885517.966415599</v>
      </c>
      <c r="GX228">
        <v>41703983.373484597</v>
      </c>
      <c r="GY228">
        <v>214400</v>
      </c>
      <c r="GZ228">
        <v>41489583.373484597</v>
      </c>
      <c r="HA228">
        <v>101000000</v>
      </c>
      <c r="HB228">
        <v>303000000</v>
      </c>
      <c r="HC228">
        <v>0</v>
      </c>
      <c r="HD228" t="s">
        <v>137</v>
      </c>
      <c r="HE228">
        <v>0</v>
      </c>
      <c r="HF228">
        <v>0</v>
      </c>
      <c r="HG228">
        <v>0</v>
      </c>
      <c r="HH228">
        <v>1072000</v>
      </c>
      <c r="HI228">
        <v>42880</v>
      </c>
      <c r="HJ228">
        <v>1029120</v>
      </c>
      <c r="HK228">
        <v>5200000</v>
      </c>
      <c r="HL228">
        <v>104000</v>
      </c>
      <c r="HM228">
        <v>5096000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6272000</v>
      </c>
      <c r="HT228">
        <v>146880</v>
      </c>
      <c r="HU228">
        <v>6125120</v>
      </c>
      <c r="HV228">
        <v>50176000</v>
      </c>
      <c r="HW228">
        <v>0.05</v>
      </c>
      <c r="HX228">
        <v>0.97798234361883296</v>
      </c>
      <c r="HY228">
        <v>1</v>
      </c>
      <c r="HZ228">
        <v>300000</v>
      </c>
      <c r="IA228">
        <v>42100.171804825201</v>
      </c>
      <c r="IB228">
        <v>0</v>
      </c>
      <c r="IC228">
        <v>0</v>
      </c>
      <c r="ID228">
        <v>314800.17180482502</v>
      </c>
      <c r="IE228">
        <v>614800.17180482496</v>
      </c>
      <c r="IF228">
        <v>601263.712878944</v>
      </c>
      <c r="IG228">
        <v>601263.712878944</v>
      </c>
      <c r="IH228">
        <v>0</v>
      </c>
      <c r="II228">
        <v>112316.084709502</v>
      </c>
      <c r="IJ228">
        <v>2249075.8983207801</v>
      </c>
      <c r="IK228">
        <v>128640</v>
      </c>
      <c r="IL228">
        <v>0</v>
      </c>
      <c r="IM228">
        <v>128640</v>
      </c>
      <c r="IN228">
        <v>2487277.7788995402</v>
      </c>
      <c r="IO228">
        <v>47230593.864736401</v>
      </c>
      <c r="IP228">
        <v>49717871.643635899</v>
      </c>
      <c r="IQ228">
        <v>536000</v>
      </c>
      <c r="IR228">
        <v>2600000</v>
      </c>
      <c r="IS228">
        <v>0</v>
      </c>
      <c r="IT228">
        <v>0</v>
      </c>
      <c r="IU228">
        <v>0</v>
      </c>
      <c r="IV228">
        <v>3136000</v>
      </c>
      <c r="IW228">
        <v>268000</v>
      </c>
      <c r="IX228">
        <v>1300000</v>
      </c>
      <c r="IY228">
        <v>0</v>
      </c>
      <c r="IZ228">
        <v>0</v>
      </c>
      <c r="JA228">
        <v>0</v>
      </c>
      <c r="JB228">
        <v>1568000</v>
      </c>
      <c r="JC228">
        <v>90000</v>
      </c>
      <c r="JD228">
        <v>434000</v>
      </c>
      <c r="JE228">
        <v>0</v>
      </c>
      <c r="JF228">
        <v>0</v>
      </c>
      <c r="JG228">
        <v>0</v>
      </c>
      <c r="JH228">
        <v>524000</v>
      </c>
    </row>
    <row r="229" spans="2:268" customFormat="1" x14ac:dyDescent="0.25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3"/>
      <c r="N229" s="3"/>
      <c r="O229" s="3"/>
      <c r="P229" s="2"/>
      <c r="Q229" s="2"/>
      <c r="R229" s="2"/>
      <c r="S229" s="2"/>
      <c r="T229" s="2"/>
      <c r="U229" s="2"/>
      <c r="V229" s="3"/>
      <c r="W229" s="3"/>
      <c r="X229" s="3"/>
      <c r="Y229" s="3"/>
      <c r="Z229" s="3"/>
      <c r="AA229" s="3"/>
      <c r="AB229" s="3"/>
      <c r="AC229" s="2"/>
      <c r="AD229" s="2"/>
      <c r="AE229" s="2"/>
      <c r="AF229" s="2"/>
      <c r="AG229" s="2"/>
      <c r="AH229" s="2"/>
      <c r="AI229" s="2"/>
      <c r="AJ229" s="3"/>
      <c r="AK229" s="2"/>
      <c r="AL229" s="2"/>
      <c r="AM229" s="2"/>
      <c r="AN229" s="2"/>
      <c r="AO229" s="3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3"/>
      <c r="BC229" s="3"/>
      <c r="BD229" s="3"/>
      <c r="BE229" s="3"/>
      <c r="BF229" s="3"/>
      <c r="BG229" s="3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2"/>
      <c r="DI229" s="2"/>
      <c r="DJ229" s="3"/>
      <c r="DK229" s="3"/>
      <c r="DL229" s="2"/>
      <c r="DM229" s="2"/>
      <c r="DN229" s="2"/>
      <c r="DO229" s="3"/>
      <c r="DP229" s="3"/>
      <c r="GO229" t="s">
        <v>144</v>
      </c>
      <c r="GP229" t="s">
        <v>135</v>
      </c>
      <c r="GQ229" t="s">
        <v>502</v>
      </c>
      <c r="GR229">
        <v>9</v>
      </c>
      <c r="GS229">
        <v>8</v>
      </c>
      <c r="GT229">
        <v>1</v>
      </c>
      <c r="GU229" t="s">
        <v>457</v>
      </c>
      <c r="GV229">
        <v>2487277.7788995402</v>
      </c>
      <c r="GW229">
        <v>47230593.864736401</v>
      </c>
      <c r="GX229">
        <v>49717871.643635899</v>
      </c>
      <c r="GY229">
        <v>107200</v>
      </c>
      <c r="GZ229">
        <v>49610671.643635899</v>
      </c>
      <c r="HA229">
        <v>101000000</v>
      </c>
      <c r="HB229">
        <v>303000000</v>
      </c>
      <c r="HC229">
        <v>0</v>
      </c>
      <c r="HD229" t="s">
        <v>137</v>
      </c>
      <c r="HE229">
        <v>0</v>
      </c>
      <c r="HF229">
        <v>0</v>
      </c>
      <c r="HG229">
        <v>0</v>
      </c>
      <c r="HH229">
        <v>1072000</v>
      </c>
      <c r="HI229">
        <v>42880</v>
      </c>
      <c r="HJ229">
        <v>1029120</v>
      </c>
      <c r="HK229">
        <v>5200000</v>
      </c>
      <c r="HL229">
        <v>104000</v>
      </c>
      <c r="HM229">
        <v>5096000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6272000</v>
      </c>
      <c r="HT229">
        <v>146880</v>
      </c>
      <c r="HU229">
        <v>6125120</v>
      </c>
      <c r="HV229">
        <v>56448000</v>
      </c>
      <c r="HW229">
        <v>0.05</v>
      </c>
      <c r="HX229">
        <v>0.97798234361883296</v>
      </c>
      <c r="HY229">
        <v>1</v>
      </c>
      <c r="HZ229">
        <v>300000</v>
      </c>
      <c r="IA229">
        <v>35897.4898494566</v>
      </c>
      <c r="IB229">
        <v>0</v>
      </c>
      <c r="IC229">
        <v>0</v>
      </c>
      <c r="ID229">
        <v>308597.48984945699</v>
      </c>
      <c r="IE229">
        <v>608597.48984945705</v>
      </c>
      <c r="IF229">
        <v>595197.59944350994</v>
      </c>
      <c r="IG229">
        <v>595197.59944350994</v>
      </c>
      <c r="IH229">
        <v>0</v>
      </c>
      <c r="II229">
        <v>146060.00897280101</v>
      </c>
      <c r="IJ229">
        <v>2616329.6932368199</v>
      </c>
      <c r="IK229">
        <v>0</v>
      </c>
      <c r="IL229">
        <v>0</v>
      </c>
      <c r="IM229">
        <v>0</v>
      </c>
      <c r="IN229">
        <v>3067260.1884288299</v>
      </c>
      <c r="IO229">
        <v>54942923.557973199</v>
      </c>
      <c r="IP229">
        <v>58010183.746402003</v>
      </c>
      <c r="IQ229">
        <v>536000</v>
      </c>
      <c r="IR229">
        <v>2600000</v>
      </c>
      <c r="IS229">
        <v>0</v>
      </c>
      <c r="IT229">
        <v>0</v>
      </c>
      <c r="IU229">
        <v>0</v>
      </c>
      <c r="IV229">
        <v>3136000</v>
      </c>
      <c r="IW229">
        <v>268000</v>
      </c>
      <c r="IX229">
        <v>1300000</v>
      </c>
      <c r="IY229">
        <v>0</v>
      </c>
      <c r="IZ229">
        <v>0</v>
      </c>
      <c r="JA229">
        <v>0</v>
      </c>
      <c r="JB229">
        <v>1568000</v>
      </c>
      <c r="JC229">
        <v>90000</v>
      </c>
      <c r="JD229">
        <v>434000</v>
      </c>
      <c r="JE229">
        <v>0</v>
      </c>
      <c r="JF229">
        <v>0</v>
      </c>
      <c r="JG229">
        <v>0</v>
      </c>
      <c r="JH229">
        <v>524000</v>
      </c>
    </row>
    <row r="230" spans="2:268" customFormat="1" x14ac:dyDescent="0.25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3"/>
      <c r="O230" s="3"/>
      <c r="P230" s="2"/>
      <c r="Q230" s="2"/>
      <c r="R230" s="2"/>
      <c r="S230" s="2"/>
      <c r="T230" s="2"/>
      <c r="U230" s="2"/>
      <c r="V230" s="3"/>
      <c r="W230" s="3"/>
      <c r="X230" s="3"/>
      <c r="Y230" s="3"/>
      <c r="Z230" s="3"/>
      <c r="AA230" s="3"/>
      <c r="AB230" s="3"/>
      <c r="AC230" s="2"/>
      <c r="AD230" s="2"/>
      <c r="AE230" s="2"/>
      <c r="AF230" s="2"/>
      <c r="AG230" s="2"/>
      <c r="AH230" s="2"/>
      <c r="AI230" s="2"/>
      <c r="AJ230" s="3"/>
      <c r="AK230" s="2"/>
      <c r="AL230" s="2"/>
      <c r="AM230" s="2"/>
      <c r="AN230" s="2"/>
      <c r="AO230" s="3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3"/>
      <c r="BC230" s="3"/>
      <c r="BD230" s="3"/>
      <c r="BE230" s="3"/>
      <c r="BF230" s="3"/>
      <c r="BG230" s="3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2"/>
      <c r="DI230" s="2"/>
      <c r="DJ230" s="3"/>
      <c r="DK230" s="3"/>
      <c r="DL230" s="2"/>
      <c r="DM230" s="2"/>
      <c r="DN230" s="2"/>
      <c r="DO230" s="3"/>
      <c r="DP230" s="3"/>
      <c r="GO230" t="s">
        <v>144</v>
      </c>
      <c r="GP230" t="s">
        <v>135</v>
      </c>
      <c r="GQ230" t="s">
        <v>502</v>
      </c>
      <c r="GR230">
        <v>10</v>
      </c>
      <c r="GS230">
        <v>9</v>
      </c>
      <c r="GT230">
        <v>1</v>
      </c>
      <c r="GU230" t="s">
        <v>457</v>
      </c>
      <c r="GV230">
        <v>3067260.1884288299</v>
      </c>
      <c r="GW230">
        <v>54942923.557973199</v>
      </c>
      <c r="GX230">
        <v>58010183.746402003</v>
      </c>
      <c r="GY230">
        <v>0</v>
      </c>
      <c r="GZ230">
        <v>58010183.746402003</v>
      </c>
      <c r="HA230">
        <v>101000000</v>
      </c>
      <c r="HB230">
        <v>303000000</v>
      </c>
      <c r="HC230">
        <v>0</v>
      </c>
      <c r="HD230" t="s">
        <v>137</v>
      </c>
      <c r="HE230">
        <v>0</v>
      </c>
      <c r="HF230">
        <v>0</v>
      </c>
      <c r="HG230">
        <v>0</v>
      </c>
      <c r="HH230">
        <v>1072000</v>
      </c>
      <c r="HI230">
        <v>21440</v>
      </c>
      <c r="HJ230">
        <v>1050560</v>
      </c>
      <c r="HK230">
        <v>5200000</v>
      </c>
      <c r="HL230">
        <v>104000</v>
      </c>
      <c r="HM230">
        <v>5096000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6272000</v>
      </c>
      <c r="HT230">
        <v>125440</v>
      </c>
      <c r="HU230">
        <v>6146560</v>
      </c>
      <c r="HV230">
        <v>62720000</v>
      </c>
      <c r="HW230">
        <v>0.05</v>
      </c>
      <c r="HX230">
        <v>0.97798234361883296</v>
      </c>
      <c r="HY230">
        <v>1</v>
      </c>
      <c r="HZ230">
        <v>300000</v>
      </c>
      <c r="IA230">
        <v>29662.973214981201</v>
      </c>
      <c r="IB230">
        <v>0</v>
      </c>
      <c r="IC230">
        <v>0</v>
      </c>
      <c r="ID230">
        <v>302362.97321498097</v>
      </c>
      <c r="IE230">
        <v>602362.97321498103</v>
      </c>
      <c r="IF230">
        <v>589100.35225399502</v>
      </c>
      <c r="IG230">
        <v>589100.35225399502</v>
      </c>
      <c r="IH230">
        <v>0</v>
      </c>
      <c r="II230">
        <v>176435.99180874199</v>
      </c>
      <c r="IJ230">
        <v>3001946.1778986598</v>
      </c>
      <c r="IK230">
        <v>0</v>
      </c>
      <c r="IL230">
        <v>0</v>
      </c>
      <c r="IM230">
        <v>0</v>
      </c>
      <c r="IN230">
        <v>3705155.8279835801</v>
      </c>
      <c r="IO230">
        <v>63040869.735871799</v>
      </c>
      <c r="IP230">
        <v>66746025.563855402</v>
      </c>
      <c r="IQ230">
        <v>536000</v>
      </c>
      <c r="IR230">
        <v>2600000</v>
      </c>
      <c r="IS230">
        <v>0</v>
      </c>
      <c r="IT230">
        <v>0</v>
      </c>
      <c r="IU230">
        <v>0</v>
      </c>
      <c r="IV230">
        <v>3136000</v>
      </c>
      <c r="IW230">
        <v>268000</v>
      </c>
      <c r="IX230">
        <v>1300000</v>
      </c>
      <c r="IY230">
        <v>0</v>
      </c>
      <c r="IZ230">
        <v>0</v>
      </c>
      <c r="JA230">
        <v>0</v>
      </c>
      <c r="JB230">
        <v>1568000</v>
      </c>
      <c r="JC230">
        <v>90000</v>
      </c>
      <c r="JD230">
        <v>434000</v>
      </c>
      <c r="JE230">
        <v>0</v>
      </c>
      <c r="JF230">
        <v>0</v>
      </c>
      <c r="JG230">
        <v>0</v>
      </c>
      <c r="JH230">
        <v>524000</v>
      </c>
    </row>
    <row r="231" spans="2:268" customFormat="1" x14ac:dyDescent="0.25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3"/>
      <c r="N231" s="3"/>
      <c r="O231" s="3"/>
      <c r="P231" s="2"/>
      <c r="Q231" s="2"/>
      <c r="R231" s="2"/>
      <c r="S231" s="2"/>
      <c r="T231" s="2"/>
      <c r="U231" s="2"/>
      <c r="V231" s="3"/>
      <c r="W231" s="3"/>
      <c r="X231" s="3"/>
      <c r="Y231" s="3"/>
      <c r="Z231" s="3"/>
      <c r="AA231" s="3"/>
      <c r="AB231" s="3"/>
      <c r="AC231" s="2"/>
      <c r="AD231" s="2"/>
      <c r="AE231" s="2"/>
      <c r="AF231" s="2"/>
      <c r="AG231" s="2"/>
      <c r="AH231" s="2"/>
      <c r="AI231" s="2"/>
      <c r="AJ231" s="3"/>
      <c r="AK231" s="2"/>
      <c r="AL231" s="2"/>
      <c r="AM231" s="2"/>
      <c r="AN231" s="2"/>
      <c r="AO231" s="3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3"/>
      <c r="BC231" s="3"/>
      <c r="BD231" s="3"/>
      <c r="BE231" s="3"/>
      <c r="BF231" s="3"/>
      <c r="BG231" s="3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2"/>
      <c r="DI231" s="2"/>
      <c r="DJ231" s="3"/>
      <c r="DK231" s="3"/>
      <c r="DL231" s="2"/>
      <c r="DM231" s="2"/>
      <c r="DN231" s="2"/>
      <c r="DO231" s="3"/>
      <c r="DP231" s="3"/>
      <c r="GO231" t="s">
        <v>144</v>
      </c>
      <c r="GP231" t="s">
        <v>135</v>
      </c>
      <c r="GQ231" t="s">
        <v>502</v>
      </c>
      <c r="GR231">
        <v>11</v>
      </c>
      <c r="GS231">
        <v>10</v>
      </c>
      <c r="GT231">
        <v>1</v>
      </c>
      <c r="GU231" t="s">
        <v>457</v>
      </c>
      <c r="GV231">
        <v>3705155.8279835801</v>
      </c>
      <c r="GW231">
        <v>63040869.735871799</v>
      </c>
      <c r="GX231">
        <v>66746025.563855402</v>
      </c>
      <c r="GY231">
        <v>0</v>
      </c>
      <c r="GZ231">
        <v>66746025.563855402</v>
      </c>
      <c r="HA231">
        <v>101000000</v>
      </c>
      <c r="HB231">
        <v>303000000</v>
      </c>
      <c r="HC231">
        <v>0</v>
      </c>
      <c r="HD231" t="s">
        <v>137</v>
      </c>
      <c r="HE231">
        <v>0</v>
      </c>
      <c r="HF231">
        <v>0</v>
      </c>
      <c r="HG231">
        <v>0</v>
      </c>
      <c r="HH231">
        <v>1072000</v>
      </c>
      <c r="HI231">
        <v>21440</v>
      </c>
      <c r="HJ231">
        <v>1050560</v>
      </c>
      <c r="HK231">
        <v>5200000</v>
      </c>
      <c r="HL231">
        <v>104000</v>
      </c>
      <c r="HM231">
        <v>5096000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6272000</v>
      </c>
      <c r="HT231">
        <v>125440</v>
      </c>
      <c r="HU231">
        <v>6146560</v>
      </c>
      <c r="HV231">
        <v>68992000</v>
      </c>
      <c r="HW231">
        <v>0.05</v>
      </c>
      <c r="HX231">
        <v>0.97798234361883296</v>
      </c>
      <c r="HY231">
        <v>1</v>
      </c>
      <c r="HZ231">
        <v>300000</v>
      </c>
      <c r="IA231">
        <v>23292.702616578801</v>
      </c>
      <c r="IB231">
        <v>0</v>
      </c>
      <c r="IC231">
        <v>0</v>
      </c>
      <c r="ID231">
        <v>295992.70261657902</v>
      </c>
      <c r="IE231">
        <v>595992.70261657902</v>
      </c>
      <c r="IF231">
        <v>582870.34008468396</v>
      </c>
      <c r="IG231">
        <v>582870.34008468396</v>
      </c>
      <c r="IH231">
        <v>0</v>
      </c>
      <c r="II231">
        <v>208642.27439494501</v>
      </c>
      <c r="IJ231">
        <v>3406843.4867935898</v>
      </c>
      <c r="IK231">
        <v>0</v>
      </c>
      <c r="IL231">
        <v>0</v>
      </c>
      <c r="IM231">
        <v>0</v>
      </c>
      <c r="IN231">
        <v>4381487.7622938398</v>
      </c>
      <c r="IO231">
        <v>71543713.222665399</v>
      </c>
      <c r="IP231">
        <v>75925200.984959304</v>
      </c>
      <c r="IQ231">
        <v>536000</v>
      </c>
      <c r="IR231">
        <v>2600000</v>
      </c>
      <c r="IS231">
        <v>0</v>
      </c>
      <c r="IT231">
        <v>0</v>
      </c>
      <c r="IU231">
        <v>0</v>
      </c>
      <c r="IV231">
        <v>3136000</v>
      </c>
      <c r="IW231">
        <v>268000</v>
      </c>
      <c r="IX231">
        <v>1300000</v>
      </c>
      <c r="IY231">
        <v>0</v>
      </c>
      <c r="IZ231">
        <v>0</v>
      </c>
      <c r="JA231">
        <v>0</v>
      </c>
      <c r="JB231">
        <v>1568000</v>
      </c>
      <c r="JC231">
        <v>90000</v>
      </c>
      <c r="JD231">
        <v>434000</v>
      </c>
      <c r="JE231">
        <v>0</v>
      </c>
      <c r="JF231">
        <v>0</v>
      </c>
      <c r="JG231">
        <v>0</v>
      </c>
      <c r="JH231">
        <v>524000</v>
      </c>
    </row>
    <row r="232" spans="2:268" customFormat="1" x14ac:dyDescent="0.25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3"/>
      <c r="N232" s="3"/>
      <c r="O232" s="3"/>
      <c r="P232" s="2"/>
      <c r="Q232" s="2"/>
      <c r="R232" s="2"/>
      <c r="S232" s="2"/>
      <c r="T232" s="2"/>
      <c r="U232" s="2"/>
      <c r="V232" s="3"/>
      <c r="W232" s="3"/>
      <c r="X232" s="3"/>
      <c r="Y232" s="3"/>
      <c r="Z232" s="3"/>
      <c r="AA232" s="3"/>
      <c r="AB232" s="3"/>
      <c r="AC232" s="2"/>
      <c r="AD232" s="2"/>
      <c r="AE232" s="2"/>
      <c r="AF232" s="2"/>
      <c r="AG232" s="2"/>
      <c r="AH232" s="2"/>
      <c r="AI232" s="2"/>
      <c r="AJ232" s="3"/>
      <c r="AK232" s="2"/>
      <c r="AL232" s="2"/>
      <c r="AM232" s="2"/>
      <c r="AN232" s="2"/>
      <c r="AO232" s="3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3"/>
      <c r="BC232" s="3"/>
      <c r="BD232" s="3"/>
      <c r="BE232" s="3"/>
      <c r="BF232" s="3"/>
      <c r="BG232" s="3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2"/>
      <c r="DI232" s="2"/>
      <c r="DJ232" s="3"/>
      <c r="DK232" s="3"/>
      <c r="DL232" s="2"/>
      <c r="DM232" s="2"/>
      <c r="DN232" s="2"/>
      <c r="DO232" s="3"/>
      <c r="DP232" s="3"/>
      <c r="GO232" t="s">
        <v>144</v>
      </c>
      <c r="GP232" t="s">
        <v>135</v>
      </c>
      <c r="GQ232" t="s">
        <v>502</v>
      </c>
      <c r="GR232">
        <v>12</v>
      </c>
      <c r="GS232">
        <v>11</v>
      </c>
      <c r="GT232">
        <v>1</v>
      </c>
      <c r="GU232" t="s">
        <v>457</v>
      </c>
      <c r="GV232">
        <v>4381487.7622938398</v>
      </c>
      <c r="GW232">
        <v>71543713.222665399</v>
      </c>
      <c r="GX232">
        <v>75925200.984959304</v>
      </c>
      <c r="GY232">
        <v>0</v>
      </c>
      <c r="GZ232">
        <v>75925200.984959304</v>
      </c>
      <c r="HA232">
        <v>101000000</v>
      </c>
      <c r="HB232">
        <v>303000000</v>
      </c>
      <c r="HC232">
        <v>5000000</v>
      </c>
      <c r="HD232" t="s">
        <v>458</v>
      </c>
      <c r="HE232">
        <v>0</v>
      </c>
      <c r="HF232">
        <v>5000000</v>
      </c>
      <c r="HG232">
        <v>5000000</v>
      </c>
      <c r="HH232">
        <v>1072000</v>
      </c>
      <c r="HI232">
        <v>21440</v>
      </c>
      <c r="HJ232">
        <v>1050560</v>
      </c>
      <c r="HK232">
        <v>5200000</v>
      </c>
      <c r="HL232">
        <v>104000</v>
      </c>
      <c r="HM232">
        <v>5096000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6272000</v>
      </c>
      <c r="HT232">
        <v>125440</v>
      </c>
      <c r="HU232">
        <v>6146560</v>
      </c>
      <c r="HV232">
        <v>75264000</v>
      </c>
      <c r="HW232">
        <v>0.05</v>
      </c>
      <c r="HX232">
        <v>0.97798234361883296</v>
      </c>
      <c r="HY232">
        <v>1</v>
      </c>
      <c r="HZ232">
        <v>300000</v>
      </c>
      <c r="IA232">
        <v>17552.359310529398</v>
      </c>
      <c r="IB232">
        <v>0</v>
      </c>
      <c r="IC232">
        <v>0</v>
      </c>
      <c r="ID232">
        <v>290252.35931052902</v>
      </c>
      <c r="IE232">
        <v>590252.35931052896</v>
      </c>
      <c r="IF232">
        <v>577256.38568505703</v>
      </c>
      <c r="IG232">
        <v>577256.38568505703</v>
      </c>
      <c r="IH232">
        <v>0</v>
      </c>
      <c r="II232">
        <v>242739.56883043901</v>
      </c>
      <c r="IJ232">
        <v>3581985.6611332698</v>
      </c>
      <c r="IK232">
        <v>192960</v>
      </c>
      <c r="IL232">
        <v>0</v>
      </c>
      <c r="IM232">
        <v>192960</v>
      </c>
      <c r="IN232">
        <v>5290490.9454392204</v>
      </c>
      <c r="IO232">
        <v>75221698.883798704</v>
      </c>
      <c r="IP232">
        <v>80512189.829237893</v>
      </c>
      <c r="IQ232">
        <v>536000</v>
      </c>
      <c r="IR232">
        <v>2600000</v>
      </c>
      <c r="IS232">
        <v>0</v>
      </c>
      <c r="IT232">
        <v>0</v>
      </c>
      <c r="IU232">
        <v>0</v>
      </c>
      <c r="IV232">
        <v>3136000</v>
      </c>
      <c r="IW232">
        <v>268000</v>
      </c>
      <c r="IX232">
        <v>1300000</v>
      </c>
      <c r="IY232">
        <v>0</v>
      </c>
      <c r="IZ232">
        <v>0</v>
      </c>
      <c r="JA232">
        <v>0</v>
      </c>
      <c r="JB232">
        <v>1568000</v>
      </c>
      <c r="JC232">
        <v>90000</v>
      </c>
      <c r="JD232">
        <v>434000</v>
      </c>
      <c r="JE232">
        <v>0</v>
      </c>
      <c r="JF232">
        <v>0</v>
      </c>
      <c r="JG232">
        <v>0</v>
      </c>
      <c r="JH232">
        <v>524000</v>
      </c>
    </row>
    <row r="233" spans="2:268" customFormat="1" x14ac:dyDescent="0.25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3"/>
      <c r="N233" s="3"/>
      <c r="O233" s="3"/>
      <c r="P233" s="2"/>
      <c r="Q233" s="2"/>
      <c r="R233" s="2"/>
      <c r="S233" s="2"/>
      <c r="T233" s="2"/>
      <c r="U233" s="2"/>
      <c r="V233" s="3"/>
      <c r="W233" s="3"/>
      <c r="X233" s="3"/>
      <c r="Y233" s="3"/>
      <c r="Z233" s="3"/>
      <c r="AA233" s="3"/>
      <c r="AB233" s="3"/>
      <c r="AC233" s="2"/>
      <c r="AD233" s="2"/>
      <c r="AE233" s="2"/>
      <c r="AF233" s="2"/>
      <c r="AG233" s="2"/>
      <c r="AH233" s="2"/>
      <c r="AI233" s="2"/>
      <c r="AJ233" s="3"/>
      <c r="AK233" s="2"/>
      <c r="AL233" s="2"/>
      <c r="AM233" s="2"/>
      <c r="AN233" s="2"/>
      <c r="AO233" s="3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3"/>
      <c r="BC233" s="3"/>
      <c r="BD233" s="3"/>
      <c r="BE233" s="3"/>
      <c r="BF233" s="3"/>
      <c r="BG233" s="3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2"/>
      <c r="DI233" s="2"/>
      <c r="DJ233" s="3"/>
      <c r="DK233" s="3"/>
      <c r="DL233" s="2"/>
      <c r="DM233" s="2"/>
      <c r="DN233" s="2"/>
      <c r="DO233" s="3"/>
      <c r="DP233" s="3"/>
      <c r="GO233" t="s">
        <v>144</v>
      </c>
      <c r="GP233" t="s">
        <v>135</v>
      </c>
      <c r="GQ233" t="s">
        <v>502</v>
      </c>
      <c r="GR233">
        <v>13</v>
      </c>
      <c r="GS233">
        <v>12</v>
      </c>
      <c r="GT233">
        <v>1</v>
      </c>
      <c r="GU233" t="s">
        <v>457</v>
      </c>
      <c r="GV233">
        <v>5290490.9454392204</v>
      </c>
      <c r="GW233">
        <v>75221698.883798704</v>
      </c>
      <c r="GX233">
        <v>80512189.829237893</v>
      </c>
      <c r="GY233">
        <v>0</v>
      </c>
      <c r="GZ233">
        <v>80512189.829237893</v>
      </c>
      <c r="HA233">
        <v>101000000</v>
      </c>
      <c r="HB233">
        <v>303000000</v>
      </c>
      <c r="HC233">
        <v>5000000</v>
      </c>
      <c r="HD233" t="s">
        <v>458</v>
      </c>
      <c r="HE233">
        <v>0</v>
      </c>
      <c r="HF233">
        <v>5000000</v>
      </c>
      <c r="HG233">
        <v>5000000</v>
      </c>
      <c r="HH233">
        <v>1072000</v>
      </c>
      <c r="HI233">
        <v>21440</v>
      </c>
      <c r="HJ233">
        <v>1050560</v>
      </c>
      <c r="HK233">
        <v>5200000</v>
      </c>
      <c r="HL233">
        <v>104000</v>
      </c>
      <c r="HM233">
        <v>5096000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6272000</v>
      </c>
      <c r="HT233">
        <v>125440</v>
      </c>
      <c r="HU233">
        <v>6146560</v>
      </c>
      <c r="HV233">
        <v>81536000</v>
      </c>
      <c r="HW233">
        <v>0.05</v>
      </c>
      <c r="HX233">
        <v>0.97798234361883296</v>
      </c>
      <c r="HY233">
        <v>1</v>
      </c>
      <c r="HZ233">
        <v>300000</v>
      </c>
      <c r="IA233">
        <v>14956.101424656499</v>
      </c>
      <c r="IB233">
        <v>0</v>
      </c>
      <c r="IC233">
        <v>0</v>
      </c>
      <c r="ID233">
        <v>287656.10142465599</v>
      </c>
      <c r="IE233">
        <v>587656.10142465599</v>
      </c>
      <c r="IF233">
        <v>574717.29131319199</v>
      </c>
      <c r="IG233">
        <v>574717.29131319199</v>
      </c>
      <c r="IH233">
        <v>0</v>
      </c>
      <c r="II233">
        <v>288316.68270630098</v>
      </c>
      <c r="IJ233">
        <v>3765884.9441899401</v>
      </c>
      <c r="IK233">
        <v>0</v>
      </c>
      <c r="IL233">
        <v>0</v>
      </c>
      <c r="IM233">
        <v>0</v>
      </c>
      <c r="IN233">
        <v>6054650.3368323296</v>
      </c>
      <c r="IO233">
        <v>79083583.827988699</v>
      </c>
      <c r="IP233">
        <v>85138234.164820999</v>
      </c>
      <c r="IQ233">
        <v>536000</v>
      </c>
      <c r="IR233">
        <v>2600000</v>
      </c>
      <c r="IS233">
        <v>0</v>
      </c>
      <c r="IT233">
        <v>0</v>
      </c>
      <c r="IU233">
        <v>0</v>
      </c>
      <c r="IV233">
        <v>3136000</v>
      </c>
      <c r="IW233">
        <v>268000</v>
      </c>
      <c r="IX233">
        <v>1300000</v>
      </c>
      <c r="IY233">
        <v>0</v>
      </c>
      <c r="IZ233">
        <v>0</v>
      </c>
      <c r="JA233">
        <v>0</v>
      </c>
      <c r="JB233">
        <v>1568000</v>
      </c>
      <c r="JC233">
        <v>90000</v>
      </c>
      <c r="JD233">
        <v>434000</v>
      </c>
      <c r="JE233">
        <v>0</v>
      </c>
      <c r="JF233">
        <v>0</v>
      </c>
      <c r="JG233">
        <v>0</v>
      </c>
      <c r="JH233">
        <v>524000</v>
      </c>
    </row>
    <row r="234" spans="2:268" customFormat="1" x14ac:dyDescent="0.25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s="3"/>
      <c r="O234" s="3"/>
      <c r="P234" s="2"/>
      <c r="Q234" s="2"/>
      <c r="R234" s="2"/>
      <c r="S234" s="2"/>
      <c r="T234" s="2"/>
      <c r="U234" s="2"/>
      <c r="V234" s="3"/>
      <c r="W234" s="3"/>
      <c r="X234" s="3"/>
      <c r="Y234" s="3"/>
      <c r="Z234" s="3"/>
      <c r="AA234" s="3"/>
      <c r="AB234" s="3"/>
      <c r="AC234" s="2"/>
      <c r="AD234" s="2"/>
      <c r="AE234" s="2"/>
      <c r="AF234" s="2"/>
      <c r="AG234" s="2"/>
      <c r="AH234" s="2"/>
      <c r="AI234" s="2"/>
      <c r="AJ234" s="3"/>
      <c r="AK234" s="2"/>
      <c r="AL234" s="2"/>
      <c r="AM234" s="2"/>
      <c r="AN234" s="2"/>
      <c r="AO234" s="3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3"/>
      <c r="BC234" s="3"/>
      <c r="BD234" s="3"/>
      <c r="BE234" s="3"/>
      <c r="BF234" s="3"/>
      <c r="BG234" s="3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2"/>
      <c r="DI234" s="2"/>
      <c r="DJ234" s="3"/>
      <c r="DK234" s="3"/>
      <c r="DL234" s="2"/>
      <c r="DM234" s="2"/>
      <c r="DN234" s="2"/>
      <c r="DO234" s="3"/>
      <c r="DP234" s="3"/>
      <c r="GO234" t="s">
        <v>144</v>
      </c>
      <c r="GP234" t="s">
        <v>135</v>
      </c>
      <c r="GQ234" t="s">
        <v>502</v>
      </c>
      <c r="GR234">
        <v>14</v>
      </c>
      <c r="GS234">
        <v>13</v>
      </c>
      <c r="GT234">
        <v>1</v>
      </c>
      <c r="GU234" t="s">
        <v>457</v>
      </c>
      <c r="GV234">
        <v>6054650.3368323296</v>
      </c>
      <c r="GW234">
        <v>79083583.827988699</v>
      </c>
      <c r="GX234">
        <v>85138234.164820999</v>
      </c>
      <c r="GY234">
        <v>0</v>
      </c>
      <c r="GZ234">
        <v>85138234.164820999</v>
      </c>
      <c r="HA234">
        <v>101000000</v>
      </c>
      <c r="HB234">
        <v>303000000</v>
      </c>
      <c r="HC234">
        <v>5000000</v>
      </c>
      <c r="HD234" t="s">
        <v>458</v>
      </c>
      <c r="HE234">
        <v>0</v>
      </c>
      <c r="HF234">
        <v>5000000</v>
      </c>
      <c r="HG234">
        <v>5000000</v>
      </c>
      <c r="HH234">
        <v>1072000</v>
      </c>
      <c r="HI234">
        <v>21440</v>
      </c>
      <c r="HJ234">
        <v>1050560</v>
      </c>
      <c r="HK234">
        <v>5200000</v>
      </c>
      <c r="HL234">
        <v>104000</v>
      </c>
      <c r="HM234">
        <v>5096000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6272000</v>
      </c>
      <c r="HT234">
        <v>125440</v>
      </c>
      <c r="HU234">
        <v>6146560</v>
      </c>
      <c r="HV234">
        <v>87808000</v>
      </c>
      <c r="HW234">
        <v>0.05</v>
      </c>
      <c r="HX234">
        <v>0.97798234361883296</v>
      </c>
      <c r="HY234">
        <v>1</v>
      </c>
      <c r="HZ234">
        <v>300000</v>
      </c>
      <c r="IA234">
        <v>12213.5596930868</v>
      </c>
      <c r="IB234">
        <v>0</v>
      </c>
      <c r="IC234">
        <v>0</v>
      </c>
      <c r="ID234">
        <v>284913.55969308701</v>
      </c>
      <c r="IE234">
        <v>584913.55969308701</v>
      </c>
      <c r="IF234">
        <v>572035.133923079</v>
      </c>
      <c r="IG234">
        <v>572035.133923079</v>
      </c>
      <c r="IH234">
        <v>0</v>
      </c>
      <c r="II234">
        <v>326658.760145462</v>
      </c>
      <c r="IJ234">
        <v>3958979.1913994299</v>
      </c>
      <c r="IK234">
        <v>0</v>
      </c>
      <c r="IL234">
        <v>0</v>
      </c>
      <c r="IM234">
        <v>0</v>
      </c>
      <c r="IN234">
        <v>6859833.9630547101</v>
      </c>
      <c r="IO234">
        <v>83138563.019388095</v>
      </c>
      <c r="IP234">
        <v>89998396.982442796</v>
      </c>
      <c r="IQ234">
        <v>536000</v>
      </c>
      <c r="IR234">
        <v>2600000</v>
      </c>
      <c r="IS234">
        <v>0</v>
      </c>
      <c r="IT234">
        <v>0</v>
      </c>
      <c r="IU234">
        <v>0</v>
      </c>
      <c r="IV234">
        <v>3136000</v>
      </c>
      <c r="IW234">
        <v>268000</v>
      </c>
      <c r="IX234">
        <v>1300000</v>
      </c>
      <c r="IY234">
        <v>0</v>
      </c>
      <c r="IZ234">
        <v>0</v>
      </c>
      <c r="JA234">
        <v>0</v>
      </c>
      <c r="JB234">
        <v>1568000</v>
      </c>
      <c r="JC234">
        <v>90000</v>
      </c>
      <c r="JD234">
        <v>434000</v>
      </c>
      <c r="JE234">
        <v>0</v>
      </c>
      <c r="JF234">
        <v>0</v>
      </c>
      <c r="JG234">
        <v>0</v>
      </c>
      <c r="JH234">
        <v>524000</v>
      </c>
    </row>
    <row r="235" spans="2:268" customFormat="1" x14ac:dyDescent="0.25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3"/>
      <c r="N235" s="3"/>
      <c r="O235" s="3"/>
      <c r="P235" s="2"/>
      <c r="Q235" s="2"/>
      <c r="R235" s="2"/>
      <c r="S235" s="2"/>
      <c r="T235" s="2"/>
      <c r="U235" s="2"/>
      <c r="V235" s="3"/>
      <c r="W235" s="3"/>
      <c r="X235" s="3"/>
      <c r="Y235" s="3"/>
      <c r="Z235" s="3"/>
      <c r="AA235" s="3"/>
      <c r="AB235" s="3"/>
      <c r="AC235" s="2"/>
      <c r="AD235" s="2"/>
      <c r="AE235" s="2"/>
      <c r="AF235" s="2"/>
      <c r="AG235" s="2"/>
      <c r="AH235" s="2"/>
      <c r="AI235" s="2"/>
      <c r="AJ235" s="3"/>
      <c r="AK235" s="2"/>
      <c r="AL235" s="2"/>
      <c r="AM235" s="2"/>
      <c r="AN235" s="2"/>
      <c r="AO235" s="3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3"/>
      <c r="BC235" s="3"/>
      <c r="BD235" s="3"/>
      <c r="BE235" s="3"/>
      <c r="BF235" s="3"/>
      <c r="BG235" s="3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2"/>
      <c r="DI235" s="2"/>
      <c r="DJ235" s="3"/>
      <c r="DK235" s="3"/>
      <c r="DL235" s="2"/>
      <c r="DM235" s="2"/>
      <c r="DN235" s="2"/>
      <c r="DO235" s="3"/>
      <c r="DP235" s="3"/>
      <c r="GO235" t="s">
        <v>144</v>
      </c>
      <c r="GP235" t="s">
        <v>135</v>
      </c>
      <c r="GQ235" t="s">
        <v>502</v>
      </c>
      <c r="GR235">
        <v>15</v>
      </c>
      <c r="GS235">
        <v>14</v>
      </c>
      <c r="GT235">
        <v>1</v>
      </c>
      <c r="GU235" t="s">
        <v>457</v>
      </c>
      <c r="GV235">
        <v>6859833.9630547101</v>
      </c>
      <c r="GW235">
        <v>83138563.019388095</v>
      </c>
      <c r="GX235">
        <v>89998396.982442796</v>
      </c>
      <c r="GY235">
        <v>0</v>
      </c>
      <c r="GZ235">
        <v>89998396.982442796</v>
      </c>
      <c r="HA235">
        <v>101000000</v>
      </c>
      <c r="HB235">
        <v>303000000</v>
      </c>
      <c r="HC235">
        <v>5000000</v>
      </c>
      <c r="HD235" t="s">
        <v>458</v>
      </c>
      <c r="HE235">
        <v>0</v>
      </c>
      <c r="HF235">
        <v>5000000</v>
      </c>
      <c r="HG235">
        <v>5000000</v>
      </c>
      <c r="HH235">
        <v>1072000</v>
      </c>
      <c r="HI235">
        <v>21440</v>
      </c>
      <c r="HJ235">
        <v>1050560</v>
      </c>
      <c r="HK235">
        <v>5200000</v>
      </c>
      <c r="HL235">
        <v>104000</v>
      </c>
      <c r="HM235">
        <v>5096000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6272000</v>
      </c>
      <c r="HT235">
        <v>125440</v>
      </c>
      <c r="HU235">
        <v>6146560</v>
      </c>
      <c r="HV235">
        <v>94080000</v>
      </c>
      <c r="HW235">
        <v>0.05</v>
      </c>
      <c r="HX235">
        <v>0.97798234361883296</v>
      </c>
      <c r="HY235">
        <v>1</v>
      </c>
      <c r="HZ235">
        <v>300000</v>
      </c>
      <c r="IA235">
        <v>9021.3144743973808</v>
      </c>
      <c r="IB235">
        <v>0</v>
      </c>
      <c r="IC235">
        <v>0</v>
      </c>
      <c r="ID235">
        <v>281721.31447439699</v>
      </c>
      <c r="IE235">
        <v>581721.31447439699</v>
      </c>
      <c r="IF235">
        <v>568913.17446269898</v>
      </c>
      <c r="IG235">
        <v>568913.17446269898</v>
      </c>
      <c r="IH235">
        <v>0</v>
      </c>
      <c r="II235">
        <v>367074.03942960099</v>
      </c>
      <c r="IJ235">
        <v>4161728.1509694001</v>
      </c>
      <c r="IK235">
        <v>0</v>
      </c>
      <c r="IL235">
        <v>0</v>
      </c>
      <c r="IM235">
        <v>0</v>
      </c>
      <c r="IN235">
        <v>7708554.8280216102</v>
      </c>
      <c r="IO235">
        <v>87396291.170357496</v>
      </c>
      <c r="IP235">
        <v>95104845.998379096</v>
      </c>
      <c r="IQ235">
        <v>536000</v>
      </c>
      <c r="IR235">
        <v>2600000</v>
      </c>
      <c r="IS235">
        <v>0</v>
      </c>
      <c r="IT235">
        <v>0</v>
      </c>
      <c r="IU235">
        <v>0</v>
      </c>
      <c r="IV235">
        <v>3136000</v>
      </c>
      <c r="IW235">
        <v>268000</v>
      </c>
      <c r="IX235">
        <v>1300000</v>
      </c>
      <c r="IY235">
        <v>0</v>
      </c>
      <c r="IZ235">
        <v>0</v>
      </c>
      <c r="JA235">
        <v>0</v>
      </c>
      <c r="JB235">
        <v>1568000</v>
      </c>
      <c r="JC235">
        <v>90000</v>
      </c>
      <c r="JD235">
        <v>434000</v>
      </c>
      <c r="JE235">
        <v>0</v>
      </c>
      <c r="JF235">
        <v>0</v>
      </c>
      <c r="JG235">
        <v>0</v>
      </c>
      <c r="JH235">
        <v>524000</v>
      </c>
    </row>
    <row r="236" spans="2:268" customFormat="1" x14ac:dyDescent="0.25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3"/>
      <c r="N236" s="3"/>
      <c r="O236" s="3"/>
      <c r="P236" s="2"/>
      <c r="Q236" s="2"/>
      <c r="R236" s="2"/>
      <c r="S236" s="2"/>
      <c r="T236" s="2"/>
      <c r="U236" s="2"/>
      <c r="V236" s="3"/>
      <c r="W236" s="3"/>
      <c r="X236" s="3"/>
      <c r="Y236" s="3"/>
      <c r="Z236" s="3"/>
      <c r="AA236" s="3"/>
      <c r="AB236" s="3"/>
      <c r="AC236" s="2"/>
      <c r="AD236" s="2"/>
      <c r="AE236" s="2"/>
      <c r="AF236" s="2"/>
      <c r="AG236" s="2"/>
      <c r="AH236" s="2"/>
      <c r="AI236" s="2"/>
      <c r="AJ236" s="3"/>
      <c r="AK236" s="2"/>
      <c r="AL236" s="2"/>
      <c r="AM236" s="2"/>
      <c r="AN236" s="2"/>
      <c r="AO236" s="3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3"/>
      <c r="BC236" s="3"/>
      <c r="BD236" s="3"/>
      <c r="BE236" s="3"/>
      <c r="BF236" s="3"/>
      <c r="BG236" s="3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2"/>
      <c r="DI236" s="2"/>
      <c r="DJ236" s="3"/>
      <c r="DK236" s="3"/>
      <c r="DL236" s="2"/>
      <c r="DM236" s="2"/>
      <c r="DN236" s="2"/>
      <c r="DO236" s="3"/>
      <c r="DP236" s="3"/>
      <c r="GO236" t="s">
        <v>144</v>
      </c>
      <c r="GP236" t="s">
        <v>135</v>
      </c>
      <c r="GQ236" t="s">
        <v>502</v>
      </c>
      <c r="GR236">
        <v>16</v>
      </c>
      <c r="GS236">
        <v>15</v>
      </c>
      <c r="GT236">
        <v>1</v>
      </c>
      <c r="GU236" t="s">
        <v>457</v>
      </c>
      <c r="GV236">
        <v>7708554.8280216102</v>
      </c>
      <c r="GW236">
        <v>87396291.170357496</v>
      </c>
      <c r="GX236">
        <v>95104845.998379096</v>
      </c>
      <c r="GY236">
        <v>0</v>
      </c>
      <c r="GZ236">
        <v>95104845.998379096</v>
      </c>
      <c r="HA236">
        <v>101000000</v>
      </c>
      <c r="HB236">
        <v>303000000</v>
      </c>
      <c r="HC236">
        <v>0</v>
      </c>
      <c r="HD236" t="s">
        <v>137</v>
      </c>
      <c r="HE236">
        <v>0</v>
      </c>
      <c r="HF236">
        <v>0</v>
      </c>
      <c r="HG236">
        <v>0</v>
      </c>
      <c r="HH236">
        <v>1072000</v>
      </c>
      <c r="HI236">
        <v>21440</v>
      </c>
      <c r="HJ236">
        <v>1050560</v>
      </c>
      <c r="HK236">
        <v>5200000</v>
      </c>
      <c r="HL236">
        <v>104000</v>
      </c>
      <c r="HM236">
        <v>5096000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6272000</v>
      </c>
      <c r="HT236">
        <v>125440</v>
      </c>
      <c r="HU236">
        <v>6146560</v>
      </c>
      <c r="HV236">
        <v>100352000</v>
      </c>
      <c r="HW236">
        <v>0.05</v>
      </c>
      <c r="HX236">
        <v>0.97798234361883296</v>
      </c>
      <c r="HY236">
        <v>1</v>
      </c>
      <c r="HZ236">
        <v>300000</v>
      </c>
      <c r="IA236">
        <v>5128.7839814104</v>
      </c>
      <c r="IB236">
        <v>0</v>
      </c>
      <c r="IC236">
        <v>0</v>
      </c>
      <c r="ID236">
        <v>277828.78398140997</v>
      </c>
      <c r="IE236">
        <v>577828.78398140997</v>
      </c>
      <c r="IF236">
        <v>565106.34836855996</v>
      </c>
      <c r="IG236">
        <v>565106.34836855996</v>
      </c>
      <c r="IH236">
        <v>0</v>
      </c>
      <c r="II236">
        <v>409700.42398265301</v>
      </c>
      <c r="IJ236">
        <v>4624614.5585178696</v>
      </c>
      <c r="IK236">
        <v>257280</v>
      </c>
      <c r="IL236">
        <v>0</v>
      </c>
      <c r="IM236">
        <v>257280</v>
      </c>
      <c r="IN236">
        <v>8860988.9036356993</v>
      </c>
      <c r="IO236">
        <v>97116905.728875399</v>
      </c>
      <c r="IP236">
        <v>105977894.632511</v>
      </c>
      <c r="IQ236">
        <v>536000</v>
      </c>
      <c r="IR236">
        <v>2600000</v>
      </c>
      <c r="IS236">
        <v>0</v>
      </c>
      <c r="IT236">
        <v>0</v>
      </c>
      <c r="IU236">
        <v>0</v>
      </c>
      <c r="IV236">
        <v>3136000</v>
      </c>
      <c r="IW236">
        <v>268000</v>
      </c>
      <c r="IX236">
        <v>1300000</v>
      </c>
      <c r="IY236">
        <v>0</v>
      </c>
      <c r="IZ236">
        <v>0</v>
      </c>
      <c r="JA236">
        <v>0</v>
      </c>
      <c r="JB236">
        <v>1568000</v>
      </c>
      <c r="JC236">
        <v>90000</v>
      </c>
      <c r="JD236">
        <v>434000</v>
      </c>
      <c r="JE236">
        <v>0</v>
      </c>
      <c r="JF236">
        <v>0</v>
      </c>
      <c r="JG236">
        <v>0</v>
      </c>
      <c r="JH236">
        <v>524000</v>
      </c>
    </row>
    <row r="237" spans="2:268" customFormat="1" x14ac:dyDescent="0.25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3"/>
      <c r="N237" s="3"/>
      <c r="O237" s="3"/>
      <c r="P237" s="2"/>
      <c r="Q237" s="2"/>
      <c r="R237" s="2"/>
      <c r="S237" s="2"/>
      <c r="T237" s="2"/>
      <c r="U237" s="2"/>
      <c r="V237" s="3"/>
      <c r="W237" s="3"/>
      <c r="X237" s="3"/>
      <c r="Y237" s="3"/>
      <c r="Z237" s="3"/>
      <c r="AA237" s="3"/>
      <c r="AB237" s="3"/>
      <c r="AC237" s="2"/>
      <c r="AD237" s="2"/>
      <c r="AE237" s="2"/>
      <c r="AF237" s="2"/>
      <c r="AG237" s="2"/>
      <c r="AH237" s="2"/>
      <c r="AI237" s="2"/>
      <c r="AJ237" s="3"/>
      <c r="AK237" s="2"/>
      <c r="AL237" s="2"/>
      <c r="AM237" s="2"/>
      <c r="AN237" s="2"/>
      <c r="AO237" s="3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3"/>
      <c r="BC237" s="3"/>
      <c r="BD237" s="3"/>
      <c r="BE237" s="3"/>
      <c r="BF237" s="3"/>
      <c r="BG237" s="3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2"/>
      <c r="DI237" s="2"/>
      <c r="DJ237" s="3"/>
      <c r="DK237" s="3"/>
      <c r="DL237" s="2"/>
      <c r="DM237" s="2"/>
      <c r="DN237" s="2"/>
      <c r="DO237" s="3"/>
      <c r="DP237" s="3"/>
      <c r="GO237" t="s">
        <v>144</v>
      </c>
      <c r="GP237" t="s">
        <v>135</v>
      </c>
      <c r="GQ237" t="s">
        <v>502</v>
      </c>
      <c r="GR237">
        <v>17</v>
      </c>
      <c r="GS237">
        <v>16</v>
      </c>
      <c r="GT237">
        <v>1</v>
      </c>
      <c r="GU237" t="s">
        <v>457</v>
      </c>
      <c r="GV237">
        <v>8860988.9036356993</v>
      </c>
      <c r="GW237">
        <v>97116905.728875399</v>
      </c>
      <c r="GX237">
        <v>105977894.632511</v>
      </c>
      <c r="GY237">
        <v>0</v>
      </c>
      <c r="GZ237">
        <v>105977894.632511</v>
      </c>
      <c r="HA237">
        <v>105977894.632511</v>
      </c>
      <c r="HB237">
        <v>303000000</v>
      </c>
      <c r="HC237">
        <v>0</v>
      </c>
      <c r="HD237" t="s">
        <v>137</v>
      </c>
      <c r="HE237">
        <v>0</v>
      </c>
      <c r="HF237">
        <v>0</v>
      </c>
      <c r="HG237">
        <v>0</v>
      </c>
      <c r="HH237">
        <v>1072000</v>
      </c>
      <c r="HI237">
        <v>21440</v>
      </c>
      <c r="HJ237">
        <v>1050560</v>
      </c>
      <c r="HK237">
        <v>5200000</v>
      </c>
      <c r="HL237">
        <v>104000</v>
      </c>
      <c r="HM237">
        <v>5096000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6272000</v>
      </c>
      <c r="HT237">
        <v>125440</v>
      </c>
      <c r="HU237">
        <v>6146560</v>
      </c>
      <c r="HV237">
        <v>106624000</v>
      </c>
      <c r="HW237">
        <v>0.05</v>
      </c>
      <c r="HX237">
        <v>0.97798234361883296</v>
      </c>
      <c r="HY237">
        <v>1</v>
      </c>
      <c r="HZ237">
        <v>300000</v>
      </c>
      <c r="IA237">
        <v>0</v>
      </c>
      <c r="IB237">
        <v>0</v>
      </c>
      <c r="IC237">
        <v>0</v>
      </c>
      <c r="ID237">
        <v>272700</v>
      </c>
      <c r="IE237">
        <v>572700</v>
      </c>
      <c r="IF237">
        <v>560090.488190506</v>
      </c>
      <c r="IG237">
        <v>560090.488190506</v>
      </c>
      <c r="IH237">
        <v>0</v>
      </c>
      <c r="II237">
        <v>467572.92077226</v>
      </c>
      <c r="IJ237">
        <v>5110645.2864437699</v>
      </c>
      <c r="IK237">
        <v>0</v>
      </c>
      <c r="IL237">
        <v>0</v>
      </c>
      <c r="IM237">
        <v>0</v>
      </c>
      <c r="IN237">
        <v>9819031.3362174593</v>
      </c>
      <c r="IO237">
        <v>107323551.015319</v>
      </c>
      <c r="IP237">
        <v>117142582.351537</v>
      </c>
      <c r="IQ237">
        <v>536000</v>
      </c>
      <c r="IR237">
        <v>2600000</v>
      </c>
      <c r="IS237">
        <v>0</v>
      </c>
      <c r="IT237">
        <v>0</v>
      </c>
      <c r="IU237">
        <v>0</v>
      </c>
      <c r="IV237">
        <v>3136000</v>
      </c>
      <c r="IW237">
        <v>268000</v>
      </c>
      <c r="IX237">
        <v>1300000</v>
      </c>
      <c r="IY237">
        <v>0</v>
      </c>
      <c r="IZ237">
        <v>0</v>
      </c>
      <c r="JA237">
        <v>0</v>
      </c>
      <c r="JB237">
        <v>1568000</v>
      </c>
      <c r="JC237">
        <v>90000</v>
      </c>
      <c r="JD237">
        <v>434000</v>
      </c>
      <c r="JE237">
        <v>0</v>
      </c>
      <c r="JF237">
        <v>0</v>
      </c>
      <c r="JG237">
        <v>0</v>
      </c>
      <c r="JH237">
        <v>524000</v>
      </c>
    </row>
    <row r="238" spans="2:268" customFormat="1" x14ac:dyDescent="0.25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3"/>
      <c r="N238" s="3"/>
      <c r="O238" s="3"/>
      <c r="P238" s="2"/>
      <c r="Q238" s="2"/>
      <c r="R238" s="2"/>
      <c r="S238" s="2"/>
      <c r="T238" s="2"/>
      <c r="U238" s="2"/>
      <c r="V238" s="3"/>
      <c r="W238" s="3"/>
      <c r="X238" s="3"/>
      <c r="Y238" s="3"/>
      <c r="Z238" s="3"/>
      <c r="AA238" s="3"/>
      <c r="AB238" s="3"/>
      <c r="AC238" s="2"/>
      <c r="AD238" s="2"/>
      <c r="AE238" s="2"/>
      <c r="AF238" s="2"/>
      <c r="AG238" s="2"/>
      <c r="AH238" s="2"/>
      <c r="AI238" s="2"/>
      <c r="AJ238" s="3"/>
      <c r="AK238" s="2"/>
      <c r="AL238" s="2"/>
      <c r="AM238" s="2"/>
      <c r="AN238" s="2"/>
      <c r="AO238" s="3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3"/>
      <c r="BC238" s="3"/>
      <c r="BD238" s="3"/>
      <c r="BE238" s="3"/>
      <c r="BF238" s="3"/>
      <c r="BG238" s="3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2"/>
      <c r="DI238" s="2"/>
      <c r="DJ238" s="3"/>
      <c r="DK238" s="3"/>
      <c r="DL238" s="2"/>
      <c r="DM238" s="2"/>
      <c r="DN238" s="2"/>
      <c r="DO238" s="3"/>
      <c r="DP238" s="3"/>
      <c r="GO238" t="s">
        <v>144</v>
      </c>
      <c r="GP238" t="s">
        <v>135</v>
      </c>
      <c r="GQ238" t="s">
        <v>502</v>
      </c>
      <c r="GR238">
        <v>18</v>
      </c>
      <c r="GS238">
        <v>17</v>
      </c>
      <c r="GT238">
        <v>1</v>
      </c>
      <c r="GU238" t="s">
        <v>457</v>
      </c>
      <c r="GV238">
        <v>9819031.3362174593</v>
      </c>
      <c r="GW238">
        <v>107323551.015319</v>
      </c>
      <c r="GX238">
        <v>117142582.351537</v>
      </c>
      <c r="GY238">
        <v>0</v>
      </c>
      <c r="GZ238">
        <v>117142582.351537</v>
      </c>
      <c r="HA238">
        <v>117142582.351537</v>
      </c>
      <c r="HB238">
        <v>303000000</v>
      </c>
      <c r="HC238">
        <v>0</v>
      </c>
      <c r="HD238" t="s">
        <v>137</v>
      </c>
      <c r="HE238">
        <v>0</v>
      </c>
      <c r="HF238">
        <v>0</v>
      </c>
      <c r="HG238">
        <v>0</v>
      </c>
      <c r="HH238">
        <v>1072000</v>
      </c>
      <c r="HI238">
        <v>21440</v>
      </c>
      <c r="HJ238">
        <v>1050560</v>
      </c>
      <c r="HK238">
        <v>5200000</v>
      </c>
      <c r="HL238">
        <v>104000</v>
      </c>
      <c r="HM238">
        <v>5096000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6272000</v>
      </c>
      <c r="HT238">
        <v>125440</v>
      </c>
      <c r="HU238">
        <v>6146560</v>
      </c>
      <c r="HV238">
        <v>112896000</v>
      </c>
      <c r="HW238">
        <v>0.05</v>
      </c>
      <c r="HX238">
        <v>0.97798234361883296</v>
      </c>
      <c r="HY238">
        <v>1</v>
      </c>
      <c r="HZ238">
        <v>300000</v>
      </c>
      <c r="IA238">
        <v>0</v>
      </c>
      <c r="IB238">
        <v>0</v>
      </c>
      <c r="IC238">
        <v>0</v>
      </c>
      <c r="ID238">
        <v>272700</v>
      </c>
      <c r="IE238">
        <v>572700</v>
      </c>
      <c r="IF238">
        <v>560090.488190506</v>
      </c>
      <c r="IG238">
        <v>560090.488190506</v>
      </c>
      <c r="IH238">
        <v>0</v>
      </c>
      <c r="II238">
        <v>515475.04240134801</v>
      </c>
      <c r="IJ238">
        <v>5620977.5507659595</v>
      </c>
      <c r="IK238">
        <v>0</v>
      </c>
      <c r="IL238">
        <v>0</v>
      </c>
      <c r="IM238">
        <v>0</v>
      </c>
      <c r="IN238">
        <v>10824975.890428299</v>
      </c>
      <c r="IO238">
        <v>118040528.566085</v>
      </c>
      <c r="IP238">
        <v>128865504.456513</v>
      </c>
      <c r="IQ238">
        <v>536000</v>
      </c>
      <c r="IR238">
        <v>2600000</v>
      </c>
      <c r="IS238">
        <v>0</v>
      </c>
      <c r="IT238">
        <v>0</v>
      </c>
      <c r="IU238">
        <v>0</v>
      </c>
      <c r="IV238">
        <v>3136000</v>
      </c>
      <c r="IW238">
        <v>268000</v>
      </c>
      <c r="IX238">
        <v>1300000</v>
      </c>
      <c r="IY238">
        <v>0</v>
      </c>
      <c r="IZ238">
        <v>0</v>
      </c>
      <c r="JA238">
        <v>0</v>
      </c>
      <c r="JB238">
        <v>1568000</v>
      </c>
      <c r="JC238">
        <v>90000</v>
      </c>
      <c r="JD238">
        <v>434000</v>
      </c>
      <c r="JE238">
        <v>0</v>
      </c>
      <c r="JF238">
        <v>0</v>
      </c>
      <c r="JG238">
        <v>0</v>
      </c>
      <c r="JH238">
        <v>524000</v>
      </c>
    </row>
    <row r="239" spans="2:268" customFormat="1" x14ac:dyDescent="0.25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3"/>
      <c r="N239" s="3"/>
      <c r="O239" s="3"/>
      <c r="P239" s="2"/>
      <c r="Q239" s="2"/>
      <c r="R239" s="2"/>
      <c r="S239" s="2"/>
      <c r="T239" s="2"/>
      <c r="U239" s="2"/>
      <c r="V239" s="3"/>
      <c r="W239" s="3"/>
      <c r="X239" s="3"/>
      <c r="Y239" s="3"/>
      <c r="Z239" s="3"/>
      <c r="AA239" s="3"/>
      <c r="AB239" s="3"/>
      <c r="AC239" s="2"/>
      <c r="AD239" s="2"/>
      <c r="AE239" s="2"/>
      <c r="AF239" s="2"/>
      <c r="AG239" s="2"/>
      <c r="AH239" s="2"/>
      <c r="AI239" s="2"/>
      <c r="AJ239" s="3"/>
      <c r="AK239" s="2"/>
      <c r="AL239" s="2"/>
      <c r="AM239" s="2"/>
      <c r="AN239" s="2"/>
      <c r="AO239" s="3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3"/>
      <c r="BC239" s="3"/>
      <c r="BD239" s="3"/>
      <c r="BE239" s="3"/>
      <c r="BF239" s="3"/>
      <c r="BG239" s="3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2"/>
      <c r="DI239" s="2"/>
      <c r="DJ239" s="3"/>
      <c r="DK239" s="3"/>
      <c r="DL239" s="2"/>
      <c r="DM239" s="2"/>
      <c r="DN239" s="2"/>
      <c r="DO239" s="3"/>
      <c r="DP239" s="3"/>
      <c r="GO239" t="s">
        <v>144</v>
      </c>
      <c r="GP239" t="s">
        <v>135</v>
      </c>
      <c r="GQ239" t="s">
        <v>502</v>
      </c>
      <c r="GR239">
        <v>19</v>
      </c>
      <c r="GS239">
        <v>18</v>
      </c>
      <c r="GT239">
        <v>1</v>
      </c>
      <c r="GU239" t="s">
        <v>457</v>
      </c>
      <c r="GV239">
        <v>10824975.890428299</v>
      </c>
      <c r="GW239">
        <v>118040528.566085</v>
      </c>
      <c r="GX239">
        <v>128865504.456513</v>
      </c>
      <c r="GY239">
        <v>0</v>
      </c>
      <c r="GZ239">
        <v>128865504.456513</v>
      </c>
      <c r="HA239">
        <v>128865504.456513</v>
      </c>
      <c r="HB239">
        <v>303000000</v>
      </c>
      <c r="HC239">
        <v>0</v>
      </c>
      <c r="HD239" t="s">
        <v>137</v>
      </c>
      <c r="HE239">
        <v>0</v>
      </c>
      <c r="HF239">
        <v>0</v>
      </c>
      <c r="HG239">
        <v>0</v>
      </c>
      <c r="HH239">
        <v>1072000</v>
      </c>
      <c r="HI239">
        <v>21440</v>
      </c>
      <c r="HJ239">
        <v>1050560</v>
      </c>
      <c r="HK239">
        <v>5200000</v>
      </c>
      <c r="HL239">
        <v>104000</v>
      </c>
      <c r="HM239">
        <v>5096000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6272000</v>
      </c>
      <c r="HT239">
        <v>125440</v>
      </c>
      <c r="HU239">
        <v>6146560</v>
      </c>
      <c r="HV239">
        <v>119168000</v>
      </c>
      <c r="HW239">
        <v>0.05</v>
      </c>
      <c r="HX239">
        <v>0.97798234361883296</v>
      </c>
      <c r="HY239">
        <v>1</v>
      </c>
      <c r="HZ239">
        <v>300000</v>
      </c>
      <c r="IA239">
        <v>0</v>
      </c>
      <c r="IB239">
        <v>0</v>
      </c>
      <c r="IC239">
        <v>0</v>
      </c>
      <c r="ID239">
        <v>272700</v>
      </c>
      <c r="IE239">
        <v>572700</v>
      </c>
      <c r="IF239">
        <v>560090.488190506</v>
      </c>
      <c r="IG239">
        <v>560090.488190506</v>
      </c>
      <c r="IH239">
        <v>0</v>
      </c>
      <c r="II239">
        <v>565772.27011189004</v>
      </c>
      <c r="IJ239">
        <v>6156826.4283042597</v>
      </c>
      <c r="IK239">
        <v>0</v>
      </c>
      <c r="IL239">
        <v>0</v>
      </c>
      <c r="IM239">
        <v>0</v>
      </c>
      <c r="IN239">
        <v>11881217.672349701</v>
      </c>
      <c r="IO239">
        <v>129293354.994389</v>
      </c>
      <c r="IP239">
        <v>141174572.66673899</v>
      </c>
      <c r="IQ239">
        <v>536000</v>
      </c>
      <c r="IR239">
        <v>2600000</v>
      </c>
      <c r="IS239">
        <v>0</v>
      </c>
      <c r="IT239">
        <v>0</v>
      </c>
      <c r="IU239">
        <v>0</v>
      </c>
      <c r="IV239">
        <v>3136000</v>
      </c>
      <c r="IW239">
        <v>268000</v>
      </c>
      <c r="IX239">
        <v>1300000</v>
      </c>
      <c r="IY239">
        <v>0</v>
      </c>
      <c r="IZ239">
        <v>0</v>
      </c>
      <c r="JA239">
        <v>0</v>
      </c>
      <c r="JB239">
        <v>1568000</v>
      </c>
      <c r="JC239">
        <v>90000</v>
      </c>
      <c r="JD239">
        <v>434000</v>
      </c>
      <c r="JE239">
        <v>0</v>
      </c>
      <c r="JF239">
        <v>0</v>
      </c>
      <c r="JG239">
        <v>0</v>
      </c>
      <c r="JH239">
        <v>524000</v>
      </c>
    </row>
    <row r="240" spans="2:268" customFormat="1" x14ac:dyDescent="0.25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3"/>
      <c r="N240" s="3"/>
      <c r="O240" s="3"/>
      <c r="P240" s="2"/>
      <c r="Q240" s="2"/>
      <c r="R240" s="2"/>
      <c r="S240" s="2"/>
      <c r="T240" s="2"/>
      <c r="U240" s="2"/>
      <c r="V240" s="3"/>
      <c r="W240" s="3"/>
      <c r="X240" s="3"/>
      <c r="Y240" s="3"/>
      <c r="Z240" s="3"/>
      <c r="AA240" s="3"/>
      <c r="AB240" s="3"/>
      <c r="AC240" s="2"/>
      <c r="AD240" s="2"/>
      <c r="AE240" s="2"/>
      <c r="AF240" s="2"/>
      <c r="AG240" s="2"/>
      <c r="AH240" s="2"/>
      <c r="AI240" s="2"/>
      <c r="AJ240" s="3"/>
      <c r="AK240" s="2"/>
      <c r="AL240" s="2"/>
      <c r="AM240" s="2"/>
      <c r="AN240" s="2"/>
      <c r="AO240" s="3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3"/>
      <c r="BC240" s="3"/>
      <c r="BD240" s="3"/>
      <c r="BE240" s="3"/>
      <c r="BF240" s="3"/>
      <c r="BG240" s="3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2"/>
      <c r="DI240" s="2"/>
      <c r="DJ240" s="3"/>
      <c r="DK240" s="3"/>
      <c r="DL240" s="2"/>
      <c r="DM240" s="2"/>
      <c r="DN240" s="2"/>
      <c r="DO240" s="3"/>
      <c r="DP240" s="3"/>
      <c r="GO240" t="s">
        <v>144</v>
      </c>
      <c r="GP240" t="s">
        <v>135</v>
      </c>
      <c r="GQ240" t="s">
        <v>502</v>
      </c>
      <c r="GR240">
        <v>20</v>
      </c>
      <c r="GS240">
        <v>19</v>
      </c>
      <c r="GT240">
        <v>1</v>
      </c>
      <c r="GU240" t="s">
        <v>457</v>
      </c>
      <c r="GV240">
        <v>11881217.672349701</v>
      </c>
      <c r="GW240">
        <v>129293354.994389</v>
      </c>
      <c r="GX240">
        <v>141174572.66673899</v>
      </c>
      <c r="GY240">
        <v>0</v>
      </c>
      <c r="GZ240">
        <v>141174572.66673899</v>
      </c>
      <c r="HA240">
        <v>141174572.66673899</v>
      </c>
      <c r="HB240">
        <v>303000000</v>
      </c>
      <c r="HC240">
        <v>10000000</v>
      </c>
      <c r="HD240" t="s">
        <v>458</v>
      </c>
      <c r="HE240">
        <v>0</v>
      </c>
      <c r="HF240">
        <v>10000000</v>
      </c>
      <c r="HG240">
        <v>10000000</v>
      </c>
      <c r="HH240">
        <v>1072000</v>
      </c>
      <c r="HI240">
        <v>21440</v>
      </c>
      <c r="HJ240">
        <v>1050560</v>
      </c>
      <c r="HK240">
        <v>5200000</v>
      </c>
      <c r="HL240">
        <v>104000</v>
      </c>
      <c r="HM240">
        <v>5096000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6272000</v>
      </c>
      <c r="HT240">
        <v>125440</v>
      </c>
      <c r="HU240">
        <v>6146560</v>
      </c>
      <c r="HV240">
        <v>125440000</v>
      </c>
      <c r="HW240">
        <v>0.05</v>
      </c>
      <c r="HX240">
        <v>0.97798234361883296</v>
      </c>
      <c r="HY240">
        <v>1</v>
      </c>
      <c r="HZ240">
        <v>300000</v>
      </c>
      <c r="IA240">
        <v>0</v>
      </c>
      <c r="IB240">
        <v>0</v>
      </c>
      <c r="IC240">
        <v>0</v>
      </c>
      <c r="ID240">
        <v>272700</v>
      </c>
      <c r="IE240">
        <v>572700</v>
      </c>
      <c r="IF240">
        <v>560090.488190506</v>
      </c>
      <c r="IG240">
        <v>560090.488190506</v>
      </c>
      <c r="IH240">
        <v>0</v>
      </c>
      <c r="II240">
        <v>618584.35920795903</v>
      </c>
      <c r="IJ240">
        <v>6219467.7497194698</v>
      </c>
      <c r="IK240">
        <v>321600</v>
      </c>
      <c r="IL240">
        <v>0</v>
      </c>
      <c r="IM240">
        <v>321600</v>
      </c>
      <c r="IN240">
        <v>13311871.543367101</v>
      </c>
      <c r="IO240">
        <v>130608822.744109</v>
      </c>
      <c r="IP240">
        <v>143920694.287476</v>
      </c>
      <c r="IQ240">
        <v>536000</v>
      </c>
      <c r="IR240">
        <v>2600000</v>
      </c>
      <c r="IS240">
        <v>0</v>
      </c>
      <c r="IT240">
        <v>0</v>
      </c>
      <c r="IU240">
        <v>0</v>
      </c>
      <c r="IV240">
        <v>3136000</v>
      </c>
      <c r="IW240">
        <v>268000</v>
      </c>
      <c r="IX240">
        <v>1300000</v>
      </c>
      <c r="IY240">
        <v>0</v>
      </c>
      <c r="IZ240">
        <v>0</v>
      </c>
      <c r="JA240">
        <v>0</v>
      </c>
      <c r="JB240">
        <v>1568000</v>
      </c>
      <c r="JC240">
        <v>90000</v>
      </c>
      <c r="JD240">
        <v>434000</v>
      </c>
      <c r="JE240">
        <v>0</v>
      </c>
      <c r="JF240">
        <v>0</v>
      </c>
      <c r="JG240">
        <v>0</v>
      </c>
      <c r="JH240">
        <v>524000</v>
      </c>
    </row>
    <row r="241" spans="2:268" customFormat="1" x14ac:dyDescent="0.25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3"/>
      <c r="N241" s="3"/>
      <c r="O241" s="3"/>
      <c r="P241" s="2"/>
      <c r="Q241" s="2"/>
      <c r="R241" s="2"/>
      <c r="S241" s="2"/>
      <c r="T241" s="2"/>
      <c r="U241" s="2"/>
      <c r="V241" s="3"/>
      <c r="W241" s="3"/>
      <c r="X241" s="3"/>
      <c r="Y241" s="3"/>
      <c r="Z241" s="3"/>
      <c r="AA241" s="3"/>
      <c r="AB241" s="3"/>
      <c r="AC241" s="2"/>
      <c r="AD241" s="2"/>
      <c r="AE241" s="2"/>
      <c r="AF241" s="2"/>
      <c r="AG241" s="2"/>
      <c r="AH241" s="2"/>
      <c r="AI241" s="2"/>
      <c r="AJ241" s="3"/>
      <c r="AK241" s="2"/>
      <c r="AL241" s="2"/>
      <c r="AM241" s="2"/>
      <c r="AN241" s="2"/>
      <c r="AO241" s="3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3"/>
      <c r="BC241" s="3"/>
      <c r="BD241" s="3"/>
      <c r="BE241" s="3"/>
      <c r="BF241" s="3"/>
      <c r="BG241" s="3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2"/>
      <c r="DI241" s="2"/>
      <c r="DJ241" s="3"/>
      <c r="DK241" s="3"/>
      <c r="DL241" s="2"/>
      <c r="DM241" s="2"/>
      <c r="DN241" s="2"/>
      <c r="DO241" s="3"/>
      <c r="DP241" s="3"/>
      <c r="GO241" t="s">
        <v>144</v>
      </c>
      <c r="GP241" t="s">
        <v>135</v>
      </c>
      <c r="GQ241" t="s">
        <v>502</v>
      </c>
      <c r="GR241">
        <v>21</v>
      </c>
      <c r="GS241">
        <v>20</v>
      </c>
      <c r="GT241">
        <v>1</v>
      </c>
      <c r="GU241" t="s">
        <v>457</v>
      </c>
      <c r="GV241">
        <v>13311871.543367101</v>
      </c>
      <c r="GW241">
        <v>130608822.744109</v>
      </c>
      <c r="GX241">
        <v>143920694.287476</v>
      </c>
      <c r="GY241">
        <v>0</v>
      </c>
      <c r="GZ241">
        <v>143920694.287476</v>
      </c>
      <c r="HA241">
        <v>143920694.287476</v>
      </c>
      <c r="HB241">
        <v>303000000</v>
      </c>
      <c r="HC241">
        <v>10000000</v>
      </c>
      <c r="HD241" t="s">
        <v>458</v>
      </c>
      <c r="HE241">
        <v>0</v>
      </c>
      <c r="HF241">
        <v>10000000</v>
      </c>
      <c r="HG241">
        <v>10000000</v>
      </c>
      <c r="HH241">
        <v>1072000</v>
      </c>
      <c r="HI241">
        <v>21440</v>
      </c>
      <c r="HJ241">
        <v>1050560</v>
      </c>
      <c r="HK241">
        <v>5200000</v>
      </c>
      <c r="HL241">
        <v>104000</v>
      </c>
      <c r="HM241">
        <v>5096000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6272000</v>
      </c>
      <c r="HT241">
        <v>125440</v>
      </c>
      <c r="HU241">
        <v>6146560</v>
      </c>
      <c r="HV241">
        <v>131712000</v>
      </c>
      <c r="HW241">
        <v>0.05</v>
      </c>
      <c r="HX241">
        <v>0.97798234361883296</v>
      </c>
      <c r="HY241">
        <v>1</v>
      </c>
      <c r="HZ241">
        <v>300000</v>
      </c>
      <c r="IA241">
        <v>0</v>
      </c>
      <c r="IB241">
        <v>0</v>
      </c>
      <c r="IC241">
        <v>0</v>
      </c>
      <c r="ID241">
        <v>272700</v>
      </c>
      <c r="IE241">
        <v>572700</v>
      </c>
      <c r="IF241">
        <v>560090.488190506</v>
      </c>
      <c r="IG241">
        <v>560090.488190506</v>
      </c>
      <c r="IH241">
        <v>0</v>
      </c>
      <c r="II241">
        <v>690117.052758832</v>
      </c>
      <c r="IJ241">
        <v>6285241.1372054396</v>
      </c>
      <c r="IK241">
        <v>0</v>
      </c>
      <c r="IL241">
        <v>0</v>
      </c>
      <c r="IM241">
        <v>0</v>
      </c>
      <c r="IN241">
        <v>14492458.107935499</v>
      </c>
      <c r="IO241">
        <v>131990063.88131399</v>
      </c>
      <c r="IP241">
        <v>146482521.98925</v>
      </c>
      <c r="IQ241">
        <v>536000</v>
      </c>
      <c r="IR241">
        <v>2600000</v>
      </c>
      <c r="IS241">
        <v>0</v>
      </c>
      <c r="IT241">
        <v>0</v>
      </c>
      <c r="IU241">
        <v>0</v>
      </c>
      <c r="IV241">
        <v>3136000</v>
      </c>
      <c r="IW241">
        <v>268000</v>
      </c>
      <c r="IX241">
        <v>1300000</v>
      </c>
      <c r="IY241">
        <v>0</v>
      </c>
      <c r="IZ241">
        <v>0</v>
      </c>
      <c r="JA241">
        <v>0</v>
      </c>
      <c r="JB241">
        <v>1568000</v>
      </c>
      <c r="JC241">
        <v>90000</v>
      </c>
      <c r="JD241">
        <v>434000</v>
      </c>
      <c r="JE241">
        <v>0</v>
      </c>
      <c r="JF241">
        <v>0</v>
      </c>
      <c r="JG241">
        <v>0</v>
      </c>
      <c r="JH241">
        <v>524000</v>
      </c>
    </row>
    <row r="242" spans="2:268" customFormat="1" x14ac:dyDescent="0.25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3"/>
      <c r="N242" s="3"/>
      <c r="O242" s="3"/>
      <c r="P242" s="2"/>
      <c r="Q242" s="2"/>
      <c r="R242" s="2"/>
      <c r="S242" s="2"/>
      <c r="T242" s="2"/>
      <c r="U242" s="2"/>
      <c r="V242" s="3"/>
      <c r="W242" s="3"/>
      <c r="X242" s="3"/>
      <c r="Y242" s="3"/>
      <c r="Z242" s="3"/>
      <c r="AA242" s="3"/>
      <c r="AB242" s="3"/>
      <c r="AC242" s="2"/>
      <c r="AD242" s="2"/>
      <c r="AE242" s="2"/>
      <c r="AF242" s="2"/>
      <c r="AG242" s="2"/>
      <c r="AH242" s="2"/>
      <c r="AI242" s="2"/>
      <c r="AJ242" s="3"/>
      <c r="AK242" s="2"/>
      <c r="AL242" s="2"/>
      <c r="AM242" s="2"/>
      <c r="AN242" s="2"/>
      <c r="AO242" s="3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3"/>
      <c r="BC242" s="3"/>
      <c r="BD242" s="3"/>
      <c r="BE242" s="3"/>
      <c r="BF242" s="3"/>
      <c r="BG242" s="3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2"/>
      <c r="DI242" s="2"/>
      <c r="DJ242" s="3"/>
      <c r="DK242" s="3"/>
      <c r="DL242" s="2"/>
      <c r="DM242" s="2"/>
      <c r="DN242" s="2"/>
      <c r="DO242" s="3"/>
      <c r="DP242" s="3"/>
      <c r="GO242" t="s">
        <v>144</v>
      </c>
      <c r="GP242" t="s">
        <v>135</v>
      </c>
      <c r="GQ242" t="s">
        <v>502</v>
      </c>
      <c r="GR242">
        <v>22</v>
      </c>
      <c r="GS242">
        <v>21</v>
      </c>
      <c r="GT242">
        <v>1</v>
      </c>
      <c r="GU242" t="s">
        <v>457</v>
      </c>
      <c r="GV242">
        <v>14492458.107935499</v>
      </c>
      <c r="GW242">
        <v>131990063.88131399</v>
      </c>
      <c r="GX242">
        <v>146482521.98925</v>
      </c>
      <c r="GY242">
        <v>0</v>
      </c>
      <c r="GZ242">
        <v>146482521.98925</v>
      </c>
      <c r="HA242">
        <v>146482521.98925</v>
      </c>
      <c r="HB242">
        <v>303000000</v>
      </c>
      <c r="HC242">
        <v>10000000</v>
      </c>
      <c r="HD242" t="s">
        <v>458</v>
      </c>
      <c r="HE242">
        <v>0</v>
      </c>
      <c r="HF242">
        <v>10000000</v>
      </c>
      <c r="HG242">
        <v>10000000</v>
      </c>
      <c r="HH242">
        <v>1072000</v>
      </c>
      <c r="HI242">
        <v>21440</v>
      </c>
      <c r="HJ242">
        <v>1050560</v>
      </c>
      <c r="HK242">
        <v>5200000</v>
      </c>
      <c r="HL242">
        <v>104000</v>
      </c>
      <c r="HM242">
        <v>5096000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6272000</v>
      </c>
      <c r="HT242">
        <v>125440</v>
      </c>
      <c r="HU242">
        <v>6146560</v>
      </c>
      <c r="HV242">
        <v>137984000</v>
      </c>
      <c r="HW242">
        <v>0.05</v>
      </c>
      <c r="HX242">
        <v>0.97798234361883296</v>
      </c>
      <c r="HY242">
        <v>1</v>
      </c>
      <c r="HZ242">
        <v>300000</v>
      </c>
      <c r="IA242">
        <v>0</v>
      </c>
      <c r="IB242">
        <v>0</v>
      </c>
      <c r="IC242">
        <v>0</v>
      </c>
      <c r="ID242">
        <v>272700</v>
      </c>
      <c r="IE242">
        <v>572700</v>
      </c>
      <c r="IF242">
        <v>560090.488190506</v>
      </c>
      <c r="IG242">
        <v>560090.488190506</v>
      </c>
      <c r="IH242">
        <v>0</v>
      </c>
      <c r="II242">
        <v>749146.38098724803</v>
      </c>
      <c r="IJ242">
        <v>6354303.1940657096</v>
      </c>
      <c r="IK242">
        <v>0</v>
      </c>
      <c r="IL242">
        <v>0</v>
      </c>
      <c r="IM242">
        <v>0</v>
      </c>
      <c r="IN242">
        <v>15732074.0007322</v>
      </c>
      <c r="IO242">
        <v>133440367.07538</v>
      </c>
      <c r="IP242">
        <v>149172441.076112</v>
      </c>
      <c r="IQ242">
        <v>536000</v>
      </c>
      <c r="IR242">
        <v>2600000</v>
      </c>
      <c r="IS242">
        <v>0</v>
      </c>
      <c r="IT242">
        <v>0</v>
      </c>
      <c r="IU242">
        <v>0</v>
      </c>
      <c r="IV242">
        <v>3136000</v>
      </c>
      <c r="IW242">
        <v>268000</v>
      </c>
      <c r="IX242">
        <v>1300000</v>
      </c>
      <c r="IY242">
        <v>0</v>
      </c>
      <c r="IZ242">
        <v>0</v>
      </c>
      <c r="JA242">
        <v>0</v>
      </c>
      <c r="JB242">
        <v>1568000</v>
      </c>
      <c r="JC242">
        <v>90000</v>
      </c>
      <c r="JD242">
        <v>434000</v>
      </c>
      <c r="JE242">
        <v>0</v>
      </c>
      <c r="JF242">
        <v>0</v>
      </c>
      <c r="JG242">
        <v>0</v>
      </c>
      <c r="JH242">
        <v>524000</v>
      </c>
    </row>
    <row r="243" spans="2:268" customFormat="1" x14ac:dyDescent="0.25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3"/>
      <c r="N243" s="3"/>
      <c r="O243" s="3"/>
      <c r="P243" s="2"/>
      <c r="Q243" s="2"/>
      <c r="R243" s="2"/>
      <c r="S243" s="2"/>
      <c r="T243" s="2"/>
      <c r="U243" s="2"/>
      <c r="V243" s="3"/>
      <c r="W243" s="3"/>
      <c r="X243" s="3"/>
      <c r="Y243" s="3"/>
      <c r="Z243" s="3"/>
      <c r="AA243" s="3"/>
      <c r="AB243" s="3"/>
      <c r="AC243" s="2"/>
      <c r="AD243" s="2"/>
      <c r="AE243" s="2"/>
      <c r="AF243" s="2"/>
      <c r="AG243" s="2"/>
      <c r="AH243" s="2"/>
      <c r="AI243" s="2"/>
      <c r="AJ243" s="3"/>
      <c r="AK243" s="2"/>
      <c r="AL243" s="2"/>
      <c r="AM243" s="2"/>
      <c r="AN243" s="2"/>
      <c r="AO243" s="3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3"/>
      <c r="BC243" s="3"/>
      <c r="BD243" s="3"/>
      <c r="BE243" s="3"/>
      <c r="BF243" s="3"/>
      <c r="BG243" s="3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2"/>
      <c r="DI243" s="2"/>
      <c r="DJ243" s="3"/>
      <c r="DK243" s="3"/>
      <c r="DL243" s="2"/>
      <c r="DM243" s="2"/>
      <c r="DN243" s="2"/>
      <c r="DO243" s="3"/>
      <c r="DP243" s="3"/>
      <c r="GO243" t="s">
        <v>144</v>
      </c>
      <c r="GP243" t="s">
        <v>135</v>
      </c>
      <c r="GQ243" t="s">
        <v>502</v>
      </c>
      <c r="GR243">
        <v>23</v>
      </c>
      <c r="GS243">
        <v>22</v>
      </c>
      <c r="GT243">
        <v>1</v>
      </c>
      <c r="GU243" t="s">
        <v>457</v>
      </c>
      <c r="GV243">
        <v>15732074.0007322</v>
      </c>
      <c r="GW243">
        <v>133440367.07538</v>
      </c>
      <c r="GX243">
        <v>149172441.076112</v>
      </c>
      <c r="GY243">
        <v>0</v>
      </c>
      <c r="GZ243">
        <v>149172441.076112</v>
      </c>
      <c r="HA243">
        <v>149172441.076112</v>
      </c>
      <c r="HB243">
        <v>303000000</v>
      </c>
      <c r="HC243">
        <v>10000000</v>
      </c>
      <c r="HD243" t="s">
        <v>458</v>
      </c>
      <c r="HE243">
        <v>0</v>
      </c>
      <c r="HF243">
        <v>10000000</v>
      </c>
      <c r="HG243">
        <v>10000000</v>
      </c>
      <c r="HH243">
        <v>1072000</v>
      </c>
      <c r="HI243">
        <v>21440</v>
      </c>
      <c r="HJ243">
        <v>1050560</v>
      </c>
      <c r="HK243">
        <v>5200000</v>
      </c>
      <c r="HL243">
        <v>104000</v>
      </c>
      <c r="HM243">
        <v>5096000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6272000</v>
      </c>
      <c r="HT243">
        <v>125440</v>
      </c>
      <c r="HU243">
        <v>6146560</v>
      </c>
      <c r="HV243">
        <v>144256000</v>
      </c>
      <c r="HW243">
        <v>0.05</v>
      </c>
      <c r="HX243">
        <v>0.97798234361883296</v>
      </c>
      <c r="HY243">
        <v>1</v>
      </c>
      <c r="HZ243">
        <v>300000</v>
      </c>
      <c r="IA243">
        <v>0</v>
      </c>
      <c r="IB243">
        <v>0</v>
      </c>
      <c r="IC243">
        <v>0</v>
      </c>
      <c r="ID243">
        <v>272700</v>
      </c>
      <c r="IE243">
        <v>572700</v>
      </c>
      <c r="IF243">
        <v>560090.488190506</v>
      </c>
      <c r="IG243">
        <v>560090.488190506</v>
      </c>
      <c r="IH243">
        <v>0</v>
      </c>
      <c r="II243">
        <v>811127.17562708503</v>
      </c>
      <c r="IJ243">
        <v>6426818.3537689997</v>
      </c>
      <c r="IK243">
        <v>0</v>
      </c>
      <c r="IL243">
        <v>0</v>
      </c>
      <c r="IM243">
        <v>0</v>
      </c>
      <c r="IN243">
        <v>17033670.688168801</v>
      </c>
      <c r="IO243">
        <v>134963185.429149</v>
      </c>
      <c r="IP243">
        <v>151996856.117318</v>
      </c>
      <c r="IQ243">
        <v>536000</v>
      </c>
      <c r="IR243">
        <v>2600000</v>
      </c>
      <c r="IS243">
        <v>0</v>
      </c>
      <c r="IT243">
        <v>0</v>
      </c>
      <c r="IU243">
        <v>0</v>
      </c>
      <c r="IV243">
        <v>3136000</v>
      </c>
      <c r="IW243">
        <v>268000</v>
      </c>
      <c r="IX243">
        <v>1300000</v>
      </c>
      <c r="IY243">
        <v>0</v>
      </c>
      <c r="IZ243">
        <v>0</v>
      </c>
      <c r="JA243">
        <v>0</v>
      </c>
      <c r="JB243">
        <v>1568000</v>
      </c>
      <c r="JC243">
        <v>90000</v>
      </c>
      <c r="JD243">
        <v>434000</v>
      </c>
      <c r="JE243">
        <v>0</v>
      </c>
      <c r="JF243">
        <v>0</v>
      </c>
      <c r="JG243">
        <v>0</v>
      </c>
      <c r="JH243">
        <v>524000</v>
      </c>
    </row>
    <row r="244" spans="2:268" customFormat="1" x14ac:dyDescent="0.25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3"/>
      <c r="N244" s="3"/>
      <c r="O244" s="3"/>
      <c r="P244" s="2"/>
      <c r="Q244" s="2"/>
      <c r="R244" s="2"/>
      <c r="S244" s="2"/>
      <c r="T244" s="2"/>
      <c r="U244" s="2"/>
      <c r="V244" s="3"/>
      <c r="W244" s="3"/>
      <c r="X244" s="3"/>
      <c r="Y244" s="3"/>
      <c r="Z244" s="3"/>
      <c r="AA244" s="3"/>
      <c r="AB244" s="3"/>
      <c r="AC244" s="2"/>
      <c r="AD244" s="2"/>
      <c r="AE244" s="2"/>
      <c r="AF244" s="2"/>
      <c r="AG244" s="2"/>
      <c r="AH244" s="2"/>
      <c r="AI244" s="2"/>
      <c r="AJ244" s="3"/>
      <c r="AK244" s="2"/>
      <c r="AL244" s="2"/>
      <c r="AM244" s="2"/>
      <c r="AN244" s="2"/>
      <c r="AO244" s="3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3"/>
      <c r="BC244" s="3"/>
      <c r="BD244" s="3"/>
      <c r="BE244" s="3"/>
      <c r="BF244" s="3"/>
      <c r="BG244" s="3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2"/>
      <c r="DI244" s="2"/>
      <c r="DJ244" s="3"/>
      <c r="DK244" s="3"/>
      <c r="DL244" s="2"/>
      <c r="DM244" s="2"/>
      <c r="DN244" s="2"/>
      <c r="DO244" s="3"/>
      <c r="DP244" s="3"/>
      <c r="GO244" t="s">
        <v>144</v>
      </c>
      <c r="GP244" t="s">
        <v>135</v>
      </c>
      <c r="GQ244" t="s">
        <v>502</v>
      </c>
      <c r="GR244">
        <v>24</v>
      </c>
      <c r="GS244">
        <v>23</v>
      </c>
      <c r="GT244">
        <v>1</v>
      </c>
      <c r="GU244" t="s">
        <v>457</v>
      </c>
      <c r="GV244">
        <v>17033670.688168801</v>
      </c>
      <c r="GW244">
        <v>134963185.429149</v>
      </c>
      <c r="GX244">
        <v>151996856.117318</v>
      </c>
      <c r="GY244">
        <v>0</v>
      </c>
      <c r="GZ244">
        <v>151996856.117318</v>
      </c>
      <c r="HA244">
        <v>151996856.117318</v>
      </c>
      <c r="HB244">
        <v>303000000</v>
      </c>
      <c r="HC244">
        <v>0</v>
      </c>
      <c r="HD244" t="s">
        <v>137</v>
      </c>
      <c r="HE244">
        <v>0</v>
      </c>
      <c r="HF244">
        <v>0</v>
      </c>
      <c r="HG244">
        <v>0</v>
      </c>
      <c r="HH244">
        <v>1072000</v>
      </c>
      <c r="HI244">
        <v>21440</v>
      </c>
      <c r="HJ244">
        <v>1050560</v>
      </c>
      <c r="HK244">
        <v>5200000</v>
      </c>
      <c r="HL244">
        <v>104000</v>
      </c>
      <c r="HM244">
        <v>5096000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6272000</v>
      </c>
      <c r="HT244">
        <v>125440</v>
      </c>
      <c r="HU244">
        <v>6146560</v>
      </c>
      <c r="HV244">
        <v>150528000</v>
      </c>
      <c r="HW244">
        <v>0.05</v>
      </c>
      <c r="HX244">
        <v>0.97798234361883296</v>
      </c>
      <c r="HY244">
        <v>1</v>
      </c>
      <c r="HZ244">
        <v>300000</v>
      </c>
      <c r="IA244">
        <v>0</v>
      </c>
      <c r="IB244">
        <v>0</v>
      </c>
      <c r="IC244">
        <v>0</v>
      </c>
      <c r="ID244">
        <v>272700</v>
      </c>
      <c r="IE244">
        <v>572700</v>
      </c>
      <c r="IF244">
        <v>560090.488190506</v>
      </c>
      <c r="IG244">
        <v>560090.488190506</v>
      </c>
      <c r="IH244">
        <v>0</v>
      </c>
      <c r="II244">
        <v>876207.00999891397</v>
      </c>
      <c r="IJ244">
        <v>7002959.2714574505</v>
      </c>
      <c r="IK244">
        <v>0</v>
      </c>
      <c r="IL244">
        <v>0</v>
      </c>
      <c r="IM244">
        <v>0</v>
      </c>
      <c r="IN244">
        <v>18400347.209977198</v>
      </c>
      <c r="IO244">
        <v>147062144.70060599</v>
      </c>
      <c r="IP244">
        <v>165462491.910584</v>
      </c>
      <c r="IQ244">
        <v>536000</v>
      </c>
      <c r="IR244">
        <v>2600000</v>
      </c>
      <c r="IS244">
        <v>0</v>
      </c>
      <c r="IT244">
        <v>0</v>
      </c>
      <c r="IU244">
        <v>0</v>
      </c>
      <c r="IV244">
        <v>3136000</v>
      </c>
      <c r="IW244">
        <v>268000</v>
      </c>
      <c r="IX244">
        <v>1300000</v>
      </c>
      <c r="IY244">
        <v>0</v>
      </c>
      <c r="IZ244">
        <v>0</v>
      </c>
      <c r="JA244">
        <v>0</v>
      </c>
      <c r="JB244">
        <v>1568000</v>
      </c>
      <c r="JC244">
        <v>90000</v>
      </c>
      <c r="JD244">
        <v>434000</v>
      </c>
      <c r="JE244">
        <v>0</v>
      </c>
      <c r="JF244">
        <v>0</v>
      </c>
      <c r="JG244">
        <v>0</v>
      </c>
      <c r="JH244">
        <v>524000</v>
      </c>
    </row>
    <row r="245" spans="2:268" customFormat="1" x14ac:dyDescent="0.25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3"/>
      <c r="N245" s="3"/>
      <c r="O245" s="3"/>
      <c r="P245" s="2"/>
      <c r="Q245" s="2"/>
      <c r="R245" s="2"/>
      <c r="S245" s="2"/>
      <c r="T245" s="2"/>
      <c r="U245" s="2"/>
      <c r="V245" s="3"/>
      <c r="W245" s="3"/>
      <c r="X245" s="3"/>
      <c r="Y245" s="3"/>
      <c r="Z245" s="3"/>
      <c r="AA245" s="3"/>
      <c r="AB245" s="3"/>
      <c r="AC245" s="2"/>
      <c r="AD245" s="2"/>
      <c r="AE245" s="2"/>
      <c r="AF245" s="2"/>
      <c r="AG245" s="2"/>
      <c r="AH245" s="2"/>
      <c r="AI245" s="2"/>
      <c r="AJ245" s="3"/>
      <c r="AK245" s="2"/>
      <c r="AL245" s="2"/>
      <c r="AM245" s="2"/>
      <c r="AN245" s="2"/>
      <c r="AO245" s="3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3"/>
      <c r="BC245" s="3"/>
      <c r="BD245" s="3"/>
      <c r="BE245" s="3"/>
      <c r="BF245" s="3"/>
      <c r="BG245" s="3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2"/>
      <c r="DI245" s="2"/>
      <c r="DJ245" s="3"/>
      <c r="DK245" s="3"/>
      <c r="DL245" s="2"/>
      <c r="DM245" s="2"/>
      <c r="DN245" s="2"/>
      <c r="DO245" s="3"/>
      <c r="DP245" s="3"/>
      <c r="GO245" t="s">
        <v>144</v>
      </c>
      <c r="GP245" t="s">
        <v>135</v>
      </c>
      <c r="GQ245" t="s">
        <v>502</v>
      </c>
      <c r="GR245">
        <v>25</v>
      </c>
      <c r="GS245">
        <v>24</v>
      </c>
      <c r="GT245">
        <v>1</v>
      </c>
      <c r="GU245" t="s">
        <v>457</v>
      </c>
      <c r="GV245">
        <v>18400347.209977198</v>
      </c>
      <c r="GW245">
        <v>147062144.70060599</v>
      </c>
      <c r="GX245">
        <v>165462491.910584</v>
      </c>
      <c r="GY245">
        <v>0</v>
      </c>
      <c r="GZ245">
        <v>165462491.910584</v>
      </c>
      <c r="HA245">
        <v>165462491.910584</v>
      </c>
      <c r="HB245">
        <v>303000000</v>
      </c>
      <c r="HC245">
        <v>0</v>
      </c>
      <c r="HD245" t="s">
        <v>137</v>
      </c>
      <c r="HE245">
        <v>0</v>
      </c>
      <c r="HF245">
        <v>0</v>
      </c>
      <c r="HG245">
        <v>0</v>
      </c>
      <c r="HH245">
        <v>1072000</v>
      </c>
      <c r="HI245">
        <v>21440</v>
      </c>
      <c r="HJ245">
        <v>1050560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1072000</v>
      </c>
      <c r="HT245">
        <v>21440</v>
      </c>
      <c r="HU245">
        <v>1050560</v>
      </c>
      <c r="HV245">
        <v>151600000</v>
      </c>
      <c r="HW245">
        <v>0.05</v>
      </c>
      <c r="HX245">
        <v>0.97798234361883296</v>
      </c>
      <c r="HY245">
        <v>1</v>
      </c>
      <c r="HZ245">
        <v>300000</v>
      </c>
      <c r="IA245">
        <v>0</v>
      </c>
      <c r="IB245">
        <v>0</v>
      </c>
      <c r="IC245">
        <v>0</v>
      </c>
      <c r="ID245">
        <v>272700</v>
      </c>
      <c r="IE245">
        <v>572700</v>
      </c>
      <c r="IF245">
        <v>560090.488190506</v>
      </c>
      <c r="IG245">
        <v>560090.488190506</v>
      </c>
      <c r="IH245">
        <v>0</v>
      </c>
      <c r="II245">
        <v>944540.83608933399</v>
      </c>
      <c r="IJ245">
        <v>7353107.2350303195</v>
      </c>
      <c r="IK245">
        <v>0</v>
      </c>
      <c r="IL245">
        <v>0</v>
      </c>
      <c r="IM245">
        <v>0</v>
      </c>
      <c r="IN245">
        <v>19835357.557875998</v>
      </c>
      <c r="IO245">
        <v>154415251.935637</v>
      </c>
      <c r="IP245">
        <v>174250609.49351299</v>
      </c>
      <c r="IQ245">
        <v>536000</v>
      </c>
      <c r="IR245">
        <v>2600000</v>
      </c>
      <c r="IS245">
        <v>0</v>
      </c>
      <c r="IT245">
        <v>0</v>
      </c>
      <c r="IU245">
        <v>0</v>
      </c>
      <c r="IV245">
        <v>3136000</v>
      </c>
      <c r="IW245">
        <v>268000</v>
      </c>
      <c r="IX245">
        <v>1300000</v>
      </c>
      <c r="IY245">
        <v>0</v>
      </c>
      <c r="IZ245">
        <v>0</v>
      </c>
      <c r="JA245">
        <v>0</v>
      </c>
      <c r="JB245">
        <v>1568000</v>
      </c>
      <c r="JC245">
        <v>90000</v>
      </c>
      <c r="JD245">
        <v>434000</v>
      </c>
      <c r="JE245">
        <v>0</v>
      </c>
      <c r="JF245">
        <v>0</v>
      </c>
      <c r="JG245">
        <v>0</v>
      </c>
      <c r="JH245">
        <v>524000</v>
      </c>
    </row>
    <row r="246" spans="2:268" customFormat="1" x14ac:dyDescent="0.25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3"/>
      <c r="N246" s="3"/>
      <c r="O246" s="3"/>
      <c r="P246" s="2"/>
      <c r="Q246" s="2"/>
      <c r="R246" s="2"/>
      <c r="S246" s="2"/>
      <c r="T246" s="2"/>
      <c r="U246" s="2"/>
      <c r="V246" s="3"/>
      <c r="W246" s="3"/>
      <c r="X246" s="3"/>
      <c r="Y246" s="3"/>
      <c r="Z246" s="3"/>
      <c r="AA246" s="3"/>
      <c r="AB246" s="3"/>
      <c r="AC246" s="2"/>
      <c r="AD246" s="2"/>
      <c r="AE246" s="2"/>
      <c r="AF246" s="2"/>
      <c r="AG246" s="2"/>
      <c r="AH246" s="2"/>
      <c r="AI246" s="2"/>
      <c r="AJ246" s="3"/>
      <c r="AK246" s="2"/>
      <c r="AL246" s="2"/>
      <c r="AM246" s="2"/>
      <c r="AN246" s="2"/>
      <c r="AO246" s="3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3"/>
      <c r="BC246" s="3"/>
      <c r="BD246" s="3"/>
      <c r="BE246" s="3"/>
      <c r="BF246" s="3"/>
      <c r="BG246" s="3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2"/>
      <c r="DI246" s="2"/>
      <c r="DJ246" s="3"/>
      <c r="DK246" s="3"/>
      <c r="DL246" s="2"/>
      <c r="DM246" s="2"/>
      <c r="DN246" s="2"/>
      <c r="DO246" s="3"/>
      <c r="DP246" s="3"/>
      <c r="GO246" t="s">
        <v>144</v>
      </c>
      <c r="GP246" t="s">
        <v>135</v>
      </c>
      <c r="GQ246" t="s">
        <v>502</v>
      </c>
      <c r="GR246">
        <v>26</v>
      </c>
      <c r="GS246">
        <v>25</v>
      </c>
      <c r="GT246">
        <v>1</v>
      </c>
      <c r="GU246" t="s">
        <v>457</v>
      </c>
      <c r="GV246">
        <v>19835357.557875998</v>
      </c>
      <c r="GW246">
        <v>154415251.935637</v>
      </c>
      <c r="GX246">
        <v>174250609.49351299</v>
      </c>
      <c r="GY246">
        <v>0</v>
      </c>
      <c r="GZ246">
        <v>174250609.49351299</v>
      </c>
      <c r="HA246">
        <v>174250609.49351299</v>
      </c>
      <c r="HB246">
        <v>303000000</v>
      </c>
      <c r="HC246">
        <v>0</v>
      </c>
      <c r="HD246" t="s">
        <v>137</v>
      </c>
      <c r="HE246">
        <v>0</v>
      </c>
      <c r="HF246">
        <v>0</v>
      </c>
      <c r="HG246">
        <v>0</v>
      </c>
      <c r="HH246">
        <v>1072000</v>
      </c>
      <c r="HI246">
        <v>21440</v>
      </c>
      <c r="HJ246">
        <v>1050560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1072000</v>
      </c>
      <c r="HT246">
        <v>21440</v>
      </c>
      <c r="HU246">
        <v>1050560</v>
      </c>
      <c r="HV246">
        <v>152672000</v>
      </c>
      <c r="HW246">
        <v>0.05</v>
      </c>
      <c r="HX246">
        <v>0.97798234361883296</v>
      </c>
      <c r="HY246">
        <v>1</v>
      </c>
      <c r="HZ246">
        <v>300000</v>
      </c>
      <c r="IA246">
        <v>0</v>
      </c>
      <c r="IB246">
        <v>0</v>
      </c>
      <c r="IC246">
        <v>0</v>
      </c>
      <c r="ID246">
        <v>272700</v>
      </c>
      <c r="IE246">
        <v>572700</v>
      </c>
      <c r="IF246">
        <v>560090.488190506</v>
      </c>
      <c r="IG246">
        <v>560090.488190506</v>
      </c>
      <c r="IH246">
        <v>0</v>
      </c>
      <c r="II246">
        <v>1016291.3534842801</v>
      </c>
      <c r="IJ246">
        <v>7720762.5967818396</v>
      </c>
      <c r="IK246">
        <v>0</v>
      </c>
      <c r="IL246">
        <v>0</v>
      </c>
      <c r="IM246">
        <v>0</v>
      </c>
      <c r="IN246">
        <v>21342118.423169799</v>
      </c>
      <c r="IO246">
        <v>162136014.532419</v>
      </c>
      <c r="IP246">
        <v>183478132.95558801</v>
      </c>
      <c r="IQ246">
        <v>536000</v>
      </c>
      <c r="IR246">
        <v>2600000</v>
      </c>
      <c r="IS246">
        <v>0</v>
      </c>
      <c r="IT246">
        <v>0</v>
      </c>
      <c r="IU246">
        <v>0</v>
      </c>
      <c r="IV246">
        <v>3136000</v>
      </c>
      <c r="IW246">
        <v>268000</v>
      </c>
      <c r="IX246">
        <v>1300000</v>
      </c>
      <c r="IY246">
        <v>0</v>
      </c>
      <c r="IZ246">
        <v>0</v>
      </c>
      <c r="JA246">
        <v>0</v>
      </c>
      <c r="JB246">
        <v>1568000</v>
      </c>
      <c r="JC246">
        <v>90000</v>
      </c>
      <c r="JD246">
        <v>434000</v>
      </c>
      <c r="JE246">
        <v>0</v>
      </c>
      <c r="JF246">
        <v>0</v>
      </c>
      <c r="JG246">
        <v>0</v>
      </c>
      <c r="JH246">
        <v>524000</v>
      </c>
    </row>
    <row r="247" spans="2:268" customFormat="1" x14ac:dyDescent="0.25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3"/>
      <c r="N247" s="3"/>
      <c r="O247" s="3"/>
      <c r="P247" s="2"/>
      <c r="Q247" s="2"/>
      <c r="R247" s="2"/>
      <c r="S247" s="2"/>
      <c r="T247" s="2"/>
      <c r="U247" s="2"/>
      <c r="V247" s="3"/>
      <c r="W247" s="3"/>
      <c r="X247" s="3"/>
      <c r="Y247" s="3"/>
      <c r="Z247" s="3"/>
      <c r="AA247" s="3"/>
      <c r="AB247" s="3"/>
      <c r="AC247" s="2"/>
      <c r="AD247" s="2"/>
      <c r="AE247" s="2"/>
      <c r="AF247" s="2"/>
      <c r="AG247" s="2"/>
      <c r="AH247" s="2"/>
      <c r="AI247" s="2"/>
      <c r="AJ247" s="3"/>
      <c r="AK247" s="2"/>
      <c r="AL247" s="2"/>
      <c r="AM247" s="2"/>
      <c r="AN247" s="2"/>
      <c r="AO247" s="3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3"/>
      <c r="BC247" s="3"/>
      <c r="BD247" s="3"/>
      <c r="BE247" s="3"/>
      <c r="BF247" s="3"/>
      <c r="BG247" s="3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2"/>
      <c r="DI247" s="2"/>
      <c r="DJ247" s="3"/>
      <c r="DK247" s="3"/>
      <c r="DL247" s="2"/>
      <c r="DM247" s="2"/>
      <c r="DN247" s="2"/>
      <c r="DO247" s="3"/>
      <c r="DP247" s="3"/>
      <c r="GO247" t="s">
        <v>144</v>
      </c>
      <c r="GP247" t="s">
        <v>135</v>
      </c>
      <c r="GQ247" t="s">
        <v>502</v>
      </c>
      <c r="GR247">
        <v>27</v>
      </c>
      <c r="GS247">
        <v>26</v>
      </c>
      <c r="GT247">
        <v>1</v>
      </c>
      <c r="GU247" t="s">
        <v>457</v>
      </c>
      <c r="GV247">
        <v>21342118.423169799</v>
      </c>
      <c r="GW247">
        <v>162136014.532419</v>
      </c>
      <c r="GX247">
        <v>183478132.95558801</v>
      </c>
      <c r="GY247">
        <v>0</v>
      </c>
      <c r="GZ247">
        <v>183478132.95558801</v>
      </c>
      <c r="HA247">
        <v>183478132.95558801</v>
      </c>
      <c r="HB247">
        <v>303000000</v>
      </c>
      <c r="HC247">
        <v>0</v>
      </c>
      <c r="HD247" t="s">
        <v>137</v>
      </c>
      <c r="HE247">
        <v>0</v>
      </c>
      <c r="HF247">
        <v>0</v>
      </c>
      <c r="HG247">
        <v>0</v>
      </c>
      <c r="HH247">
        <v>1072000</v>
      </c>
      <c r="HI247">
        <v>21440</v>
      </c>
      <c r="HJ247">
        <v>1050560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1072000</v>
      </c>
      <c r="HT247">
        <v>21440</v>
      </c>
      <c r="HU247">
        <v>1050560</v>
      </c>
      <c r="HV247">
        <v>153744000</v>
      </c>
      <c r="HW247">
        <v>0.05</v>
      </c>
      <c r="HX247">
        <v>0.97798234361883296</v>
      </c>
      <c r="HY247">
        <v>1</v>
      </c>
      <c r="HZ247">
        <v>300000</v>
      </c>
      <c r="IA247">
        <v>0</v>
      </c>
      <c r="IB247">
        <v>0</v>
      </c>
      <c r="IC247">
        <v>0</v>
      </c>
      <c r="ID247">
        <v>272700</v>
      </c>
      <c r="IE247">
        <v>572700</v>
      </c>
      <c r="IF247">
        <v>560090.488190506</v>
      </c>
      <c r="IG247">
        <v>560090.488190506</v>
      </c>
      <c r="IH247">
        <v>0</v>
      </c>
      <c r="II247">
        <v>1091629.39674896</v>
      </c>
      <c r="IJ247">
        <v>8106800.7266209302</v>
      </c>
      <c r="IK247">
        <v>0</v>
      </c>
      <c r="IL247">
        <v>0</v>
      </c>
      <c r="IM247">
        <v>0</v>
      </c>
      <c r="IN247">
        <v>22924217.331728298</v>
      </c>
      <c r="IO247">
        <v>170242815.25904</v>
      </c>
      <c r="IP247">
        <v>193167032.59076801</v>
      </c>
      <c r="IQ247">
        <v>536000</v>
      </c>
      <c r="IR247">
        <v>2600000</v>
      </c>
      <c r="IS247">
        <v>0</v>
      </c>
      <c r="IT247">
        <v>0</v>
      </c>
      <c r="IU247">
        <v>0</v>
      </c>
      <c r="IV247">
        <v>3136000</v>
      </c>
      <c r="IW247">
        <v>268000</v>
      </c>
      <c r="IX247">
        <v>1300000</v>
      </c>
      <c r="IY247">
        <v>0</v>
      </c>
      <c r="IZ247">
        <v>0</v>
      </c>
      <c r="JA247">
        <v>0</v>
      </c>
      <c r="JB247">
        <v>1568000</v>
      </c>
      <c r="JC247">
        <v>90000</v>
      </c>
      <c r="JD247">
        <v>434000</v>
      </c>
      <c r="JE247">
        <v>0</v>
      </c>
      <c r="JF247">
        <v>0</v>
      </c>
      <c r="JG247">
        <v>0</v>
      </c>
      <c r="JH247">
        <v>524000</v>
      </c>
    </row>
    <row r="248" spans="2:268" customFormat="1" x14ac:dyDescent="0.25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3"/>
      <c r="N248" s="3"/>
      <c r="O248" s="3"/>
      <c r="P248" s="2"/>
      <c r="Q248" s="2"/>
      <c r="R248" s="2"/>
      <c r="S248" s="2"/>
      <c r="T248" s="2"/>
      <c r="U248" s="2"/>
      <c r="V248" s="3"/>
      <c r="W248" s="3"/>
      <c r="X248" s="3"/>
      <c r="Y248" s="3"/>
      <c r="Z248" s="3"/>
      <c r="AA248" s="3"/>
      <c r="AB248" s="3"/>
      <c r="AC248" s="2"/>
      <c r="AD248" s="2"/>
      <c r="AE248" s="2"/>
      <c r="AF248" s="2"/>
      <c r="AG248" s="2"/>
      <c r="AH248" s="2"/>
      <c r="AI248" s="2"/>
      <c r="AJ248" s="3"/>
      <c r="AK248" s="2"/>
      <c r="AL248" s="2"/>
      <c r="AM248" s="2"/>
      <c r="AN248" s="2"/>
      <c r="AO248" s="3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3"/>
      <c r="BC248" s="3"/>
      <c r="BD248" s="3"/>
      <c r="BE248" s="3"/>
      <c r="BF248" s="3"/>
      <c r="BG248" s="3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2"/>
      <c r="DI248" s="2"/>
      <c r="DJ248" s="3"/>
      <c r="DK248" s="3"/>
      <c r="DL248" s="2"/>
      <c r="DM248" s="2"/>
      <c r="DN248" s="2"/>
      <c r="DO248" s="3"/>
      <c r="DP248" s="3"/>
      <c r="GO248" t="s">
        <v>144</v>
      </c>
      <c r="GP248" t="s">
        <v>135</v>
      </c>
      <c r="GQ248" t="s">
        <v>502</v>
      </c>
      <c r="GR248">
        <v>28</v>
      </c>
      <c r="GS248">
        <v>27</v>
      </c>
      <c r="GT248">
        <v>1</v>
      </c>
      <c r="GU248" t="s">
        <v>457</v>
      </c>
      <c r="GV248">
        <v>22924217.331728298</v>
      </c>
      <c r="GW248">
        <v>170242815.25904</v>
      </c>
      <c r="GX248">
        <v>193167032.59076801</v>
      </c>
      <c r="GY248">
        <v>0</v>
      </c>
      <c r="GZ248">
        <v>193167032.59076801</v>
      </c>
      <c r="HA248">
        <v>193167032.59076801</v>
      </c>
      <c r="HB248">
        <v>303000000</v>
      </c>
      <c r="HC248">
        <v>0</v>
      </c>
      <c r="HD248" t="s">
        <v>137</v>
      </c>
      <c r="HE248">
        <v>0</v>
      </c>
      <c r="HF248">
        <v>0</v>
      </c>
      <c r="HG248">
        <v>0</v>
      </c>
      <c r="HH248">
        <v>1072000</v>
      </c>
      <c r="HI248">
        <v>21440</v>
      </c>
      <c r="HJ248">
        <v>1050560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1072000</v>
      </c>
      <c r="HT248">
        <v>21440</v>
      </c>
      <c r="HU248">
        <v>1050560</v>
      </c>
      <c r="HV248">
        <v>154816000</v>
      </c>
      <c r="HW248">
        <v>0.05</v>
      </c>
      <c r="HX248">
        <v>0.97798234361883296</v>
      </c>
      <c r="HY248">
        <v>1</v>
      </c>
      <c r="HZ248">
        <v>300000</v>
      </c>
      <c r="IA248">
        <v>0</v>
      </c>
      <c r="IB248">
        <v>0</v>
      </c>
      <c r="IC248">
        <v>0</v>
      </c>
      <c r="ID248">
        <v>272700</v>
      </c>
      <c r="IE248">
        <v>572700</v>
      </c>
      <c r="IF248">
        <v>560090.488190506</v>
      </c>
      <c r="IG248">
        <v>560090.488190506</v>
      </c>
      <c r="IH248">
        <v>0</v>
      </c>
      <c r="II248">
        <v>1170734.34217689</v>
      </c>
      <c r="IJ248">
        <v>8512140.7629519794</v>
      </c>
      <c r="IK248">
        <v>0</v>
      </c>
      <c r="IL248">
        <v>0</v>
      </c>
      <c r="IM248">
        <v>0</v>
      </c>
      <c r="IN248">
        <v>24585421.185714599</v>
      </c>
      <c r="IO248">
        <v>178754956.02199101</v>
      </c>
      <c r="IP248">
        <v>203340377.207706</v>
      </c>
      <c r="IQ248">
        <v>536000</v>
      </c>
      <c r="IR248">
        <v>2600000</v>
      </c>
      <c r="IS248">
        <v>0</v>
      </c>
      <c r="IT248">
        <v>0</v>
      </c>
      <c r="IU248">
        <v>0</v>
      </c>
      <c r="IV248">
        <v>3136000</v>
      </c>
      <c r="IW248">
        <v>268000</v>
      </c>
      <c r="IX248">
        <v>1300000</v>
      </c>
      <c r="IY248">
        <v>0</v>
      </c>
      <c r="IZ248">
        <v>0</v>
      </c>
      <c r="JA248">
        <v>0</v>
      </c>
      <c r="JB248">
        <v>1568000</v>
      </c>
      <c r="JC248">
        <v>90000</v>
      </c>
      <c r="JD248">
        <v>434000</v>
      </c>
      <c r="JE248">
        <v>0</v>
      </c>
      <c r="JF248">
        <v>0</v>
      </c>
      <c r="JG248">
        <v>0</v>
      </c>
      <c r="JH248">
        <v>524000</v>
      </c>
    </row>
    <row r="249" spans="2:268" customFormat="1" x14ac:dyDescent="0.25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3"/>
      <c r="N249" s="3"/>
      <c r="O249" s="3"/>
      <c r="P249" s="2"/>
      <c r="Q249" s="2"/>
      <c r="R249" s="2"/>
      <c r="S249" s="2"/>
      <c r="T249" s="2"/>
      <c r="U249" s="2"/>
      <c r="V249" s="3"/>
      <c r="W249" s="3"/>
      <c r="X249" s="3"/>
      <c r="Y249" s="3"/>
      <c r="Z249" s="3"/>
      <c r="AA249" s="3"/>
      <c r="AB249" s="3"/>
      <c r="AC249" s="2"/>
      <c r="AD249" s="2"/>
      <c r="AE249" s="2"/>
      <c r="AF249" s="2"/>
      <c r="AG249" s="2"/>
      <c r="AH249" s="2"/>
      <c r="AI249" s="2"/>
      <c r="AJ249" s="3"/>
      <c r="AK249" s="2"/>
      <c r="AL249" s="2"/>
      <c r="AM249" s="2"/>
      <c r="AN249" s="2"/>
      <c r="AO249" s="3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3"/>
      <c r="BC249" s="3"/>
      <c r="BD249" s="3"/>
      <c r="BE249" s="3"/>
      <c r="BF249" s="3"/>
      <c r="BG249" s="3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2"/>
      <c r="DI249" s="2"/>
      <c r="DJ249" s="3"/>
      <c r="DK249" s="3"/>
      <c r="DL249" s="2"/>
      <c r="DM249" s="2"/>
      <c r="DN249" s="2"/>
      <c r="DO249" s="3"/>
      <c r="DP249" s="3"/>
      <c r="GO249" t="s">
        <v>144</v>
      </c>
      <c r="GP249" t="s">
        <v>135</v>
      </c>
      <c r="GQ249" t="s">
        <v>502</v>
      </c>
      <c r="GR249">
        <v>29</v>
      </c>
      <c r="GS249">
        <v>28</v>
      </c>
      <c r="GT249">
        <v>1</v>
      </c>
      <c r="GU249" t="s">
        <v>457</v>
      </c>
      <c r="GV249">
        <v>24585421.185714599</v>
      </c>
      <c r="GW249">
        <v>178754956.02199101</v>
      </c>
      <c r="GX249">
        <v>203340377.207706</v>
      </c>
      <c r="GY249">
        <v>0</v>
      </c>
      <c r="GZ249">
        <v>203340377.207706</v>
      </c>
      <c r="HA249">
        <v>203340377.207706</v>
      </c>
      <c r="HB249">
        <v>303000000</v>
      </c>
      <c r="HC249">
        <v>0</v>
      </c>
      <c r="HD249" t="s">
        <v>137</v>
      </c>
      <c r="HE249">
        <v>0</v>
      </c>
      <c r="HF249">
        <v>0</v>
      </c>
      <c r="HG249">
        <v>0</v>
      </c>
      <c r="HH249">
        <v>1072000</v>
      </c>
      <c r="HI249">
        <v>21440</v>
      </c>
      <c r="HJ249">
        <v>1050560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1072000</v>
      </c>
      <c r="HT249">
        <v>21440</v>
      </c>
      <c r="HU249">
        <v>1050560</v>
      </c>
      <c r="HV249">
        <v>155888000</v>
      </c>
      <c r="HW249">
        <v>0.05</v>
      </c>
      <c r="HX249">
        <v>0.97798234361883296</v>
      </c>
      <c r="HY249">
        <v>1</v>
      </c>
      <c r="HZ249">
        <v>300000</v>
      </c>
      <c r="IA249">
        <v>0</v>
      </c>
      <c r="IB249">
        <v>0</v>
      </c>
      <c r="IC249">
        <v>0</v>
      </c>
      <c r="ID249">
        <v>272700</v>
      </c>
      <c r="IE249">
        <v>572700</v>
      </c>
      <c r="IF249">
        <v>560090.488190506</v>
      </c>
      <c r="IG249">
        <v>560090.488190506</v>
      </c>
      <c r="IH249">
        <v>0</v>
      </c>
      <c r="II249">
        <v>1253794.5348762099</v>
      </c>
      <c r="IJ249">
        <v>8937747.8010995705</v>
      </c>
      <c r="IK249">
        <v>0</v>
      </c>
      <c r="IL249">
        <v>0</v>
      </c>
      <c r="IM249">
        <v>0</v>
      </c>
      <c r="IN249">
        <v>26329685.232400302</v>
      </c>
      <c r="IO249">
        <v>187692703.823091</v>
      </c>
      <c r="IP249">
        <v>214022389.055491</v>
      </c>
      <c r="IQ249">
        <v>536000</v>
      </c>
      <c r="IR249">
        <v>2600000</v>
      </c>
      <c r="IS249">
        <v>0</v>
      </c>
      <c r="IT249">
        <v>0</v>
      </c>
      <c r="IU249">
        <v>0</v>
      </c>
      <c r="IV249">
        <v>3136000</v>
      </c>
      <c r="IW249">
        <v>268000</v>
      </c>
      <c r="IX249">
        <v>1300000</v>
      </c>
      <c r="IY249">
        <v>0</v>
      </c>
      <c r="IZ249">
        <v>0</v>
      </c>
      <c r="JA249">
        <v>0</v>
      </c>
      <c r="JB249">
        <v>1568000</v>
      </c>
      <c r="JC249">
        <v>90000</v>
      </c>
      <c r="JD249">
        <v>434000</v>
      </c>
      <c r="JE249">
        <v>0</v>
      </c>
      <c r="JF249">
        <v>0</v>
      </c>
      <c r="JG249">
        <v>0</v>
      </c>
      <c r="JH249">
        <v>524000</v>
      </c>
    </row>
    <row r="250" spans="2:268" customFormat="1" x14ac:dyDescent="0.25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3"/>
      <c r="N250" s="3"/>
      <c r="O250" s="3"/>
      <c r="P250" s="2"/>
      <c r="Q250" s="2"/>
      <c r="R250" s="2"/>
      <c r="S250" s="2"/>
      <c r="T250" s="2"/>
      <c r="U250" s="2"/>
      <c r="V250" s="3"/>
      <c r="W250" s="3"/>
      <c r="X250" s="3"/>
      <c r="Y250" s="3"/>
      <c r="Z250" s="3"/>
      <c r="AA250" s="3"/>
      <c r="AB250" s="3"/>
      <c r="AC250" s="2"/>
      <c r="AD250" s="2"/>
      <c r="AE250" s="2"/>
      <c r="AF250" s="2"/>
      <c r="AG250" s="2"/>
      <c r="AH250" s="2"/>
      <c r="AI250" s="2"/>
      <c r="AJ250" s="3"/>
      <c r="AK250" s="2"/>
      <c r="AL250" s="2"/>
      <c r="AM250" s="2"/>
      <c r="AN250" s="2"/>
      <c r="AO250" s="3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3"/>
      <c r="BC250" s="3"/>
      <c r="BD250" s="3"/>
      <c r="BE250" s="3"/>
      <c r="BF250" s="3"/>
      <c r="BG250" s="3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2"/>
      <c r="DI250" s="2"/>
      <c r="DJ250" s="3"/>
      <c r="DK250" s="3"/>
      <c r="DL250" s="2"/>
      <c r="DM250" s="2"/>
      <c r="DN250" s="2"/>
      <c r="DO250" s="3"/>
      <c r="DP250" s="3"/>
      <c r="GO250" t="s">
        <v>144</v>
      </c>
      <c r="GP250" t="s">
        <v>135</v>
      </c>
      <c r="GQ250" t="s">
        <v>502</v>
      </c>
      <c r="GR250">
        <v>30</v>
      </c>
      <c r="GS250">
        <v>29</v>
      </c>
      <c r="GT250">
        <v>1</v>
      </c>
      <c r="GU250" t="s">
        <v>457</v>
      </c>
      <c r="GV250">
        <v>26329685.232400302</v>
      </c>
      <c r="GW250">
        <v>187692703.823091</v>
      </c>
      <c r="GX250">
        <v>214022389.055491</v>
      </c>
      <c r="GY250">
        <v>0</v>
      </c>
      <c r="GZ250">
        <v>214022389.055491</v>
      </c>
      <c r="HA250">
        <v>214022389.055491</v>
      </c>
      <c r="HB250">
        <v>303000000</v>
      </c>
      <c r="HC250">
        <v>0</v>
      </c>
      <c r="HD250" t="s">
        <v>137</v>
      </c>
      <c r="HE250">
        <v>0</v>
      </c>
      <c r="HF250">
        <v>0</v>
      </c>
      <c r="HG250">
        <v>0</v>
      </c>
      <c r="HH250">
        <v>1072000</v>
      </c>
      <c r="HI250">
        <v>21440</v>
      </c>
      <c r="HJ250">
        <v>1050560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1072000</v>
      </c>
      <c r="HT250">
        <v>21440</v>
      </c>
      <c r="HU250">
        <v>1050560</v>
      </c>
      <c r="HV250">
        <v>156960000</v>
      </c>
      <c r="HW250">
        <v>0.05</v>
      </c>
      <c r="HX250">
        <v>0.97798234361883296</v>
      </c>
      <c r="HY250">
        <v>1</v>
      </c>
      <c r="HZ250">
        <v>300000</v>
      </c>
      <c r="IA250">
        <v>0</v>
      </c>
      <c r="IB250">
        <v>0</v>
      </c>
      <c r="IC250">
        <v>0</v>
      </c>
      <c r="ID250">
        <v>272700</v>
      </c>
      <c r="IE250">
        <v>572700</v>
      </c>
      <c r="IF250">
        <v>560090.488190506</v>
      </c>
      <c r="IG250">
        <v>560090.488190506</v>
      </c>
      <c r="IH250">
        <v>0</v>
      </c>
      <c r="II250">
        <v>1341007.73721049</v>
      </c>
      <c r="IJ250">
        <v>9384635.1911545508</v>
      </c>
      <c r="IK250">
        <v>0</v>
      </c>
      <c r="IL250">
        <v>0</v>
      </c>
      <c r="IM250">
        <v>0</v>
      </c>
      <c r="IN250">
        <v>28161162.481420301</v>
      </c>
      <c r="IO250">
        <v>197077339.01424599</v>
      </c>
      <c r="IP250">
        <v>225238501.495666</v>
      </c>
      <c r="IQ250">
        <v>536000</v>
      </c>
      <c r="IR250">
        <v>2600000</v>
      </c>
      <c r="IS250">
        <v>0</v>
      </c>
      <c r="IT250">
        <v>0</v>
      </c>
      <c r="IU250">
        <v>0</v>
      </c>
      <c r="IV250">
        <v>3136000</v>
      </c>
      <c r="IW250">
        <v>268000</v>
      </c>
      <c r="IX250">
        <v>1300000</v>
      </c>
      <c r="IY250">
        <v>0</v>
      </c>
      <c r="IZ250">
        <v>0</v>
      </c>
      <c r="JA250">
        <v>0</v>
      </c>
      <c r="JB250">
        <v>1568000</v>
      </c>
      <c r="JC250">
        <v>90000</v>
      </c>
      <c r="JD250">
        <v>434000</v>
      </c>
      <c r="JE250">
        <v>0</v>
      </c>
      <c r="JF250">
        <v>0</v>
      </c>
      <c r="JG250">
        <v>0</v>
      </c>
      <c r="JH250">
        <v>524000</v>
      </c>
    </row>
    <row r="251" spans="2:268" customFormat="1" x14ac:dyDescent="0.25"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3"/>
      <c r="N251" s="3"/>
      <c r="O251" s="3"/>
      <c r="P251" s="2"/>
      <c r="Q251" s="2"/>
      <c r="R251" s="2"/>
      <c r="S251" s="2"/>
      <c r="T251" s="2"/>
      <c r="U251" s="2"/>
      <c r="V251" s="3"/>
      <c r="W251" s="3"/>
      <c r="X251" s="3"/>
      <c r="Y251" s="3"/>
      <c r="Z251" s="3"/>
      <c r="AA251" s="3"/>
      <c r="AB251" s="3"/>
      <c r="AC251" s="2"/>
      <c r="AD251" s="2"/>
      <c r="AE251" s="2"/>
      <c r="AF251" s="2"/>
      <c r="AG251" s="2"/>
      <c r="AH251" s="2"/>
      <c r="AI251" s="2"/>
      <c r="AJ251" s="3"/>
      <c r="AK251" s="2"/>
      <c r="AL251" s="2"/>
      <c r="AM251" s="2"/>
      <c r="AN251" s="2"/>
      <c r="AO251" s="3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3"/>
      <c r="BC251" s="3"/>
      <c r="BD251" s="3"/>
      <c r="BE251" s="3"/>
      <c r="BF251" s="3"/>
      <c r="BG251" s="3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2"/>
      <c r="DI251" s="2"/>
      <c r="DJ251" s="3"/>
      <c r="DK251" s="3"/>
      <c r="DL251" s="2"/>
      <c r="DM251" s="2"/>
      <c r="DN251" s="2"/>
      <c r="DO251" s="3"/>
      <c r="DP251" s="3"/>
      <c r="GO251" t="s">
        <v>144</v>
      </c>
      <c r="GP251" t="s">
        <v>135</v>
      </c>
      <c r="GQ251" t="s">
        <v>502</v>
      </c>
      <c r="GR251">
        <v>31</v>
      </c>
      <c r="GS251">
        <v>30</v>
      </c>
      <c r="GT251">
        <v>1</v>
      </c>
      <c r="GU251" t="s">
        <v>457</v>
      </c>
      <c r="GV251">
        <v>28161162.481420301</v>
      </c>
      <c r="GW251">
        <v>197077339.01424599</v>
      </c>
      <c r="GX251">
        <v>225238501.495666</v>
      </c>
      <c r="GY251">
        <v>0</v>
      </c>
      <c r="GZ251">
        <v>225238501.495666</v>
      </c>
      <c r="HA251">
        <v>225238501.495666</v>
      </c>
      <c r="HB251">
        <v>303000000</v>
      </c>
      <c r="HC251">
        <v>0</v>
      </c>
      <c r="HD251" t="s">
        <v>137</v>
      </c>
      <c r="HE251">
        <v>0</v>
      </c>
      <c r="HF251">
        <v>0</v>
      </c>
      <c r="HG251">
        <v>0</v>
      </c>
      <c r="HH251">
        <v>1072000</v>
      </c>
      <c r="HI251">
        <v>21440</v>
      </c>
      <c r="HJ251">
        <v>1050560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1072000</v>
      </c>
      <c r="HT251">
        <v>21440</v>
      </c>
      <c r="HU251">
        <v>1050560</v>
      </c>
      <c r="HV251">
        <v>158032000</v>
      </c>
      <c r="HW251">
        <v>0.05</v>
      </c>
      <c r="HX251">
        <v>0.97798234361883296</v>
      </c>
      <c r="HY251">
        <v>1</v>
      </c>
      <c r="HZ251">
        <v>300000</v>
      </c>
      <c r="IA251">
        <v>0</v>
      </c>
      <c r="IB251">
        <v>0</v>
      </c>
      <c r="IC251">
        <v>0</v>
      </c>
      <c r="ID251">
        <v>272700</v>
      </c>
      <c r="IE251">
        <v>572700</v>
      </c>
      <c r="IF251">
        <v>560090.488190506</v>
      </c>
      <c r="IG251">
        <v>560090.488190506</v>
      </c>
      <c r="IH251">
        <v>0</v>
      </c>
      <c r="II251">
        <v>1432581.5996614899</v>
      </c>
      <c r="IJ251">
        <v>9853866.9507122803</v>
      </c>
      <c r="IK251">
        <v>0</v>
      </c>
      <c r="IL251">
        <v>0</v>
      </c>
      <c r="IM251">
        <v>0</v>
      </c>
      <c r="IN251">
        <v>30084213.592891298</v>
      </c>
      <c r="IO251">
        <v>206931205.96495801</v>
      </c>
      <c r="IP251">
        <v>237015419.55784899</v>
      </c>
      <c r="IQ251">
        <v>536000</v>
      </c>
      <c r="IR251">
        <v>2600000</v>
      </c>
      <c r="IS251">
        <v>0</v>
      </c>
      <c r="IT251">
        <v>0</v>
      </c>
      <c r="IU251">
        <v>0</v>
      </c>
      <c r="IV251">
        <v>3136000</v>
      </c>
      <c r="IW251">
        <v>268000</v>
      </c>
      <c r="IX251">
        <v>1300000</v>
      </c>
      <c r="IY251">
        <v>0</v>
      </c>
      <c r="IZ251">
        <v>0</v>
      </c>
      <c r="JA251">
        <v>0</v>
      </c>
      <c r="JB251">
        <v>1568000</v>
      </c>
      <c r="JC251">
        <v>90000</v>
      </c>
      <c r="JD251">
        <v>434000</v>
      </c>
      <c r="JE251">
        <v>0</v>
      </c>
      <c r="JF251">
        <v>0</v>
      </c>
      <c r="JG251">
        <v>0</v>
      </c>
      <c r="JH251">
        <v>524000</v>
      </c>
    </row>
    <row r="252" spans="2:268" customFormat="1" x14ac:dyDescent="0.25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3"/>
      <c r="N252" s="3"/>
      <c r="O252" s="3"/>
      <c r="P252" s="2"/>
      <c r="Q252" s="2"/>
      <c r="R252" s="2"/>
      <c r="S252" s="2"/>
      <c r="T252" s="2"/>
      <c r="U252" s="2"/>
      <c r="V252" s="3"/>
      <c r="W252" s="3"/>
      <c r="X252" s="3"/>
      <c r="Y252" s="3"/>
      <c r="Z252" s="3"/>
      <c r="AA252" s="3"/>
      <c r="AB252" s="3"/>
      <c r="AC252" s="2"/>
      <c r="AD252" s="2"/>
      <c r="AE252" s="2"/>
      <c r="AF252" s="2"/>
      <c r="AG252" s="2"/>
      <c r="AH252" s="2"/>
      <c r="AI252" s="2"/>
      <c r="AJ252" s="3"/>
      <c r="AK252" s="2"/>
      <c r="AL252" s="2"/>
      <c r="AM252" s="2"/>
      <c r="AN252" s="2"/>
      <c r="AO252" s="3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3"/>
      <c r="BC252" s="3"/>
      <c r="BD252" s="3"/>
      <c r="BE252" s="3"/>
      <c r="BF252" s="3"/>
      <c r="BG252" s="3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2"/>
      <c r="DI252" s="2"/>
      <c r="DJ252" s="3"/>
      <c r="DK252" s="3"/>
      <c r="DL252" s="2"/>
      <c r="DM252" s="2"/>
      <c r="DN252" s="2"/>
      <c r="DO252" s="3"/>
      <c r="DP252" s="3"/>
      <c r="GO252" t="s">
        <v>144</v>
      </c>
      <c r="GP252" t="s">
        <v>135</v>
      </c>
      <c r="GQ252" t="s">
        <v>502</v>
      </c>
      <c r="GR252">
        <v>32</v>
      </c>
      <c r="GS252">
        <v>31</v>
      </c>
      <c r="GT252">
        <v>1</v>
      </c>
      <c r="GU252" t="s">
        <v>457</v>
      </c>
      <c r="GV252">
        <v>30084213.592891298</v>
      </c>
      <c r="GW252">
        <v>206931205.96495801</v>
      </c>
      <c r="GX252">
        <v>237015419.55784899</v>
      </c>
      <c r="GY252">
        <v>0</v>
      </c>
      <c r="GZ252">
        <v>237015419.55784899</v>
      </c>
      <c r="HA252">
        <v>237015419.55784899</v>
      </c>
      <c r="HB252">
        <v>303000000</v>
      </c>
      <c r="HC252">
        <v>0</v>
      </c>
      <c r="HD252" t="s">
        <v>137</v>
      </c>
      <c r="HE252">
        <v>0</v>
      </c>
      <c r="HF252">
        <v>0</v>
      </c>
      <c r="HG252">
        <v>0</v>
      </c>
      <c r="HH252">
        <v>1072000</v>
      </c>
      <c r="HI252">
        <v>21440</v>
      </c>
      <c r="HJ252">
        <v>1050560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1072000</v>
      </c>
      <c r="HT252">
        <v>21440</v>
      </c>
      <c r="HU252">
        <v>1050560</v>
      </c>
      <c r="HV252">
        <v>159104000</v>
      </c>
      <c r="HW252">
        <v>0.05</v>
      </c>
      <c r="HX252">
        <v>0.97798234361883296</v>
      </c>
      <c r="HY252">
        <v>1</v>
      </c>
      <c r="HZ252">
        <v>300000</v>
      </c>
      <c r="IA252">
        <v>0</v>
      </c>
      <c r="IB252">
        <v>0</v>
      </c>
      <c r="IC252">
        <v>0</v>
      </c>
      <c r="ID252">
        <v>272700</v>
      </c>
      <c r="IE252">
        <v>572700</v>
      </c>
      <c r="IF252">
        <v>560090.488190506</v>
      </c>
      <c r="IG252">
        <v>560090.488190506</v>
      </c>
      <c r="IH252">
        <v>0</v>
      </c>
      <c r="II252">
        <v>1528734.15523504</v>
      </c>
      <c r="IJ252">
        <v>10346560.2982479</v>
      </c>
      <c r="IK252">
        <v>0</v>
      </c>
      <c r="IL252">
        <v>0</v>
      </c>
      <c r="IM252">
        <v>0</v>
      </c>
      <c r="IN252">
        <v>32103417.2599358</v>
      </c>
      <c r="IO252">
        <v>217277766.26320601</v>
      </c>
      <c r="IP252">
        <v>249381183.52314201</v>
      </c>
      <c r="IQ252">
        <v>536000</v>
      </c>
      <c r="IR252">
        <v>2600000</v>
      </c>
      <c r="IS252">
        <v>0</v>
      </c>
      <c r="IT252">
        <v>0</v>
      </c>
      <c r="IU252">
        <v>0</v>
      </c>
      <c r="IV252">
        <v>3136000</v>
      </c>
      <c r="IW252">
        <v>268000</v>
      </c>
      <c r="IX252">
        <v>1300000</v>
      </c>
      <c r="IY252">
        <v>0</v>
      </c>
      <c r="IZ252">
        <v>0</v>
      </c>
      <c r="JA252">
        <v>0</v>
      </c>
      <c r="JB252">
        <v>1568000</v>
      </c>
      <c r="JC252">
        <v>90000</v>
      </c>
      <c r="JD252">
        <v>434000</v>
      </c>
      <c r="JE252">
        <v>0</v>
      </c>
      <c r="JF252">
        <v>0</v>
      </c>
      <c r="JG252">
        <v>0</v>
      </c>
      <c r="JH252">
        <v>524000</v>
      </c>
    </row>
    <row r="253" spans="2:268" customFormat="1" x14ac:dyDescent="0.25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3"/>
      <c r="N253" s="3"/>
      <c r="O253" s="3"/>
      <c r="P253" s="2"/>
      <c r="Q253" s="2"/>
      <c r="R253" s="2"/>
      <c r="S253" s="2"/>
      <c r="T253" s="2"/>
      <c r="U253" s="2"/>
      <c r="V253" s="3"/>
      <c r="W253" s="3"/>
      <c r="X253" s="3"/>
      <c r="Y253" s="3"/>
      <c r="Z253" s="3"/>
      <c r="AA253" s="3"/>
      <c r="AB253" s="3"/>
      <c r="AC253" s="2"/>
      <c r="AD253" s="2"/>
      <c r="AE253" s="2"/>
      <c r="AF253" s="2"/>
      <c r="AG253" s="2"/>
      <c r="AH253" s="2"/>
      <c r="AI253" s="2"/>
      <c r="AJ253" s="3"/>
      <c r="AK253" s="2"/>
      <c r="AL253" s="2"/>
      <c r="AM253" s="2"/>
      <c r="AN253" s="2"/>
      <c r="AO253" s="3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3"/>
      <c r="BC253" s="3"/>
      <c r="BD253" s="3"/>
      <c r="BE253" s="3"/>
      <c r="BF253" s="3"/>
      <c r="BG253" s="3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2"/>
      <c r="DI253" s="2"/>
      <c r="DJ253" s="3"/>
      <c r="DK253" s="3"/>
      <c r="DL253" s="2"/>
      <c r="DM253" s="2"/>
      <c r="DN253" s="2"/>
      <c r="DO253" s="3"/>
      <c r="DP253" s="3"/>
      <c r="GO253" t="s">
        <v>144</v>
      </c>
      <c r="GP253" t="s">
        <v>135</v>
      </c>
      <c r="GQ253" t="s">
        <v>502</v>
      </c>
      <c r="GR253">
        <v>33</v>
      </c>
      <c r="GS253">
        <v>32</v>
      </c>
      <c r="GT253">
        <v>1</v>
      </c>
      <c r="GU253" t="s">
        <v>457</v>
      </c>
      <c r="GV253">
        <v>32103417.2599358</v>
      </c>
      <c r="GW253">
        <v>217277766.26320601</v>
      </c>
      <c r="GX253">
        <v>249381183.52314201</v>
      </c>
      <c r="GY253">
        <v>0</v>
      </c>
      <c r="GZ253">
        <v>249381183.52314201</v>
      </c>
      <c r="HA253">
        <v>249381183.52314201</v>
      </c>
      <c r="HB253">
        <v>303000000</v>
      </c>
      <c r="HC253">
        <v>0</v>
      </c>
      <c r="HD253" t="s">
        <v>137</v>
      </c>
      <c r="HE253">
        <v>0</v>
      </c>
      <c r="HF253">
        <v>0</v>
      </c>
      <c r="HG253">
        <v>0</v>
      </c>
      <c r="HH253">
        <v>1072000</v>
      </c>
      <c r="HI253">
        <v>21440</v>
      </c>
      <c r="HJ253">
        <v>1050560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1072000</v>
      </c>
      <c r="HT253">
        <v>21440</v>
      </c>
      <c r="HU253">
        <v>1050560</v>
      </c>
      <c r="HV253">
        <v>160176000</v>
      </c>
      <c r="HW253">
        <v>0.05</v>
      </c>
      <c r="HX253">
        <v>0.97798234361883296</v>
      </c>
      <c r="HY253">
        <v>1</v>
      </c>
      <c r="HZ253">
        <v>300000</v>
      </c>
      <c r="IA253">
        <v>0</v>
      </c>
      <c r="IB253">
        <v>0</v>
      </c>
      <c r="IC253">
        <v>0</v>
      </c>
      <c r="ID253">
        <v>272700</v>
      </c>
      <c r="IE253">
        <v>572700</v>
      </c>
      <c r="IF253">
        <v>560090.488190506</v>
      </c>
      <c r="IG253">
        <v>560090.488190506</v>
      </c>
      <c r="IH253">
        <v>0</v>
      </c>
      <c r="II253">
        <v>1629694.3385872699</v>
      </c>
      <c r="IJ253">
        <v>10863888.3131603</v>
      </c>
      <c r="IK253">
        <v>0</v>
      </c>
      <c r="IL253">
        <v>0</v>
      </c>
      <c r="IM253">
        <v>0</v>
      </c>
      <c r="IN253">
        <v>34223581.110332601</v>
      </c>
      <c r="IO253">
        <v>228141654.57636601</v>
      </c>
      <c r="IP253">
        <v>262365235.686699</v>
      </c>
      <c r="IQ253">
        <v>536000</v>
      </c>
      <c r="IR253">
        <v>2600000</v>
      </c>
      <c r="IS253">
        <v>0</v>
      </c>
      <c r="IT253">
        <v>0</v>
      </c>
      <c r="IU253">
        <v>0</v>
      </c>
      <c r="IV253">
        <v>3136000</v>
      </c>
      <c r="IW253">
        <v>268000</v>
      </c>
      <c r="IX253">
        <v>1300000</v>
      </c>
      <c r="IY253">
        <v>0</v>
      </c>
      <c r="IZ253">
        <v>0</v>
      </c>
      <c r="JA253">
        <v>0</v>
      </c>
      <c r="JB253">
        <v>1568000</v>
      </c>
      <c r="JC253">
        <v>90000</v>
      </c>
      <c r="JD253">
        <v>434000</v>
      </c>
      <c r="JE253">
        <v>0</v>
      </c>
      <c r="JF253">
        <v>0</v>
      </c>
      <c r="JG253">
        <v>0</v>
      </c>
      <c r="JH253">
        <v>524000</v>
      </c>
    </row>
    <row r="254" spans="2:268" customFormat="1" x14ac:dyDescent="0.25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3"/>
      <c r="N254" s="3"/>
      <c r="O254" s="3"/>
      <c r="P254" s="2"/>
      <c r="Q254" s="2"/>
      <c r="R254" s="2"/>
      <c r="S254" s="2"/>
      <c r="T254" s="2"/>
      <c r="U254" s="2"/>
      <c r="V254" s="3"/>
      <c r="W254" s="3"/>
      <c r="X254" s="3"/>
      <c r="Y254" s="3"/>
      <c r="Z254" s="3"/>
      <c r="AA254" s="3"/>
      <c r="AB254" s="3"/>
      <c r="AC254" s="2"/>
      <c r="AD254" s="2"/>
      <c r="AE254" s="2"/>
      <c r="AF254" s="2"/>
      <c r="AG254" s="2"/>
      <c r="AH254" s="2"/>
      <c r="AI254" s="2"/>
      <c r="AJ254" s="3"/>
      <c r="AK254" s="2"/>
      <c r="AL254" s="2"/>
      <c r="AM254" s="2"/>
      <c r="AN254" s="2"/>
      <c r="AO254" s="3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3"/>
      <c r="BC254" s="3"/>
      <c r="BD254" s="3"/>
      <c r="BE254" s="3"/>
      <c r="BF254" s="3"/>
      <c r="BG254" s="3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2"/>
      <c r="DI254" s="2"/>
      <c r="DJ254" s="3"/>
      <c r="DK254" s="3"/>
      <c r="DL254" s="2"/>
      <c r="DM254" s="2"/>
      <c r="DN254" s="2"/>
      <c r="DO254" s="3"/>
      <c r="DP254" s="3"/>
      <c r="GO254" t="s">
        <v>144</v>
      </c>
      <c r="GP254" t="s">
        <v>135</v>
      </c>
      <c r="GQ254" t="s">
        <v>502</v>
      </c>
      <c r="GR254">
        <v>34</v>
      </c>
      <c r="GS254">
        <v>33</v>
      </c>
      <c r="GT254">
        <v>1</v>
      </c>
      <c r="GU254" t="s">
        <v>457</v>
      </c>
      <c r="GV254">
        <v>34223581.110332601</v>
      </c>
      <c r="GW254">
        <v>228141654.57636601</v>
      </c>
      <c r="GX254">
        <v>262365235.686699</v>
      </c>
      <c r="GY254">
        <v>0</v>
      </c>
      <c r="GZ254">
        <v>262365235.686699</v>
      </c>
      <c r="HA254">
        <v>262365235.686699</v>
      </c>
      <c r="HB254">
        <v>303000000</v>
      </c>
      <c r="HC254">
        <v>0</v>
      </c>
      <c r="HD254" t="s">
        <v>137</v>
      </c>
      <c r="HE254">
        <v>0</v>
      </c>
      <c r="HF254">
        <v>0</v>
      </c>
      <c r="HG254">
        <v>0</v>
      </c>
      <c r="HH254">
        <v>1072000</v>
      </c>
      <c r="HI254">
        <v>21440</v>
      </c>
      <c r="HJ254">
        <v>1050560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1072000</v>
      </c>
      <c r="HT254">
        <v>21440</v>
      </c>
      <c r="HU254">
        <v>1050560</v>
      </c>
      <c r="HV254">
        <v>161248000</v>
      </c>
      <c r="HW254">
        <v>0.05</v>
      </c>
      <c r="HX254">
        <v>0.97798234361883296</v>
      </c>
      <c r="HY254">
        <v>1</v>
      </c>
      <c r="HZ254">
        <v>300000</v>
      </c>
      <c r="IA254">
        <v>0</v>
      </c>
      <c r="IB254">
        <v>0</v>
      </c>
      <c r="IC254">
        <v>0</v>
      </c>
      <c r="ID254">
        <v>272700</v>
      </c>
      <c r="IE254">
        <v>572700</v>
      </c>
      <c r="IF254">
        <v>560090.488190506</v>
      </c>
      <c r="IG254">
        <v>560090.488190506</v>
      </c>
      <c r="IH254">
        <v>0</v>
      </c>
      <c r="II254">
        <v>1735702.53110711</v>
      </c>
      <c r="IJ254">
        <v>11407082.728818299</v>
      </c>
      <c r="IK254">
        <v>0</v>
      </c>
      <c r="IL254">
        <v>0</v>
      </c>
      <c r="IM254">
        <v>0</v>
      </c>
      <c r="IN254">
        <v>36449753.153249197</v>
      </c>
      <c r="IO254">
        <v>239548737.30518401</v>
      </c>
      <c r="IP254">
        <v>275998490.45843399</v>
      </c>
      <c r="IQ254">
        <v>536000</v>
      </c>
      <c r="IR254">
        <v>2600000</v>
      </c>
      <c r="IS254">
        <v>0</v>
      </c>
      <c r="IT254">
        <v>0</v>
      </c>
      <c r="IU254">
        <v>0</v>
      </c>
      <c r="IV254">
        <v>3136000</v>
      </c>
      <c r="IW254">
        <v>268000</v>
      </c>
      <c r="IX254">
        <v>1300000</v>
      </c>
      <c r="IY254">
        <v>0</v>
      </c>
      <c r="IZ254">
        <v>0</v>
      </c>
      <c r="JA254">
        <v>0</v>
      </c>
      <c r="JB254">
        <v>1568000</v>
      </c>
      <c r="JC254">
        <v>90000</v>
      </c>
      <c r="JD254">
        <v>434000</v>
      </c>
      <c r="JE254">
        <v>0</v>
      </c>
      <c r="JF254">
        <v>0</v>
      </c>
      <c r="JG254">
        <v>0</v>
      </c>
      <c r="JH254">
        <v>524000</v>
      </c>
    </row>
    <row r="255" spans="2:268" customFormat="1" x14ac:dyDescent="0.25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3"/>
      <c r="N255" s="3"/>
      <c r="O255" s="3"/>
      <c r="P255" s="2"/>
      <c r="Q255" s="2"/>
      <c r="R255" s="2"/>
      <c r="S255" s="2"/>
      <c r="T255" s="2"/>
      <c r="U255" s="2"/>
      <c r="V255" s="3"/>
      <c r="W255" s="3"/>
      <c r="X255" s="3"/>
      <c r="Y255" s="3"/>
      <c r="Z255" s="3"/>
      <c r="AA255" s="3"/>
      <c r="AB255" s="3"/>
      <c r="AC255" s="2"/>
      <c r="AD255" s="2"/>
      <c r="AE255" s="2"/>
      <c r="AF255" s="2"/>
      <c r="AG255" s="2"/>
      <c r="AH255" s="2"/>
      <c r="AI255" s="2"/>
      <c r="AJ255" s="3"/>
      <c r="AK255" s="2"/>
      <c r="AL255" s="2"/>
      <c r="AM255" s="2"/>
      <c r="AN255" s="2"/>
      <c r="AO255" s="3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3"/>
      <c r="BC255" s="3"/>
      <c r="BD255" s="3"/>
      <c r="BE255" s="3"/>
      <c r="BF255" s="3"/>
      <c r="BG255" s="3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2"/>
      <c r="DI255" s="2"/>
      <c r="DJ255" s="3"/>
      <c r="DK255" s="3"/>
      <c r="DL255" s="2"/>
      <c r="DM255" s="2"/>
      <c r="DN255" s="2"/>
      <c r="DO255" s="3"/>
      <c r="DP255" s="3"/>
      <c r="GO255" t="s">
        <v>144</v>
      </c>
      <c r="GP255" t="s">
        <v>135</v>
      </c>
      <c r="GQ255" t="s">
        <v>502</v>
      </c>
      <c r="GR255">
        <v>35</v>
      </c>
      <c r="GS255">
        <v>34</v>
      </c>
      <c r="GT255">
        <v>1</v>
      </c>
      <c r="GU255" t="s">
        <v>457</v>
      </c>
      <c r="GV255">
        <v>36449753.153249197</v>
      </c>
      <c r="GW255">
        <v>239548737.30518401</v>
      </c>
      <c r="GX255">
        <v>275998490.45843399</v>
      </c>
      <c r="GY255">
        <v>0</v>
      </c>
      <c r="GZ255">
        <v>275998490.45843399</v>
      </c>
      <c r="HA255">
        <v>275998490.45843399</v>
      </c>
      <c r="HB255">
        <v>303000000</v>
      </c>
      <c r="HC255">
        <v>0</v>
      </c>
      <c r="HD255" t="s">
        <v>137</v>
      </c>
      <c r="HE255">
        <v>0</v>
      </c>
      <c r="HF255">
        <v>0</v>
      </c>
      <c r="HG255">
        <v>0</v>
      </c>
      <c r="HH255">
        <v>1072000</v>
      </c>
      <c r="HI255">
        <v>21440</v>
      </c>
      <c r="HJ255">
        <v>1050560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1072000</v>
      </c>
      <c r="HT255">
        <v>21440</v>
      </c>
      <c r="HU255">
        <v>1050560</v>
      </c>
      <c r="HV255">
        <v>162320000</v>
      </c>
      <c r="HW255">
        <v>0.05</v>
      </c>
      <c r="HX255">
        <v>0.97798234361883296</v>
      </c>
      <c r="HY255">
        <v>1</v>
      </c>
      <c r="HZ255">
        <v>300000</v>
      </c>
      <c r="IA255">
        <v>0</v>
      </c>
      <c r="IB255">
        <v>0</v>
      </c>
      <c r="IC255">
        <v>0</v>
      </c>
      <c r="ID255">
        <v>272700</v>
      </c>
      <c r="IE255">
        <v>572700</v>
      </c>
      <c r="IF255">
        <v>560090.488190506</v>
      </c>
      <c r="IG255">
        <v>560090.488190506</v>
      </c>
      <c r="IH255">
        <v>0</v>
      </c>
      <c r="II255">
        <v>1847011.1332529399</v>
      </c>
      <c r="IJ255">
        <v>11977436.8652592</v>
      </c>
      <c r="IK255">
        <v>0</v>
      </c>
      <c r="IL255">
        <v>0</v>
      </c>
      <c r="IM255">
        <v>0</v>
      </c>
      <c r="IN255">
        <v>38787233.798311599</v>
      </c>
      <c r="IO255">
        <v>251526174.17044401</v>
      </c>
      <c r="IP255">
        <v>290313407.96875501</v>
      </c>
      <c r="IQ255">
        <v>536000</v>
      </c>
      <c r="IR255">
        <v>2600000</v>
      </c>
      <c r="IS255">
        <v>0</v>
      </c>
      <c r="IT255">
        <v>0</v>
      </c>
      <c r="IU255">
        <v>0</v>
      </c>
      <c r="IV255">
        <v>3136000</v>
      </c>
      <c r="IW255">
        <v>268000</v>
      </c>
      <c r="IX255">
        <v>1300000</v>
      </c>
      <c r="IY255">
        <v>0</v>
      </c>
      <c r="IZ255">
        <v>0</v>
      </c>
      <c r="JA255">
        <v>0</v>
      </c>
      <c r="JB255">
        <v>1568000</v>
      </c>
      <c r="JC255">
        <v>90000</v>
      </c>
      <c r="JD255">
        <v>434000</v>
      </c>
      <c r="JE255">
        <v>0</v>
      </c>
      <c r="JF255">
        <v>0</v>
      </c>
      <c r="JG255">
        <v>0</v>
      </c>
      <c r="JH255">
        <v>524000</v>
      </c>
    </row>
    <row r="256" spans="2:268" customFormat="1" x14ac:dyDescent="0.25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3"/>
      <c r="N256" s="3"/>
      <c r="O256" s="3"/>
      <c r="P256" s="2"/>
      <c r="Q256" s="2"/>
      <c r="R256" s="2"/>
      <c r="S256" s="2"/>
      <c r="T256" s="2"/>
      <c r="U256" s="2"/>
      <c r="V256" s="3"/>
      <c r="W256" s="3"/>
      <c r="X256" s="3"/>
      <c r="Y256" s="3"/>
      <c r="Z256" s="3"/>
      <c r="AA256" s="3"/>
      <c r="AB256" s="3"/>
      <c r="AC256" s="2"/>
      <c r="AD256" s="2"/>
      <c r="AE256" s="2"/>
      <c r="AF256" s="2"/>
      <c r="AG256" s="2"/>
      <c r="AH256" s="2"/>
      <c r="AI256" s="2"/>
      <c r="AJ256" s="3"/>
      <c r="AK256" s="2"/>
      <c r="AL256" s="2"/>
      <c r="AM256" s="2"/>
      <c r="AN256" s="2"/>
      <c r="AO256" s="3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3"/>
      <c r="BC256" s="3"/>
      <c r="BD256" s="3"/>
      <c r="BE256" s="3"/>
      <c r="BF256" s="3"/>
      <c r="BG256" s="3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2"/>
      <c r="DI256" s="2"/>
      <c r="DJ256" s="3"/>
      <c r="DK256" s="3"/>
      <c r="DL256" s="2"/>
      <c r="DM256" s="2"/>
      <c r="DN256" s="2"/>
      <c r="DO256" s="3"/>
      <c r="DP256" s="3"/>
      <c r="GO256" t="s">
        <v>144</v>
      </c>
      <c r="GP256" t="s">
        <v>135</v>
      </c>
      <c r="GQ256" t="s">
        <v>502</v>
      </c>
      <c r="GR256">
        <v>36</v>
      </c>
      <c r="GS256">
        <v>35</v>
      </c>
      <c r="GT256">
        <v>1</v>
      </c>
      <c r="GU256" t="s">
        <v>457</v>
      </c>
      <c r="GV256">
        <v>38787233.798311599</v>
      </c>
      <c r="GW256">
        <v>251526174.17044401</v>
      </c>
      <c r="GX256">
        <v>290313407.96875501</v>
      </c>
      <c r="GY256">
        <v>0</v>
      </c>
      <c r="GZ256">
        <v>290313407.96875501</v>
      </c>
      <c r="HA256">
        <v>290313407.96875501</v>
      </c>
      <c r="HB256">
        <v>303000000</v>
      </c>
      <c r="HC256">
        <v>0</v>
      </c>
      <c r="HD256" t="s">
        <v>137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0.05</v>
      </c>
      <c r="HX256">
        <v>0.97798234361883296</v>
      </c>
      <c r="HY256">
        <v>1</v>
      </c>
      <c r="HZ256">
        <v>300000</v>
      </c>
      <c r="IA256">
        <v>0</v>
      </c>
      <c r="IB256">
        <v>0</v>
      </c>
      <c r="IC256">
        <v>0</v>
      </c>
      <c r="ID256">
        <v>272700</v>
      </c>
      <c r="IE256">
        <v>572700</v>
      </c>
      <c r="IF256">
        <v>560090.488190506</v>
      </c>
      <c r="IG256">
        <v>560090.488190506</v>
      </c>
      <c r="IH256">
        <v>0</v>
      </c>
      <c r="II256">
        <v>1911357.16550606</v>
      </c>
      <c r="IJ256">
        <v>12576308.708522201</v>
      </c>
      <c r="IK256">
        <v>0</v>
      </c>
      <c r="IL256">
        <v>0</v>
      </c>
      <c r="IM256">
        <v>0</v>
      </c>
      <c r="IN256">
        <v>40138500.475627199</v>
      </c>
      <c r="IO256">
        <v>264102482.878966</v>
      </c>
      <c r="IP256">
        <v>304240983.35459298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</row>
    <row r="257" spans="2:268" customFormat="1" x14ac:dyDescent="0.25"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3"/>
      <c r="N257" s="3"/>
      <c r="O257" s="3"/>
      <c r="P257" s="2"/>
      <c r="Q257" s="2"/>
      <c r="R257" s="2"/>
      <c r="S257" s="2"/>
      <c r="T257" s="2"/>
      <c r="U257" s="2"/>
      <c r="V257" s="3"/>
      <c r="W257" s="3"/>
      <c r="X257" s="3"/>
      <c r="Y257" s="3"/>
      <c r="Z257" s="3"/>
      <c r="AA257" s="3"/>
      <c r="AB257" s="3"/>
      <c r="AC257" s="2"/>
      <c r="AD257" s="2"/>
      <c r="AE257" s="2"/>
      <c r="AF257" s="2"/>
      <c r="AG257" s="2"/>
      <c r="AH257" s="2"/>
      <c r="AI257" s="2"/>
      <c r="AJ257" s="3"/>
      <c r="AK257" s="2"/>
      <c r="AL257" s="2"/>
      <c r="AM257" s="2"/>
      <c r="AN257" s="2"/>
      <c r="AO257" s="3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3"/>
      <c r="BC257" s="3"/>
      <c r="BD257" s="3"/>
      <c r="BE257" s="3"/>
      <c r="BF257" s="3"/>
      <c r="BG257" s="3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2"/>
      <c r="DI257" s="2"/>
      <c r="DJ257" s="3"/>
      <c r="DK257" s="3"/>
      <c r="DL257" s="2"/>
      <c r="DM257" s="2"/>
      <c r="DN257" s="2"/>
      <c r="DO257" s="3"/>
      <c r="DP257" s="3"/>
      <c r="GO257" t="s">
        <v>144</v>
      </c>
      <c r="GP257" t="s">
        <v>135</v>
      </c>
      <c r="GQ257" t="s">
        <v>502</v>
      </c>
      <c r="GR257">
        <v>37</v>
      </c>
      <c r="GS257">
        <v>36</v>
      </c>
      <c r="GT257">
        <v>1</v>
      </c>
      <c r="GU257" t="s">
        <v>457</v>
      </c>
      <c r="GV257">
        <v>40138500.475627199</v>
      </c>
      <c r="GW257">
        <v>264102482.878966</v>
      </c>
      <c r="GX257">
        <v>304240983.35459298</v>
      </c>
      <c r="GY257">
        <v>0</v>
      </c>
      <c r="GZ257">
        <v>304240983.35459298</v>
      </c>
      <c r="HA257">
        <v>304240983.35459298</v>
      </c>
      <c r="HB257">
        <v>303000000</v>
      </c>
      <c r="HC257">
        <v>0</v>
      </c>
      <c r="HD257" t="s">
        <v>137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0.05</v>
      </c>
      <c r="HX257">
        <v>0.97798234361883296</v>
      </c>
      <c r="HY257">
        <v>1</v>
      </c>
      <c r="HZ257">
        <v>300000</v>
      </c>
      <c r="IA257">
        <v>0</v>
      </c>
      <c r="IB257">
        <v>0</v>
      </c>
      <c r="IC257">
        <v>0</v>
      </c>
      <c r="ID257">
        <v>272700</v>
      </c>
      <c r="IE257">
        <v>572700</v>
      </c>
      <c r="IF257">
        <v>560090.488190506</v>
      </c>
      <c r="IG257">
        <v>560090.488190506</v>
      </c>
      <c r="IH257">
        <v>0</v>
      </c>
      <c r="II257">
        <v>1978920.4993718399</v>
      </c>
      <c r="IJ257">
        <v>13205124.1439483</v>
      </c>
      <c r="IK257">
        <v>0</v>
      </c>
      <c r="IL257">
        <v>0</v>
      </c>
      <c r="IM257">
        <v>0</v>
      </c>
      <c r="IN257">
        <v>41557330.486808501</v>
      </c>
      <c r="IO257">
        <v>277307607.02291399</v>
      </c>
      <c r="IP257">
        <v>318864937.50972301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</row>
    <row r="258" spans="2:268" customFormat="1" x14ac:dyDescent="0.25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3"/>
      <c r="N258" s="3"/>
      <c r="O258" s="3"/>
      <c r="P258" s="2"/>
      <c r="Q258" s="2"/>
      <c r="R258" s="2"/>
      <c r="S258" s="2"/>
      <c r="T258" s="2"/>
      <c r="U258" s="2"/>
      <c r="V258" s="3"/>
      <c r="W258" s="3"/>
      <c r="X258" s="3"/>
      <c r="Y258" s="3"/>
      <c r="Z258" s="3"/>
      <c r="AA258" s="3"/>
      <c r="AB258" s="3"/>
      <c r="AC258" s="2"/>
      <c r="AD258" s="2"/>
      <c r="AE258" s="2"/>
      <c r="AF258" s="2"/>
      <c r="AG258" s="2"/>
      <c r="AH258" s="2"/>
      <c r="AI258" s="2"/>
      <c r="AJ258" s="3"/>
      <c r="AK258" s="2"/>
      <c r="AL258" s="2"/>
      <c r="AM258" s="2"/>
      <c r="AN258" s="2"/>
      <c r="AO258" s="3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3"/>
      <c r="BC258" s="3"/>
      <c r="BD258" s="3"/>
      <c r="BE258" s="3"/>
      <c r="BF258" s="3"/>
      <c r="BG258" s="3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2"/>
      <c r="DI258" s="2"/>
      <c r="DJ258" s="3"/>
      <c r="DK258" s="3"/>
      <c r="DL258" s="2"/>
      <c r="DM258" s="2"/>
      <c r="DN258" s="2"/>
      <c r="DO258" s="3"/>
      <c r="DP258" s="3"/>
      <c r="GO258" t="s">
        <v>144</v>
      </c>
      <c r="GP258" t="s">
        <v>135</v>
      </c>
      <c r="GQ258" t="s">
        <v>502</v>
      </c>
      <c r="GR258">
        <v>38</v>
      </c>
      <c r="GS258">
        <v>37</v>
      </c>
      <c r="GT258">
        <v>1</v>
      </c>
      <c r="GU258" t="s">
        <v>457</v>
      </c>
      <c r="GV258">
        <v>41557330.486808501</v>
      </c>
      <c r="GW258">
        <v>277307607.02291399</v>
      </c>
      <c r="GX258">
        <v>318864937.50972301</v>
      </c>
      <c r="GY258">
        <v>0</v>
      </c>
      <c r="GZ258">
        <v>318864937.50972301</v>
      </c>
      <c r="HA258">
        <v>318864937.50972301</v>
      </c>
      <c r="HB258">
        <v>303000000</v>
      </c>
      <c r="HC258">
        <v>0</v>
      </c>
      <c r="HD258" t="s">
        <v>137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0.05</v>
      </c>
      <c r="HX258">
        <v>0.97798234361883296</v>
      </c>
      <c r="HY258">
        <v>1</v>
      </c>
      <c r="HZ258">
        <v>300000</v>
      </c>
      <c r="IA258">
        <v>0</v>
      </c>
      <c r="IB258">
        <v>0</v>
      </c>
      <c r="IC258">
        <v>0</v>
      </c>
      <c r="ID258">
        <v>272700</v>
      </c>
      <c r="IE258">
        <v>572700</v>
      </c>
      <c r="IF258">
        <v>560090.488190506</v>
      </c>
      <c r="IG258">
        <v>560090.488190506</v>
      </c>
      <c r="IH258">
        <v>0</v>
      </c>
      <c r="II258">
        <v>2049861.9999309001</v>
      </c>
      <c r="IJ258">
        <v>13865380.3511457</v>
      </c>
      <c r="IK258">
        <v>0</v>
      </c>
      <c r="IL258">
        <v>0</v>
      </c>
      <c r="IM258">
        <v>0</v>
      </c>
      <c r="IN258">
        <v>43047101.998548903</v>
      </c>
      <c r="IO258">
        <v>291172987.37405998</v>
      </c>
      <c r="IP258">
        <v>334220089.37260902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</row>
    <row r="259" spans="2:268" customFormat="1" x14ac:dyDescent="0.25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3"/>
      <c r="N259" s="3"/>
      <c r="O259" s="3"/>
      <c r="P259" s="2"/>
      <c r="Q259" s="2"/>
      <c r="R259" s="2"/>
      <c r="S259" s="2"/>
      <c r="T259" s="2"/>
      <c r="U259" s="2"/>
      <c r="V259" s="3"/>
      <c r="W259" s="3"/>
      <c r="X259" s="3"/>
      <c r="Y259" s="3"/>
      <c r="Z259" s="3"/>
      <c r="AA259" s="3"/>
      <c r="AB259" s="3"/>
      <c r="AC259" s="2"/>
      <c r="AD259" s="2"/>
      <c r="AE259" s="2"/>
      <c r="AF259" s="2"/>
      <c r="AG259" s="2"/>
      <c r="AH259" s="2"/>
      <c r="AI259" s="2"/>
      <c r="AJ259" s="3"/>
      <c r="AK259" s="2"/>
      <c r="AL259" s="2"/>
      <c r="AM259" s="2"/>
      <c r="AN259" s="2"/>
      <c r="AO259" s="3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3"/>
      <c r="BC259" s="3"/>
      <c r="BD259" s="3"/>
      <c r="BE259" s="3"/>
      <c r="BF259" s="3"/>
      <c r="BG259" s="3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2"/>
      <c r="DI259" s="2"/>
      <c r="DJ259" s="3"/>
      <c r="DK259" s="3"/>
      <c r="DL259" s="2"/>
      <c r="DM259" s="2"/>
      <c r="DN259" s="2"/>
      <c r="DO259" s="3"/>
      <c r="DP259" s="3"/>
      <c r="GO259" t="s">
        <v>144</v>
      </c>
      <c r="GP259" t="s">
        <v>135</v>
      </c>
      <c r="GQ259" t="s">
        <v>502</v>
      </c>
      <c r="GR259">
        <v>39</v>
      </c>
      <c r="GS259">
        <v>38</v>
      </c>
      <c r="GT259">
        <v>1</v>
      </c>
      <c r="GU259" t="s">
        <v>457</v>
      </c>
      <c r="GV259">
        <v>43047101.998548903</v>
      </c>
      <c r="GW259">
        <v>291172987.37405998</v>
      </c>
      <c r="GX259">
        <v>334220089.37260902</v>
      </c>
      <c r="GY259">
        <v>0</v>
      </c>
      <c r="GZ259">
        <v>334220089.37260902</v>
      </c>
      <c r="HA259">
        <v>334220089.37260902</v>
      </c>
      <c r="HB259">
        <v>303000000</v>
      </c>
      <c r="HC259">
        <v>0</v>
      </c>
      <c r="HD259" t="s">
        <v>137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0.05</v>
      </c>
      <c r="HX259">
        <v>0.97798234361883296</v>
      </c>
      <c r="HY259">
        <v>1</v>
      </c>
      <c r="HZ259">
        <v>300000</v>
      </c>
      <c r="IA259">
        <v>0</v>
      </c>
      <c r="IB259">
        <v>0</v>
      </c>
      <c r="IC259">
        <v>0</v>
      </c>
      <c r="ID259">
        <v>272700</v>
      </c>
      <c r="IE259">
        <v>572700</v>
      </c>
      <c r="IF259">
        <v>560090.488190506</v>
      </c>
      <c r="IG259">
        <v>560090.488190506</v>
      </c>
      <c r="IH259">
        <v>0</v>
      </c>
      <c r="II259">
        <v>2124350.5755179198</v>
      </c>
      <c r="IJ259">
        <v>14558649.368703</v>
      </c>
      <c r="IK259">
        <v>0</v>
      </c>
      <c r="IL259">
        <v>0</v>
      </c>
      <c r="IM259">
        <v>0</v>
      </c>
      <c r="IN259">
        <v>44611362.085876398</v>
      </c>
      <c r="IO259">
        <v>305731636.74276298</v>
      </c>
      <c r="IP259">
        <v>350342998.82863897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</row>
    <row r="260" spans="2:268" customFormat="1" x14ac:dyDescent="0.25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3"/>
      <c r="N260" s="3"/>
      <c r="O260" s="3"/>
      <c r="P260" s="2"/>
      <c r="Q260" s="2"/>
      <c r="R260" s="2"/>
      <c r="S260" s="2"/>
      <c r="T260" s="2"/>
      <c r="U260" s="2"/>
      <c r="V260" s="3"/>
      <c r="W260" s="3"/>
      <c r="X260" s="3"/>
      <c r="Y260" s="3"/>
      <c r="Z260" s="3"/>
      <c r="AA260" s="3"/>
      <c r="AB260" s="3"/>
      <c r="AC260" s="2"/>
      <c r="AD260" s="2"/>
      <c r="AE260" s="2"/>
      <c r="AF260" s="2"/>
      <c r="AG260" s="2"/>
      <c r="AH260" s="2"/>
      <c r="AI260" s="2"/>
      <c r="AJ260" s="3"/>
      <c r="AK260" s="2"/>
      <c r="AL260" s="2"/>
      <c r="AM260" s="2"/>
      <c r="AN260" s="2"/>
      <c r="AO260" s="3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3"/>
      <c r="BC260" s="3"/>
      <c r="BD260" s="3"/>
      <c r="BE260" s="3"/>
      <c r="BF260" s="3"/>
      <c r="BG260" s="3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2"/>
      <c r="DI260" s="2"/>
      <c r="DJ260" s="3"/>
      <c r="DK260" s="3"/>
      <c r="DL260" s="2"/>
      <c r="DM260" s="2"/>
      <c r="DN260" s="2"/>
      <c r="DO260" s="3"/>
      <c r="DP260" s="3"/>
      <c r="GO260" t="s">
        <v>144</v>
      </c>
      <c r="GP260" t="s">
        <v>135</v>
      </c>
      <c r="GQ260" t="s">
        <v>502</v>
      </c>
      <c r="GR260">
        <v>40</v>
      </c>
      <c r="GS260">
        <v>39</v>
      </c>
      <c r="GT260">
        <v>1</v>
      </c>
      <c r="GU260" t="s">
        <v>457</v>
      </c>
      <c r="GV260">
        <v>44611362.085876398</v>
      </c>
      <c r="GW260">
        <v>305731636.74276298</v>
      </c>
      <c r="GX260">
        <v>350342998.82863897</v>
      </c>
      <c r="GY260">
        <v>0</v>
      </c>
      <c r="GZ260">
        <v>350342998.82863897</v>
      </c>
      <c r="HA260">
        <v>350342998.82863897</v>
      </c>
      <c r="HB260">
        <v>303000000</v>
      </c>
      <c r="HC260">
        <v>0</v>
      </c>
      <c r="HD260" t="s">
        <v>137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0.05</v>
      </c>
      <c r="HX260">
        <v>0.97798234361883296</v>
      </c>
      <c r="HY260">
        <v>1</v>
      </c>
      <c r="HZ260">
        <v>300000</v>
      </c>
      <c r="IA260">
        <v>0</v>
      </c>
      <c r="IB260">
        <v>0</v>
      </c>
      <c r="IC260">
        <v>0</v>
      </c>
      <c r="ID260">
        <v>272700</v>
      </c>
      <c r="IE260">
        <v>572700</v>
      </c>
      <c r="IF260">
        <v>560090.488190506</v>
      </c>
      <c r="IG260">
        <v>560090.488190506</v>
      </c>
      <c r="IH260">
        <v>0</v>
      </c>
      <c r="II260">
        <v>2202563.5798842902</v>
      </c>
      <c r="IJ260">
        <v>15286581.8371381</v>
      </c>
      <c r="IK260">
        <v>0</v>
      </c>
      <c r="IL260">
        <v>0</v>
      </c>
      <c r="IM260">
        <v>0</v>
      </c>
      <c r="IN260">
        <v>46253835.177570097</v>
      </c>
      <c r="IO260">
        <v>321018218.57990098</v>
      </c>
      <c r="IP260">
        <v>367272053.75747102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</row>
    <row r="261" spans="2:268" customFormat="1" x14ac:dyDescent="0.25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3"/>
      <c r="N261" s="3"/>
      <c r="O261" s="3"/>
      <c r="P261" s="2"/>
      <c r="Q261" s="2"/>
      <c r="R261" s="2"/>
      <c r="S261" s="2"/>
      <c r="T261" s="2"/>
      <c r="U261" s="2"/>
      <c r="V261" s="3"/>
      <c r="W261" s="3"/>
      <c r="X261" s="3"/>
      <c r="Y261" s="3"/>
      <c r="Z261" s="3"/>
      <c r="AA261" s="3"/>
      <c r="AB261" s="3"/>
      <c r="AC261" s="2"/>
      <c r="AD261" s="2"/>
      <c r="AE261" s="2"/>
      <c r="AF261" s="2"/>
      <c r="AG261" s="2"/>
      <c r="AH261" s="2"/>
      <c r="AI261" s="2"/>
      <c r="AJ261" s="3"/>
      <c r="AK261" s="2"/>
      <c r="AL261" s="2"/>
      <c r="AM261" s="2"/>
      <c r="AN261" s="2"/>
      <c r="AO261" s="3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3"/>
      <c r="BC261" s="3"/>
      <c r="BD261" s="3"/>
      <c r="BE261" s="3"/>
      <c r="BF261" s="3"/>
      <c r="BG261" s="3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2"/>
      <c r="DI261" s="2"/>
      <c r="DJ261" s="3"/>
      <c r="DK261" s="3"/>
      <c r="DL261" s="2"/>
      <c r="DM261" s="2"/>
      <c r="DN261" s="2"/>
      <c r="DO261" s="3"/>
      <c r="DP261" s="3"/>
      <c r="GO261" t="s">
        <v>144</v>
      </c>
      <c r="GP261" t="s">
        <v>135</v>
      </c>
      <c r="GQ261" t="s">
        <v>502</v>
      </c>
      <c r="GR261">
        <v>41</v>
      </c>
      <c r="GS261">
        <v>40</v>
      </c>
      <c r="GT261">
        <v>1</v>
      </c>
      <c r="GU261" t="s">
        <v>457</v>
      </c>
      <c r="GV261">
        <v>46253835.177570097</v>
      </c>
      <c r="GW261">
        <v>321018218.57990098</v>
      </c>
      <c r="GX261">
        <v>367272053.75747102</v>
      </c>
      <c r="GY261">
        <v>0</v>
      </c>
      <c r="GZ261">
        <v>367272053.75747102</v>
      </c>
      <c r="HA261">
        <v>367272053.75747102</v>
      </c>
      <c r="HB261">
        <v>303000000</v>
      </c>
      <c r="HC261">
        <v>0</v>
      </c>
      <c r="HD261" t="s">
        <v>137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0.05</v>
      </c>
      <c r="HX261">
        <v>0.97798234361883296</v>
      </c>
      <c r="HY261">
        <v>1</v>
      </c>
      <c r="HZ261">
        <v>300000</v>
      </c>
      <c r="IA261">
        <v>0</v>
      </c>
      <c r="IB261">
        <v>0</v>
      </c>
      <c r="IC261">
        <v>0</v>
      </c>
      <c r="ID261">
        <v>272700</v>
      </c>
      <c r="IE261">
        <v>572700</v>
      </c>
      <c r="IF261">
        <v>560090.488190506</v>
      </c>
      <c r="IG261">
        <v>560090.488190506</v>
      </c>
      <c r="IH261">
        <v>0</v>
      </c>
      <c r="II261">
        <v>2284687.2344689802</v>
      </c>
      <c r="IJ261">
        <v>16050910.928995</v>
      </c>
      <c r="IK261">
        <v>0</v>
      </c>
      <c r="IL261">
        <v>0</v>
      </c>
      <c r="IM261">
        <v>0</v>
      </c>
      <c r="IN261">
        <v>47978431.923848599</v>
      </c>
      <c r="IO261">
        <v>337069129.50889599</v>
      </c>
      <c r="IP261">
        <v>385047561.43274498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</row>
    <row r="262" spans="2:268" customFormat="1" x14ac:dyDescent="0.25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3"/>
      <c r="N262" s="3"/>
      <c r="O262" s="3"/>
      <c r="P262" s="2"/>
      <c r="Q262" s="2"/>
      <c r="R262" s="2"/>
      <c r="S262" s="2"/>
      <c r="T262" s="2"/>
      <c r="U262" s="2"/>
      <c r="V262" s="3"/>
      <c r="W262" s="3"/>
      <c r="X262" s="3"/>
      <c r="Y262" s="3"/>
      <c r="Z262" s="3"/>
      <c r="AA262" s="3"/>
      <c r="AB262" s="3"/>
      <c r="AC262" s="2"/>
      <c r="AD262" s="2"/>
      <c r="AE262" s="2"/>
      <c r="AF262" s="2"/>
      <c r="AG262" s="2"/>
      <c r="AH262" s="2"/>
      <c r="AI262" s="2"/>
      <c r="AJ262" s="3"/>
      <c r="AK262" s="2"/>
      <c r="AL262" s="2"/>
      <c r="AM262" s="2"/>
      <c r="AN262" s="2"/>
      <c r="AO262" s="3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3"/>
      <c r="BC262" s="3"/>
      <c r="BD262" s="3"/>
      <c r="BE262" s="3"/>
      <c r="BF262" s="3"/>
      <c r="BG262" s="3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2"/>
      <c r="DI262" s="2"/>
      <c r="DJ262" s="3"/>
      <c r="DK262" s="3"/>
      <c r="DL262" s="2"/>
      <c r="DM262" s="2"/>
      <c r="DN262" s="2"/>
      <c r="DO262" s="3"/>
      <c r="DP262" s="3"/>
      <c r="GO262" t="s">
        <v>144</v>
      </c>
      <c r="GP262" t="s">
        <v>135</v>
      </c>
      <c r="GQ262" t="s">
        <v>502</v>
      </c>
      <c r="GR262">
        <v>42</v>
      </c>
      <c r="GS262">
        <v>41</v>
      </c>
      <c r="GT262">
        <v>1</v>
      </c>
      <c r="GU262" t="s">
        <v>457</v>
      </c>
      <c r="GV262">
        <v>47978431.923848599</v>
      </c>
      <c r="GW262">
        <v>337069129.50889599</v>
      </c>
      <c r="GX262">
        <v>385047561.43274498</v>
      </c>
      <c r="GY262">
        <v>0</v>
      </c>
      <c r="GZ262">
        <v>385047561.43274498</v>
      </c>
      <c r="HA262">
        <v>385047561.43274498</v>
      </c>
      <c r="HB262">
        <v>303000000</v>
      </c>
      <c r="HC262">
        <v>0</v>
      </c>
      <c r="HD262" t="s">
        <v>137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0.05</v>
      </c>
      <c r="HX262">
        <v>0.97798234361883296</v>
      </c>
      <c r="HY262">
        <v>1</v>
      </c>
      <c r="HZ262">
        <v>300000</v>
      </c>
      <c r="IA262">
        <v>0</v>
      </c>
      <c r="IB262">
        <v>0</v>
      </c>
      <c r="IC262">
        <v>0</v>
      </c>
      <c r="ID262">
        <v>272700</v>
      </c>
      <c r="IE262">
        <v>572700</v>
      </c>
      <c r="IF262">
        <v>560090.488190506</v>
      </c>
      <c r="IG262">
        <v>560090.488190506</v>
      </c>
      <c r="IH262">
        <v>0</v>
      </c>
      <c r="II262">
        <v>2370917.0717829098</v>
      </c>
      <c r="IJ262">
        <v>16853456.475444801</v>
      </c>
      <c r="IK262">
        <v>0</v>
      </c>
      <c r="IL262">
        <v>0</v>
      </c>
      <c r="IM262">
        <v>0</v>
      </c>
      <c r="IN262">
        <v>49789258.507440999</v>
      </c>
      <c r="IO262">
        <v>353922585.98434103</v>
      </c>
      <c r="IP262">
        <v>403711844.49178201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</row>
    <row r="263" spans="2:268" customFormat="1" x14ac:dyDescent="0.25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3"/>
      <c r="N263" s="3"/>
      <c r="O263" s="3"/>
      <c r="P263" s="2"/>
      <c r="Q263" s="2"/>
      <c r="R263" s="2"/>
      <c r="S263" s="2"/>
      <c r="T263" s="2"/>
      <c r="U263" s="2"/>
      <c r="V263" s="3"/>
      <c r="W263" s="3"/>
      <c r="X263" s="3"/>
      <c r="Y263" s="3"/>
      <c r="Z263" s="3"/>
      <c r="AA263" s="3"/>
      <c r="AB263" s="3"/>
      <c r="AC263" s="2"/>
      <c r="AD263" s="2"/>
      <c r="AE263" s="2"/>
      <c r="AF263" s="2"/>
      <c r="AG263" s="2"/>
      <c r="AH263" s="2"/>
      <c r="AI263" s="2"/>
      <c r="AJ263" s="3"/>
      <c r="AK263" s="2"/>
      <c r="AL263" s="2"/>
      <c r="AM263" s="2"/>
      <c r="AN263" s="2"/>
      <c r="AO263" s="3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3"/>
      <c r="BC263" s="3"/>
      <c r="BD263" s="3"/>
      <c r="BE263" s="3"/>
      <c r="BF263" s="3"/>
      <c r="BG263" s="3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2"/>
      <c r="DI263" s="2"/>
      <c r="DJ263" s="3"/>
      <c r="DK263" s="3"/>
      <c r="DL263" s="2"/>
      <c r="DM263" s="2"/>
      <c r="DN263" s="2"/>
      <c r="DO263" s="3"/>
      <c r="DP263" s="3"/>
      <c r="GO263" t="s">
        <v>144</v>
      </c>
      <c r="GP263" t="s">
        <v>135</v>
      </c>
      <c r="GQ263" t="s">
        <v>502</v>
      </c>
      <c r="GR263">
        <v>43</v>
      </c>
      <c r="GS263">
        <v>42</v>
      </c>
      <c r="GT263">
        <v>1</v>
      </c>
      <c r="GU263" t="s">
        <v>457</v>
      </c>
      <c r="GV263">
        <v>49789258.507440999</v>
      </c>
      <c r="GW263">
        <v>353922585.98434103</v>
      </c>
      <c r="GX263">
        <v>403711844.49178201</v>
      </c>
      <c r="GY263">
        <v>0</v>
      </c>
      <c r="GZ263">
        <v>403711844.49178201</v>
      </c>
      <c r="HA263">
        <v>403711844.49178201</v>
      </c>
      <c r="HB263">
        <v>303000000</v>
      </c>
      <c r="HC263">
        <v>0</v>
      </c>
      <c r="HD263" t="s">
        <v>137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0.05</v>
      </c>
      <c r="HX263">
        <v>0.97798234361883296</v>
      </c>
      <c r="HY263">
        <v>1</v>
      </c>
      <c r="HZ263">
        <v>300000</v>
      </c>
      <c r="IA263">
        <v>0</v>
      </c>
      <c r="IB263">
        <v>0</v>
      </c>
      <c r="IC263">
        <v>0</v>
      </c>
      <c r="ID263">
        <v>272700</v>
      </c>
      <c r="IE263">
        <v>572700</v>
      </c>
      <c r="IF263">
        <v>560090.488190506</v>
      </c>
      <c r="IG263">
        <v>560090.488190506</v>
      </c>
      <c r="IH263">
        <v>0</v>
      </c>
      <c r="II263">
        <v>2461458.4009625302</v>
      </c>
      <c r="IJ263">
        <v>17696129.299217001</v>
      </c>
      <c r="IK263">
        <v>0</v>
      </c>
      <c r="IL263">
        <v>0</v>
      </c>
      <c r="IM263">
        <v>0</v>
      </c>
      <c r="IN263">
        <v>51690626.420213103</v>
      </c>
      <c r="IO263">
        <v>371618715.28355801</v>
      </c>
      <c r="IP263">
        <v>423309341.703771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</row>
    <row r="264" spans="2:268" customFormat="1" x14ac:dyDescent="0.25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3"/>
      <c r="N264" s="3"/>
      <c r="O264" s="3"/>
      <c r="P264" s="2"/>
      <c r="Q264" s="2"/>
      <c r="R264" s="2"/>
      <c r="S264" s="2"/>
      <c r="T264" s="2"/>
      <c r="U264" s="2"/>
      <c r="V264" s="3"/>
      <c r="W264" s="3"/>
      <c r="X264" s="3"/>
      <c r="Y264" s="3"/>
      <c r="Z264" s="3"/>
      <c r="AA264" s="3"/>
      <c r="AB264" s="3"/>
      <c r="AC264" s="2"/>
      <c r="AD264" s="2"/>
      <c r="AE264" s="2"/>
      <c r="AF264" s="2"/>
      <c r="AG264" s="2"/>
      <c r="AH264" s="2"/>
      <c r="AI264" s="2"/>
      <c r="AJ264" s="3"/>
      <c r="AK264" s="2"/>
      <c r="AL264" s="2"/>
      <c r="AM264" s="2"/>
      <c r="AN264" s="2"/>
      <c r="AO264" s="3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3"/>
      <c r="BC264" s="3"/>
      <c r="BD264" s="3"/>
      <c r="BE264" s="3"/>
      <c r="BF264" s="3"/>
      <c r="BG264" s="3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2"/>
      <c r="DI264" s="2"/>
      <c r="DJ264" s="3"/>
      <c r="DK264" s="3"/>
      <c r="DL264" s="2"/>
      <c r="DM264" s="2"/>
      <c r="DN264" s="2"/>
      <c r="DO264" s="3"/>
      <c r="DP264" s="3"/>
      <c r="GO264" t="s">
        <v>144</v>
      </c>
      <c r="GP264" t="s">
        <v>135</v>
      </c>
      <c r="GQ264" t="s">
        <v>502</v>
      </c>
      <c r="GR264">
        <v>44</v>
      </c>
      <c r="GS264">
        <v>43</v>
      </c>
      <c r="GT264">
        <v>1</v>
      </c>
      <c r="GU264" t="s">
        <v>457</v>
      </c>
      <c r="GV264">
        <v>51690626.420213103</v>
      </c>
      <c r="GW264">
        <v>371618715.28355801</v>
      </c>
      <c r="GX264">
        <v>423309341.703771</v>
      </c>
      <c r="GY264">
        <v>0</v>
      </c>
      <c r="GZ264">
        <v>423309341.703771</v>
      </c>
      <c r="HA264">
        <v>423309341.703771</v>
      </c>
      <c r="HB264">
        <v>303000000</v>
      </c>
      <c r="HC264">
        <v>0</v>
      </c>
      <c r="HD264" t="s">
        <v>137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0.05</v>
      </c>
      <c r="HX264">
        <v>0.97798234361883296</v>
      </c>
      <c r="HY264">
        <v>1</v>
      </c>
      <c r="HZ264">
        <v>300000</v>
      </c>
      <c r="IA264">
        <v>0</v>
      </c>
      <c r="IB264">
        <v>0</v>
      </c>
      <c r="IC264">
        <v>0</v>
      </c>
      <c r="ID264">
        <v>272700</v>
      </c>
      <c r="IE264">
        <v>572700</v>
      </c>
      <c r="IF264">
        <v>560090.488190506</v>
      </c>
      <c r="IG264">
        <v>560090.488190506</v>
      </c>
      <c r="IH264">
        <v>0</v>
      </c>
      <c r="II264">
        <v>2556526.7966011302</v>
      </c>
      <c r="IJ264">
        <v>18580935.7641779</v>
      </c>
      <c r="IK264">
        <v>0</v>
      </c>
      <c r="IL264">
        <v>0</v>
      </c>
      <c r="IM264">
        <v>0</v>
      </c>
      <c r="IN264">
        <v>53687062.728623703</v>
      </c>
      <c r="IO264">
        <v>390199651.04773599</v>
      </c>
      <c r="IP264">
        <v>443886713.77635902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</row>
    <row r="265" spans="2:268" customFormat="1" x14ac:dyDescent="0.25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3"/>
      <c r="N265" s="3"/>
      <c r="O265" s="3"/>
      <c r="P265" s="2"/>
      <c r="Q265" s="2"/>
      <c r="R265" s="2"/>
      <c r="S265" s="2"/>
      <c r="T265" s="2"/>
      <c r="U265" s="2"/>
      <c r="V265" s="3"/>
      <c r="W265" s="3"/>
      <c r="X265" s="3"/>
      <c r="Y265" s="3"/>
      <c r="Z265" s="3"/>
      <c r="AA265" s="3"/>
      <c r="AB265" s="3"/>
      <c r="AC265" s="2"/>
      <c r="AD265" s="2"/>
      <c r="AE265" s="2"/>
      <c r="AF265" s="2"/>
      <c r="AG265" s="2"/>
      <c r="AH265" s="2"/>
      <c r="AI265" s="2"/>
      <c r="AJ265" s="3"/>
      <c r="AK265" s="2"/>
      <c r="AL265" s="2"/>
      <c r="AM265" s="2"/>
      <c r="AN265" s="2"/>
      <c r="AO265" s="3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3"/>
      <c r="BC265" s="3"/>
      <c r="BD265" s="3"/>
      <c r="BE265" s="3"/>
      <c r="BF265" s="3"/>
      <c r="BG265" s="3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2"/>
      <c r="DI265" s="2"/>
      <c r="DJ265" s="3"/>
      <c r="DK265" s="3"/>
      <c r="DL265" s="2"/>
      <c r="DM265" s="2"/>
      <c r="DN265" s="2"/>
      <c r="DO265" s="3"/>
      <c r="DP265" s="3"/>
      <c r="GO265" t="s">
        <v>144</v>
      </c>
      <c r="GP265" t="s">
        <v>135</v>
      </c>
      <c r="GQ265" t="s">
        <v>502</v>
      </c>
      <c r="GR265">
        <v>45</v>
      </c>
      <c r="GS265">
        <v>44</v>
      </c>
      <c r="GT265">
        <v>1</v>
      </c>
      <c r="GU265" t="s">
        <v>457</v>
      </c>
      <c r="GV265">
        <v>53687062.728623703</v>
      </c>
      <c r="GW265">
        <v>390199651.04773599</v>
      </c>
      <c r="GX265">
        <v>443886713.77635902</v>
      </c>
      <c r="GY265">
        <v>0</v>
      </c>
      <c r="GZ265">
        <v>443886713.77635902</v>
      </c>
      <c r="HA265">
        <v>443886713.77635902</v>
      </c>
      <c r="HB265">
        <v>303000000</v>
      </c>
      <c r="HC265">
        <v>0</v>
      </c>
      <c r="HD265" t="s">
        <v>137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0.05</v>
      </c>
      <c r="HX265">
        <v>0.97798234361883296</v>
      </c>
      <c r="HY265">
        <v>1</v>
      </c>
      <c r="HZ265">
        <v>300000</v>
      </c>
      <c r="IA265">
        <v>0</v>
      </c>
      <c r="IB265">
        <v>0</v>
      </c>
      <c r="IC265">
        <v>0</v>
      </c>
      <c r="ID265">
        <v>272700</v>
      </c>
      <c r="IE265">
        <v>572700</v>
      </c>
      <c r="IF265">
        <v>560090.488190506</v>
      </c>
      <c r="IG265">
        <v>560090.488190506</v>
      </c>
      <c r="IH265">
        <v>0</v>
      </c>
      <c r="II265">
        <v>2656348.61202166</v>
      </c>
      <c r="IJ265">
        <v>19509982.552386802</v>
      </c>
      <c r="IK265">
        <v>0</v>
      </c>
      <c r="IL265">
        <v>0</v>
      </c>
      <c r="IM265">
        <v>0</v>
      </c>
      <c r="IN265">
        <v>55783320.852454796</v>
      </c>
      <c r="IO265">
        <v>409709633.60012299</v>
      </c>
      <c r="IP265">
        <v>465492954.45257699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</row>
    <row r="266" spans="2:268" customFormat="1" x14ac:dyDescent="0.25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3"/>
      <c r="N266" s="3"/>
      <c r="O266" s="3"/>
      <c r="P266" s="2"/>
      <c r="Q266" s="2"/>
      <c r="R266" s="2"/>
      <c r="S266" s="2"/>
      <c r="T266" s="2"/>
      <c r="U266" s="2"/>
      <c r="V266" s="3"/>
      <c r="W266" s="3"/>
      <c r="X266" s="3"/>
      <c r="Y266" s="3"/>
      <c r="Z266" s="3"/>
      <c r="AA266" s="3"/>
      <c r="AB266" s="3"/>
      <c r="AC266" s="2"/>
      <c r="AD266" s="2"/>
      <c r="AE266" s="2"/>
      <c r="AF266" s="2"/>
      <c r="AG266" s="2"/>
      <c r="AH266" s="2"/>
      <c r="AI266" s="2"/>
      <c r="AJ266" s="3"/>
      <c r="AK266" s="2"/>
      <c r="AL266" s="2"/>
      <c r="AM266" s="2"/>
      <c r="AN266" s="2"/>
      <c r="AO266" s="3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3"/>
      <c r="BC266" s="3"/>
      <c r="BD266" s="3"/>
      <c r="BE266" s="3"/>
      <c r="BF266" s="3"/>
      <c r="BG266" s="3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2"/>
      <c r="DI266" s="2"/>
      <c r="DJ266" s="3"/>
      <c r="DK266" s="3"/>
      <c r="DL266" s="2"/>
      <c r="DM266" s="2"/>
      <c r="DN266" s="2"/>
      <c r="DO266" s="3"/>
      <c r="DP266" s="3"/>
      <c r="GO266" t="s">
        <v>144</v>
      </c>
      <c r="GP266" t="s">
        <v>135</v>
      </c>
      <c r="GQ266" t="s">
        <v>502</v>
      </c>
      <c r="GR266">
        <v>46</v>
      </c>
      <c r="GS266">
        <v>45</v>
      </c>
      <c r="GT266">
        <v>1</v>
      </c>
      <c r="GU266" t="s">
        <v>457</v>
      </c>
      <c r="GV266">
        <v>55783320.852454796</v>
      </c>
      <c r="GW266">
        <v>409709633.60012299</v>
      </c>
      <c r="GX266">
        <v>465492954.45257699</v>
      </c>
      <c r="GY266">
        <v>0</v>
      </c>
      <c r="GZ266">
        <v>465492954.45257699</v>
      </c>
      <c r="HA266">
        <v>465492954.45257699</v>
      </c>
      <c r="HB266">
        <v>303000000</v>
      </c>
      <c r="HC266">
        <v>0</v>
      </c>
      <c r="HD266" t="s">
        <v>137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0.05</v>
      </c>
      <c r="HX266">
        <v>0.97798234361883296</v>
      </c>
      <c r="HY266">
        <v>1</v>
      </c>
      <c r="HZ266">
        <v>300000</v>
      </c>
      <c r="IA266">
        <v>0</v>
      </c>
      <c r="IB266">
        <v>0</v>
      </c>
      <c r="IC266">
        <v>0</v>
      </c>
      <c r="ID266">
        <v>272700</v>
      </c>
      <c r="IE266">
        <v>572700</v>
      </c>
      <c r="IF266">
        <v>560090.488190506</v>
      </c>
      <c r="IG266">
        <v>560090.488190506</v>
      </c>
      <c r="IH266">
        <v>0</v>
      </c>
      <c r="II266">
        <v>2761161.5182132199</v>
      </c>
      <c r="IJ266">
        <v>20485481.680006102</v>
      </c>
      <c r="IK266">
        <v>0</v>
      </c>
      <c r="IL266">
        <v>0</v>
      </c>
      <c r="IM266">
        <v>0</v>
      </c>
      <c r="IN266">
        <v>57984391.8824775</v>
      </c>
      <c r="IO266">
        <v>430195115.28012902</v>
      </c>
      <c r="IP266">
        <v>488179507.162606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</row>
    <row r="267" spans="2:268" customFormat="1" x14ac:dyDescent="0.25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3"/>
      <c r="N267" s="3"/>
      <c r="O267" s="3"/>
      <c r="P267" s="2"/>
      <c r="Q267" s="2"/>
      <c r="R267" s="2"/>
      <c r="S267" s="2"/>
      <c r="T267" s="2"/>
      <c r="U267" s="2"/>
      <c r="V267" s="3"/>
      <c r="W267" s="3"/>
      <c r="X267" s="3"/>
      <c r="Y267" s="3"/>
      <c r="Z267" s="3"/>
      <c r="AA267" s="3"/>
      <c r="AB267" s="3"/>
      <c r="AC267" s="2"/>
      <c r="AD267" s="2"/>
      <c r="AE267" s="2"/>
      <c r="AF267" s="2"/>
      <c r="AG267" s="2"/>
      <c r="AH267" s="2"/>
      <c r="AI267" s="2"/>
      <c r="AJ267" s="3"/>
      <c r="AK267" s="2"/>
      <c r="AL267" s="2"/>
      <c r="AM267" s="2"/>
      <c r="AN267" s="2"/>
      <c r="AO267" s="3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3"/>
      <c r="BC267" s="3"/>
      <c r="BD267" s="3"/>
      <c r="BE267" s="3"/>
      <c r="BF267" s="3"/>
      <c r="BG267" s="3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2"/>
      <c r="DI267" s="2"/>
      <c r="DJ267" s="3"/>
      <c r="DK267" s="3"/>
      <c r="DL267" s="2"/>
      <c r="DM267" s="2"/>
      <c r="DN267" s="2"/>
      <c r="DO267" s="3"/>
      <c r="DP267" s="3"/>
      <c r="GO267" t="s">
        <v>144</v>
      </c>
      <c r="GP267" t="s">
        <v>135</v>
      </c>
      <c r="GQ267" t="s">
        <v>502</v>
      </c>
      <c r="GR267">
        <v>47</v>
      </c>
      <c r="GS267">
        <v>46</v>
      </c>
      <c r="GT267">
        <v>1</v>
      </c>
      <c r="GU267" t="s">
        <v>457</v>
      </c>
      <c r="GV267">
        <v>57984391.8824775</v>
      </c>
      <c r="GW267">
        <v>430195115.28012902</v>
      </c>
      <c r="GX267">
        <v>488179507.162606</v>
      </c>
      <c r="GY267">
        <v>0</v>
      </c>
      <c r="GZ267">
        <v>488179507.162606</v>
      </c>
      <c r="HA267">
        <v>488179507.162606</v>
      </c>
      <c r="HB267">
        <v>303000000</v>
      </c>
      <c r="HC267">
        <v>0</v>
      </c>
      <c r="HD267" t="s">
        <v>137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0.05</v>
      </c>
      <c r="HX267">
        <v>0.97798234361883296</v>
      </c>
      <c r="HY267">
        <v>1</v>
      </c>
      <c r="HZ267">
        <v>300000</v>
      </c>
      <c r="IA267">
        <v>0</v>
      </c>
      <c r="IB267">
        <v>0</v>
      </c>
      <c r="IC267">
        <v>0</v>
      </c>
      <c r="ID267">
        <v>272700</v>
      </c>
      <c r="IE267">
        <v>572700</v>
      </c>
      <c r="IF267">
        <v>560090.488190506</v>
      </c>
      <c r="IG267">
        <v>560090.488190506</v>
      </c>
      <c r="IH267">
        <v>0</v>
      </c>
      <c r="II267">
        <v>2871215.0697143502</v>
      </c>
      <c r="IJ267">
        <v>21509755.764006399</v>
      </c>
      <c r="IK267">
        <v>0</v>
      </c>
      <c r="IL267">
        <v>0</v>
      </c>
      <c r="IM267">
        <v>0</v>
      </c>
      <c r="IN267">
        <v>60295516.464001402</v>
      </c>
      <c r="IO267">
        <v>451704871.04413497</v>
      </c>
      <c r="IP267">
        <v>512000387.50813699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</row>
    <row r="268" spans="2:268" customFormat="1" x14ac:dyDescent="0.25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3"/>
      <c r="N268" s="3"/>
      <c r="O268" s="3"/>
      <c r="P268" s="2"/>
      <c r="Q268" s="2"/>
      <c r="R268" s="2"/>
      <c r="S268" s="2"/>
      <c r="T268" s="2"/>
      <c r="U268" s="2"/>
      <c r="V268" s="3"/>
      <c r="W268" s="3"/>
      <c r="X268" s="3"/>
      <c r="Y268" s="3"/>
      <c r="Z268" s="3"/>
      <c r="AA268" s="3"/>
      <c r="AB268" s="3"/>
      <c r="AC268" s="2"/>
      <c r="AD268" s="2"/>
      <c r="AE268" s="2"/>
      <c r="AF268" s="2"/>
      <c r="AG268" s="2"/>
      <c r="AH268" s="2"/>
      <c r="AI268" s="2"/>
      <c r="AJ268" s="3"/>
      <c r="AK268" s="2"/>
      <c r="AL268" s="2"/>
      <c r="AM268" s="2"/>
      <c r="AN268" s="2"/>
      <c r="AO268" s="3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3"/>
      <c r="BC268" s="3"/>
      <c r="BD268" s="3"/>
      <c r="BE268" s="3"/>
      <c r="BF268" s="3"/>
      <c r="BG268" s="3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2"/>
      <c r="DI268" s="2"/>
      <c r="DJ268" s="3"/>
      <c r="DK268" s="3"/>
      <c r="DL268" s="2"/>
      <c r="DM268" s="2"/>
      <c r="DN268" s="2"/>
      <c r="DO268" s="3"/>
      <c r="DP268" s="3"/>
      <c r="GO268" t="s">
        <v>144</v>
      </c>
      <c r="GP268" t="s">
        <v>135</v>
      </c>
      <c r="GQ268" t="s">
        <v>502</v>
      </c>
      <c r="GR268">
        <v>48</v>
      </c>
      <c r="GS268">
        <v>47</v>
      </c>
      <c r="GT268">
        <v>1</v>
      </c>
      <c r="GU268" t="s">
        <v>457</v>
      </c>
      <c r="GV268">
        <v>60295516.464001402</v>
      </c>
      <c r="GW268">
        <v>451704871.04413497</v>
      </c>
      <c r="GX268">
        <v>512000387.50813699</v>
      </c>
      <c r="GY268">
        <v>0</v>
      </c>
      <c r="GZ268">
        <v>512000387.50813699</v>
      </c>
      <c r="HA268">
        <v>512000387.50813699</v>
      </c>
      <c r="HB268">
        <v>303000000</v>
      </c>
      <c r="HC268">
        <v>0</v>
      </c>
      <c r="HD268" t="s">
        <v>137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0.05</v>
      </c>
      <c r="HX268">
        <v>0.97798234361883296</v>
      </c>
      <c r="HY268">
        <v>1</v>
      </c>
      <c r="HZ268">
        <v>300000</v>
      </c>
      <c r="IA268">
        <v>0</v>
      </c>
      <c r="IB268">
        <v>0</v>
      </c>
      <c r="IC268">
        <v>0</v>
      </c>
      <c r="ID268">
        <v>272700</v>
      </c>
      <c r="IE268">
        <v>572700</v>
      </c>
      <c r="IF268">
        <v>560090.488190506</v>
      </c>
      <c r="IG268">
        <v>560090.488190506</v>
      </c>
      <c r="IH268">
        <v>0</v>
      </c>
      <c r="II268">
        <v>2986771.2987905401</v>
      </c>
      <c r="IJ268">
        <v>22585243.552206799</v>
      </c>
      <c r="IK268">
        <v>0</v>
      </c>
      <c r="IL268">
        <v>0</v>
      </c>
      <c r="IM268">
        <v>0</v>
      </c>
      <c r="IN268">
        <v>62722197.2746014</v>
      </c>
      <c r="IO268">
        <v>474290114.59634203</v>
      </c>
      <c r="IP268">
        <v>537012311.87094295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</row>
    <row r="269" spans="2:268" customFormat="1" x14ac:dyDescent="0.25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3"/>
      <c r="N269" s="3"/>
      <c r="O269" s="3"/>
      <c r="P269" s="2"/>
      <c r="Q269" s="2"/>
      <c r="R269" s="2"/>
      <c r="S269" s="2"/>
      <c r="T269" s="2"/>
      <c r="U269" s="2"/>
      <c r="V269" s="3"/>
      <c r="W269" s="3"/>
      <c r="X269" s="3"/>
      <c r="Y269" s="3"/>
      <c r="Z269" s="3"/>
      <c r="AA269" s="3"/>
      <c r="AB269" s="3"/>
      <c r="AC269" s="2"/>
      <c r="AD269" s="2"/>
      <c r="AE269" s="2"/>
      <c r="AF269" s="2"/>
      <c r="AG269" s="2"/>
      <c r="AH269" s="2"/>
      <c r="AI269" s="2"/>
      <c r="AJ269" s="3"/>
      <c r="AK269" s="2"/>
      <c r="AL269" s="2"/>
      <c r="AM269" s="2"/>
      <c r="AN269" s="2"/>
      <c r="AO269" s="3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3"/>
      <c r="BC269" s="3"/>
      <c r="BD269" s="3"/>
      <c r="BE269" s="3"/>
      <c r="BF269" s="3"/>
      <c r="BG269" s="3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2"/>
      <c r="DI269" s="2"/>
      <c r="DJ269" s="3"/>
      <c r="DK269" s="3"/>
      <c r="DL269" s="2"/>
      <c r="DM269" s="2"/>
      <c r="DN269" s="2"/>
      <c r="DO269" s="3"/>
      <c r="DP269" s="3"/>
      <c r="GO269" t="s">
        <v>144</v>
      </c>
      <c r="GP269" t="s">
        <v>135</v>
      </c>
      <c r="GQ269" t="s">
        <v>502</v>
      </c>
      <c r="GR269">
        <v>49</v>
      </c>
      <c r="GS269">
        <v>48</v>
      </c>
      <c r="GT269">
        <v>1</v>
      </c>
      <c r="GU269" t="s">
        <v>457</v>
      </c>
      <c r="GV269">
        <v>62722197.2746014</v>
      </c>
      <c r="GW269">
        <v>474290114.59634203</v>
      </c>
      <c r="GX269">
        <v>537012311.87094295</v>
      </c>
      <c r="GY269">
        <v>0</v>
      </c>
      <c r="GZ269">
        <v>537012311.87094295</v>
      </c>
      <c r="HA269">
        <v>537012311.87094295</v>
      </c>
      <c r="HB269">
        <v>303000000</v>
      </c>
      <c r="HC269">
        <v>0</v>
      </c>
      <c r="HD269" t="s">
        <v>137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0.05</v>
      </c>
      <c r="HX269">
        <v>0.97798234361883296</v>
      </c>
      <c r="HY269">
        <v>1</v>
      </c>
      <c r="HZ269">
        <v>300000</v>
      </c>
      <c r="IA269">
        <v>0</v>
      </c>
      <c r="IB269">
        <v>0</v>
      </c>
      <c r="IC269">
        <v>0</v>
      </c>
      <c r="ID269">
        <v>272700</v>
      </c>
      <c r="IE269">
        <v>572700</v>
      </c>
      <c r="IF269">
        <v>560090.488190506</v>
      </c>
      <c r="IG269">
        <v>560090.488190506</v>
      </c>
      <c r="IH269">
        <v>0</v>
      </c>
      <c r="II269">
        <v>3108105.3393205502</v>
      </c>
      <c r="IJ269">
        <v>23714505.7298171</v>
      </c>
      <c r="IK269">
        <v>0</v>
      </c>
      <c r="IL269">
        <v>0</v>
      </c>
      <c r="IM269">
        <v>0</v>
      </c>
      <c r="IN269">
        <v>65270212.125731498</v>
      </c>
      <c r="IO269">
        <v>498004620.326159</v>
      </c>
      <c r="IP269">
        <v>563274832.45188999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</row>
    <row r="270" spans="2:268" customFormat="1" x14ac:dyDescent="0.25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3"/>
      <c r="N270" s="3"/>
      <c r="O270" s="3"/>
      <c r="P270" s="2"/>
      <c r="Q270" s="2"/>
      <c r="R270" s="2"/>
      <c r="S270" s="2"/>
      <c r="T270" s="2"/>
      <c r="U270" s="2"/>
      <c r="V270" s="3"/>
      <c r="W270" s="3"/>
      <c r="X270" s="3"/>
      <c r="Y270" s="3"/>
      <c r="Z270" s="3"/>
      <c r="AA270" s="3"/>
      <c r="AB270" s="3"/>
      <c r="AC270" s="2"/>
      <c r="AD270" s="2"/>
      <c r="AE270" s="2"/>
      <c r="AF270" s="2"/>
      <c r="AG270" s="2"/>
      <c r="AH270" s="2"/>
      <c r="AI270" s="2"/>
      <c r="AJ270" s="3"/>
      <c r="AK270" s="2"/>
      <c r="AL270" s="2"/>
      <c r="AM270" s="2"/>
      <c r="AN270" s="2"/>
      <c r="AO270" s="3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3"/>
      <c r="BC270" s="3"/>
      <c r="BD270" s="3"/>
      <c r="BE270" s="3"/>
      <c r="BF270" s="3"/>
      <c r="BG270" s="3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2"/>
      <c r="DI270" s="2"/>
      <c r="DJ270" s="3"/>
      <c r="DK270" s="3"/>
      <c r="DL270" s="2"/>
      <c r="DM270" s="2"/>
      <c r="DN270" s="2"/>
      <c r="DO270" s="3"/>
      <c r="DP270" s="3"/>
      <c r="GO270" t="s">
        <v>144</v>
      </c>
      <c r="GP270" t="s">
        <v>135</v>
      </c>
      <c r="GQ270" t="s">
        <v>502</v>
      </c>
      <c r="GR270">
        <v>50</v>
      </c>
      <c r="GS270">
        <v>49</v>
      </c>
      <c r="GT270">
        <v>1</v>
      </c>
      <c r="GU270" t="s">
        <v>457</v>
      </c>
      <c r="GV270">
        <v>65270212.125731498</v>
      </c>
      <c r="GW270">
        <v>498004620.326159</v>
      </c>
      <c r="GX270">
        <v>563274832.45188999</v>
      </c>
      <c r="GY270">
        <v>0</v>
      </c>
      <c r="GZ270">
        <v>563274832.45188999</v>
      </c>
      <c r="HA270">
        <v>563274832.45188999</v>
      </c>
      <c r="HB270">
        <v>303000000</v>
      </c>
      <c r="HC270">
        <v>0</v>
      </c>
      <c r="HD270" t="s">
        <v>137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0.05</v>
      </c>
      <c r="HX270">
        <v>0.97798234361883296</v>
      </c>
      <c r="HY270">
        <v>1</v>
      </c>
      <c r="HZ270">
        <v>300000</v>
      </c>
      <c r="IA270">
        <v>0</v>
      </c>
      <c r="IB270">
        <v>0</v>
      </c>
      <c r="IC270">
        <v>0</v>
      </c>
      <c r="ID270">
        <v>272700</v>
      </c>
      <c r="IE270">
        <v>572700</v>
      </c>
      <c r="IF270">
        <v>560090.488190506</v>
      </c>
      <c r="IG270">
        <v>560090.488190506</v>
      </c>
      <c r="IH270">
        <v>0</v>
      </c>
      <c r="II270">
        <v>3235506.08187705</v>
      </c>
      <c r="IJ270">
        <v>24900231.016307998</v>
      </c>
      <c r="IK270">
        <v>0</v>
      </c>
      <c r="IL270">
        <v>0</v>
      </c>
      <c r="IM270">
        <v>0</v>
      </c>
      <c r="IN270">
        <v>67945627.719418004</v>
      </c>
      <c r="IO270">
        <v>522904851.34246701</v>
      </c>
      <c r="IP270">
        <v>590850479.061885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</row>
    <row r="271" spans="2:268" customFormat="1" x14ac:dyDescent="0.25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3"/>
      <c r="N271" s="3"/>
      <c r="O271" s="3"/>
      <c r="P271" s="2"/>
      <c r="Q271" s="2"/>
      <c r="R271" s="2"/>
      <c r="S271" s="2"/>
      <c r="T271" s="2"/>
      <c r="U271" s="2"/>
      <c r="V271" s="3"/>
      <c r="W271" s="3"/>
      <c r="X271" s="3"/>
      <c r="Y271" s="3"/>
      <c r="Z271" s="3"/>
      <c r="AA271" s="3"/>
      <c r="AB271" s="3"/>
      <c r="AC271" s="2"/>
      <c r="AD271" s="2"/>
      <c r="AE271" s="2"/>
      <c r="AF271" s="2"/>
      <c r="AG271" s="2"/>
      <c r="AH271" s="2"/>
      <c r="AI271" s="2"/>
      <c r="AJ271" s="3"/>
      <c r="AK271" s="2"/>
      <c r="AL271" s="2"/>
      <c r="AM271" s="2"/>
      <c r="AN271" s="2"/>
      <c r="AO271" s="3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3"/>
      <c r="BC271" s="3"/>
      <c r="BD271" s="3"/>
      <c r="BE271" s="3"/>
      <c r="BF271" s="3"/>
      <c r="BG271" s="3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2"/>
      <c r="DI271" s="2"/>
      <c r="DJ271" s="3"/>
      <c r="DK271" s="3"/>
      <c r="DL271" s="2"/>
      <c r="DM271" s="2"/>
      <c r="DN271" s="2"/>
      <c r="DO271" s="3"/>
      <c r="DP271" s="3"/>
      <c r="GO271" t="s">
        <v>144</v>
      </c>
      <c r="GP271" t="s">
        <v>135</v>
      </c>
      <c r="GQ271" t="s">
        <v>502</v>
      </c>
      <c r="GR271">
        <v>51</v>
      </c>
      <c r="GS271">
        <v>50</v>
      </c>
      <c r="GT271">
        <v>1</v>
      </c>
      <c r="GU271" t="s">
        <v>457</v>
      </c>
      <c r="GV271">
        <v>67945627.719418004</v>
      </c>
      <c r="GW271">
        <v>522904851.34246701</v>
      </c>
      <c r="GX271">
        <v>590850479.061885</v>
      </c>
      <c r="GY271">
        <v>0</v>
      </c>
      <c r="GZ271">
        <v>590850479.061885</v>
      </c>
      <c r="HA271">
        <v>590850479.061885</v>
      </c>
      <c r="HB271">
        <v>303000000</v>
      </c>
      <c r="HC271">
        <v>0</v>
      </c>
      <c r="HD271" t="s">
        <v>137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0.05</v>
      </c>
      <c r="HX271">
        <v>0.97798234361883296</v>
      </c>
      <c r="HY271">
        <v>1</v>
      </c>
      <c r="HZ271">
        <v>300000</v>
      </c>
      <c r="IA271">
        <v>0</v>
      </c>
      <c r="IB271">
        <v>0</v>
      </c>
      <c r="IC271">
        <v>0</v>
      </c>
      <c r="ID271">
        <v>272700</v>
      </c>
      <c r="IE271">
        <v>572700</v>
      </c>
      <c r="IF271">
        <v>560090.488190506</v>
      </c>
      <c r="IG271">
        <v>560090.488190506</v>
      </c>
      <c r="IH271">
        <v>0</v>
      </c>
      <c r="II271">
        <v>3369276.8615613799</v>
      </c>
      <c r="IJ271">
        <v>26145242.567123301</v>
      </c>
      <c r="IK271">
        <v>0</v>
      </c>
      <c r="IL271">
        <v>0</v>
      </c>
      <c r="IM271">
        <v>0</v>
      </c>
      <c r="IN271">
        <v>70754814.092788905</v>
      </c>
      <c r="IO271">
        <v>549050093.90959001</v>
      </c>
      <c r="IP271">
        <v>619804908.00237894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</row>
    <row r="272" spans="2:268" customFormat="1" x14ac:dyDescent="0.25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3"/>
      <c r="N272" s="3"/>
      <c r="O272" s="3"/>
      <c r="P272" s="2"/>
      <c r="Q272" s="2"/>
      <c r="R272" s="2"/>
      <c r="S272" s="2"/>
      <c r="T272" s="2"/>
      <c r="U272" s="2"/>
      <c r="V272" s="3"/>
      <c r="W272" s="3"/>
      <c r="X272" s="3"/>
      <c r="Y272" s="3"/>
      <c r="Z272" s="3"/>
      <c r="AA272" s="3"/>
      <c r="AB272" s="3"/>
      <c r="AC272" s="2"/>
      <c r="AD272" s="2"/>
      <c r="AE272" s="2"/>
      <c r="AF272" s="2"/>
      <c r="AG272" s="2"/>
      <c r="AH272" s="2"/>
      <c r="AI272" s="2"/>
      <c r="AJ272" s="3"/>
      <c r="AK272" s="2"/>
      <c r="AL272" s="2"/>
      <c r="AM272" s="2"/>
      <c r="AN272" s="2"/>
      <c r="AO272" s="3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3"/>
      <c r="BC272" s="3"/>
      <c r="BD272" s="3"/>
      <c r="BE272" s="3"/>
      <c r="BF272" s="3"/>
      <c r="BG272" s="3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2"/>
      <c r="DI272" s="2"/>
      <c r="DJ272" s="3"/>
      <c r="DK272" s="3"/>
      <c r="DL272" s="2"/>
      <c r="DM272" s="2"/>
      <c r="DN272" s="2"/>
      <c r="DO272" s="3"/>
      <c r="DP272" s="3"/>
      <c r="GO272" t="s">
        <v>144</v>
      </c>
      <c r="GP272" t="s">
        <v>135</v>
      </c>
      <c r="GQ272" t="s">
        <v>502</v>
      </c>
      <c r="GR272">
        <v>52</v>
      </c>
      <c r="GS272">
        <v>51</v>
      </c>
      <c r="GT272">
        <v>1</v>
      </c>
      <c r="GU272" t="s">
        <v>457</v>
      </c>
      <c r="GV272">
        <v>70754814.092788905</v>
      </c>
      <c r="GW272">
        <v>549050093.90959001</v>
      </c>
      <c r="GX272">
        <v>619804908.00237894</v>
      </c>
      <c r="GY272">
        <v>0</v>
      </c>
      <c r="GZ272">
        <v>619804908.00237894</v>
      </c>
      <c r="HA272">
        <v>619804908.00237894</v>
      </c>
      <c r="HB272">
        <v>303000000</v>
      </c>
      <c r="HC272">
        <v>0</v>
      </c>
      <c r="HD272" t="s">
        <v>137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0.05</v>
      </c>
      <c r="HX272">
        <v>0.97798234361883296</v>
      </c>
      <c r="HY272">
        <v>1</v>
      </c>
      <c r="HZ272">
        <v>300000</v>
      </c>
      <c r="IA272">
        <v>0</v>
      </c>
      <c r="IB272">
        <v>0</v>
      </c>
      <c r="IC272">
        <v>0</v>
      </c>
      <c r="ID272">
        <v>272700</v>
      </c>
      <c r="IE272">
        <v>572700</v>
      </c>
      <c r="IF272">
        <v>560090.488190506</v>
      </c>
      <c r="IG272">
        <v>560090.488190506</v>
      </c>
      <c r="IH272">
        <v>0</v>
      </c>
      <c r="II272">
        <v>3509736.18022992</v>
      </c>
      <c r="IJ272">
        <v>27452504.695479501</v>
      </c>
      <c r="IK272">
        <v>0</v>
      </c>
      <c r="IL272">
        <v>0</v>
      </c>
      <c r="IM272">
        <v>0</v>
      </c>
      <c r="IN272">
        <v>73704459.784828305</v>
      </c>
      <c r="IO272">
        <v>576502598.60506999</v>
      </c>
      <c r="IP272">
        <v>650207058.38989794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</row>
    <row r="273" spans="2:268" customFormat="1" x14ac:dyDescent="0.25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  <c r="N273" s="3"/>
      <c r="O273" s="3"/>
      <c r="P273" s="2"/>
      <c r="Q273" s="2"/>
      <c r="R273" s="2"/>
      <c r="S273" s="2"/>
      <c r="T273" s="2"/>
      <c r="U273" s="2"/>
      <c r="V273" s="3"/>
      <c r="W273" s="3"/>
      <c r="X273" s="3"/>
      <c r="Y273" s="3"/>
      <c r="Z273" s="3"/>
      <c r="AA273" s="3"/>
      <c r="AB273" s="3"/>
      <c r="AC273" s="2"/>
      <c r="AD273" s="2"/>
      <c r="AE273" s="2"/>
      <c r="AF273" s="2"/>
      <c r="AG273" s="2"/>
      <c r="AH273" s="2"/>
      <c r="AI273" s="2"/>
      <c r="AJ273" s="3"/>
      <c r="AK273" s="2"/>
      <c r="AL273" s="2"/>
      <c r="AM273" s="2"/>
      <c r="AN273" s="2"/>
      <c r="AO273" s="3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3"/>
      <c r="BC273" s="3"/>
      <c r="BD273" s="3"/>
      <c r="BE273" s="3"/>
      <c r="BF273" s="3"/>
      <c r="BG273" s="3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2"/>
      <c r="DI273" s="2"/>
      <c r="DJ273" s="3"/>
      <c r="DK273" s="3"/>
      <c r="DL273" s="2"/>
      <c r="DM273" s="2"/>
      <c r="DN273" s="2"/>
      <c r="DO273" s="3"/>
      <c r="DP273" s="3"/>
      <c r="GO273" t="s">
        <v>144</v>
      </c>
      <c r="GP273" t="s">
        <v>135</v>
      </c>
      <c r="GQ273" t="s">
        <v>502</v>
      </c>
      <c r="GR273">
        <v>53</v>
      </c>
      <c r="GS273">
        <v>52</v>
      </c>
      <c r="GT273">
        <v>1</v>
      </c>
      <c r="GU273" t="s">
        <v>457</v>
      </c>
      <c r="GV273">
        <v>73704459.784828305</v>
      </c>
      <c r="GW273">
        <v>576502598.60506999</v>
      </c>
      <c r="GX273">
        <v>650207058.38989794</v>
      </c>
      <c r="GY273">
        <v>0</v>
      </c>
      <c r="GZ273">
        <v>650207058.38989794</v>
      </c>
      <c r="HA273">
        <v>650207058.38989794</v>
      </c>
      <c r="HB273">
        <v>303000000</v>
      </c>
      <c r="HC273">
        <v>0</v>
      </c>
      <c r="HD273" t="s">
        <v>137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0.05</v>
      </c>
      <c r="HX273">
        <v>0.97798234361883296</v>
      </c>
      <c r="HY273">
        <v>1</v>
      </c>
      <c r="HZ273">
        <v>300000</v>
      </c>
      <c r="IA273">
        <v>0</v>
      </c>
      <c r="IB273">
        <v>0</v>
      </c>
      <c r="IC273">
        <v>0</v>
      </c>
      <c r="ID273">
        <v>272700</v>
      </c>
      <c r="IE273">
        <v>572700</v>
      </c>
      <c r="IF273">
        <v>560090.488190506</v>
      </c>
      <c r="IG273">
        <v>560090.488190506</v>
      </c>
      <c r="IH273">
        <v>0</v>
      </c>
      <c r="II273">
        <v>3657218.4648318901</v>
      </c>
      <c r="IJ273">
        <v>28825129.930253498</v>
      </c>
      <c r="IK273">
        <v>0</v>
      </c>
      <c r="IL273">
        <v>0</v>
      </c>
      <c r="IM273">
        <v>0</v>
      </c>
      <c r="IN273">
        <v>76801587.761469707</v>
      </c>
      <c r="IO273">
        <v>605327728.53532302</v>
      </c>
      <c r="IP273">
        <v>682129316.29679298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</row>
    <row r="274" spans="2:268" customFormat="1" x14ac:dyDescent="0.25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3"/>
      <c r="N274" s="3"/>
      <c r="O274" s="3"/>
      <c r="P274" s="2"/>
      <c r="Q274" s="2"/>
      <c r="R274" s="2"/>
      <c r="S274" s="2"/>
      <c r="T274" s="2"/>
      <c r="U274" s="2"/>
      <c r="V274" s="3"/>
      <c r="W274" s="3"/>
      <c r="X274" s="3"/>
      <c r="Y274" s="3"/>
      <c r="Z274" s="3"/>
      <c r="AA274" s="3"/>
      <c r="AB274" s="3"/>
      <c r="AC274" s="2"/>
      <c r="AD274" s="2"/>
      <c r="AE274" s="2"/>
      <c r="AF274" s="2"/>
      <c r="AG274" s="2"/>
      <c r="AH274" s="2"/>
      <c r="AI274" s="2"/>
      <c r="AJ274" s="3"/>
      <c r="AK274" s="2"/>
      <c r="AL274" s="2"/>
      <c r="AM274" s="2"/>
      <c r="AN274" s="2"/>
      <c r="AO274" s="3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3"/>
      <c r="BC274" s="3"/>
      <c r="BD274" s="3"/>
      <c r="BE274" s="3"/>
      <c r="BF274" s="3"/>
      <c r="BG274" s="3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2"/>
      <c r="DI274" s="2"/>
      <c r="DJ274" s="3"/>
      <c r="DK274" s="3"/>
      <c r="DL274" s="2"/>
      <c r="DM274" s="2"/>
      <c r="DN274" s="2"/>
      <c r="DO274" s="3"/>
      <c r="DP274" s="3"/>
      <c r="GO274" t="s">
        <v>144</v>
      </c>
      <c r="GP274" t="s">
        <v>135</v>
      </c>
      <c r="GQ274" t="s">
        <v>502</v>
      </c>
      <c r="GR274">
        <v>54</v>
      </c>
      <c r="GS274">
        <v>53</v>
      </c>
      <c r="GT274">
        <v>1</v>
      </c>
      <c r="GU274" t="s">
        <v>457</v>
      </c>
      <c r="GV274">
        <v>76801587.761469707</v>
      </c>
      <c r="GW274">
        <v>605327728.53532302</v>
      </c>
      <c r="GX274">
        <v>682129316.29679298</v>
      </c>
      <c r="GY274">
        <v>0</v>
      </c>
      <c r="GZ274">
        <v>682129316.29679298</v>
      </c>
      <c r="HA274">
        <v>682129316.29679298</v>
      </c>
      <c r="HB274">
        <v>303000000</v>
      </c>
      <c r="HC274">
        <v>0</v>
      </c>
      <c r="HD274" t="s">
        <v>137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0.05</v>
      </c>
      <c r="HX274">
        <v>0.97798234361883296</v>
      </c>
      <c r="HY274">
        <v>1</v>
      </c>
      <c r="HZ274">
        <v>300000</v>
      </c>
      <c r="IA274">
        <v>0</v>
      </c>
      <c r="IB274">
        <v>0</v>
      </c>
      <c r="IC274">
        <v>0</v>
      </c>
      <c r="ID274">
        <v>272700</v>
      </c>
      <c r="IE274">
        <v>572700</v>
      </c>
      <c r="IF274">
        <v>560090.488190506</v>
      </c>
      <c r="IG274">
        <v>560090.488190506</v>
      </c>
      <c r="IH274">
        <v>0</v>
      </c>
      <c r="II274">
        <v>3812074.8636639598</v>
      </c>
      <c r="IJ274">
        <v>30266386.426766202</v>
      </c>
      <c r="IK274">
        <v>0</v>
      </c>
      <c r="IL274">
        <v>0</v>
      </c>
      <c r="IM274">
        <v>0</v>
      </c>
      <c r="IN274">
        <v>80053572.136943102</v>
      </c>
      <c r="IO274">
        <v>635594114.96208894</v>
      </c>
      <c r="IP274">
        <v>715647687.099033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</row>
    <row r="275" spans="2:268" customFormat="1" x14ac:dyDescent="0.25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3"/>
      <c r="N275" s="3"/>
      <c r="O275" s="3"/>
      <c r="P275" s="2"/>
      <c r="Q275" s="2"/>
      <c r="R275" s="2"/>
      <c r="S275" s="2"/>
      <c r="T275" s="2"/>
      <c r="U275" s="2"/>
      <c r="V275" s="3"/>
      <c r="W275" s="3"/>
      <c r="X275" s="3"/>
      <c r="Y275" s="3"/>
      <c r="Z275" s="3"/>
      <c r="AA275" s="3"/>
      <c r="AB275" s="3"/>
      <c r="AC275" s="2"/>
      <c r="AD275" s="2"/>
      <c r="AE275" s="2"/>
      <c r="AF275" s="2"/>
      <c r="AG275" s="2"/>
      <c r="AH275" s="2"/>
      <c r="AI275" s="2"/>
      <c r="AJ275" s="3"/>
      <c r="AK275" s="2"/>
      <c r="AL275" s="2"/>
      <c r="AM275" s="2"/>
      <c r="AN275" s="2"/>
      <c r="AO275" s="3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3"/>
      <c r="BC275" s="3"/>
      <c r="BD275" s="3"/>
      <c r="BE275" s="3"/>
      <c r="BF275" s="3"/>
      <c r="BG275" s="3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2"/>
      <c r="DI275" s="2"/>
      <c r="DJ275" s="3"/>
      <c r="DK275" s="3"/>
      <c r="DL275" s="2"/>
      <c r="DM275" s="2"/>
      <c r="DN275" s="2"/>
      <c r="DO275" s="3"/>
      <c r="DP275" s="3"/>
      <c r="GO275" t="s">
        <v>144</v>
      </c>
      <c r="GP275" t="s">
        <v>135</v>
      </c>
      <c r="GQ275" t="s">
        <v>502</v>
      </c>
      <c r="GR275">
        <v>55</v>
      </c>
      <c r="GS275">
        <v>54</v>
      </c>
      <c r="GT275">
        <v>1</v>
      </c>
      <c r="GU275" t="s">
        <v>457</v>
      </c>
      <c r="GV275">
        <v>80053572.136943102</v>
      </c>
      <c r="GW275">
        <v>635594114.96208894</v>
      </c>
      <c r="GX275">
        <v>715647687.099033</v>
      </c>
      <c r="GY275">
        <v>0</v>
      </c>
      <c r="GZ275">
        <v>715647687.099033</v>
      </c>
      <c r="HA275">
        <v>715647687.099033</v>
      </c>
      <c r="HB275">
        <v>303000000</v>
      </c>
      <c r="HC275">
        <v>0</v>
      </c>
      <c r="HD275" t="s">
        <v>137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0.05</v>
      </c>
      <c r="HX275">
        <v>0.97798234361883296</v>
      </c>
      <c r="HY275">
        <v>1</v>
      </c>
      <c r="HZ275">
        <v>300000</v>
      </c>
      <c r="IA275">
        <v>0</v>
      </c>
      <c r="IB275">
        <v>0</v>
      </c>
      <c r="IC275">
        <v>0</v>
      </c>
      <c r="ID275">
        <v>272700</v>
      </c>
      <c r="IE275">
        <v>572700</v>
      </c>
      <c r="IF275">
        <v>560090.488190506</v>
      </c>
      <c r="IG275">
        <v>560090.488190506</v>
      </c>
      <c r="IH275">
        <v>0</v>
      </c>
      <c r="II275">
        <v>3974674.0824376298</v>
      </c>
      <c r="IJ275">
        <v>31779705.748104502</v>
      </c>
      <c r="IK275">
        <v>0</v>
      </c>
      <c r="IL275">
        <v>0</v>
      </c>
      <c r="IM275">
        <v>0</v>
      </c>
      <c r="IN275">
        <v>83468155.731190294</v>
      </c>
      <c r="IO275">
        <v>667373820.71019399</v>
      </c>
      <c r="IP275">
        <v>750841976.44138396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</row>
    <row r="276" spans="2:268" customFormat="1" x14ac:dyDescent="0.25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3"/>
      <c r="N276" s="3"/>
      <c r="O276" s="3"/>
      <c r="P276" s="2"/>
      <c r="Q276" s="2"/>
      <c r="R276" s="2"/>
      <c r="S276" s="2"/>
      <c r="T276" s="2"/>
      <c r="U276" s="2"/>
      <c r="V276" s="3"/>
      <c r="W276" s="3"/>
      <c r="X276" s="3"/>
      <c r="Y276" s="3"/>
      <c r="Z276" s="3"/>
      <c r="AA276" s="3"/>
      <c r="AB276" s="3"/>
      <c r="AC276" s="2"/>
      <c r="AD276" s="2"/>
      <c r="AE276" s="2"/>
      <c r="AF276" s="2"/>
      <c r="AG276" s="2"/>
      <c r="AH276" s="2"/>
      <c r="AI276" s="2"/>
      <c r="AJ276" s="3"/>
      <c r="AK276" s="2"/>
      <c r="AL276" s="2"/>
      <c r="AM276" s="2"/>
      <c r="AN276" s="2"/>
      <c r="AO276" s="3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3"/>
      <c r="BC276" s="3"/>
      <c r="BD276" s="3"/>
      <c r="BE276" s="3"/>
      <c r="BF276" s="3"/>
      <c r="BG276" s="3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2"/>
      <c r="DI276" s="2"/>
      <c r="DJ276" s="3"/>
      <c r="DK276" s="3"/>
      <c r="DL276" s="2"/>
      <c r="DM276" s="2"/>
      <c r="DN276" s="2"/>
      <c r="DO276" s="3"/>
      <c r="DP276" s="3"/>
      <c r="GO276" t="s">
        <v>144</v>
      </c>
      <c r="GP276" t="s">
        <v>135</v>
      </c>
      <c r="GQ276" t="s">
        <v>502</v>
      </c>
      <c r="GR276">
        <v>56</v>
      </c>
      <c r="GS276">
        <v>55</v>
      </c>
      <c r="GT276">
        <v>1</v>
      </c>
      <c r="GU276" t="s">
        <v>457</v>
      </c>
      <c r="GV276">
        <v>83468155.731190294</v>
      </c>
      <c r="GW276">
        <v>667373820.71019399</v>
      </c>
      <c r="GX276">
        <v>750841976.44138396</v>
      </c>
      <c r="GY276">
        <v>0</v>
      </c>
      <c r="GZ276">
        <v>750841976.44138396</v>
      </c>
      <c r="HA276">
        <v>750841976.44138396</v>
      </c>
      <c r="HB276">
        <v>303000000</v>
      </c>
      <c r="HC276">
        <v>0</v>
      </c>
      <c r="HD276" t="s">
        <v>137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0.05</v>
      </c>
      <c r="HX276">
        <v>0.97798234361883296</v>
      </c>
      <c r="HY276">
        <v>1</v>
      </c>
      <c r="HZ276">
        <v>300000</v>
      </c>
      <c r="IA276">
        <v>0</v>
      </c>
      <c r="IB276">
        <v>0</v>
      </c>
      <c r="IC276">
        <v>0</v>
      </c>
      <c r="ID276">
        <v>272700</v>
      </c>
      <c r="IE276">
        <v>572700</v>
      </c>
      <c r="IF276">
        <v>560090.488190506</v>
      </c>
      <c r="IG276">
        <v>560090.488190506</v>
      </c>
      <c r="IH276">
        <v>0</v>
      </c>
      <c r="II276">
        <v>4145403.2621499901</v>
      </c>
      <c r="IJ276">
        <v>33368691.035509702</v>
      </c>
      <c r="IK276">
        <v>0</v>
      </c>
      <c r="IL276">
        <v>0</v>
      </c>
      <c r="IM276">
        <v>0</v>
      </c>
      <c r="IN276">
        <v>87053468.505149797</v>
      </c>
      <c r="IO276">
        <v>700742511.74570405</v>
      </c>
      <c r="IP276">
        <v>787795980.25085294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</row>
    <row r="277" spans="2:268" customFormat="1" x14ac:dyDescent="0.25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3"/>
      <c r="N277" s="3"/>
      <c r="O277" s="3"/>
      <c r="P277" s="2"/>
      <c r="Q277" s="2"/>
      <c r="R277" s="2"/>
      <c r="S277" s="2"/>
      <c r="T277" s="2"/>
      <c r="U277" s="2"/>
      <c r="V277" s="3"/>
      <c r="W277" s="3"/>
      <c r="X277" s="3"/>
      <c r="Y277" s="3"/>
      <c r="Z277" s="3"/>
      <c r="AA277" s="3"/>
      <c r="AB277" s="3"/>
      <c r="AC277" s="2"/>
      <c r="AD277" s="2"/>
      <c r="AE277" s="2"/>
      <c r="AF277" s="2"/>
      <c r="AG277" s="2"/>
      <c r="AH277" s="2"/>
      <c r="AI277" s="2"/>
      <c r="AJ277" s="3"/>
      <c r="AK277" s="2"/>
      <c r="AL277" s="2"/>
      <c r="AM277" s="2"/>
      <c r="AN277" s="2"/>
      <c r="AO277" s="3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3"/>
      <c r="BC277" s="3"/>
      <c r="BD277" s="3"/>
      <c r="BE277" s="3"/>
      <c r="BF277" s="3"/>
      <c r="BG277" s="3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2"/>
      <c r="DI277" s="2"/>
      <c r="DJ277" s="3"/>
      <c r="DK277" s="3"/>
      <c r="DL277" s="2"/>
      <c r="DM277" s="2"/>
      <c r="DN277" s="2"/>
      <c r="DO277" s="3"/>
      <c r="DP277" s="3"/>
      <c r="GO277" t="s">
        <v>144</v>
      </c>
      <c r="GP277" t="s">
        <v>135</v>
      </c>
      <c r="GQ277" t="s">
        <v>502</v>
      </c>
      <c r="GR277">
        <v>57</v>
      </c>
      <c r="GS277">
        <v>56</v>
      </c>
      <c r="GT277">
        <v>1</v>
      </c>
      <c r="GU277" t="s">
        <v>457</v>
      </c>
      <c r="GV277">
        <v>87053468.505149797</v>
      </c>
      <c r="GW277">
        <v>700742511.74570405</v>
      </c>
      <c r="GX277">
        <v>787795980.25085294</v>
      </c>
      <c r="GY277">
        <v>0</v>
      </c>
      <c r="GZ277">
        <v>787795980.25085294</v>
      </c>
      <c r="HA277">
        <v>787795980.25085294</v>
      </c>
      <c r="HB277">
        <v>303000000</v>
      </c>
      <c r="HC277">
        <v>0</v>
      </c>
      <c r="HD277" t="s">
        <v>137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0.05</v>
      </c>
      <c r="HX277">
        <v>0.97798234361883296</v>
      </c>
      <c r="HY277">
        <v>1</v>
      </c>
      <c r="HZ277">
        <v>300000</v>
      </c>
      <c r="IA277">
        <v>0</v>
      </c>
      <c r="IB277">
        <v>0</v>
      </c>
      <c r="IC277">
        <v>0</v>
      </c>
      <c r="ID277">
        <v>272700</v>
      </c>
      <c r="IE277">
        <v>572700</v>
      </c>
      <c r="IF277">
        <v>560090.488190506</v>
      </c>
      <c r="IG277">
        <v>560090.488190506</v>
      </c>
      <c r="IH277">
        <v>0</v>
      </c>
      <c r="II277">
        <v>4324668.9008479603</v>
      </c>
      <c r="IJ277">
        <v>35037125.587285198</v>
      </c>
      <c r="IK277">
        <v>0</v>
      </c>
      <c r="IL277">
        <v>0</v>
      </c>
      <c r="IM277">
        <v>0</v>
      </c>
      <c r="IN277">
        <v>90818046.917807207</v>
      </c>
      <c r="IO277">
        <v>735779637.33298898</v>
      </c>
      <c r="IP277">
        <v>826597684.25079596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</row>
    <row r="278" spans="2:268" customFormat="1" x14ac:dyDescent="0.25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3"/>
      <c r="N278" s="3"/>
      <c r="O278" s="3"/>
      <c r="P278" s="2"/>
      <c r="Q278" s="2"/>
      <c r="R278" s="2"/>
      <c r="S278" s="2"/>
      <c r="T278" s="2"/>
      <c r="U278" s="2"/>
      <c r="V278" s="3"/>
      <c r="W278" s="3"/>
      <c r="X278" s="3"/>
      <c r="Y278" s="3"/>
      <c r="Z278" s="3"/>
      <c r="AA278" s="3"/>
      <c r="AB278" s="3"/>
      <c r="AC278" s="2"/>
      <c r="AD278" s="2"/>
      <c r="AE278" s="2"/>
      <c r="AF278" s="2"/>
      <c r="AG278" s="2"/>
      <c r="AH278" s="2"/>
      <c r="AI278" s="2"/>
      <c r="AJ278" s="3"/>
      <c r="AK278" s="2"/>
      <c r="AL278" s="2"/>
      <c r="AM278" s="2"/>
      <c r="AN278" s="2"/>
      <c r="AO278" s="3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3"/>
      <c r="BC278" s="3"/>
      <c r="BD278" s="3"/>
      <c r="BE278" s="3"/>
      <c r="BF278" s="3"/>
      <c r="BG278" s="3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2"/>
      <c r="DI278" s="2"/>
      <c r="DJ278" s="3"/>
      <c r="DK278" s="3"/>
      <c r="DL278" s="2"/>
      <c r="DM278" s="2"/>
      <c r="DN278" s="2"/>
      <c r="DO278" s="3"/>
      <c r="DP278" s="3"/>
      <c r="GO278" t="s">
        <v>144</v>
      </c>
      <c r="GP278" t="s">
        <v>135</v>
      </c>
      <c r="GQ278" t="s">
        <v>502</v>
      </c>
      <c r="GR278">
        <v>58</v>
      </c>
      <c r="GS278">
        <v>57</v>
      </c>
      <c r="GT278">
        <v>1</v>
      </c>
      <c r="GU278" t="s">
        <v>457</v>
      </c>
      <c r="GV278">
        <v>90818046.917807207</v>
      </c>
      <c r="GW278">
        <v>735779637.33298898</v>
      </c>
      <c r="GX278">
        <v>826597684.25079596</v>
      </c>
      <c r="GY278">
        <v>0</v>
      </c>
      <c r="GZ278">
        <v>826597684.25079596</v>
      </c>
      <c r="HA278">
        <v>826597684.25079596</v>
      </c>
      <c r="HB278">
        <v>303000000</v>
      </c>
      <c r="HC278">
        <v>0</v>
      </c>
      <c r="HD278" t="s">
        <v>137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0.05</v>
      </c>
      <c r="HX278">
        <v>0.97798234361883296</v>
      </c>
      <c r="HY278">
        <v>1</v>
      </c>
      <c r="HZ278">
        <v>300000</v>
      </c>
      <c r="IA278">
        <v>0</v>
      </c>
      <c r="IB278">
        <v>0</v>
      </c>
      <c r="IC278">
        <v>0</v>
      </c>
      <c r="ID278">
        <v>272700</v>
      </c>
      <c r="IE278">
        <v>572700</v>
      </c>
      <c r="IF278">
        <v>560090.488190506</v>
      </c>
      <c r="IG278">
        <v>560090.488190506</v>
      </c>
      <c r="IH278">
        <v>0</v>
      </c>
      <c r="II278">
        <v>4512897.8214808404</v>
      </c>
      <c r="IJ278">
        <v>36788981.866649397</v>
      </c>
      <c r="IK278">
        <v>0</v>
      </c>
      <c r="IL278">
        <v>0</v>
      </c>
      <c r="IM278">
        <v>0</v>
      </c>
      <c r="IN278">
        <v>94770854.251097605</v>
      </c>
      <c r="IO278">
        <v>772568619.19963801</v>
      </c>
      <c r="IP278">
        <v>867339473.45073605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</row>
    <row r="279" spans="2:268" customFormat="1" x14ac:dyDescent="0.25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3"/>
      <c r="N279" s="3"/>
      <c r="O279" s="3"/>
      <c r="P279" s="2"/>
      <c r="Q279" s="2"/>
      <c r="R279" s="2"/>
      <c r="S279" s="2"/>
      <c r="T279" s="2"/>
      <c r="U279" s="2"/>
      <c r="V279" s="3"/>
      <c r="W279" s="3"/>
      <c r="X279" s="3"/>
      <c r="Y279" s="3"/>
      <c r="Z279" s="3"/>
      <c r="AA279" s="3"/>
      <c r="AB279" s="3"/>
      <c r="AC279" s="2"/>
      <c r="AD279" s="2"/>
      <c r="AE279" s="2"/>
      <c r="AF279" s="2"/>
      <c r="AG279" s="2"/>
      <c r="AH279" s="2"/>
      <c r="AI279" s="2"/>
      <c r="AJ279" s="3"/>
      <c r="AK279" s="2"/>
      <c r="AL279" s="2"/>
      <c r="AM279" s="2"/>
      <c r="AN279" s="2"/>
      <c r="AO279" s="3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3"/>
      <c r="BC279" s="3"/>
      <c r="BD279" s="3"/>
      <c r="BE279" s="3"/>
      <c r="BF279" s="3"/>
      <c r="BG279" s="3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2"/>
      <c r="DI279" s="2"/>
      <c r="DJ279" s="3"/>
      <c r="DK279" s="3"/>
      <c r="DL279" s="2"/>
      <c r="DM279" s="2"/>
      <c r="DN279" s="2"/>
      <c r="DO279" s="3"/>
      <c r="DP279" s="3"/>
      <c r="GO279" t="s">
        <v>144</v>
      </c>
      <c r="GP279" t="s">
        <v>135</v>
      </c>
      <c r="GQ279" t="s">
        <v>502</v>
      </c>
      <c r="GR279">
        <v>59</v>
      </c>
      <c r="GS279">
        <v>58</v>
      </c>
      <c r="GT279">
        <v>1</v>
      </c>
      <c r="GU279" t="s">
        <v>457</v>
      </c>
      <c r="GV279">
        <v>94770854.251097605</v>
      </c>
      <c r="GW279">
        <v>772568619.19963801</v>
      </c>
      <c r="GX279">
        <v>867339473.45073605</v>
      </c>
      <c r="GY279">
        <v>0</v>
      </c>
      <c r="GZ279">
        <v>867339473.45073605</v>
      </c>
      <c r="HA279">
        <v>867339473.45073605</v>
      </c>
      <c r="HB279">
        <v>303000000</v>
      </c>
      <c r="HC279">
        <v>0</v>
      </c>
      <c r="HD279" t="s">
        <v>137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0.05</v>
      </c>
      <c r="HX279">
        <v>0.97798234361883296</v>
      </c>
      <c r="HY279">
        <v>1</v>
      </c>
      <c r="HZ279">
        <v>300000</v>
      </c>
      <c r="IA279">
        <v>0</v>
      </c>
      <c r="IB279">
        <v>0</v>
      </c>
      <c r="IC279">
        <v>0</v>
      </c>
      <c r="ID279">
        <v>272700</v>
      </c>
      <c r="IE279">
        <v>572700</v>
      </c>
      <c r="IF279">
        <v>560090.488190506</v>
      </c>
      <c r="IG279">
        <v>560090.488190506</v>
      </c>
      <c r="IH279">
        <v>0</v>
      </c>
      <c r="II279">
        <v>4710538.1881453497</v>
      </c>
      <c r="IJ279">
        <v>38628430.959981903</v>
      </c>
      <c r="IK279">
        <v>0</v>
      </c>
      <c r="IL279">
        <v>0</v>
      </c>
      <c r="IM279">
        <v>0</v>
      </c>
      <c r="IN279">
        <v>98921301.951052397</v>
      </c>
      <c r="IO279">
        <v>811197050.15962005</v>
      </c>
      <c r="IP279">
        <v>910118352.110672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</row>
    <row r="280" spans="2:268" customFormat="1" x14ac:dyDescent="0.25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3"/>
      <c r="N280" s="3"/>
      <c r="O280" s="3"/>
      <c r="P280" s="2"/>
      <c r="Q280" s="2"/>
      <c r="R280" s="2"/>
      <c r="S280" s="2"/>
      <c r="T280" s="2"/>
      <c r="U280" s="2"/>
      <c r="V280" s="3"/>
      <c r="W280" s="3"/>
      <c r="X280" s="3"/>
      <c r="Y280" s="3"/>
      <c r="Z280" s="3"/>
      <c r="AA280" s="3"/>
      <c r="AB280" s="3"/>
      <c r="AC280" s="2"/>
      <c r="AD280" s="2"/>
      <c r="AE280" s="2"/>
      <c r="AF280" s="2"/>
      <c r="AG280" s="2"/>
      <c r="AH280" s="2"/>
      <c r="AI280" s="2"/>
      <c r="AJ280" s="3"/>
      <c r="AK280" s="2"/>
      <c r="AL280" s="2"/>
      <c r="AM280" s="2"/>
      <c r="AN280" s="2"/>
      <c r="AO280" s="3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3"/>
      <c r="BC280" s="3"/>
      <c r="BD280" s="3"/>
      <c r="BE280" s="3"/>
      <c r="BF280" s="3"/>
      <c r="BG280" s="3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2"/>
      <c r="DI280" s="2"/>
      <c r="DJ280" s="3"/>
      <c r="DK280" s="3"/>
      <c r="DL280" s="2"/>
      <c r="DM280" s="2"/>
      <c r="DN280" s="2"/>
      <c r="DO280" s="3"/>
      <c r="DP280" s="3"/>
      <c r="GO280" t="s">
        <v>144</v>
      </c>
      <c r="GP280" t="s">
        <v>135</v>
      </c>
      <c r="GQ280" t="s">
        <v>502</v>
      </c>
      <c r="GR280">
        <v>60</v>
      </c>
      <c r="GS280">
        <v>59</v>
      </c>
      <c r="GT280">
        <v>1</v>
      </c>
      <c r="GU280" t="s">
        <v>457</v>
      </c>
      <c r="GV280">
        <v>98921301.951052397</v>
      </c>
      <c r="GW280">
        <v>811197050.15962005</v>
      </c>
      <c r="GX280">
        <v>910118352.110672</v>
      </c>
      <c r="GY280">
        <v>0</v>
      </c>
      <c r="GZ280">
        <v>910118352.110672</v>
      </c>
      <c r="HA280">
        <v>910118352.110672</v>
      </c>
      <c r="HB280">
        <v>303000000</v>
      </c>
      <c r="HC280">
        <v>0</v>
      </c>
      <c r="HD280" t="s">
        <v>137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0.05</v>
      </c>
      <c r="HX280">
        <v>0.97798234361883296</v>
      </c>
      <c r="HY280">
        <v>1</v>
      </c>
      <c r="HZ280">
        <v>300000</v>
      </c>
      <c r="IA280">
        <v>0</v>
      </c>
      <c r="IB280">
        <v>0</v>
      </c>
      <c r="IC280">
        <v>0</v>
      </c>
      <c r="ID280">
        <v>272700</v>
      </c>
      <c r="IE280">
        <v>572700</v>
      </c>
      <c r="IF280">
        <v>560090.488190506</v>
      </c>
      <c r="IG280">
        <v>560090.488190506</v>
      </c>
      <c r="IH280">
        <v>0</v>
      </c>
      <c r="II280">
        <v>4918060.5731431004</v>
      </c>
      <c r="IJ280">
        <v>40559852.507981002</v>
      </c>
      <c r="IK280">
        <v>0</v>
      </c>
      <c r="IL280">
        <v>0</v>
      </c>
      <c r="IM280">
        <v>0</v>
      </c>
      <c r="IN280">
        <v>103279272.03600501</v>
      </c>
      <c r="IO280">
        <v>851756902.66760099</v>
      </c>
      <c r="IP280">
        <v>955036174.70360601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</row>
    <row r="281" spans="2:268" customFormat="1" x14ac:dyDescent="0.25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3"/>
      <c r="N281" s="3"/>
      <c r="O281" s="3"/>
      <c r="P281" s="2"/>
      <c r="Q281" s="2"/>
      <c r="R281" s="2"/>
      <c r="S281" s="2"/>
      <c r="T281" s="2"/>
      <c r="U281" s="2"/>
      <c r="V281" s="3"/>
      <c r="W281" s="3"/>
      <c r="X281" s="3"/>
      <c r="Y281" s="3"/>
      <c r="Z281" s="3"/>
      <c r="AA281" s="3"/>
      <c r="AB281" s="3"/>
      <c r="AC281" s="2"/>
      <c r="AD281" s="2"/>
      <c r="AE281" s="2"/>
      <c r="AF281" s="2"/>
      <c r="AG281" s="2"/>
      <c r="AH281" s="2"/>
      <c r="AI281" s="2"/>
      <c r="AJ281" s="3"/>
      <c r="AK281" s="2"/>
      <c r="AL281" s="2"/>
      <c r="AM281" s="2"/>
      <c r="AN281" s="2"/>
      <c r="AO281" s="3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3"/>
      <c r="BC281" s="3"/>
      <c r="BD281" s="3"/>
      <c r="BE281" s="3"/>
      <c r="BF281" s="3"/>
      <c r="BG281" s="3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2"/>
      <c r="DI281" s="2"/>
      <c r="DJ281" s="3"/>
      <c r="DK281" s="3"/>
      <c r="DL281" s="2"/>
      <c r="DM281" s="2"/>
      <c r="DN281" s="2"/>
      <c r="DO281" s="3"/>
      <c r="DP281" s="3"/>
      <c r="GO281" t="s">
        <v>144</v>
      </c>
      <c r="GP281" t="s">
        <v>135</v>
      </c>
      <c r="GQ281" t="s">
        <v>502</v>
      </c>
      <c r="GR281">
        <v>61</v>
      </c>
      <c r="GS281">
        <v>60</v>
      </c>
      <c r="GT281">
        <v>1</v>
      </c>
      <c r="GU281" t="s">
        <v>457</v>
      </c>
      <c r="GV281">
        <v>103279272.03600501</v>
      </c>
      <c r="GW281">
        <v>851756902.66760099</v>
      </c>
      <c r="GX281">
        <v>955036174.70360601</v>
      </c>
      <c r="GY281">
        <v>0</v>
      </c>
      <c r="GZ281">
        <v>955036174.70360601</v>
      </c>
      <c r="HA281">
        <v>955036174.70360601</v>
      </c>
      <c r="HB281">
        <v>303000000</v>
      </c>
      <c r="HC281">
        <v>0</v>
      </c>
      <c r="HD281" t="s">
        <v>137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0.05</v>
      </c>
      <c r="HX281">
        <v>0.97798234361883296</v>
      </c>
      <c r="HY281">
        <v>1</v>
      </c>
      <c r="HZ281">
        <v>300000</v>
      </c>
      <c r="IA281">
        <v>0</v>
      </c>
      <c r="IB281">
        <v>0</v>
      </c>
      <c r="IC281">
        <v>0</v>
      </c>
      <c r="ID281">
        <v>272700</v>
      </c>
      <c r="IE281">
        <v>572700</v>
      </c>
      <c r="IF281">
        <v>560090.488190506</v>
      </c>
      <c r="IG281">
        <v>560090.488190506</v>
      </c>
      <c r="IH281">
        <v>0</v>
      </c>
      <c r="II281">
        <v>5135959.0773907304</v>
      </c>
      <c r="IJ281">
        <v>42587845.1333801</v>
      </c>
      <c r="IK281">
        <v>0</v>
      </c>
      <c r="IL281">
        <v>0</v>
      </c>
      <c r="IM281">
        <v>0</v>
      </c>
      <c r="IN281">
        <v>107855140.625205</v>
      </c>
      <c r="IO281">
        <v>894344747.80098104</v>
      </c>
      <c r="IP281">
        <v>1002199888.42619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</row>
    <row r="282" spans="2:268" customFormat="1" x14ac:dyDescent="0.25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3"/>
      <c r="N282" s="3"/>
      <c r="O282" s="3"/>
      <c r="P282" s="2"/>
      <c r="Q282" s="2"/>
      <c r="R282" s="2"/>
      <c r="S282" s="2"/>
      <c r="T282" s="2"/>
      <c r="U282" s="2"/>
      <c r="V282" s="3"/>
      <c r="W282" s="3"/>
      <c r="X282" s="3"/>
      <c r="Y282" s="3"/>
      <c r="Z282" s="3"/>
      <c r="AA282" s="3"/>
      <c r="AB282" s="3"/>
      <c r="AC282" s="2"/>
      <c r="AD282" s="2"/>
      <c r="AE282" s="2"/>
      <c r="AF282" s="2"/>
      <c r="AG282" s="2"/>
      <c r="AH282" s="2"/>
      <c r="AI282" s="2"/>
      <c r="AJ282" s="3"/>
      <c r="AK282" s="2"/>
      <c r="AL282" s="2"/>
      <c r="AM282" s="2"/>
      <c r="AN282" s="2"/>
      <c r="AO282" s="3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3"/>
      <c r="BC282" s="3"/>
      <c r="BD282" s="3"/>
      <c r="BE282" s="3"/>
      <c r="BF282" s="3"/>
      <c r="BG282" s="3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2"/>
      <c r="DI282" s="2"/>
      <c r="DJ282" s="3"/>
      <c r="DK282" s="3"/>
      <c r="DL282" s="2"/>
      <c r="DM282" s="2"/>
      <c r="DN282" s="2"/>
      <c r="DO282" s="3"/>
      <c r="DP282" s="3"/>
      <c r="GO282" t="s">
        <v>144</v>
      </c>
      <c r="GP282" t="s">
        <v>135</v>
      </c>
      <c r="GQ282" t="s">
        <v>502</v>
      </c>
      <c r="GR282">
        <v>62</v>
      </c>
      <c r="GS282">
        <v>61</v>
      </c>
      <c r="GT282">
        <v>1</v>
      </c>
      <c r="GU282" t="s">
        <v>457</v>
      </c>
      <c r="GV282">
        <v>107855140.625205</v>
      </c>
      <c r="GW282">
        <v>894344747.80098104</v>
      </c>
      <c r="GX282">
        <v>1002199888.42619</v>
      </c>
      <c r="GY282">
        <v>0</v>
      </c>
      <c r="GZ282">
        <v>1002199888.42619</v>
      </c>
      <c r="HA282">
        <v>1002199888.42619</v>
      </c>
      <c r="HB282">
        <v>303000000</v>
      </c>
      <c r="HC282">
        <v>0</v>
      </c>
      <c r="HD282" t="s">
        <v>137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0.05</v>
      </c>
      <c r="HX282">
        <v>0.97798234361883296</v>
      </c>
      <c r="HY282">
        <v>1</v>
      </c>
      <c r="HZ282">
        <v>300000</v>
      </c>
      <c r="IA282">
        <v>0</v>
      </c>
      <c r="IB282">
        <v>0</v>
      </c>
      <c r="IC282">
        <v>0</v>
      </c>
      <c r="ID282">
        <v>272700</v>
      </c>
      <c r="IE282">
        <v>572700</v>
      </c>
      <c r="IF282">
        <v>560090.488190506</v>
      </c>
      <c r="IG282">
        <v>560090.488190506</v>
      </c>
      <c r="IH282">
        <v>0</v>
      </c>
      <c r="II282">
        <v>5364752.5068507399</v>
      </c>
      <c r="IJ282">
        <v>44717237.3900491</v>
      </c>
      <c r="IK282">
        <v>0</v>
      </c>
      <c r="IL282">
        <v>0</v>
      </c>
      <c r="IM282">
        <v>0</v>
      </c>
      <c r="IN282">
        <v>112659802.643865</v>
      </c>
      <c r="IO282">
        <v>939061985.19103003</v>
      </c>
      <c r="IP282">
        <v>1051721787.8349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</row>
    <row r="283" spans="2:268" customFormat="1" x14ac:dyDescent="0.25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3"/>
      <c r="N283" s="3"/>
      <c r="O283" s="3"/>
      <c r="P283" s="2"/>
      <c r="Q283" s="2"/>
      <c r="R283" s="2"/>
      <c r="S283" s="2"/>
      <c r="T283" s="2"/>
      <c r="U283" s="2"/>
      <c r="V283" s="3"/>
      <c r="W283" s="3"/>
      <c r="X283" s="3"/>
      <c r="Y283" s="3"/>
      <c r="Z283" s="3"/>
      <c r="AA283" s="3"/>
      <c r="AB283" s="3"/>
      <c r="AC283" s="2"/>
      <c r="AD283" s="2"/>
      <c r="AE283" s="2"/>
      <c r="AF283" s="2"/>
      <c r="AG283" s="2"/>
      <c r="AH283" s="2"/>
      <c r="AI283" s="2"/>
      <c r="AJ283" s="3"/>
      <c r="AK283" s="2"/>
      <c r="AL283" s="2"/>
      <c r="AM283" s="2"/>
      <c r="AN283" s="2"/>
      <c r="AO283" s="3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3"/>
      <c r="BC283" s="3"/>
      <c r="BD283" s="3"/>
      <c r="BE283" s="3"/>
      <c r="BF283" s="3"/>
      <c r="BG283" s="3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2"/>
      <c r="DI283" s="2"/>
      <c r="DJ283" s="3"/>
      <c r="DK283" s="3"/>
      <c r="DL283" s="2"/>
      <c r="DM283" s="2"/>
      <c r="DN283" s="2"/>
      <c r="DO283" s="3"/>
      <c r="DP283" s="3"/>
      <c r="GO283" t="s">
        <v>144</v>
      </c>
      <c r="GP283" t="s">
        <v>135</v>
      </c>
      <c r="GQ283" t="s">
        <v>502</v>
      </c>
      <c r="GR283">
        <v>63</v>
      </c>
      <c r="GS283">
        <v>62</v>
      </c>
      <c r="GT283">
        <v>1</v>
      </c>
      <c r="GU283" t="s">
        <v>457</v>
      </c>
      <c r="GV283">
        <v>112659802.643865</v>
      </c>
      <c r="GW283">
        <v>939061985.19103003</v>
      </c>
      <c r="GX283">
        <v>1051721787.8349</v>
      </c>
      <c r="GY283">
        <v>0</v>
      </c>
      <c r="GZ283">
        <v>1051721787.8349</v>
      </c>
      <c r="HA283">
        <v>1051721787.8349</v>
      </c>
      <c r="HB283">
        <v>303000000</v>
      </c>
      <c r="HC283">
        <v>0</v>
      </c>
      <c r="HD283" t="s">
        <v>137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0.05</v>
      </c>
      <c r="HX283">
        <v>0.97798234361883296</v>
      </c>
      <c r="HY283">
        <v>1</v>
      </c>
      <c r="HZ283">
        <v>300000</v>
      </c>
      <c r="IA283">
        <v>0</v>
      </c>
      <c r="IB283">
        <v>0</v>
      </c>
      <c r="IC283">
        <v>0</v>
      </c>
      <c r="ID283">
        <v>272700</v>
      </c>
      <c r="IE283">
        <v>572700</v>
      </c>
      <c r="IF283">
        <v>560090.488190506</v>
      </c>
      <c r="IG283">
        <v>560090.488190506</v>
      </c>
      <c r="IH283">
        <v>0</v>
      </c>
      <c r="II283">
        <v>5604985.6077837497</v>
      </c>
      <c r="IJ283">
        <v>46953099.259551503</v>
      </c>
      <c r="IK283">
        <v>0</v>
      </c>
      <c r="IL283">
        <v>0</v>
      </c>
      <c r="IM283">
        <v>0</v>
      </c>
      <c r="IN283">
        <v>117704697.763459</v>
      </c>
      <c r="IO283">
        <v>986015084.45058203</v>
      </c>
      <c r="IP283">
        <v>1103719782.21404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</row>
    <row r="284" spans="2:268" customFormat="1" x14ac:dyDescent="0.25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3"/>
      <c r="N284" s="3"/>
      <c r="O284" s="3"/>
      <c r="P284" s="2"/>
      <c r="Q284" s="2"/>
      <c r="R284" s="2"/>
      <c r="S284" s="2"/>
      <c r="T284" s="2"/>
      <c r="U284" s="2"/>
      <c r="V284" s="3"/>
      <c r="W284" s="3"/>
      <c r="X284" s="3"/>
      <c r="Y284" s="3"/>
      <c r="Z284" s="3"/>
      <c r="AA284" s="3"/>
      <c r="AB284" s="3"/>
      <c r="AC284" s="2"/>
      <c r="AD284" s="2"/>
      <c r="AE284" s="2"/>
      <c r="AF284" s="2"/>
      <c r="AG284" s="2"/>
      <c r="AH284" s="2"/>
      <c r="AI284" s="2"/>
      <c r="AJ284" s="3"/>
      <c r="AK284" s="2"/>
      <c r="AL284" s="2"/>
      <c r="AM284" s="2"/>
      <c r="AN284" s="2"/>
      <c r="AO284" s="3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3"/>
      <c r="BC284" s="3"/>
      <c r="BD284" s="3"/>
      <c r="BE284" s="3"/>
      <c r="BF284" s="3"/>
      <c r="BG284" s="3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2"/>
      <c r="DI284" s="2"/>
      <c r="DJ284" s="3"/>
      <c r="DK284" s="3"/>
      <c r="DL284" s="2"/>
      <c r="DM284" s="2"/>
      <c r="DN284" s="2"/>
      <c r="DO284" s="3"/>
      <c r="DP284" s="3"/>
      <c r="GO284" t="s">
        <v>144</v>
      </c>
      <c r="GP284" t="s">
        <v>135</v>
      </c>
      <c r="GQ284" t="s">
        <v>502</v>
      </c>
      <c r="GR284">
        <v>64</v>
      </c>
      <c r="GS284">
        <v>63</v>
      </c>
      <c r="GT284">
        <v>1</v>
      </c>
      <c r="GU284" t="s">
        <v>457</v>
      </c>
      <c r="GV284">
        <v>117704697.763459</v>
      </c>
      <c r="GW284">
        <v>986015084.45058203</v>
      </c>
      <c r="GX284">
        <v>1103719782.21404</v>
      </c>
      <c r="GY284">
        <v>0</v>
      </c>
      <c r="GZ284">
        <v>1103719782.21404</v>
      </c>
      <c r="HA284">
        <v>1103719782.21404</v>
      </c>
      <c r="HB284">
        <v>303000000</v>
      </c>
      <c r="HC284">
        <v>0</v>
      </c>
      <c r="HD284" t="s">
        <v>137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0.05</v>
      </c>
      <c r="HX284">
        <v>0.97798234361883296</v>
      </c>
      <c r="HY284">
        <v>1</v>
      </c>
      <c r="HZ284">
        <v>300000</v>
      </c>
      <c r="IA284">
        <v>0</v>
      </c>
      <c r="IB284">
        <v>0</v>
      </c>
      <c r="IC284">
        <v>0</v>
      </c>
      <c r="ID284">
        <v>272700</v>
      </c>
      <c r="IE284">
        <v>572700</v>
      </c>
      <c r="IF284">
        <v>560090.488190506</v>
      </c>
      <c r="IG284">
        <v>560090.488190506</v>
      </c>
      <c r="IH284">
        <v>0</v>
      </c>
      <c r="II284">
        <v>5857230.3637634097</v>
      </c>
      <c r="IJ284">
        <v>49300754.222529098</v>
      </c>
      <c r="IK284">
        <v>0</v>
      </c>
      <c r="IL284">
        <v>0</v>
      </c>
      <c r="IM284">
        <v>0</v>
      </c>
      <c r="IN284">
        <v>123001837.63903201</v>
      </c>
      <c r="IO284">
        <v>1035315838.67311</v>
      </c>
      <c r="IP284">
        <v>1158317676.31214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</row>
    <row r="285" spans="2:268" customFormat="1" x14ac:dyDescent="0.25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3"/>
      <c r="N285" s="3"/>
      <c r="O285" s="3"/>
      <c r="P285" s="2"/>
      <c r="Q285" s="2"/>
      <c r="R285" s="2"/>
      <c r="S285" s="2"/>
      <c r="T285" s="2"/>
      <c r="U285" s="2"/>
      <c r="V285" s="3"/>
      <c r="W285" s="3"/>
      <c r="X285" s="3"/>
      <c r="Y285" s="3"/>
      <c r="Z285" s="3"/>
      <c r="AA285" s="3"/>
      <c r="AB285" s="3"/>
      <c r="AC285" s="2"/>
      <c r="AD285" s="2"/>
      <c r="AE285" s="2"/>
      <c r="AF285" s="2"/>
      <c r="AG285" s="2"/>
      <c r="AH285" s="2"/>
      <c r="AI285" s="2"/>
      <c r="AJ285" s="3"/>
      <c r="AK285" s="2"/>
      <c r="AL285" s="2"/>
      <c r="AM285" s="2"/>
      <c r="AN285" s="2"/>
      <c r="AO285" s="3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3"/>
      <c r="BC285" s="3"/>
      <c r="BD285" s="3"/>
      <c r="BE285" s="3"/>
      <c r="BF285" s="3"/>
      <c r="BG285" s="3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2"/>
      <c r="DI285" s="2"/>
      <c r="DJ285" s="3"/>
      <c r="DK285" s="3"/>
      <c r="DL285" s="2"/>
      <c r="DM285" s="2"/>
      <c r="DN285" s="2"/>
      <c r="DO285" s="3"/>
      <c r="DP285" s="3"/>
      <c r="GO285" t="s">
        <v>144</v>
      </c>
      <c r="GP285" t="s">
        <v>135</v>
      </c>
      <c r="GQ285" t="s">
        <v>502</v>
      </c>
      <c r="GR285">
        <v>65</v>
      </c>
      <c r="GS285">
        <v>64</v>
      </c>
      <c r="GT285">
        <v>1</v>
      </c>
      <c r="GU285" t="s">
        <v>457</v>
      </c>
      <c r="GV285">
        <v>123001837.63903201</v>
      </c>
      <c r="GW285">
        <v>1035315838.67311</v>
      </c>
      <c r="GX285">
        <v>1158317676.31214</v>
      </c>
      <c r="GY285">
        <v>0</v>
      </c>
      <c r="GZ285">
        <v>1158317676.31214</v>
      </c>
      <c r="HA285">
        <v>1158317676.31214</v>
      </c>
      <c r="HB285">
        <v>303000000</v>
      </c>
      <c r="HC285">
        <v>0</v>
      </c>
      <c r="HD285" t="s">
        <v>137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0.05</v>
      </c>
      <c r="HX285">
        <v>0.97798234361883296</v>
      </c>
      <c r="HY285">
        <v>1</v>
      </c>
      <c r="HZ285">
        <v>300000</v>
      </c>
      <c r="IA285">
        <v>0</v>
      </c>
      <c r="IB285">
        <v>0</v>
      </c>
      <c r="IC285">
        <v>0</v>
      </c>
      <c r="ID285">
        <v>272700</v>
      </c>
      <c r="IE285">
        <v>572700</v>
      </c>
      <c r="IF285">
        <v>560090.488190506</v>
      </c>
      <c r="IG285">
        <v>560090.488190506</v>
      </c>
      <c r="IH285">
        <v>0</v>
      </c>
      <c r="II285">
        <v>6122087.3575420603</v>
      </c>
      <c r="IJ285">
        <v>51765791.9336555</v>
      </c>
      <c r="IK285">
        <v>0</v>
      </c>
      <c r="IL285">
        <v>0</v>
      </c>
      <c r="IM285">
        <v>0</v>
      </c>
      <c r="IN285">
        <v>128563834.50838301</v>
      </c>
      <c r="IO285">
        <v>1087081630.60677</v>
      </c>
      <c r="IP285">
        <v>1215645465.11515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</row>
    <row r="286" spans="2:268" customFormat="1" x14ac:dyDescent="0.25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3"/>
      <c r="N286" s="3"/>
      <c r="O286" s="3"/>
      <c r="P286" s="2"/>
      <c r="Q286" s="2"/>
      <c r="R286" s="2"/>
      <c r="S286" s="2"/>
      <c r="T286" s="2"/>
      <c r="U286" s="2"/>
      <c r="V286" s="3"/>
      <c r="W286" s="3"/>
      <c r="X286" s="3"/>
      <c r="Y286" s="3"/>
      <c r="Z286" s="3"/>
      <c r="AA286" s="3"/>
      <c r="AB286" s="3"/>
      <c r="AC286" s="2"/>
      <c r="AD286" s="2"/>
      <c r="AE286" s="2"/>
      <c r="AF286" s="2"/>
      <c r="AG286" s="2"/>
      <c r="AH286" s="2"/>
      <c r="AI286" s="2"/>
      <c r="AJ286" s="3"/>
      <c r="AK286" s="2"/>
      <c r="AL286" s="2"/>
      <c r="AM286" s="2"/>
      <c r="AN286" s="2"/>
      <c r="AO286" s="3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3"/>
      <c r="BC286" s="3"/>
      <c r="BD286" s="3"/>
      <c r="BE286" s="3"/>
      <c r="BF286" s="3"/>
      <c r="BG286" s="3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2"/>
      <c r="DI286" s="2"/>
      <c r="DJ286" s="3"/>
      <c r="DK286" s="3"/>
      <c r="DL286" s="2"/>
      <c r="DM286" s="2"/>
      <c r="DN286" s="2"/>
      <c r="DO286" s="3"/>
      <c r="DP286" s="3"/>
      <c r="GO286" t="s">
        <v>144</v>
      </c>
      <c r="GP286" t="s">
        <v>135</v>
      </c>
      <c r="GQ286" t="s">
        <v>502</v>
      </c>
      <c r="GR286">
        <v>66</v>
      </c>
      <c r="GS286">
        <v>65</v>
      </c>
      <c r="GT286">
        <v>1</v>
      </c>
      <c r="GU286" t="s">
        <v>457</v>
      </c>
      <c r="GV286">
        <v>128563834.50838301</v>
      </c>
      <c r="GW286">
        <v>1087081630.60677</v>
      </c>
      <c r="GX286">
        <v>1215645465.11515</v>
      </c>
      <c r="GY286">
        <v>0</v>
      </c>
      <c r="GZ286">
        <v>1215645465.11515</v>
      </c>
      <c r="HA286">
        <v>1215645465.11515</v>
      </c>
      <c r="HB286">
        <v>303000000</v>
      </c>
      <c r="HC286">
        <v>0</v>
      </c>
      <c r="HD286" t="s">
        <v>137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0.05</v>
      </c>
      <c r="HX286">
        <v>0.97798234361883296</v>
      </c>
      <c r="HY286">
        <v>1</v>
      </c>
      <c r="HZ286">
        <v>300000</v>
      </c>
      <c r="IA286">
        <v>0</v>
      </c>
      <c r="IB286">
        <v>0</v>
      </c>
      <c r="IC286">
        <v>0</v>
      </c>
      <c r="ID286">
        <v>272700</v>
      </c>
      <c r="IE286">
        <v>572700</v>
      </c>
      <c r="IF286">
        <v>560090.488190506</v>
      </c>
      <c r="IG286">
        <v>560090.488190506</v>
      </c>
      <c r="IH286">
        <v>0</v>
      </c>
      <c r="II286">
        <v>6400187.2010096302</v>
      </c>
      <c r="IJ286">
        <v>54354081.530338302</v>
      </c>
      <c r="IK286">
        <v>0</v>
      </c>
      <c r="IL286">
        <v>0</v>
      </c>
      <c r="IM286">
        <v>0</v>
      </c>
      <c r="IN286">
        <v>134403931.22120199</v>
      </c>
      <c r="IO286">
        <v>1141435712.1371</v>
      </c>
      <c r="IP286">
        <v>1275839643.35831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</row>
    <row r="287" spans="2:268" customFormat="1" x14ac:dyDescent="0.25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3"/>
      <c r="N287" s="3"/>
      <c r="O287" s="3"/>
      <c r="P287" s="2"/>
      <c r="Q287" s="2"/>
      <c r="R287" s="2"/>
      <c r="S287" s="2"/>
      <c r="T287" s="2"/>
      <c r="U287" s="2"/>
      <c r="V287" s="3"/>
      <c r="W287" s="3"/>
      <c r="X287" s="3"/>
      <c r="Y287" s="3"/>
      <c r="Z287" s="3"/>
      <c r="AA287" s="3"/>
      <c r="AB287" s="3"/>
      <c r="AC287" s="2"/>
      <c r="AD287" s="2"/>
      <c r="AE287" s="2"/>
      <c r="AF287" s="2"/>
      <c r="AG287" s="2"/>
      <c r="AH287" s="2"/>
      <c r="AI287" s="2"/>
      <c r="AJ287" s="3"/>
      <c r="AK287" s="2"/>
      <c r="AL287" s="2"/>
      <c r="AM287" s="2"/>
      <c r="AN287" s="2"/>
      <c r="AO287" s="3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3"/>
      <c r="BC287" s="3"/>
      <c r="BD287" s="3"/>
      <c r="BE287" s="3"/>
      <c r="BF287" s="3"/>
      <c r="BG287" s="3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2"/>
      <c r="DI287" s="2"/>
      <c r="DJ287" s="3"/>
      <c r="DK287" s="3"/>
      <c r="DL287" s="2"/>
      <c r="DM287" s="2"/>
      <c r="DN287" s="2"/>
      <c r="DO287" s="3"/>
      <c r="DP287" s="3"/>
      <c r="GO287" t="s">
        <v>144</v>
      </c>
      <c r="GP287" t="s">
        <v>135</v>
      </c>
      <c r="GQ287" t="s">
        <v>502</v>
      </c>
      <c r="GR287">
        <v>67</v>
      </c>
      <c r="GS287">
        <v>66</v>
      </c>
      <c r="GT287">
        <v>1</v>
      </c>
      <c r="GU287" t="s">
        <v>457</v>
      </c>
      <c r="GV287">
        <v>134403931.22120199</v>
      </c>
      <c r="GW287">
        <v>1141435712.1371</v>
      </c>
      <c r="GX287">
        <v>1275839643.35831</v>
      </c>
      <c r="GY287">
        <v>0</v>
      </c>
      <c r="GZ287">
        <v>1275839643.35831</v>
      </c>
      <c r="HA287">
        <v>1275839643.35831</v>
      </c>
      <c r="HB287">
        <v>0</v>
      </c>
      <c r="HC287">
        <v>0</v>
      </c>
      <c r="HD287" t="s">
        <v>137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0.05</v>
      </c>
      <c r="HX287">
        <v>0.97798234361883296</v>
      </c>
      <c r="HY287">
        <v>1</v>
      </c>
      <c r="HZ287">
        <v>300000</v>
      </c>
      <c r="IA287">
        <v>0</v>
      </c>
      <c r="IB287">
        <v>0</v>
      </c>
      <c r="IC287">
        <v>0</v>
      </c>
      <c r="ID287">
        <v>0</v>
      </c>
      <c r="IE287">
        <v>300000</v>
      </c>
      <c r="IF287">
        <v>293394.70308564999</v>
      </c>
      <c r="IG287">
        <v>293394.70308564999</v>
      </c>
      <c r="IH287">
        <v>0</v>
      </c>
      <c r="II287">
        <v>6705526.8259058297</v>
      </c>
      <c r="IJ287">
        <v>57071785.606855199</v>
      </c>
      <c r="IK287">
        <v>0</v>
      </c>
      <c r="IL287">
        <v>0</v>
      </c>
      <c r="IM287">
        <v>0</v>
      </c>
      <c r="IN287">
        <v>140816063.34402299</v>
      </c>
      <c r="IO287">
        <v>1198507497.7439599</v>
      </c>
      <c r="IP287">
        <v>1339323561.08798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</row>
    <row r="288" spans="2:268" customFormat="1" x14ac:dyDescent="0.25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3"/>
      <c r="N288" s="3"/>
      <c r="O288" s="3"/>
      <c r="P288" s="2"/>
      <c r="Q288" s="2"/>
      <c r="R288" s="2"/>
      <c r="S288" s="2"/>
      <c r="T288" s="2"/>
      <c r="U288" s="2"/>
      <c r="V288" s="3"/>
      <c r="W288" s="3"/>
      <c r="X288" s="3"/>
      <c r="Y288" s="3"/>
      <c r="Z288" s="3"/>
      <c r="AA288" s="3"/>
      <c r="AB288" s="3"/>
      <c r="AC288" s="2"/>
      <c r="AD288" s="2"/>
      <c r="AE288" s="2"/>
      <c r="AF288" s="2"/>
      <c r="AG288" s="2"/>
      <c r="AH288" s="2"/>
      <c r="AI288" s="2"/>
      <c r="AJ288" s="3"/>
      <c r="AK288" s="2"/>
      <c r="AL288" s="2"/>
      <c r="AM288" s="2"/>
      <c r="AN288" s="2"/>
      <c r="AO288" s="3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3"/>
      <c r="BC288" s="3"/>
      <c r="BD288" s="3"/>
      <c r="BE288" s="3"/>
      <c r="BF288" s="3"/>
      <c r="BG288" s="3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2"/>
      <c r="DI288" s="2"/>
      <c r="DJ288" s="3"/>
      <c r="DK288" s="3"/>
      <c r="DL288" s="2"/>
      <c r="DM288" s="2"/>
      <c r="DN288" s="2"/>
      <c r="DO288" s="3"/>
      <c r="DP288" s="3"/>
      <c r="GO288" t="s">
        <v>144</v>
      </c>
      <c r="GP288" t="s">
        <v>135</v>
      </c>
      <c r="GQ288" t="s">
        <v>502</v>
      </c>
      <c r="GR288">
        <v>68</v>
      </c>
      <c r="GS288">
        <v>67</v>
      </c>
      <c r="GT288">
        <v>1</v>
      </c>
      <c r="GU288" t="s">
        <v>457</v>
      </c>
      <c r="GV288">
        <v>140816063.34402299</v>
      </c>
      <c r="GW288">
        <v>1198507497.7439599</v>
      </c>
      <c r="GX288">
        <v>1339323561.08798</v>
      </c>
      <c r="GY288">
        <v>0</v>
      </c>
      <c r="GZ288">
        <v>1339323561.08798</v>
      </c>
      <c r="HA288">
        <v>1339323561.08798</v>
      </c>
      <c r="HB288">
        <v>0</v>
      </c>
      <c r="HC288">
        <v>0</v>
      </c>
      <c r="HD288" t="s">
        <v>137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0.05</v>
      </c>
      <c r="HX288">
        <v>0.97798234361883296</v>
      </c>
      <c r="HY288">
        <v>1</v>
      </c>
      <c r="HZ288">
        <v>300000</v>
      </c>
      <c r="IA288">
        <v>0</v>
      </c>
      <c r="IB288">
        <v>0</v>
      </c>
      <c r="IC288">
        <v>0</v>
      </c>
      <c r="ID288">
        <v>0</v>
      </c>
      <c r="IE288">
        <v>300000</v>
      </c>
      <c r="IF288">
        <v>293394.70308564999</v>
      </c>
      <c r="IG288">
        <v>293394.70308564999</v>
      </c>
      <c r="IH288">
        <v>0</v>
      </c>
      <c r="II288">
        <v>7026133.43204684</v>
      </c>
      <c r="IJ288">
        <v>59925374.887198001</v>
      </c>
      <c r="IK288">
        <v>0</v>
      </c>
      <c r="IL288">
        <v>0</v>
      </c>
      <c r="IM288">
        <v>0</v>
      </c>
      <c r="IN288">
        <v>147548802.07298401</v>
      </c>
      <c r="IO288">
        <v>1258432872.63116</v>
      </c>
      <c r="IP288">
        <v>1405981674.7041399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</row>
    <row r="289" spans="2:268" customFormat="1" x14ac:dyDescent="0.25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3"/>
      <c r="N289" s="3"/>
      <c r="O289" s="3"/>
      <c r="P289" s="2"/>
      <c r="Q289" s="2"/>
      <c r="R289" s="2"/>
      <c r="S289" s="2"/>
      <c r="T289" s="2"/>
      <c r="U289" s="2"/>
      <c r="V289" s="3"/>
      <c r="W289" s="3"/>
      <c r="X289" s="3"/>
      <c r="Y289" s="3"/>
      <c r="Z289" s="3"/>
      <c r="AA289" s="3"/>
      <c r="AB289" s="3"/>
      <c r="AC289" s="2"/>
      <c r="AD289" s="2"/>
      <c r="AE289" s="2"/>
      <c r="AF289" s="2"/>
      <c r="AG289" s="2"/>
      <c r="AH289" s="2"/>
      <c r="AI289" s="2"/>
      <c r="AJ289" s="3"/>
      <c r="AK289" s="2"/>
      <c r="AL289" s="2"/>
      <c r="AM289" s="2"/>
      <c r="AN289" s="2"/>
      <c r="AO289" s="3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3"/>
      <c r="BC289" s="3"/>
      <c r="BD289" s="3"/>
      <c r="BE289" s="3"/>
      <c r="BF289" s="3"/>
      <c r="BG289" s="3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2"/>
      <c r="DI289" s="2"/>
      <c r="DJ289" s="3"/>
      <c r="DK289" s="3"/>
      <c r="DL289" s="2"/>
      <c r="DM289" s="2"/>
      <c r="DN289" s="2"/>
      <c r="DO289" s="3"/>
      <c r="DP289" s="3"/>
      <c r="GO289" t="s">
        <v>144</v>
      </c>
      <c r="GP289" t="s">
        <v>135</v>
      </c>
      <c r="GQ289" t="s">
        <v>502</v>
      </c>
      <c r="GR289">
        <v>69</v>
      </c>
      <c r="GS289">
        <v>68</v>
      </c>
      <c r="GT289">
        <v>1</v>
      </c>
      <c r="GU289" t="s">
        <v>457</v>
      </c>
      <c r="GV289">
        <v>147548802.07298401</v>
      </c>
      <c r="GW289">
        <v>1258432872.63116</v>
      </c>
      <c r="GX289">
        <v>1405981674.7041399</v>
      </c>
      <c r="GY289">
        <v>0</v>
      </c>
      <c r="GZ289">
        <v>1405981674.7041399</v>
      </c>
      <c r="HA289">
        <v>1405981674.7041399</v>
      </c>
      <c r="HB289">
        <v>0</v>
      </c>
      <c r="HC289">
        <v>0</v>
      </c>
      <c r="HD289" t="s">
        <v>137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0.05</v>
      </c>
      <c r="HX289">
        <v>0.97798234361883296</v>
      </c>
      <c r="HY289">
        <v>1</v>
      </c>
      <c r="HZ289">
        <v>300000</v>
      </c>
      <c r="IA289">
        <v>0</v>
      </c>
      <c r="IB289">
        <v>0</v>
      </c>
      <c r="IC289">
        <v>0</v>
      </c>
      <c r="ID289">
        <v>0</v>
      </c>
      <c r="IE289">
        <v>300000</v>
      </c>
      <c r="IF289">
        <v>293394.70308564999</v>
      </c>
      <c r="IG289">
        <v>293394.70308564999</v>
      </c>
      <c r="IH289">
        <v>0</v>
      </c>
      <c r="II289">
        <v>7362770.3684948999</v>
      </c>
      <c r="IJ289">
        <v>62921643.631557897</v>
      </c>
      <c r="IK289">
        <v>0</v>
      </c>
      <c r="IL289">
        <v>0</v>
      </c>
      <c r="IM289">
        <v>0</v>
      </c>
      <c r="IN289">
        <v>154618177.73839301</v>
      </c>
      <c r="IO289">
        <v>1321354516.2627201</v>
      </c>
      <c r="IP289">
        <v>1475972694.0011101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</row>
    <row r="290" spans="2:268" customFormat="1" x14ac:dyDescent="0.25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3"/>
      <c r="N290" s="3"/>
      <c r="O290" s="3"/>
      <c r="P290" s="2"/>
      <c r="Q290" s="2"/>
      <c r="R290" s="2"/>
      <c r="S290" s="2"/>
      <c r="T290" s="2"/>
      <c r="U290" s="2"/>
      <c r="V290" s="3"/>
      <c r="W290" s="3"/>
      <c r="X290" s="3"/>
      <c r="Y290" s="3"/>
      <c r="Z290" s="3"/>
      <c r="AA290" s="3"/>
      <c r="AB290" s="3"/>
      <c r="AC290" s="2"/>
      <c r="AD290" s="2"/>
      <c r="AE290" s="2"/>
      <c r="AF290" s="2"/>
      <c r="AG290" s="2"/>
      <c r="AH290" s="2"/>
      <c r="AI290" s="2"/>
      <c r="AJ290" s="3"/>
      <c r="AK290" s="2"/>
      <c r="AL290" s="2"/>
      <c r="AM290" s="2"/>
      <c r="AN290" s="2"/>
      <c r="AO290" s="3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3"/>
      <c r="BC290" s="3"/>
      <c r="BD290" s="3"/>
      <c r="BE290" s="3"/>
      <c r="BF290" s="3"/>
      <c r="BG290" s="3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2"/>
      <c r="DI290" s="2"/>
      <c r="DJ290" s="3"/>
      <c r="DK290" s="3"/>
      <c r="DL290" s="2"/>
      <c r="DM290" s="2"/>
      <c r="DN290" s="2"/>
      <c r="DO290" s="3"/>
      <c r="DP290" s="3"/>
      <c r="GO290" t="s">
        <v>144</v>
      </c>
      <c r="GP290" t="s">
        <v>135</v>
      </c>
      <c r="GQ290" t="s">
        <v>502</v>
      </c>
      <c r="GR290">
        <v>70</v>
      </c>
      <c r="GS290">
        <v>69</v>
      </c>
      <c r="GT290">
        <v>1</v>
      </c>
      <c r="GU290" t="s">
        <v>457</v>
      </c>
      <c r="GV290">
        <v>154618177.73839301</v>
      </c>
      <c r="GW290">
        <v>1321354516.2627201</v>
      </c>
      <c r="GX290">
        <v>1475972694.0011101</v>
      </c>
      <c r="GY290">
        <v>0</v>
      </c>
      <c r="GZ290">
        <v>1475972694.0011101</v>
      </c>
      <c r="HA290">
        <v>1475972694.0011101</v>
      </c>
      <c r="HB290">
        <v>0</v>
      </c>
      <c r="HC290">
        <v>0</v>
      </c>
      <c r="HD290" t="s">
        <v>137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0.05</v>
      </c>
      <c r="HX290">
        <v>0.97798234361883296</v>
      </c>
      <c r="HY290">
        <v>1</v>
      </c>
      <c r="HZ290">
        <v>300000</v>
      </c>
      <c r="IA290">
        <v>0</v>
      </c>
      <c r="IB290">
        <v>0</v>
      </c>
      <c r="IC290">
        <v>0</v>
      </c>
      <c r="ID290">
        <v>0</v>
      </c>
      <c r="IE290">
        <v>300000</v>
      </c>
      <c r="IF290">
        <v>293394.70308564999</v>
      </c>
      <c r="IG290">
        <v>293394.70308564999</v>
      </c>
      <c r="IH290">
        <v>0</v>
      </c>
      <c r="II290">
        <v>7716239.1517653596</v>
      </c>
      <c r="IJ290">
        <v>66067725.813135803</v>
      </c>
      <c r="IK290">
        <v>0</v>
      </c>
      <c r="IL290">
        <v>0</v>
      </c>
      <c r="IM290">
        <v>0</v>
      </c>
      <c r="IN290">
        <v>162041022.18707299</v>
      </c>
      <c r="IO290">
        <v>1387422242.07585</v>
      </c>
      <c r="IP290">
        <v>1549463264.2629199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</row>
    <row r="291" spans="2:268" customFormat="1" x14ac:dyDescent="0.25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3"/>
      <c r="N291" s="3"/>
      <c r="O291" s="3"/>
      <c r="P291" s="2"/>
      <c r="Q291" s="2"/>
      <c r="R291" s="2"/>
      <c r="S291" s="2"/>
      <c r="T291" s="2"/>
      <c r="U291" s="2"/>
      <c r="V291" s="3"/>
      <c r="W291" s="3"/>
      <c r="X291" s="3"/>
      <c r="Y291" s="3"/>
      <c r="Z291" s="3"/>
      <c r="AA291" s="3"/>
      <c r="AB291" s="3"/>
      <c r="AC291" s="2"/>
      <c r="AD291" s="2"/>
      <c r="AE291" s="2"/>
      <c r="AF291" s="2"/>
      <c r="AG291" s="2"/>
      <c r="AH291" s="2"/>
      <c r="AI291" s="2"/>
      <c r="AJ291" s="3"/>
      <c r="AK291" s="2"/>
      <c r="AL291" s="2"/>
      <c r="AM291" s="2"/>
      <c r="AN291" s="2"/>
      <c r="AO291" s="3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3"/>
      <c r="BC291" s="3"/>
      <c r="BD291" s="3"/>
      <c r="BE291" s="3"/>
      <c r="BF291" s="3"/>
      <c r="BG291" s="3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2"/>
      <c r="DI291" s="2"/>
      <c r="DJ291" s="3"/>
      <c r="DK291" s="3"/>
      <c r="DL291" s="2"/>
      <c r="DM291" s="2"/>
      <c r="DN291" s="2"/>
      <c r="DO291" s="3"/>
      <c r="DP291" s="3"/>
      <c r="GO291" t="s">
        <v>144</v>
      </c>
      <c r="GP291" t="s">
        <v>135</v>
      </c>
      <c r="GQ291" t="s">
        <v>502</v>
      </c>
      <c r="GR291">
        <v>71</v>
      </c>
      <c r="GS291">
        <v>70</v>
      </c>
      <c r="GT291">
        <v>1</v>
      </c>
      <c r="GU291" t="s">
        <v>457</v>
      </c>
      <c r="GV291">
        <v>162041022.18707299</v>
      </c>
      <c r="GW291">
        <v>1387422242.07585</v>
      </c>
      <c r="GX291">
        <v>1549463264.2629199</v>
      </c>
      <c r="GY291">
        <v>0</v>
      </c>
      <c r="GZ291">
        <v>1549463264.2629199</v>
      </c>
      <c r="HA291">
        <v>1549463264.2629199</v>
      </c>
      <c r="HB291">
        <v>0</v>
      </c>
      <c r="HC291">
        <v>0</v>
      </c>
      <c r="HD291" t="s">
        <v>137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0.05</v>
      </c>
      <c r="HX291">
        <v>0.97798234361883296</v>
      </c>
      <c r="HY291">
        <v>1</v>
      </c>
      <c r="HZ291">
        <v>300000</v>
      </c>
      <c r="IA291">
        <v>0</v>
      </c>
      <c r="IB291">
        <v>0</v>
      </c>
      <c r="IC291">
        <v>0</v>
      </c>
      <c r="ID291">
        <v>0</v>
      </c>
      <c r="IE291">
        <v>300000</v>
      </c>
      <c r="IF291">
        <v>293394.70308564999</v>
      </c>
      <c r="IG291">
        <v>293394.70308564999</v>
      </c>
      <c r="IH291">
        <v>0</v>
      </c>
      <c r="II291">
        <v>8087381.3741993504</v>
      </c>
      <c r="IJ291">
        <v>69371112.103792593</v>
      </c>
      <c r="IK291">
        <v>0</v>
      </c>
      <c r="IL291">
        <v>0</v>
      </c>
      <c r="IM291">
        <v>0</v>
      </c>
      <c r="IN291">
        <v>169835008.85818601</v>
      </c>
      <c r="IO291">
        <v>1456793354.1796401</v>
      </c>
      <c r="IP291">
        <v>1626628363.0378301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</row>
    <row r="292" spans="2:268" customFormat="1" x14ac:dyDescent="0.25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3"/>
      <c r="N292" s="3"/>
      <c r="O292" s="3"/>
      <c r="P292" s="2"/>
      <c r="Q292" s="2"/>
      <c r="R292" s="2"/>
      <c r="S292" s="2"/>
      <c r="T292" s="2"/>
      <c r="U292" s="2"/>
      <c r="V292" s="3"/>
      <c r="W292" s="3"/>
      <c r="X292" s="3"/>
      <c r="Y292" s="3"/>
      <c r="Z292" s="3"/>
      <c r="AA292" s="3"/>
      <c r="AB292" s="3"/>
      <c r="AC292" s="2"/>
      <c r="AD292" s="2"/>
      <c r="AE292" s="2"/>
      <c r="AF292" s="2"/>
      <c r="AG292" s="2"/>
      <c r="AH292" s="2"/>
      <c r="AI292" s="2"/>
      <c r="AJ292" s="3"/>
      <c r="AK292" s="2"/>
      <c r="AL292" s="2"/>
      <c r="AM292" s="2"/>
      <c r="AN292" s="2"/>
      <c r="AO292" s="3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3"/>
      <c r="BC292" s="3"/>
      <c r="BD292" s="3"/>
      <c r="BE292" s="3"/>
      <c r="BF292" s="3"/>
      <c r="BG292" s="3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2"/>
      <c r="DI292" s="2"/>
      <c r="DJ292" s="3"/>
      <c r="DK292" s="3"/>
      <c r="DL292" s="2"/>
      <c r="DM292" s="2"/>
      <c r="DN292" s="2"/>
      <c r="DO292" s="3"/>
      <c r="DP292" s="3"/>
      <c r="GO292" t="s">
        <v>144</v>
      </c>
      <c r="GP292" t="s">
        <v>135</v>
      </c>
      <c r="GQ292" t="s">
        <v>502</v>
      </c>
      <c r="GR292">
        <v>72</v>
      </c>
      <c r="GS292">
        <v>71</v>
      </c>
      <c r="GT292">
        <v>1</v>
      </c>
      <c r="GU292" t="s">
        <v>457</v>
      </c>
      <c r="GV292">
        <v>169835008.85818601</v>
      </c>
      <c r="GW292">
        <v>1456793354.1796401</v>
      </c>
      <c r="GX292">
        <v>1626628363.0378301</v>
      </c>
      <c r="GY292">
        <v>0</v>
      </c>
      <c r="GZ292">
        <v>1626628363.0378301</v>
      </c>
      <c r="HA292">
        <v>1626628363.0378301</v>
      </c>
      <c r="HB292">
        <v>0</v>
      </c>
      <c r="HC292">
        <v>0</v>
      </c>
      <c r="HD292" t="s">
        <v>137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0.05</v>
      </c>
      <c r="HX292">
        <v>0.97798234361883296</v>
      </c>
      <c r="HY292">
        <v>1</v>
      </c>
      <c r="HZ292">
        <v>300000</v>
      </c>
      <c r="IA292">
        <v>0</v>
      </c>
      <c r="IB292">
        <v>0</v>
      </c>
      <c r="IC292">
        <v>0</v>
      </c>
      <c r="ID292">
        <v>0</v>
      </c>
      <c r="IE292">
        <v>300000</v>
      </c>
      <c r="IF292">
        <v>293394.70308564999</v>
      </c>
      <c r="IG292">
        <v>293394.70308564999</v>
      </c>
      <c r="IH292">
        <v>0</v>
      </c>
      <c r="II292">
        <v>8477080.7077550292</v>
      </c>
      <c r="IJ292">
        <v>72839667.708982199</v>
      </c>
      <c r="IK292">
        <v>0</v>
      </c>
      <c r="IL292">
        <v>0</v>
      </c>
      <c r="IM292">
        <v>0</v>
      </c>
      <c r="IN292">
        <v>178018694.862856</v>
      </c>
      <c r="IO292">
        <v>1529633021.8886299</v>
      </c>
      <c r="IP292">
        <v>1707651716.7514801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</row>
    <row r="293" spans="2:268" customFormat="1" x14ac:dyDescent="0.25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3"/>
      <c r="N293" s="3"/>
      <c r="O293" s="3"/>
      <c r="P293" s="2"/>
      <c r="Q293" s="2"/>
      <c r="R293" s="2"/>
      <c r="S293" s="2"/>
      <c r="T293" s="2"/>
      <c r="U293" s="2"/>
      <c r="V293" s="3"/>
      <c r="W293" s="3"/>
      <c r="X293" s="3"/>
      <c r="Y293" s="3"/>
      <c r="Z293" s="3"/>
      <c r="AA293" s="3"/>
      <c r="AB293" s="3"/>
      <c r="AC293" s="2"/>
      <c r="AD293" s="2"/>
      <c r="AE293" s="2"/>
      <c r="AF293" s="2"/>
      <c r="AG293" s="2"/>
      <c r="AH293" s="2"/>
      <c r="AI293" s="2"/>
      <c r="AJ293" s="3"/>
      <c r="AK293" s="2"/>
      <c r="AL293" s="2"/>
      <c r="AM293" s="2"/>
      <c r="AN293" s="2"/>
      <c r="AO293" s="3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3"/>
      <c r="BC293" s="3"/>
      <c r="BD293" s="3"/>
      <c r="BE293" s="3"/>
      <c r="BF293" s="3"/>
      <c r="BG293" s="3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2"/>
      <c r="DI293" s="2"/>
      <c r="DJ293" s="3"/>
      <c r="DK293" s="3"/>
      <c r="DL293" s="2"/>
      <c r="DM293" s="2"/>
      <c r="DN293" s="2"/>
      <c r="DO293" s="3"/>
      <c r="DP293" s="3"/>
      <c r="GO293" t="s">
        <v>144</v>
      </c>
      <c r="GP293" t="s">
        <v>135</v>
      </c>
      <c r="GQ293" t="s">
        <v>502</v>
      </c>
      <c r="GR293">
        <v>73</v>
      </c>
      <c r="GS293">
        <v>72</v>
      </c>
      <c r="GT293">
        <v>1</v>
      </c>
      <c r="GU293" t="s">
        <v>457</v>
      </c>
      <c r="GV293">
        <v>178018694.862856</v>
      </c>
      <c r="GW293">
        <v>1529633021.8886299</v>
      </c>
      <c r="GX293">
        <v>1707651716.7514801</v>
      </c>
      <c r="GY293">
        <v>0</v>
      </c>
      <c r="GZ293">
        <v>1707651716.7514801</v>
      </c>
      <c r="HA293">
        <v>1707651716.7514801</v>
      </c>
      <c r="HB293">
        <v>0</v>
      </c>
      <c r="HC293">
        <v>0</v>
      </c>
      <c r="HD293" t="s">
        <v>137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0.05</v>
      </c>
      <c r="HX293">
        <v>0.97798234361883296</v>
      </c>
      <c r="HY293">
        <v>1</v>
      </c>
      <c r="HZ293">
        <v>300000</v>
      </c>
      <c r="IA293">
        <v>0</v>
      </c>
      <c r="IB293">
        <v>0</v>
      </c>
      <c r="IC293">
        <v>0</v>
      </c>
      <c r="ID293">
        <v>0</v>
      </c>
      <c r="IE293">
        <v>300000</v>
      </c>
      <c r="IF293">
        <v>293394.70308564999</v>
      </c>
      <c r="IG293">
        <v>293394.70308564999</v>
      </c>
      <c r="IH293">
        <v>0</v>
      </c>
      <c r="II293">
        <v>8886265.0079884995</v>
      </c>
      <c r="IJ293">
        <v>76481651.094431296</v>
      </c>
      <c r="IK293">
        <v>0</v>
      </c>
      <c r="IL293">
        <v>0</v>
      </c>
      <c r="IM293">
        <v>0</v>
      </c>
      <c r="IN293">
        <v>186611565.167759</v>
      </c>
      <c r="IO293">
        <v>1606114672.9830599</v>
      </c>
      <c r="IP293">
        <v>1792726238.15082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</row>
    <row r="294" spans="2:268" customFormat="1" x14ac:dyDescent="0.25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3"/>
      <c r="N294" s="3"/>
      <c r="O294" s="3"/>
      <c r="P294" s="2"/>
      <c r="Q294" s="2"/>
      <c r="R294" s="2"/>
      <c r="S294" s="2"/>
      <c r="T294" s="2"/>
      <c r="U294" s="2"/>
      <c r="V294" s="3"/>
      <c r="W294" s="3"/>
      <c r="X294" s="3"/>
      <c r="Y294" s="3"/>
      <c r="Z294" s="3"/>
      <c r="AA294" s="3"/>
      <c r="AB294" s="3"/>
      <c r="AC294" s="2"/>
      <c r="AD294" s="2"/>
      <c r="AE294" s="2"/>
      <c r="AF294" s="2"/>
      <c r="AG294" s="2"/>
      <c r="AH294" s="2"/>
      <c r="AI294" s="2"/>
      <c r="AJ294" s="3"/>
      <c r="AK294" s="2"/>
      <c r="AL294" s="2"/>
      <c r="AM294" s="2"/>
      <c r="AN294" s="2"/>
      <c r="AO294" s="3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3"/>
      <c r="BC294" s="3"/>
      <c r="BD294" s="3"/>
      <c r="BE294" s="3"/>
      <c r="BF294" s="3"/>
      <c r="BG294" s="3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2"/>
      <c r="DI294" s="2"/>
      <c r="DJ294" s="3"/>
      <c r="DK294" s="3"/>
      <c r="DL294" s="2"/>
      <c r="DM294" s="2"/>
      <c r="DN294" s="2"/>
      <c r="DO294" s="3"/>
      <c r="DP294" s="3"/>
      <c r="GO294" t="s">
        <v>144</v>
      </c>
      <c r="GP294" t="s">
        <v>135</v>
      </c>
      <c r="GQ294" t="s">
        <v>502</v>
      </c>
      <c r="GR294">
        <v>74</v>
      </c>
      <c r="GS294">
        <v>73</v>
      </c>
      <c r="GT294">
        <v>1</v>
      </c>
      <c r="GU294" t="s">
        <v>457</v>
      </c>
      <c r="GV294">
        <v>186611565.167759</v>
      </c>
      <c r="GW294">
        <v>1606114672.9830599</v>
      </c>
      <c r="GX294">
        <v>1792726238.15082</v>
      </c>
      <c r="GY294">
        <v>0</v>
      </c>
      <c r="GZ294">
        <v>1792726238.15082</v>
      </c>
      <c r="HA294">
        <v>1792726238.15082</v>
      </c>
      <c r="HB294">
        <v>0</v>
      </c>
      <c r="HC294">
        <v>0</v>
      </c>
      <c r="HD294" t="s">
        <v>137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0.05</v>
      </c>
      <c r="HX294">
        <v>0.97798234361883296</v>
      </c>
      <c r="HY294">
        <v>1</v>
      </c>
      <c r="HZ294">
        <v>300000</v>
      </c>
      <c r="IA294">
        <v>0</v>
      </c>
      <c r="IB294">
        <v>0</v>
      </c>
      <c r="IC294">
        <v>0</v>
      </c>
      <c r="ID294">
        <v>0</v>
      </c>
      <c r="IE294">
        <v>300000</v>
      </c>
      <c r="IF294">
        <v>293394.70308564999</v>
      </c>
      <c r="IG294">
        <v>293394.70308564999</v>
      </c>
      <c r="IH294">
        <v>0</v>
      </c>
      <c r="II294">
        <v>9315908.5232336391</v>
      </c>
      <c r="IJ294">
        <v>80305733.649152905</v>
      </c>
      <c r="IK294">
        <v>0</v>
      </c>
      <c r="IL294">
        <v>0</v>
      </c>
      <c r="IM294">
        <v>0</v>
      </c>
      <c r="IN294">
        <v>195634078.98790699</v>
      </c>
      <c r="IO294">
        <v>1686420406.63221</v>
      </c>
      <c r="IP294">
        <v>1882054485.62012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</row>
    <row r="295" spans="2:268" customFormat="1" x14ac:dyDescent="0.25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3"/>
      <c r="N295" s="3"/>
      <c r="O295" s="3"/>
      <c r="P295" s="2"/>
      <c r="Q295" s="2"/>
      <c r="R295" s="2"/>
      <c r="S295" s="2"/>
      <c r="T295" s="2"/>
      <c r="U295" s="2"/>
      <c r="V295" s="3"/>
      <c r="W295" s="3"/>
      <c r="X295" s="3"/>
      <c r="Y295" s="3"/>
      <c r="Z295" s="3"/>
      <c r="AA295" s="3"/>
      <c r="AB295" s="3"/>
      <c r="AC295" s="2"/>
      <c r="AD295" s="2"/>
      <c r="AE295" s="2"/>
      <c r="AF295" s="2"/>
      <c r="AG295" s="2"/>
      <c r="AH295" s="2"/>
      <c r="AI295" s="2"/>
      <c r="AJ295" s="3"/>
      <c r="AK295" s="2"/>
      <c r="AL295" s="2"/>
      <c r="AM295" s="2"/>
      <c r="AN295" s="2"/>
      <c r="AO295" s="3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3"/>
      <c r="BC295" s="3"/>
      <c r="BD295" s="3"/>
      <c r="BE295" s="3"/>
      <c r="BF295" s="3"/>
      <c r="BG295" s="3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2"/>
      <c r="DI295" s="2"/>
      <c r="DJ295" s="3"/>
      <c r="DK295" s="3"/>
      <c r="DL295" s="2"/>
      <c r="DM295" s="2"/>
      <c r="DN295" s="2"/>
      <c r="DO295" s="3"/>
      <c r="DP295" s="3"/>
      <c r="GO295" t="s">
        <v>144</v>
      </c>
      <c r="GP295" t="s">
        <v>135</v>
      </c>
      <c r="GQ295" t="s">
        <v>502</v>
      </c>
      <c r="GR295">
        <v>75</v>
      </c>
      <c r="GS295">
        <v>74</v>
      </c>
      <c r="GT295">
        <v>1</v>
      </c>
      <c r="GU295" t="s">
        <v>457</v>
      </c>
      <c r="GV295">
        <v>195634078.98790699</v>
      </c>
      <c r="GW295">
        <v>1686420406.63221</v>
      </c>
      <c r="GX295">
        <v>1882054485.62012</v>
      </c>
      <c r="GY295">
        <v>0</v>
      </c>
      <c r="GZ295">
        <v>1882054485.62012</v>
      </c>
      <c r="HA295">
        <v>1882054485.62012</v>
      </c>
      <c r="HB295">
        <v>0</v>
      </c>
      <c r="HC295">
        <v>0</v>
      </c>
      <c r="HD295" t="s">
        <v>137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0.05</v>
      </c>
      <c r="HX295">
        <v>0.97798234361883296</v>
      </c>
      <c r="HY295">
        <v>1</v>
      </c>
      <c r="HZ295">
        <v>300000</v>
      </c>
      <c r="IA295">
        <v>0</v>
      </c>
      <c r="IB295">
        <v>0</v>
      </c>
      <c r="IC295">
        <v>0</v>
      </c>
      <c r="ID295">
        <v>0</v>
      </c>
      <c r="IE295">
        <v>300000</v>
      </c>
      <c r="IF295">
        <v>293394.70308564999</v>
      </c>
      <c r="IG295">
        <v>293394.70308564999</v>
      </c>
      <c r="IH295">
        <v>0</v>
      </c>
      <c r="II295">
        <v>9767034.2142410409</v>
      </c>
      <c r="IJ295">
        <v>84321020.331610605</v>
      </c>
      <c r="IK295">
        <v>0</v>
      </c>
      <c r="IL295">
        <v>0</v>
      </c>
      <c r="IM295">
        <v>0</v>
      </c>
      <c r="IN295">
        <v>205107718.499062</v>
      </c>
      <c r="IO295">
        <v>1770741426.96382</v>
      </c>
      <c r="IP295">
        <v>1975849145.4628799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</row>
    <row r="296" spans="2:268" customFormat="1" x14ac:dyDescent="0.25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3"/>
      <c r="N296" s="3"/>
      <c r="O296" s="3"/>
      <c r="P296" s="2"/>
      <c r="Q296" s="2"/>
      <c r="R296" s="2"/>
      <c r="S296" s="2"/>
      <c r="T296" s="2"/>
      <c r="U296" s="2"/>
      <c r="V296" s="3"/>
      <c r="W296" s="3"/>
      <c r="X296" s="3"/>
      <c r="Y296" s="3"/>
      <c r="Z296" s="3"/>
      <c r="AA296" s="3"/>
      <c r="AB296" s="3"/>
      <c r="AC296" s="2"/>
      <c r="AD296" s="2"/>
      <c r="AE296" s="2"/>
      <c r="AF296" s="2"/>
      <c r="AG296" s="2"/>
      <c r="AH296" s="2"/>
      <c r="AI296" s="2"/>
      <c r="AJ296" s="3"/>
      <c r="AK296" s="2"/>
      <c r="AL296" s="2"/>
      <c r="AM296" s="2"/>
      <c r="AN296" s="2"/>
      <c r="AO296" s="3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3"/>
      <c r="BC296" s="3"/>
      <c r="BD296" s="3"/>
      <c r="BE296" s="3"/>
      <c r="BF296" s="3"/>
      <c r="BG296" s="3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2"/>
      <c r="DI296" s="2"/>
      <c r="DJ296" s="3"/>
      <c r="DK296" s="3"/>
      <c r="DL296" s="2"/>
      <c r="DM296" s="2"/>
      <c r="DN296" s="2"/>
      <c r="DO296" s="3"/>
      <c r="DP296" s="3"/>
      <c r="GO296" t="s">
        <v>144</v>
      </c>
      <c r="GP296" t="s">
        <v>135</v>
      </c>
      <c r="GQ296" t="s">
        <v>502</v>
      </c>
      <c r="GR296">
        <v>76</v>
      </c>
      <c r="GS296">
        <v>75</v>
      </c>
      <c r="GT296">
        <v>1</v>
      </c>
      <c r="GU296" t="s">
        <v>457</v>
      </c>
      <c r="GV296">
        <v>205107718.499062</v>
      </c>
      <c r="GW296">
        <v>1770741426.96382</v>
      </c>
      <c r="GX296">
        <v>1975849145.4628799</v>
      </c>
      <c r="GY296">
        <v>0</v>
      </c>
      <c r="GZ296">
        <v>1975849145.4628799</v>
      </c>
      <c r="HA296">
        <v>1975849145.4628799</v>
      </c>
      <c r="HB296">
        <v>0</v>
      </c>
      <c r="HC296">
        <v>0</v>
      </c>
      <c r="HD296" t="s">
        <v>137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0.05</v>
      </c>
      <c r="HX296">
        <v>0.97798234361883296</v>
      </c>
      <c r="HY296">
        <v>1</v>
      </c>
      <c r="HZ296">
        <v>300000</v>
      </c>
      <c r="IA296">
        <v>0</v>
      </c>
      <c r="IB296">
        <v>0</v>
      </c>
      <c r="IC296">
        <v>0</v>
      </c>
      <c r="ID296">
        <v>0</v>
      </c>
      <c r="IE296">
        <v>300000</v>
      </c>
      <c r="IF296">
        <v>293394.70308564999</v>
      </c>
      <c r="IG296">
        <v>293394.70308564999</v>
      </c>
      <c r="IH296">
        <v>0</v>
      </c>
      <c r="II296">
        <v>10240716.1897988</v>
      </c>
      <c r="IJ296">
        <v>88537071.348191097</v>
      </c>
      <c r="IK296">
        <v>0</v>
      </c>
      <c r="IL296">
        <v>0</v>
      </c>
      <c r="IM296">
        <v>0</v>
      </c>
      <c r="IN296">
        <v>215055039.98577499</v>
      </c>
      <c r="IO296">
        <v>1859278498.31201</v>
      </c>
      <c r="IP296">
        <v>2074333538.2977901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</row>
    <row r="297" spans="2:268" customFormat="1" x14ac:dyDescent="0.25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3"/>
      <c r="N297" s="3"/>
      <c r="O297" s="3"/>
      <c r="P297" s="2"/>
      <c r="Q297" s="2"/>
      <c r="R297" s="2"/>
      <c r="S297" s="2"/>
      <c r="T297" s="2"/>
      <c r="U297" s="2"/>
      <c r="V297" s="3"/>
      <c r="W297" s="3"/>
      <c r="X297" s="3"/>
      <c r="Y297" s="3"/>
      <c r="Z297" s="3"/>
      <c r="AA297" s="3"/>
      <c r="AB297" s="3"/>
      <c r="AC297" s="2"/>
      <c r="AD297" s="2"/>
      <c r="AE297" s="2"/>
      <c r="AF297" s="2"/>
      <c r="AG297" s="2"/>
      <c r="AH297" s="2"/>
      <c r="AI297" s="2"/>
      <c r="AJ297" s="3"/>
      <c r="AK297" s="2"/>
      <c r="AL297" s="2"/>
      <c r="AM297" s="2"/>
      <c r="AN297" s="2"/>
      <c r="AO297" s="3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3"/>
      <c r="BC297" s="3"/>
      <c r="BD297" s="3"/>
      <c r="BE297" s="3"/>
      <c r="BF297" s="3"/>
      <c r="BG297" s="3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2"/>
      <c r="DI297" s="2"/>
      <c r="DJ297" s="3"/>
      <c r="DK297" s="3"/>
      <c r="DL297" s="2"/>
      <c r="DM297" s="2"/>
      <c r="DN297" s="2"/>
      <c r="DO297" s="3"/>
      <c r="DP297" s="3"/>
      <c r="GO297" t="s">
        <v>144</v>
      </c>
      <c r="GP297" t="s">
        <v>135</v>
      </c>
      <c r="GQ297" t="s">
        <v>502</v>
      </c>
      <c r="GR297">
        <v>77</v>
      </c>
      <c r="GS297">
        <v>76</v>
      </c>
      <c r="GT297">
        <v>1</v>
      </c>
      <c r="GU297" t="s">
        <v>457</v>
      </c>
      <c r="GV297">
        <v>215055039.98577499</v>
      </c>
      <c r="GW297">
        <v>1859278498.31201</v>
      </c>
      <c r="GX297">
        <v>2074333538.2977901</v>
      </c>
      <c r="GY297">
        <v>0</v>
      </c>
      <c r="GZ297">
        <v>2074333538.2977901</v>
      </c>
      <c r="HA297">
        <v>2074333538.2977901</v>
      </c>
      <c r="HB297">
        <v>0</v>
      </c>
      <c r="HC297">
        <v>0</v>
      </c>
      <c r="HD297" t="s">
        <v>137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0.05</v>
      </c>
      <c r="HX297">
        <v>0.97798234361883296</v>
      </c>
      <c r="HY297">
        <v>1</v>
      </c>
      <c r="HZ297">
        <v>300000</v>
      </c>
      <c r="IA297">
        <v>0</v>
      </c>
      <c r="IB297">
        <v>0</v>
      </c>
      <c r="IC297">
        <v>0</v>
      </c>
      <c r="ID297">
        <v>0</v>
      </c>
      <c r="IE297">
        <v>300000</v>
      </c>
      <c r="IF297">
        <v>293394.70308564999</v>
      </c>
      <c r="IG297">
        <v>293394.70308564999</v>
      </c>
      <c r="IH297">
        <v>0</v>
      </c>
      <c r="II297">
        <v>10738082.2641345</v>
      </c>
      <c r="IJ297">
        <v>92963924.915600598</v>
      </c>
      <c r="IK297">
        <v>0</v>
      </c>
      <c r="IL297">
        <v>0</v>
      </c>
      <c r="IM297">
        <v>0</v>
      </c>
      <c r="IN297">
        <v>225499727.54682401</v>
      </c>
      <c r="IO297">
        <v>1952242423.2276101</v>
      </c>
      <c r="IP297">
        <v>2177742150.7744398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</row>
    <row r="298" spans="2:268" customFormat="1" x14ac:dyDescent="0.25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3"/>
      <c r="N298" s="3"/>
      <c r="O298" s="3"/>
      <c r="P298" s="2"/>
      <c r="Q298" s="2"/>
      <c r="R298" s="2"/>
      <c r="S298" s="2"/>
      <c r="T298" s="2"/>
      <c r="U298" s="2"/>
      <c r="V298" s="3"/>
      <c r="W298" s="3"/>
      <c r="X298" s="3"/>
      <c r="Y298" s="3"/>
      <c r="Z298" s="3"/>
      <c r="AA298" s="3"/>
      <c r="AB298" s="3"/>
      <c r="AC298" s="2"/>
      <c r="AD298" s="2"/>
      <c r="AE298" s="2"/>
      <c r="AF298" s="2"/>
      <c r="AG298" s="2"/>
      <c r="AH298" s="2"/>
      <c r="AI298" s="2"/>
      <c r="AJ298" s="3"/>
      <c r="AK298" s="2"/>
      <c r="AL298" s="2"/>
      <c r="AM298" s="2"/>
      <c r="AN298" s="2"/>
      <c r="AO298" s="3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3"/>
      <c r="BC298" s="3"/>
      <c r="BD298" s="3"/>
      <c r="BE298" s="3"/>
      <c r="BF298" s="3"/>
      <c r="BG298" s="3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2"/>
      <c r="DI298" s="2"/>
      <c r="DJ298" s="3"/>
      <c r="DK298" s="3"/>
      <c r="DL298" s="2"/>
      <c r="DM298" s="2"/>
      <c r="DN298" s="2"/>
      <c r="DO298" s="3"/>
      <c r="DP298" s="3"/>
      <c r="GO298" t="s">
        <v>144</v>
      </c>
      <c r="GP298" t="s">
        <v>135</v>
      </c>
      <c r="GQ298" t="s">
        <v>502</v>
      </c>
      <c r="GR298">
        <v>78</v>
      </c>
      <c r="GS298">
        <v>77</v>
      </c>
      <c r="GT298">
        <v>1</v>
      </c>
      <c r="GU298" t="s">
        <v>457</v>
      </c>
      <c r="GV298">
        <v>225499727.54682401</v>
      </c>
      <c r="GW298">
        <v>1952242423.2276101</v>
      </c>
      <c r="GX298">
        <v>2177742150.7744398</v>
      </c>
      <c r="GY298">
        <v>0</v>
      </c>
      <c r="GZ298">
        <v>2177742150.7744398</v>
      </c>
      <c r="HA298">
        <v>2177742150.7744398</v>
      </c>
      <c r="HB298">
        <v>0</v>
      </c>
      <c r="HC298">
        <v>0</v>
      </c>
      <c r="HD298" t="s">
        <v>137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0.05</v>
      </c>
      <c r="HX298">
        <v>0.97798234361883296</v>
      </c>
      <c r="HY298">
        <v>1</v>
      </c>
      <c r="HZ298">
        <v>300000</v>
      </c>
      <c r="IA298">
        <v>0</v>
      </c>
      <c r="IB298">
        <v>0</v>
      </c>
      <c r="IC298">
        <v>0</v>
      </c>
      <c r="ID298">
        <v>0</v>
      </c>
      <c r="IE298">
        <v>300000</v>
      </c>
      <c r="IF298">
        <v>293394.70308564999</v>
      </c>
      <c r="IG298">
        <v>293394.70308564999</v>
      </c>
      <c r="IH298">
        <v>0</v>
      </c>
      <c r="II298">
        <v>11260316.642186901</v>
      </c>
      <c r="IJ298">
        <v>97612121.161380604</v>
      </c>
      <c r="IK298">
        <v>0</v>
      </c>
      <c r="IL298">
        <v>0</v>
      </c>
      <c r="IM298">
        <v>0</v>
      </c>
      <c r="IN298">
        <v>236466649.48592499</v>
      </c>
      <c r="IO298">
        <v>2049854544.3889899</v>
      </c>
      <c r="IP298">
        <v>2286321193.8749199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</row>
    <row r="299" spans="2:268" customFormat="1" x14ac:dyDescent="0.25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3"/>
      <c r="N299" s="3"/>
      <c r="O299" s="3"/>
      <c r="P299" s="2"/>
      <c r="Q299" s="2"/>
      <c r="R299" s="2"/>
      <c r="S299" s="2"/>
      <c r="T299" s="2"/>
      <c r="U299" s="2"/>
      <c r="V299" s="3"/>
      <c r="W299" s="3"/>
      <c r="X299" s="3"/>
      <c r="Y299" s="3"/>
      <c r="Z299" s="3"/>
      <c r="AA299" s="3"/>
      <c r="AB299" s="3"/>
      <c r="AC299" s="2"/>
      <c r="AD299" s="2"/>
      <c r="AE299" s="2"/>
      <c r="AF299" s="2"/>
      <c r="AG299" s="2"/>
      <c r="AH299" s="2"/>
      <c r="AI299" s="2"/>
      <c r="AJ299" s="3"/>
      <c r="AK299" s="2"/>
      <c r="AL299" s="2"/>
      <c r="AM299" s="2"/>
      <c r="AN299" s="2"/>
      <c r="AO299" s="3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3"/>
      <c r="BC299" s="3"/>
      <c r="BD299" s="3"/>
      <c r="BE299" s="3"/>
      <c r="BF299" s="3"/>
      <c r="BG299" s="3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2"/>
      <c r="DI299" s="2"/>
      <c r="DJ299" s="3"/>
      <c r="DK299" s="3"/>
      <c r="DL299" s="2"/>
      <c r="DM299" s="2"/>
      <c r="DN299" s="2"/>
      <c r="DO299" s="3"/>
      <c r="DP299" s="3"/>
      <c r="GO299" t="s">
        <v>144</v>
      </c>
      <c r="GP299" t="s">
        <v>135</v>
      </c>
      <c r="GQ299" t="s">
        <v>502</v>
      </c>
      <c r="GR299">
        <v>79</v>
      </c>
      <c r="GS299">
        <v>78</v>
      </c>
      <c r="GT299">
        <v>1</v>
      </c>
      <c r="GU299" t="s">
        <v>457</v>
      </c>
      <c r="GV299">
        <v>236466649.48592499</v>
      </c>
      <c r="GW299">
        <v>2049854544.3889899</v>
      </c>
      <c r="GX299">
        <v>2286321193.8749199</v>
      </c>
      <c r="GY299">
        <v>0</v>
      </c>
      <c r="GZ299">
        <v>2286321193.8749199</v>
      </c>
      <c r="HA299">
        <v>2286321193.8749199</v>
      </c>
      <c r="HB299">
        <v>0</v>
      </c>
      <c r="HC299">
        <v>0</v>
      </c>
      <c r="HD299" t="s">
        <v>137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0.05</v>
      </c>
      <c r="HX299">
        <v>0.97798234361883296</v>
      </c>
      <c r="HY299">
        <v>1</v>
      </c>
      <c r="HZ299">
        <v>300000</v>
      </c>
      <c r="IA299">
        <v>0</v>
      </c>
      <c r="IB299">
        <v>0</v>
      </c>
      <c r="IC299">
        <v>0</v>
      </c>
      <c r="ID299">
        <v>0</v>
      </c>
      <c r="IE299">
        <v>300000</v>
      </c>
      <c r="IF299">
        <v>293394.70308564999</v>
      </c>
      <c r="IG299">
        <v>293394.70308564999</v>
      </c>
      <c r="IH299">
        <v>0</v>
      </c>
      <c r="II299">
        <v>11808662.739142001</v>
      </c>
      <c r="IJ299">
        <v>102492727.21945</v>
      </c>
      <c r="IK299">
        <v>0</v>
      </c>
      <c r="IL299">
        <v>0</v>
      </c>
      <c r="IM299">
        <v>0</v>
      </c>
      <c r="IN299">
        <v>247981917.521981</v>
      </c>
      <c r="IO299">
        <v>2152347271.6084399</v>
      </c>
      <c r="IP299">
        <v>2400329189.1304202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</row>
    <row r="300" spans="2:268" customFormat="1" x14ac:dyDescent="0.25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3"/>
      <c r="N300" s="3"/>
      <c r="O300" s="3"/>
      <c r="P300" s="2"/>
      <c r="Q300" s="2"/>
      <c r="R300" s="2"/>
      <c r="S300" s="2"/>
      <c r="T300" s="2"/>
      <c r="U300" s="2"/>
      <c r="V300" s="3"/>
      <c r="W300" s="3"/>
      <c r="X300" s="3"/>
      <c r="Y300" s="3"/>
      <c r="Z300" s="3"/>
      <c r="AA300" s="3"/>
      <c r="AB300" s="3"/>
      <c r="AC300" s="2"/>
      <c r="AD300" s="2"/>
      <c r="AE300" s="2"/>
      <c r="AF300" s="2"/>
      <c r="AG300" s="2"/>
      <c r="AH300" s="2"/>
      <c r="AI300" s="2"/>
      <c r="AJ300" s="3"/>
      <c r="AK300" s="2"/>
      <c r="AL300" s="2"/>
      <c r="AM300" s="2"/>
      <c r="AN300" s="2"/>
      <c r="AO300" s="3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3"/>
      <c r="BC300" s="3"/>
      <c r="BD300" s="3"/>
      <c r="BE300" s="3"/>
      <c r="BF300" s="3"/>
      <c r="BG300" s="3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2"/>
      <c r="DI300" s="2"/>
      <c r="DJ300" s="3"/>
      <c r="DK300" s="3"/>
      <c r="DL300" s="2"/>
      <c r="DM300" s="2"/>
      <c r="DN300" s="2"/>
      <c r="DO300" s="3"/>
      <c r="DP300" s="3"/>
      <c r="GO300" t="s">
        <v>144</v>
      </c>
      <c r="GP300" t="s">
        <v>135</v>
      </c>
      <c r="GQ300" t="s">
        <v>502</v>
      </c>
      <c r="GR300">
        <v>80</v>
      </c>
      <c r="GS300">
        <v>79</v>
      </c>
      <c r="GT300">
        <v>1</v>
      </c>
      <c r="GU300" t="s">
        <v>457</v>
      </c>
      <c r="GV300">
        <v>247981917.521981</v>
      </c>
      <c r="GW300">
        <v>2152347271.6084399</v>
      </c>
      <c r="GX300">
        <v>2400329189.1304202</v>
      </c>
      <c r="GY300">
        <v>0</v>
      </c>
      <c r="GZ300">
        <v>2400329189.1304202</v>
      </c>
      <c r="HA300">
        <v>2400329189.1304202</v>
      </c>
      <c r="HB300">
        <v>0</v>
      </c>
      <c r="HC300">
        <v>0</v>
      </c>
      <c r="HD300" t="s">
        <v>137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0.05</v>
      </c>
      <c r="HX300">
        <v>0.97798234361883296</v>
      </c>
      <c r="HY300">
        <v>1</v>
      </c>
      <c r="HZ300">
        <v>300000</v>
      </c>
      <c r="IA300">
        <v>0</v>
      </c>
      <c r="IB300">
        <v>0</v>
      </c>
      <c r="IC300">
        <v>0</v>
      </c>
      <c r="ID300">
        <v>0</v>
      </c>
      <c r="IE300">
        <v>300000</v>
      </c>
      <c r="IF300">
        <v>293394.70308564999</v>
      </c>
      <c r="IG300">
        <v>293394.70308564999</v>
      </c>
      <c r="IH300">
        <v>0</v>
      </c>
      <c r="II300">
        <v>12384426.140944799</v>
      </c>
      <c r="IJ300">
        <v>107617363.580422</v>
      </c>
      <c r="IK300">
        <v>0</v>
      </c>
      <c r="IL300">
        <v>0</v>
      </c>
      <c r="IM300">
        <v>0</v>
      </c>
      <c r="IN300">
        <v>260072948.95984101</v>
      </c>
      <c r="IO300">
        <v>2259964635.18887</v>
      </c>
      <c r="IP300">
        <v>2520037584.1487098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</row>
    <row r="301" spans="2:268" customFormat="1" x14ac:dyDescent="0.25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3"/>
      <c r="N301" s="3"/>
      <c r="O301" s="3"/>
      <c r="P301" s="2"/>
      <c r="Q301" s="2"/>
      <c r="R301" s="2"/>
      <c r="S301" s="2"/>
      <c r="T301" s="2"/>
      <c r="U301" s="2"/>
      <c r="V301" s="3"/>
      <c r="W301" s="3"/>
      <c r="X301" s="3"/>
      <c r="Y301" s="3"/>
      <c r="Z301" s="3"/>
      <c r="AA301" s="3"/>
      <c r="AB301" s="3"/>
      <c r="AC301" s="2"/>
      <c r="AD301" s="2"/>
      <c r="AE301" s="2"/>
      <c r="AF301" s="2"/>
      <c r="AG301" s="2"/>
      <c r="AH301" s="2"/>
      <c r="AI301" s="2"/>
      <c r="AJ301" s="3"/>
      <c r="AK301" s="2"/>
      <c r="AL301" s="2"/>
      <c r="AM301" s="2"/>
      <c r="AN301" s="2"/>
      <c r="AO301" s="3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3"/>
      <c r="BC301" s="3"/>
      <c r="BD301" s="3"/>
      <c r="BE301" s="3"/>
      <c r="BF301" s="3"/>
      <c r="BG301" s="3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2"/>
      <c r="DI301" s="2"/>
      <c r="DJ301" s="3"/>
      <c r="DK301" s="3"/>
      <c r="DL301" s="2"/>
      <c r="DM301" s="2"/>
      <c r="DN301" s="2"/>
      <c r="DO301" s="3"/>
      <c r="DP301" s="3"/>
      <c r="GO301" t="s">
        <v>144</v>
      </c>
      <c r="GP301" t="s">
        <v>135</v>
      </c>
      <c r="GQ301" t="s">
        <v>502</v>
      </c>
      <c r="GR301">
        <v>81</v>
      </c>
      <c r="GS301">
        <v>80</v>
      </c>
      <c r="GT301">
        <v>1</v>
      </c>
      <c r="GU301" t="s">
        <v>457</v>
      </c>
      <c r="GV301">
        <v>260072948.95984101</v>
      </c>
      <c r="GW301">
        <v>2259964635.18887</v>
      </c>
      <c r="GX301">
        <v>2520037584.1487098</v>
      </c>
      <c r="GY301">
        <v>0</v>
      </c>
      <c r="GZ301">
        <v>2520037584.1487098</v>
      </c>
      <c r="HA301">
        <v>2520037584.1487098</v>
      </c>
      <c r="HB301">
        <v>0</v>
      </c>
      <c r="HC301">
        <v>0</v>
      </c>
      <c r="HD301" t="s">
        <v>137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0.05</v>
      </c>
      <c r="HX301">
        <v>0.97798234361883296</v>
      </c>
      <c r="HY301">
        <v>1</v>
      </c>
      <c r="HZ301">
        <v>300000</v>
      </c>
      <c r="IA301">
        <v>0</v>
      </c>
      <c r="IB301">
        <v>0</v>
      </c>
      <c r="IC301">
        <v>0</v>
      </c>
      <c r="ID301">
        <v>0</v>
      </c>
      <c r="IE301">
        <v>300000</v>
      </c>
      <c r="IF301">
        <v>293394.70308564999</v>
      </c>
      <c r="IG301">
        <v>293394.70308564999</v>
      </c>
      <c r="IH301">
        <v>0</v>
      </c>
      <c r="II301">
        <v>12988977.7128377</v>
      </c>
      <c r="IJ301">
        <v>112998231.759443</v>
      </c>
      <c r="IK301">
        <v>0</v>
      </c>
      <c r="IL301">
        <v>0</v>
      </c>
      <c r="IM301">
        <v>0</v>
      </c>
      <c r="IN301">
        <v>272768531.96959299</v>
      </c>
      <c r="IO301">
        <v>2372962866.9483099</v>
      </c>
      <c r="IP301">
        <v>2645731398.9179001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</row>
    <row r="302" spans="2:268" customFormat="1" x14ac:dyDescent="0.25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3"/>
      <c r="N302" s="3"/>
      <c r="O302" s="3"/>
      <c r="P302" s="2"/>
      <c r="Q302" s="2"/>
      <c r="R302" s="2"/>
      <c r="S302" s="2"/>
      <c r="T302" s="2"/>
      <c r="U302" s="2"/>
      <c r="V302" s="3"/>
      <c r="W302" s="3"/>
      <c r="X302" s="3"/>
      <c r="Y302" s="3"/>
      <c r="Z302" s="3"/>
      <c r="AA302" s="3"/>
      <c r="AB302" s="3"/>
      <c r="AC302" s="2"/>
      <c r="AD302" s="2"/>
      <c r="AE302" s="2"/>
      <c r="AF302" s="2"/>
      <c r="AG302" s="2"/>
      <c r="AH302" s="2"/>
      <c r="AI302" s="2"/>
      <c r="AJ302" s="3"/>
      <c r="AK302" s="2"/>
      <c r="AL302" s="2"/>
      <c r="AM302" s="2"/>
      <c r="AN302" s="2"/>
      <c r="AO302" s="3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3"/>
      <c r="BC302" s="3"/>
      <c r="BD302" s="3"/>
      <c r="BE302" s="3"/>
      <c r="BF302" s="3"/>
      <c r="BG302" s="3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2"/>
      <c r="DI302" s="2"/>
      <c r="DJ302" s="3"/>
      <c r="DK302" s="3"/>
      <c r="DL302" s="2"/>
      <c r="DM302" s="2"/>
      <c r="DN302" s="2"/>
      <c r="DO302" s="3"/>
      <c r="DP302" s="3"/>
      <c r="GO302" t="s">
        <v>144</v>
      </c>
      <c r="GP302" t="s">
        <v>135</v>
      </c>
      <c r="GQ302" t="s">
        <v>502</v>
      </c>
      <c r="GR302">
        <v>82</v>
      </c>
      <c r="GS302">
        <v>81</v>
      </c>
      <c r="GT302">
        <v>1</v>
      </c>
      <c r="GU302" t="s">
        <v>457</v>
      </c>
      <c r="GV302">
        <v>272768531.96959299</v>
      </c>
      <c r="GW302">
        <v>2372962866.9483099</v>
      </c>
      <c r="GX302">
        <v>2645731398.9179001</v>
      </c>
      <c r="GY302">
        <v>0</v>
      </c>
      <c r="GZ302">
        <v>2645731398.9179001</v>
      </c>
      <c r="HA302">
        <v>2645731398.9179001</v>
      </c>
      <c r="HB302">
        <v>0</v>
      </c>
      <c r="HC302">
        <v>0</v>
      </c>
      <c r="HD302" t="s">
        <v>137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0.05</v>
      </c>
      <c r="HX302">
        <v>0.97798234361883296</v>
      </c>
      <c r="HY302">
        <v>1</v>
      </c>
      <c r="HZ302">
        <v>300000</v>
      </c>
      <c r="IA302">
        <v>0</v>
      </c>
      <c r="IB302">
        <v>0</v>
      </c>
      <c r="IC302">
        <v>0</v>
      </c>
      <c r="ID302">
        <v>0</v>
      </c>
      <c r="IE302">
        <v>300000</v>
      </c>
      <c r="IF302">
        <v>293394.70308564999</v>
      </c>
      <c r="IG302">
        <v>293394.70308564999</v>
      </c>
      <c r="IH302">
        <v>0</v>
      </c>
      <c r="II302">
        <v>13623756.8633253</v>
      </c>
      <c r="IJ302">
        <v>118648143.347415</v>
      </c>
      <c r="IK302">
        <v>0</v>
      </c>
      <c r="IL302">
        <v>0</v>
      </c>
      <c r="IM302">
        <v>0</v>
      </c>
      <c r="IN302">
        <v>286098894.12983203</v>
      </c>
      <c r="IO302">
        <v>2491611010.2957201</v>
      </c>
      <c r="IP302">
        <v>2777709904.42556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</row>
    <row r="303" spans="2:268" customFormat="1" x14ac:dyDescent="0.25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3"/>
      <c r="N303" s="3"/>
      <c r="O303" s="3"/>
      <c r="P303" s="2"/>
      <c r="Q303" s="2"/>
      <c r="R303" s="2"/>
      <c r="S303" s="2"/>
      <c r="T303" s="2"/>
      <c r="U303" s="2"/>
      <c r="V303" s="3"/>
      <c r="W303" s="3"/>
      <c r="X303" s="3"/>
      <c r="Y303" s="3"/>
      <c r="Z303" s="3"/>
      <c r="AA303" s="3"/>
      <c r="AB303" s="3"/>
      <c r="AC303" s="2"/>
      <c r="AD303" s="2"/>
      <c r="AE303" s="2"/>
      <c r="AF303" s="2"/>
      <c r="AG303" s="2"/>
      <c r="AH303" s="2"/>
      <c r="AI303" s="2"/>
      <c r="AJ303" s="3"/>
      <c r="AK303" s="2"/>
      <c r="AL303" s="2"/>
      <c r="AM303" s="2"/>
      <c r="AN303" s="2"/>
      <c r="AO303" s="3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3"/>
      <c r="BC303" s="3"/>
      <c r="BD303" s="3"/>
      <c r="BE303" s="3"/>
      <c r="BF303" s="3"/>
      <c r="BG303" s="3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2"/>
      <c r="DI303" s="2"/>
      <c r="DJ303" s="3"/>
      <c r="DK303" s="3"/>
      <c r="DL303" s="2"/>
      <c r="DM303" s="2"/>
      <c r="DN303" s="2"/>
      <c r="DO303" s="3"/>
      <c r="DP303" s="3"/>
      <c r="GO303" t="s">
        <v>144</v>
      </c>
      <c r="GP303" t="s">
        <v>135</v>
      </c>
      <c r="GQ303" t="s">
        <v>502</v>
      </c>
      <c r="GR303">
        <v>83</v>
      </c>
      <c r="GS303">
        <v>82</v>
      </c>
      <c r="GT303">
        <v>1</v>
      </c>
      <c r="GU303" t="s">
        <v>457</v>
      </c>
      <c r="GV303">
        <v>286098894.12983203</v>
      </c>
      <c r="GW303">
        <v>2491611010.2957201</v>
      </c>
      <c r="GX303">
        <v>2777709904.42556</v>
      </c>
      <c r="GY303">
        <v>0</v>
      </c>
      <c r="GZ303">
        <v>2777709904.42556</v>
      </c>
      <c r="HA303">
        <v>2777709904.42556</v>
      </c>
      <c r="HB303">
        <v>0</v>
      </c>
      <c r="HC303">
        <v>0</v>
      </c>
      <c r="HD303" t="s">
        <v>137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0.05</v>
      </c>
      <c r="HX303">
        <v>0.97798234361883296</v>
      </c>
      <c r="HY303">
        <v>1</v>
      </c>
      <c r="HZ303">
        <v>300000</v>
      </c>
      <c r="IA303">
        <v>0</v>
      </c>
      <c r="IB303">
        <v>0</v>
      </c>
      <c r="IC303">
        <v>0</v>
      </c>
      <c r="ID303">
        <v>0</v>
      </c>
      <c r="IE303">
        <v>300000</v>
      </c>
      <c r="IF303">
        <v>293394.70308564999</v>
      </c>
      <c r="IG303">
        <v>293394.70308564999</v>
      </c>
      <c r="IH303">
        <v>0</v>
      </c>
      <c r="II303">
        <v>14290274.9713373</v>
      </c>
      <c r="IJ303">
        <v>124580550.51478601</v>
      </c>
      <c r="IK303">
        <v>0</v>
      </c>
      <c r="IL303">
        <v>0</v>
      </c>
      <c r="IM303">
        <v>0</v>
      </c>
      <c r="IN303">
        <v>300095774.39808398</v>
      </c>
      <c r="IO303">
        <v>2616191560.8105102</v>
      </c>
      <c r="IP303">
        <v>2916287335.20859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</row>
    <row r="304" spans="2:268" customFormat="1" x14ac:dyDescent="0.25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3"/>
      <c r="N304" s="3"/>
      <c r="O304" s="3"/>
      <c r="P304" s="2"/>
      <c r="Q304" s="2"/>
      <c r="R304" s="2"/>
      <c r="S304" s="2"/>
      <c r="T304" s="2"/>
      <c r="U304" s="2"/>
      <c r="V304" s="3"/>
      <c r="W304" s="3"/>
      <c r="X304" s="3"/>
      <c r="Y304" s="3"/>
      <c r="Z304" s="3"/>
      <c r="AA304" s="3"/>
      <c r="AB304" s="3"/>
      <c r="AC304" s="2"/>
      <c r="AD304" s="2"/>
      <c r="AE304" s="2"/>
      <c r="AF304" s="2"/>
      <c r="AG304" s="2"/>
      <c r="AH304" s="2"/>
      <c r="AI304" s="2"/>
      <c r="AJ304" s="3"/>
      <c r="AK304" s="2"/>
      <c r="AL304" s="2"/>
      <c r="AM304" s="2"/>
      <c r="AN304" s="2"/>
      <c r="AO304" s="3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3"/>
      <c r="BC304" s="3"/>
      <c r="BD304" s="3"/>
      <c r="BE304" s="3"/>
      <c r="BF304" s="3"/>
      <c r="BG304" s="3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2"/>
      <c r="DI304" s="2"/>
      <c r="DJ304" s="3"/>
      <c r="DK304" s="3"/>
      <c r="DL304" s="2"/>
      <c r="DM304" s="2"/>
      <c r="DN304" s="2"/>
      <c r="DO304" s="3"/>
      <c r="DP304" s="3"/>
      <c r="GO304" t="s">
        <v>144</v>
      </c>
      <c r="GP304" t="s">
        <v>135</v>
      </c>
      <c r="GQ304" t="s">
        <v>502</v>
      </c>
      <c r="GR304">
        <v>84</v>
      </c>
      <c r="GS304">
        <v>83</v>
      </c>
      <c r="GT304">
        <v>1</v>
      </c>
      <c r="GU304" t="s">
        <v>457</v>
      </c>
      <c r="GV304">
        <v>300095774.39808398</v>
      </c>
      <c r="GW304">
        <v>2616191560.8105102</v>
      </c>
      <c r="GX304">
        <v>2916287335.20859</v>
      </c>
      <c r="GY304">
        <v>0</v>
      </c>
      <c r="GZ304">
        <v>2916287335.20859</v>
      </c>
      <c r="HA304">
        <v>2916287335.20859</v>
      </c>
      <c r="HB304">
        <v>0</v>
      </c>
      <c r="HC304">
        <v>0</v>
      </c>
      <c r="HD304" t="s">
        <v>137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0.05</v>
      </c>
      <c r="HX304">
        <v>0.97798234361883296</v>
      </c>
      <c r="HY304">
        <v>1</v>
      </c>
      <c r="HZ304">
        <v>300000</v>
      </c>
      <c r="IA304">
        <v>0</v>
      </c>
      <c r="IB304">
        <v>0</v>
      </c>
      <c r="IC304">
        <v>0</v>
      </c>
      <c r="ID304">
        <v>0</v>
      </c>
      <c r="IE304">
        <v>300000</v>
      </c>
      <c r="IF304">
        <v>293394.70308564999</v>
      </c>
      <c r="IG304">
        <v>293394.70308564999</v>
      </c>
      <c r="IH304">
        <v>0</v>
      </c>
      <c r="II304">
        <v>14990118.9847499</v>
      </c>
      <c r="IJ304">
        <v>130809578.040526</v>
      </c>
      <c r="IK304">
        <v>0</v>
      </c>
      <c r="IL304">
        <v>0</v>
      </c>
      <c r="IM304">
        <v>0</v>
      </c>
      <c r="IN304">
        <v>314792498.679748</v>
      </c>
      <c r="IO304">
        <v>2747001138.8510399</v>
      </c>
      <c r="IP304">
        <v>3061793637.5307798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</row>
    <row r="305" spans="2:268" customFormat="1" x14ac:dyDescent="0.25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3"/>
      <c r="N305" s="3"/>
      <c r="O305" s="3"/>
      <c r="P305" s="2"/>
      <c r="Q305" s="2"/>
      <c r="R305" s="2"/>
      <c r="S305" s="2"/>
      <c r="T305" s="2"/>
      <c r="U305" s="2"/>
      <c r="V305" s="3"/>
      <c r="W305" s="3"/>
      <c r="X305" s="3"/>
      <c r="Y305" s="3"/>
      <c r="Z305" s="3"/>
      <c r="AA305" s="3"/>
      <c r="AB305" s="3"/>
      <c r="AC305" s="2"/>
      <c r="AD305" s="2"/>
      <c r="AE305" s="2"/>
      <c r="AF305" s="2"/>
      <c r="AG305" s="2"/>
      <c r="AH305" s="2"/>
      <c r="AI305" s="2"/>
      <c r="AJ305" s="3"/>
      <c r="AK305" s="2"/>
      <c r="AL305" s="2"/>
      <c r="AM305" s="2"/>
      <c r="AN305" s="2"/>
      <c r="AO305" s="3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3"/>
      <c r="BC305" s="3"/>
      <c r="BD305" s="3"/>
      <c r="BE305" s="3"/>
      <c r="BF305" s="3"/>
      <c r="BG305" s="3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2"/>
      <c r="DI305" s="2"/>
      <c r="DJ305" s="3"/>
      <c r="DK305" s="3"/>
      <c r="DL305" s="2"/>
      <c r="DM305" s="2"/>
      <c r="DN305" s="2"/>
      <c r="DO305" s="3"/>
      <c r="DP305" s="3"/>
      <c r="GO305" t="s">
        <v>144</v>
      </c>
      <c r="GP305" t="s">
        <v>135</v>
      </c>
      <c r="GQ305" t="s">
        <v>502</v>
      </c>
      <c r="GR305">
        <v>85</v>
      </c>
      <c r="GS305">
        <v>84</v>
      </c>
      <c r="GT305">
        <v>1</v>
      </c>
      <c r="GU305" t="s">
        <v>457</v>
      </c>
      <c r="GV305">
        <v>314792498.679748</v>
      </c>
      <c r="GW305">
        <v>2747001138.8510399</v>
      </c>
      <c r="GX305">
        <v>3061793637.5307798</v>
      </c>
      <c r="GY305">
        <v>0</v>
      </c>
      <c r="GZ305">
        <v>3061793637.5307798</v>
      </c>
      <c r="HA305">
        <v>3061793637.5307798</v>
      </c>
      <c r="HB305">
        <v>0</v>
      </c>
      <c r="HC305">
        <v>0</v>
      </c>
      <c r="HD305" t="s">
        <v>137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0.05</v>
      </c>
      <c r="HX305">
        <v>0.97798234361883296</v>
      </c>
      <c r="HY305">
        <v>1</v>
      </c>
      <c r="HZ305">
        <v>300000</v>
      </c>
      <c r="IA305">
        <v>0</v>
      </c>
      <c r="IB305">
        <v>0</v>
      </c>
      <c r="IC305">
        <v>0</v>
      </c>
      <c r="ID305">
        <v>0</v>
      </c>
      <c r="IE305">
        <v>300000</v>
      </c>
      <c r="IF305">
        <v>293394.70308564999</v>
      </c>
      <c r="IG305">
        <v>293394.70308564999</v>
      </c>
      <c r="IH305">
        <v>0</v>
      </c>
      <c r="II305">
        <v>15724955.1988331</v>
      </c>
      <c r="IJ305">
        <v>137350056.942552</v>
      </c>
      <c r="IK305">
        <v>0</v>
      </c>
      <c r="IL305">
        <v>0</v>
      </c>
      <c r="IM305">
        <v>0</v>
      </c>
      <c r="IN305">
        <v>330224059.17549598</v>
      </c>
      <c r="IO305">
        <v>2884351195.7935901</v>
      </c>
      <c r="IP305">
        <v>3214575254.96908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</row>
    <row r="306" spans="2:268" customFormat="1" x14ac:dyDescent="0.25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3"/>
      <c r="N306" s="3"/>
      <c r="O306" s="3"/>
      <c r="P306" s="2"/>
      <c r="Q306" s="2"/>
      <c r="R306" s="2"/>
      <c r="S306" s="2"/>
      <c r="T306" s="2"/>
      <c r="U306" s="2"/>
      <c r="V306" s="3"/>
      <c r="W306" s="3"/>
      <c r="X306" s="3"/>
      <c r="Y306" s="3"/>
      <c r="Z306" s="3"/>
      <c r="AA306" s="3"/>
      <c r="AB306" s="3"/>
      <c r="AC306" s="2"/>
      <c r="AD306" s="2"/>
      <c r="AE306" s="2"/>
      <c r="AF306" s="2"/>
      <c r="AG306" s="2"/>
      <c r="AH306" s="2"/>
      <c r="AI306" s="2"/>
      <c r="AJ306" s="3"/>
      <c r="AK306" s="2"/>
      <c r="AL306" s="2"/>
      <c r="AM306" s="2"/>
      <c r="AN306" s="2"/>
      <c r="AO306" s="3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3"/>
      <c r="BC306" s="3"/>
      <c r="BD306" s="3"/>
      <c r="BE306" s="3"/>
      <c r="BF306" s="3"/>
      <c r="BG306" s="3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2"/>
      <c r="DI306" s="2"/>
      <c r="DJ306" s="3"/>
      <c r="DK306" s="3"/>
      <c r="DL306" s="2"/>
      <c r="DM306" s="2"/>
      <c r="DN306" s="2"/>
      <c r="DO306" s="3"/>
      <c r="DP306" s="3"/>
      <c r="GO306" t="s">
        <v>144</v>
      </c>
      <c r="GP306" t="s">
        <v>135</v>
      </c>
      <c r="GQ306" t="s">
        <v>502</v>
      </c>
      <c r="GR306">
        <v>86</v>
      </c>
      <c r="GS306">
        <v>85</v>
      </c>
      <c r="GT306">
        <v>1</v>
      </c>
      <c r="GU306" t="s">
        <v>457</v>
      </c>
      <c r="GV306">
        <v>330224059.17549598</v>
      </c>
      <c r="GW306">
        <v>2884351195.7935901</v>
      </c>
      <c r="GX306">
        <v>3214575254.96908</v>
      </c>
      <c r="GY306">
        <v>0</v>
      </c>
      <c r="GZ306">
        <v>3214575254.96908</v>
      </c>
      <c r="HA306">
        <v>3214575254.96908</v>
      </c>
      <c r="HB306">
        <v>0</v>
      </c>
      <c r="HC306">
        <v>0</v>
      </c>
      <c r="HD306" t="s">
        <v>137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0.05</v>
      </c>
      <c r="HX306">
        <v>0.97798234361883296</v>
      </c>
      <c r="HY306">
        <v>1</v>
      </c>
      <c r="HZ306">
        <v>300000</v>
      </c>
      <c r="IA306">
        <v>0</v>
      </c>
      <c r="IB306">
        <v>0</v>
      </c>
      <c r="IC306">
        <v>0</v>
      </c>
      <c r="ID306">
        <v>0</v>
      </c>
      <c r="IE306">
        <v>300000</v>
      </c>
      <c r="IF306">
        <v>293394.70308564999</v>
      </c>
      <c r="IG306">
        <v>293394.70308564999</v>
      </c>
      <c r="IH306">
        <v>0</v>
      </c>
      <c r="II306">
        <v>16496533.2236205</v>
      </c>
      <c r="IJ306">
        <v>144217559.78967899</v>
      </c>
      <c r="IK306">
        <v>0</v>
      </c>
      <c r="IL306">
        <v>0</v>
      </c>
      <c r="IM306">
        <v>0</v>
      </c>
      <c r="IN306">
        <v>346427197.69603002</v>
      </c>
      <c r="IO306">
        <v>3028568755.5832701</v>
      </c>
      <c r="IP306">
        <v>3374995953.2793002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</row>
    <row r="307" spans="2:268" customFormat="1" x14ac:dyDescent="0.25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3"/>
      <c r="N307" s="3"/>
      <c r="O307" s="3"/>
      <c r="P307" s="2"/>
      <c r="Q307" s="2"/>
      <c r="R307" s="2"/>
      <c r="S307" s="2"/>
      <c r="T307" s="2"/>
      <c r="U307" s="2"/>
      <c r="V307" s="3"/>
      <c r="W307" s="3"/>
      <c r="X307" s="3"/>
      <c r="Y307" s="3"/>
      <c r="Z307" s="3"/>
      <c r="AA307" s="3"/>
      <c r="AB307" s="3"/>
      <c r="AC307" s="2"/>
      <c r="AD307" s="2"/>
      <c r="AE307" s="2"/>
      <c r="AF307" s="2"/>
      <c r="AG307" s="2"/>
      <c r="AH307" s="2"/>
      <c r="AI307" s="2"/>
      <c r="AJ307" s="3"/>
      <c r="AK307" s="2"/>
      <c r="AL307" s="2"/>
      <c r="AM307" s="2"/>
      <c r="AN307" s="2"/>
      <c r="AO307" s="3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3"/>
      <c r="BC307" s="3"/>
      <c r="BD307" s="3"/>
      <c r="BE307" s="3"/>
      <c r="BF307" s="3"/>
      <c r="BG307" s="3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2"/>
      <c r="DI307" s="2"/>
      <c r="DJ307" s="3"/>
      <c r="DK307" s="3"/>
      <c r="DL307" s="2"/>
      <c r="DM307" s="2"/>
      <c r="DN307" s="2"/>
      <c r="DO307" s="3"/>
      <c r="DP307" s="3"/>
      <c r="GO307" t="s">
        <v>144</v>
      </c>
      <c r="GP307" t="s">
        <v>135</v>
      </c>
      <c r="GQ307" t="s">
        <v>502</v>
      </c>
      <c r="GR307">
        <v>87</v>
      </c>
      <c r="GS307">
        <v>86</v>
      </c>
      <c r="GT307">
        <v>1</v>
      </c>
      <c r="GU307" t="s">
        <v>457</v>
      </c>
      <c r="GV307">
        <v>346427197.69603002</v>
      </c>
      <c r="GW307">
        <v>3028568755.5832701</v>
      </c>
      <c r="GX307">
        <v>3374995953.2793002</v>
      </c>
      <c r="GY307">
        <v>0</v>
      </c>
      <c r="GZ307">
        <v>3374995953.2793002</v>
      </c>
      <c r="HA307">
        <v>3374995953.2793002</v>
      </c>
      <c r="HB307">
        <v>0</v>
      </c>
      <c r="HC307">
        <v>0</v>
      </c>
      <c r="HD307" t="s">
        <v>137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0.05</v>
      </c>
      <c r="HX307">
        <v>0.97798234361883296</v>
      </c>
      <c r="HY307">
        <v>1</v>
      </c>
      <c r="HZ307">
        <v>300000</v>
      </c>
      <c r="IA307">
        <v>0</v>
      </c>
      <c r="IB307">
        <v>0</v>
      </c>
      <c r="IC307">
        <v>0</v>
      </c>
      <c r="ID307">
        <v>0</v>
      </c>
      <c r="IE307">
        <v>300000</v>
      </c>
      <c r="IF307">
        <v>293394.70308564999</v>
      </c>
      <c r="IG307">
        <v>293394.70308564999</v>
      </c>
      <c r="IH307">
        <v>0</v>
      </c>
      <c r="II307">
        <v>17306690.149647199</v>
      </c>
      <c r="IJ307">
        <v>151428437.779163</v>
      </c>
      <c r="IK307">
        <v>0</v>
      </c>
      <c r="IL307">
        <v>0</v>
      </c>
      <c r="IM307">
        <v>0</v>
      </c>
      <c r="IN307">
        <v>363440493.14259201</v>
      </c>
      <c r="IO307">
        <v>3179997193.3624301</v>
      </c>
      <c r="IP307">
        <v>3543437686.5050201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</row>
    <row r="308" spans="2:268" customFormat="1" x14ac:dyDescent="0.25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3"/>
      <c r="N308" s="3"/>
      <c r="O308" s="3"/>
      <c r="P308" s="2"/>
      <c r="Q308" s="2"/>
      <c r="R308" s="2"/>
      <c r="S308" s="2"/>
      <c r="T308" s="2"/>
      <c r="U308" s="2"/>
      <c r="V308" s="3"/>
      <c r="W308" s="3"/>
      <c r="X308" s="3"/>
      <c r="Y308" s="3"/>
      <c r="Z308" s="3"/>
      <c r="AA308" s="3"/>
      <c r="AB308" s="3"/>
      <c r="AC308" s="2"/>
      <c r="AD308" s="2"/>
      <c r="AE308" s="2"/>
      <c r="AF308" s="2"/>
      <c r="AG308" s="2"/>
      <c r="AH308" s="2"/>
      <c r="AI308" s="2"/>
      <c r="AJ308" s="3"/>
      <c r="AK308" s="2"/>
      <c r="AL308" s="2"/>
      <c r="AM308" s="2"/>
      <c r="AN308" s="2"/>
      <c r="AO308" s="3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3"/>
      <c r="BC308" s="3"/>
      <c r="BD308" s="3"/>
      <c r="BE308" s="3"/>
      <c r="BF308" s="3"/>
      <c r="BG308" s="3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2"/>
      <c r="DI308" s="2"/>
      <c r="DJ308" s="3"/>
      <c r="DK308" s="3"/>
      <c r="DL308" s="2"/>
      <c r="DM308" s="2"/>
      <c r="DN308" s="2"/>
      <c r="DO308" s="3"/>
      <c r="DP308" s="3"/>
      <c r="GO308" t="s">
        <v>144</v>
      </c>
      <c r="GP308" t="s">
        <v>135</v>
      </c>
      <c r="GQ308" t="s">
        <v>502</v>
      </c>
      <c r="GR308">
        <v>88</v>
      </c>
      <c r="GS308">
        <v>87</v>
      </c>
      <c r="GT308">
        <v>1</v>
      </c>
      <c r="GU308" t="s">
        <v>457</v>
      </c>
      <c r="GV308">
        <v>363440493.14259201</v>
      </c>
      <c r="GW308">
        <v>3179997193.3624301</v>
      </c>
      <c r="GX308">
        <v>3543437686.5050201</v>
      </c>
      <c r="GY308">
        <v>0</v>
      </c>
      <c r="GZ308">
        <v>3543437686.5050201</v>
      </c>
      <c r="HA308">
        <v>3543437686.5050201</v>
      </c>
      <c r="HB308">
        <v>0</v>
      </c>
      <c r="HC308">
        <v>0</v>
      </c>
      <c r="HD308" t="s">
        <v>137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0.05</v>
      </c>
      <c r="HX308">
        <v>0.97798234361883296</v>
      </c>
      <c r="HY308">
        <v>1</v>
      </c>
      <c r="HZ308">
        <v>300000</v>
      </c>
      <c r="IA308">
        <v>0</v>
      </c>
      <c r="IB308">
        <v>0</v>
      </c>
      <c r="IC308">
        <v>0</v>
      </c>
      <c r="ID308">
        <v>0</v>
      </c>
      <c r="IE308">
        <v>300000</v>
      </c>
      <c r="IF308">
        <v>293394.70308564999</v>
      </c>
      <c r="IG308">
        <v>293394.70308564999</v>
      </c>
      <c r="IH308">
        <v>0</v>
      </c>
      <c r="II308">
        <v>18157354.9219753</v>
      </c>
      <c r="IJ308">
        <v>158999859.66812199</v>
      </c>
      <c r="IK308">
        <v>0</v>
      </c>
      <c r="IL308">
        <v>0</v>
      </c>
      <c r="IM308">
        <v>0</v>
      </c>
      <c r="IN308">
        <v>381304453.36148202</v>
      </c>
      <c r="IO308">
        <v>3338997053.03055</v>
      </c>
      <c r="IP308">
        <v>3720301506.3920298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</row>
    <row r="309" spans="2:268" customFormat="1" x14ac:dyDescent="0.25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3"/>
      <c r="N309" s="3"/>
      <c r="O309" s="3"/>
      <c r="P309" s="2"/>
      <c r="Q309" s="2"/>
      <c r="R309" s="2"/>
      <c r="S309" s="2"/>
      <c r="T309" s="2"/>
      <c r="U309" s="2"/>
      <c r="V309" s="3"/>
      <c r="W309" s="3"/>
      <c r="X309" s="3"/>
      <c r="Y309" s="3"/>
      <c r="Z309" s="3"/>
      <c r="AA309" s="3"/>
      <c r="AB309" s="3"/>
      <c r="AC309" s="2"/>
      <c r="AD309" s="2"/>
      <c r="AE309" s="2"/>
      <c r="AF309" s="2"/>
      <c r="AG309" s="2"/>
      <c r="AH309" s="2"/>
      <c r="AI309" s="2"/>
      <c r="AJ309" s="3"/>
      <c r="AK309" s="2"/>
      <c r="AL309" s="2"/>
      <c r="AM309" s="2"/>
      <c r="AN309" s="2"/>
      <c r="AO309" s="3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3"/>
      <c r="BC309" s="3"/>
      <c r="BD309" s="3"/>
      <c r="BE309" s="3"/>
      <c r="BF309" s="3"/>
      <c r="BG309" s="3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2"/>
      <c r="DI309" s="2"/>
      <c r="DJ309" s="3"/>
      <c r="DK309" s="3"/>
      <c r="DL309" s="2"/>
      <c r="DM309" s="2"/>
      <c r="DN309" s="2"/>
      <c r="DO309" s="3"/>
      <c r="DP309" s="3"/>
      <c r="GO309" t="s">
        <v>144</v>
      </c>
      <c r="GP309" t="s">
        <v>135</v>
      </c>
      <c r="GQ309" t="s">
        <v>502</v>
      </c>
      <c r="GR309">
        <v>89</v>
      </c>
      <c r="GS309">
        <v>88</v>
      </c>
      <c r="GT309">
        <v>1</v>
      </c>
      <c r="GU309" t="s">
        <v>457</v>
      </c>
      <c r="GV309">
        <v>381304453.36148202</v>
      </c>
      <c r="GW309">
        <v>3338997053.03055</v>
      </c>
      <c r="GX309">
        <v>3720301506.3920298</v>
      </c>
      <c r="GY309">
        <v>0</v>
      </c>
      <c r="GZ309">
        <v>3720301506.3920298</v>
      </c>
      <c r="HA309">
        <v>3720301506.3920298</v>
      </c>
      <c r="HB309">
        <v>0</v>
      </c>
      <c r="HC309">
        <v>0</v>
      </c>
      <c r="HD309" t="s">
        <v>137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0.05</v>
      </c>
      <c r="HX309">
        <v>0.97798234361883296</v>
      </c>
      <c r="HY309">
        <v>1</v>
      </c>
      <c r="HZ309">
        <v>300000</v>
      </c>
      <c r="IA309">
        <v>0</v>
      </c>
      <c r="IB309">
        <v>0</v>
      </c>
      <c r="IC309">
        <v>0</v>
      </c>
      <c r="ID309">
        <v>0</v>
      </c>
      <c r="IE309">
        <v>300000</v>
      </c>
      <c r="IF309">
        <v>293394.70308564999</v>
      </c>
      <c r="IG309">
        <v>293394.70308564999</v>
      </c>
      <c r="IH309">
        <v>0</v>
      </c>
      <c r="II309">
        <v>19050552.9329198</v>
      </c>
      <c r="IJ309">
        <v>166949852.651528</v>
      </c>
      <c r="IK309">
        <v>0</v>
      </c>
      <c r="IL309">
        <v>0</v>
      </c>
      <c r="IM309">
        <v>0</v>
      </c>
      <c r="IN309">
        <v>400061611.59131598</v>
      </c>
      <c r="IO309">
        <v>3505946905.6820798</v>
      </c>
      <c r="IP309">
        <v>3906008517.2733998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</row>
    <row r="310" spans="2:268" customFormat="1" x14ac:dyDescent="0.25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3"/>
      <c r="N310" s="3"/>
      <c r="O310" s="3"/>
      <c r="P310" s="2"/>
      <c r="Q310" s="2"/>
      <c r="R310" s="2"/>
      <c r="S310" s="2"/>
      <c r="T310" s="2"/>
      <c r="U310" s="2"/>
      <c r="V310" s="3"/>
      <c r="W310" s="3"/>
      <c r="X310" s="3"/>
      <c r="Y310" s="3"/>
      <c r="Z310" s="3"/>
      <c r="AA310" s="3"/>
      <c r="AB310" s="3"/>
      <c r="AC310" s="2"/>
      <c r="AD310" s="2"/>
      <c r="AE310" s="2"/>
      <c r="AF310" s="2"/>
      <c r="AG310" s="2"/>
      <c r="AH310" s="2"/>
      <c r="AI310" s="2"/>
      <c r="AJ310" s="3"/>
      <c r="AK310" s="2"/>
      <c r="AL310" s="2"/>
      <c r="AM310" s="2"/>
      <c r="AN310" s="2"/>
      <c r="AO310" s="3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3"/>
      <c r="BC310" s="3"/>
      <c r="BD310" s="3"/>
      <c r="BE310" s="3"/>
      <c r="BF310" s="3"/>
      <c r="BG310" s="3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2"/>
      <c r="DI310" s="2"/>
      <c r="DJ310" s="3"/>
      <c r="DK310" s="3"/>
      <c r="DL310" s="2"/>
      <c r="DM310" s="2"/>
      <c r="DN310" s="2"/>
      <c r="DO310" s="3"/>
      <c r="DP310" s="3"/>
      <c r="GO310" t="s">
        <v>144</v>
      </c>
      <c r="GP310" t="s">
        <v>135</v>
      </c>
      <c r="GQ310" t="s">
        <v>502</v>
      </c>
      <c r="GR310">
        <v>90</v>
      </c>
      <c r="GS310">
        <v>89</v>
      </c>
      <c r="GT310">
        <v>1</v>
      </c>
      <c r="GU310" t="s">
        <v>457</v>
      </c>
      <c r="GV310">
        <v>400061611.59131598</v>
      </c>
      <c r="GW310">
        <v>3505946905.6820798</v>
      </c>
      <c r="GX310">
        <v>3906008517.2733998</v>
      </c>
      <c r="GY310">
        <v>0</v>
      </c>
      <c r="GZ310">
        <v>3906008517.2733998</v>
      </c>
      <c r="HA310">
        <v>3906008517.2733998</v>
      </c>
      <c r="HB310">
        <v>0</v>
      </c>
      <c r="HC310">
        <v>0</v>
      </c>
      <c r="HD310" t="s">
        <v>137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0.05</v>
      </c>
      <c r="HX310">
        <v>0.97798234361883296</v>
      </c>
      <c r="HY310">
        <v>1</v>
      </c>
      <c r="HZ310">
        <v>300000</v>
      </c>
      <c r="IA310">
        <v>0</v>
      </c>
      <c r="IB310">
        <v>0</v>
      </c>
      <c r="IC310">
        <v>0</v>
      </c>
      <c r="ID310">
        <v>0</v>
      </c>
      <c r="IE310">
        <v>300000</v>
      </c>
      <c r="IF310">
        <v>293394.70308564999</v>
      </c>
      <c r="IG310">
        <v>293394.70308564999</v>
      </c>
      <c r="IH310">
        <v>0</v>
      </c>
      <c r="II310">
        <v>19988410.8444115</v>
      </c>
      <c r="IJ310">
        <v>175297345.28410399</v>
      </c>
      <c r="IK310">
        <v>0</v>
      </c>
      <c r="IL310">
        <v>0</v>
      </c>
      <c r="IM310">
        <v>0</v>
      </c>
      <c r="IN310">
        <v>419756627.73264199</v>
      </c>
      <c r="IO310">
        <v>3681244250.9661798</v>
      </c>
      <c r="IP310">
        <v>4101000878.6988201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</row>
    <row r="311" spans="2:268" customFormat="1" x14ac:dyDescent="0.25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  <c r="N311" s="3"/>
      <c r="O311" s="3"/>
      <c r="P311" s="2"/>
      <c r="Q311" s="2"/>
      <c r="R311" s="2"/>
      <c r="S311" s="2"/>
      <c r="T311" s="2"/>
      <c r="U311" s="2"/>
      <c r="V311" s="3"/>
      <c r="W311" s="3"/>
      <c r="X311" s="3"/>
      <c r="Y311" s="3"/>
      <c r="Z311" s="3"/>
      <c r="AA311" s="3"/>
      <c r="AB311" s="3"/>
      <c r="AC311" s="2"/>
      <c r="AD311" s="2"/>
      <c r="AE311" s="2"/>
      <c r="AF311" s="2"/>
      <c r="AG311" s="2"/>
      <c r="AH311" s="2"/>
      <c r="AI311" s="2"/>
      <c r="AJ311" s="3"/>
      <c r="AK311" s="2"/>
      <c r="AL311" s="2"/>
      <c r="AM311" s="2"/>
      <c r="AN311" s="2"/>
      <c r="AO311" s="3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3"/>
      <c r="BC311" s="3"/>
      <c r="BD311" s="3"/>
      <c r="BE311" s="3"/>
      <c r="BF311" s="3"/>
      <c r="BG311" s="3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2"/>
      <c r="DI311" s="2"/>
      <c r="DJ311" s="3"/>
      <c r="DK311" s="3"/>
      <c r="DL311" s="2"/>
      <c r="DM311" s="2"/>
      <c r="DN311" s="2"/>
      <c r="DO311" s="3"/>
      <c r="DP311" s="3"/>
      <c r="GO311" t="s">
        <v>144</v>
      </c>
      <c r="GP311" t="s">
        <v>135</v>
      </c>
      <c r="GQ311" t="s">
        <v>502</v>
      </c>
      <c r="GR311">
        <v>91</v>
      </c>
      <c r="GS311">
        <v>90</v>
      </c>
      <c r="GT311">
        <v>1</v>
      </c>
      <c r="GU311" t="s">
        <v>457</v>
      </c>
      <c r="GV311">
        <v>419756627.73264199</v>
      </c>
      <c r="GW311">
        <v>3681244250.9661798</v>
      </c>
      <c r="GX311">
        <v>4101000878.6988201</v>
      </c>
      <c r="GY311">
        <v>0</v>
      </c>
      <c r="GZ311">
        <v>4101000878.6988201</v>
      </c>
      <c r="HA311">
        <v>4101000878.6988201</v>
      </c>
      <c r="HB311">
        <v>0</v>
      </c>
      <c r="HC311">
        <v>0</v>
      </c>
      <c r="HD311" t="s">
        <v>137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0.05</v>
      </c>
      <c r="HX311">
        <v>0.97798234361883296</v>
      </c>
      <c r="HY311">
        <v>1</v>
      </c>
      <c r="HZ311">
        <v>300000</v>
      </c>
      <c r="IA311">
        <v>0</v>
      </c>
      <c r="IB311">
        <v>0</v>
      </c>
      <c r="IC311">
        <v>0</v>
      </c>
      <c r="ID311">
        <v>0</v>
      </c>
      <c r="IE311">
        <v>300000</v>
      </c>
      <c r="IF311">
        <v>293394.70308564999</v>
      </c>
      <c r="IG311">
        <v>293394.70308564999</v>
      </c>
      <c r="IH311">
        <v>0</v>
      </c>
      <c r="II311">
        <v>20973161.651477799</v>
      </c>
      <c r="IJ311">
        <v>184062212.548309</v>
      </c>
      <c r="IK311">
        <v>0</v>
      </c>
      <c r="IL311">
        <v>0</v>
      </c>
      <c r="IM311">
        <v>0</v>
      </c>
      <c r="IN311">
        <v>440436394.68103403</v>
      </c>
      <c r="IO311">
        <v>3865306463.5144901</v>
      </c>
      <c r="IP311">
        <v>4305742858.1955299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</row>
    <row r="312" spans="2:268" customFormat="1" x14ac:dyDescent="0.25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3"/>
      <c r="N312" s="3"/>
      <c r="O312" s="3"/>
      <c r="P312" s="2"/>
      <c r="Q312" s="2"/>
      <c r="R312" s="2"/>
      <c r="S312" s="2"/>
      <c r="T312" s="2"/>
      <c r="U312" s="2"/>
      <c r="V312" s="3"/>
      <c r="W312" s="3"/>
      <c r="X312" s="3"/>
      <c r="Y312" s="3"/>
      <c r="Z312" s="3"/>
      <c r="AA312" s="3"/>
      <c r="AB312" s="3"/>
      <c r="AC312" s="2"/>
      <c r="AD312" s="2"/>
      <c r="AE312" s="2"/>
      <c r="AF312" s="2"/>
      <c r="AG312" s="2"/>
      <c r="AH312" s="2"/>
      <c r="AI312" s="2"/>
      <c r="AJ312" s="3"/>
      <c r="AK312" s="2"/>
      <c r="AL312" s="2"/>
      <c r="AM312" s="2"/>
      <c r="AN312" s="2"/>
      <c r="AO312" s="3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3"/>
      <c r="BC312" s="3"/>
      <c r="BD312" s="3"/>
      <c r="BE312" s="3"/>
      <c r="BF312" s="3"/>
      <c r="BG312" s="3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2"/>
      <c r="DI312" s="2"/>
      <c r="DJ312" s="3"/>
      <c r="DK312" s="3"/>
      <c r="DL312" s="2"/>
      <c r="DM312" s="2"/>
      <c r="DN312" s="2"/>
      <c r="DO312" s="3"/>
      <c r="DP312" s="3"/>
      <c r="GO312" t="s">
        <v>144</v>
      </c>
      <c r="GP312" t="s">
        <v>135</v>
      </c>
      <c r="GQ312" t="s">
        <v>502</v>
      </c>
      <c r="GR312">
        <v>92</v>
      </c>
      <c r="GS312">
        <v>91</v>
      </c>
      <c r="GT312">
        <v>1</v>
      </c>
      <c r="GU312" t="s">
        <v>457</v>
      </c>
      <c r="GV312">
        <v>440436394.68103403</v>
      </c>
      <c r="GW312">
        <v>3865306463.5144901</v>
      </c>
      <c r="GX312">
        <v>4305742858.1955299</v>
      </c>
      <c r="GY312">
        <v>0</v>
      </c>
      <c r="GZ312">
        <v>4305742858.1955299</v>
      </c>
      <c r="HA312">
        <v>4305742858.1955299</v>
      </c>
      <c r="HB312">
        <v>0</v>
      </c>
      <c r="HC312">
        <v>0</v>
      </c>
      <c r="HD312" t="s">
        <v>137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0.05</v>
      </c>
      <c r="HX312">
        <v>0.97798234361883296</v>
      </c>
      <c r="HY312">
        <v>1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22021819.734051701</v>
      </c>
      <c r="IJ312">
        <v>193265323.17572501</v>
      </c>
      <c r="IK312">
        <v>0</v>
      </c>
      <c r="IL312">
        <v>0</v>
      </c>
      <c r="IM312">
        <v>0</v>
      </c>
      <c r="IN312">
        <v>462458214.41508597</v>
      </c>
      <c r="IO312">
        <v>4058571786.6902199</v>
      </c>
      <c r="IP312">
        <v>4521030001.1052999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</row>
    <row r="313" spans="2:268" customFormat="1" x14ac:dyDescent="0.25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3"/>
      <c r="N313" s="3"/>
      <c r="O313" s="3"/>
      <c r="P313" s="2"/>
      <c r="Q313" s="2"/>
      <c r="R313" s="2"/>
      <c r="S313" s="2"/>
      <c r="T313" s="2"/>
      <c r="U313" s="2"/>
      <c r="V313" s="3"/>
      <c r="W313" s="3"/>
      <c r="X313" s="3"/>
      <c r="Y313" s="3"/>
      <c r="Z313" s="3"/>
      <c r="AA313" s="3"/>
      <c r="AB313" s="3"/>
      <c r="AC313" s="2"/>
      <c r="AD313" s="2"/>
      <c r="AE313" s="2"/>
      <c r="AF313" s="2"/>
      <c r="AG313" s="2"/>
      <c r="AH313" s="2"/>
      <c r="AI313" s="2"/>
      <c r="AJ313" s="3"/>
      <c r="AK313" s="2"/>
      <c r="AL313" s="2"/>
      <c r="AM313" s="2"/>
      <c r="AN313" s="2"/>
      <c r="AO313" s="3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3"/>
      <c r="BC313" s="3"/>
      <c r="BD313" s="3"/>
      <c r="BE313" s="3"/>
      <c r="BF313" s="3"/>
      <c r="BG313" s="3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2"/>
      <c r="DI313" s="2"/>
      <c r="DJ313" s="3"/>
      <c r="DK313" s="3"/>
      <c r="DL313" s="2"/>
      <c r="DM313" s="2"/>
      <c r="DN313" s="2"/>
      <c r="DO313" s="3"/>
      <c r="DP313" s="3"/>
      <c r="GO313" t="s">
        <v>144</v>
      </c>
      <c r="GP313" t="s">
        <v>135</v>
      </c>
      <c r="GQ313" t="s">
        <v>502</v>
      </c>
      <c r="GR313">
        <v>93</v>
      </c>
      <c r="GS313">
        <v>92</v>
      </c>
      <c r="GT313">
        <v>1</v>
      </c>
      <c r="GU313" t="s">
        <v>457</v>
      </c>
      <c r="GV313">
        <v>462458214.41508597</v>
      </c>
      <c r="GW313">
        <v>4058571786.6902199</v>
      </c>
      <c r="GX313">
        <v>4521030001.1052999</v>
      </c>
      <c r="GY313">
        <v>0</v>
      </c>
      <c r="GZ313">
        <v>4521030001.1052999</v>
      </c>
      <c r="HA313">
        <v>4521030001.1052999</v>
      </c>
      <c r="HB313">
        <v>0</v>
      </c>
      <c r="HC313">
        <v>0</v>
      </c>
      <c r="HD313" t="s">
        <v>137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0.05</v>
      </c>
      <c r="HX313">
        <v>0.97798234361883296</v>
      </c>
      <c r="HY313">
        <v>1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23122910.720754299</v>
      </c>
      <c r="IJ313">
        <v>202928589.33451101</v>
      </c>
      <c r="IK313">
        <v>0</v>
      </c>
      <c r="IL313">
        <v>0</v>
      </c>
      <c r="IM313">
        <v>0</v>
      </c>
      <c r="IN313">
        <v>485581125.13584</v>
      </c>
      <c r="IO313">
        <v>4261500376.0247302</v>
      </c>
      <c r="IP313">
        <v>4747081501.1605701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</row>
    <row r="314" spans="2:268" customFormat="1" x14ac:dyDescent="0.25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3"/>
      <c r="N314" s="3"/>
      <c r="O314" s="3"/>
      <c r="P314" s="2"/>
      <c r="Q314" s="2"/>
      <c r="R314" s="2"/>
      <c r="S314" s="2"/>
      <c r="T314" s="2"/>
      <c r="U314" s="2"/>
      <c r="V314" s="3"/>
      <c r="W314" s="3"/>
      <c r="X314" s="3"/>
      <c r="Y314" s="3"/>
      <c r="Z314" s="3"/>
      <c r="AA314" s="3"/>
      <c r="AB314" s="3"/>
      <c r="AC314" s="2"/>
      <c r="AD314" s="2"/>
      <c r="AE314" s="2"/>
      <c r="AF314" s="2"/>
      <c r="AG314" s="2"/>
      <c r="AH314" s="2"/>
      <c r="AI314" s="2"/>
      <c r="AJ314" s="3"/>
      <c r="AK314" s="2"/>
      <c r="AL314" s="2"/>
      <c r="AM314" s="2"/>
      <c r="AN314" s="2"/>
      <c r="AO314" s="3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3"/>
      <c r="BC314" s="3"/>
      <c r="BD314" s="3"/>
      <c r="BE314" s="3"/>
      <c r="BF314" s="3"/>
      <c r="BG314" s="3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2"/>
      <c r="DI314" s="2"/>
      <c r="DJ314" s="3"/>
      <c r="DK314" s="3"/>
      <c r="DL314" s="2"/>
      <c r="DM314" s="2"/>
      <c r="DN314" s="2"/>
      <c r="DO314" s="3"/>
      <c r="DP314" s="3"/>
      <c r="GO314" t="s">
        <v>144</v>
      </c>
      <c r="GP314" t="s">
        <v>135</v>
      </c>
      <c r="GQ314" t="s">
        <v>502</v>
      </c>
      <c r="GR314">
        <v>94</v>
      </c>
      <c r="GS314">
        <v>93</v>
      </c>
      <c r="GT314">
        <v>1</v>
      </c>
      <c r="GU314" t="s">
        <v>457</v>
      </c>
      <c r="GV314">
        <v>485581125.13584</v>
      </c>
      <c r="GW314">
        <v>4261500376.0247302</v>
      </c>
      <c r="GX314">
        <v>4747081501.1605701</v>
      </c>
      <c r="GY314">
        <v>0</v>
      </c>
      <c r="GZ314">
        <v>4747081501.1605701</v>
      </c>
      <c r="HA314">
        <v>4747081501.1605701</v>
      </c>
      <c r="HB314">
        <v>0</v>
      </c>
      <c r="HC314">
        <v>0</v>
      </c>
      <c r="HD314" t="s">
        <v>137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0.05</v>
      </c>
      <c r="HX314">
        <v>0.97798234361883296</v>
      </c>
      <c r="HY314">
        <v>1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24279056.256792001</v>
      </c>
      <c r="IJ314">
        <v>213075018.801236</v>
      </c>
      <c r="IK314">
        <v>0</v>
      </c>
      <c r="IL314">
        <v>0</v>
      </c>
      <c r="IM314">
        <v>0</v>
      </c>
      <c r="IN314">
        <v>509860181.39263201</v>
      </c>
      <c r="IO314">
        <v>4474575394.8259602</v>
      </c>
      <c r="IP314">
        <v>4984435576.2186003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</row>
    <row r="315" spans="2:268" customFormat="1" x14ac:dyDescent="0.25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3"/>
      <c r="N315" s="3"/>
      <c r="O315" s="3"/>
      <c r="P315" s="2"/>
      <c r="Q315" s="2"/>
      <c r="R315" s="2"/>
      <c r="S315" s="2"/>
      <c r="T315" s="2"/>
      <c r="U315" s="2"/>
      <c r="V315" s="3"/>
      <c r="W315" s="3"/>
      <c r="X315" s="3"/>
      <c r="Y315" s="3"/>
      <c r="Z315" s="3"/>
      <c r="AA315" s="3"/>
      <c r="AB315" s="3"/>
      <c r="AC315" s="2"/>
      <c r="AD315" s="2"/>
      <c r="AE315" s="2"/>
      <c r="AF315" s="2"/>
      <c r="AG315" s="2"/>
      <c r="AH315" s="2"/>
      <c r="AI315" s="2"/>
      <c r="AJ315" s="3"/>
      <c r="AK315" s="2"/>
      <c r="AL315" s="2"/>
      <c r="AM315" s="2"/>
      <c r="AN315" s="2"/>
      <c r="AO315" s="3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3"/>
      <c r="BC315" s="3"/>
      <c r="BD315" s="3"/>
      <c r="BE315" s="3"/>
      <c r="BF315" s="3"/>
      <c r="BG315" s="3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2"/>
      <c r="DI315" s="2"/>
      <c r="DJ315" s="3"/>
      <c r="DK315" s="3"/>
      <c r="DL315" s="2"/>
      <c r="DM315" s="2"/>
      <c r="DN315" s="2"/>
      <c r="DO315" s="3"/>
      <c r="DP315" s="3"/>
      <c r="GO315" t="s">
        <v>144</v>
      </c>
      <c r="GP315" t="s">
        <v>135</v>
      </c>
      <c r="GQ315" t="s">
        <v>502</v>
      </c>
      <c r="GR315">
        <v>95</v>
      </c>
      <c r="GS315">
        <v>94</v>
      </c>
      <c r="GT315">
        <v>1</v>
      </c>
      <c r="GU315" t="s">
        <v>457</v>
      </c>
      <c r="GV315">
        <v>509860181.39263201</v>
      </c>
      <c r="GW315">
        <v>4474575394.8259602</v>
      </c>
      <c r="GX315">
        <v>4984435576.2186003</v>
      </c>
      <c r="GY315">
        <v>0</v>
      </c>
      <c r="GZ315">
        <v>4984435576.2186003</v>
      </c>
      <c r="HA315">
        <v>4984435576.2186003</v>
      </c>
      <c r="HB315">
        <v>0</v>
      </c>
      <c r="HC315">
        <v>0</v>
      </c>
      <c r="HD315" t="s">
        <v>137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0.05</v>
      </c>
      <c r="HX315">
        <v>0.97798234361883296</v>
      </c>
      <c r="HY315">
        <v>1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25493009.069631599</v>
      </c>
      <c r="IJ315">
        <v>223728769.74129799</v>
      </c>
      <c r="IK315">
        <v>0</v>
      </c>
      <c r="IL315">
        <v>0</v>
      </c>
      <c r="IM315">
        <v>0</v>
      </c>
      <c r="IN315">
        <v>535353190.46226299</v>
      </c>
      <c r="IO315">
        <v>4698304164.5672598</v>
      </c>
      <c r="IP315">
        <v>5233657355.0295296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</row>
    <row r="316" spans="2:268" customFormat="1" x14ac:dyDescent="0.25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3"/>
      <c r="N316" s="3"/>
      <c r="O316" s="3"/>
      <c r="P316" s="2"/>
      <c r="Q316" s="2"/>
      <c r="R316" s="2"/>
      <c r="S316" s="2"/>
      <c r="T316" s="2"/>
      <c r="U316" s="2"/>
      <c r="V316" s="3"/>
      <c r="W316" s="3"/>
      <c r="X316" s="3"/>
      <c r="Y316" s="3"/>
      <c r="Z316" s="3"/>
      <c r="AA316" s="3"/>
      <c r="AB316" s="3"/>
      <c r="AC316" s="2"/>
      <c r="AD316" s="2"/>
      <c r="AE316" s="2"/>
      <c r="AF316" s="2"/>
      <c r="AG316" s="2"/>
      <c r="AH316" s="2"/>
      <c r="AI316" s="2"/>
      <c r="AJ316" s="3"/>
      <c r="AK316" s="2"/>
      <c r="AL316" s="2"/>
      <c r="AM316" s="2"/>
      <c r="AN316" s="2"/>
      <c r="AO316" s="3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3"/>
      <c r="BC316" s="3"/>
      <c r="BD316" s="3"/>
      <c r="BE316" s="3"/>
      <c r="BF316" s="3"/>
      <c r="BG316" s="3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2"/>
      <c r="DI316" s="2"/>
      <c r="DJ316" s="3"/>
      <c r="DK316" s="3"/>
      <c r="DL316" s="2"/>
      <c r="DM316" s="2"/>
      <c r="DN316" s="2"/>
      <c r="DO316" s="3"/>
      <c r="DP316" s="3"/>
      <c r="GO316" t="s">
        <v>144</v>
      </c>
      <c r="GP316" t="s">
        <v>135</v>
      </c>
      <c r="GQ316" t="s">
        <v>502</v>
      </c>
      <c r="GR316">
        <v>96</v>
      </c>
      <c r="GS316">
        <v>95</v>
      </c>
      <c r="GT316">
        <v>1</v>
      </c>
      <c r="GU316" t="s">
        <v>457</v>
      </c>
      <c r="GV316">
        <v>535353190.46226299</v>
      </c>
      <c r="GW316">
        <v>4698304164.5672598</v>
      </c>
      <c r="GX316">
        <v>5233657355.0295296</v>
      </c>
      <c r="GY316">
        <v>0</v>
      </c>
      <c r="GZ316">
        <v>5233657355.0295296</v>
      </c>
      <c r="HA316">
        <v>5233657355.0295296</v>
      </c>
      <c r="HB316">
        <v>0</v>
      </c>
      <c r="HC316">
        <v>0</v>
      </c>
      <c r="HD316" t="s">
        <v>137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0.05</v>
      </c>
      <c r="HX316">
        <v>0.97798234361883296</v>
      </c>
      <c r="HY316">
        <v>1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26767659.523113199</v>
      </c>
      <c r="IJ316">
        <v>234915208.22836301</v>
      </c>
      <c r="IK316">
        <v>0</v>
      </c>
      <c r="IL316">
        <v>0</v>
      </c>
      <c r="IM316">
        <v>0</v>
      </c>
      <c r="IN316">
        <v>562120849.98537695</v>
      </c>
      <c r="IO316">
        <v>4933219372.7956305</v>
      </c>
      <c r="IP316">
        <v>5495340222.7810001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</row>
    <row r="317" spans="2:268" customFormat="1" x14ac:dyDescent="0.25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3"/>
      <c r="N317" s="3"/>
      <c r="O317" s="3"/>
      <c r="P317" s="2"/>
      <c r="Q317" s="2"/>
      <c r="R317" s="2"/>
      <c r="S317" s="2"/>
      <c r="T317" s="2"/>
      <c r="U317" s="2"/>
      <c r="V317" s="3"/>
      <c r="W317" s="3"/>
      <c r="X317" s="3"/>
      <c r="Y317" s="3"/>
      <c r="Z317" s="3"/>
      <c r="AA317" s="3"/>
      <c r="AB317" s="3"/>
      <c r="AC317" s="2"/>
      <c r="AD317" s="2"/>
      <c r="AE317" s="2"/>
      <c r="AF317" s="2"/>
      <c r="AG317" s="2"/>
      <c r="AH317" s="2"/>
      <c r="AI317" s="2"/>
      <c r="AJ317" s="3"/>
      <c r="AK317" s="2"/>
      <c r="AL317" s="2"/>
      <c r="AM317" s="2"/>
      <c r="AN317" s="2"/>
      <c r="AO317" s="3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3"/>
      <c r="BC317" s="3"/>
      <c r="BD317" s="3"/>
      <c r="BE317" s="3"/>
      <c r="BF317" s="3"/>
      <c r="BG317" s="3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2"/>
      <c r="DI317" s="2"/>
      <c r="DJ317" s="3"/>
      <c r="DK317" s="3"/>
      <c r="DL317" s="2"/>
      <c r="DM317" s="2"/>
      <c r="DN317" s="2"/>
      <c r="DO317" s="3"/>
      <c r="DP317" s="3"/>
      <c r="GO317" t="s">
        <v>144</v>
      </c>
      <c r="GP317" t="s">
        <v>135</v>
      </c>
      <c r="GQ317" t="s">
        <v>502</v>
      </c>
      <c r="GR317">
        <v>97</v>
      </c>
      <c r="GS317">
        <v>96</v>
      </c>
      <c r="GT317">
        <v>1</v>
      </c>
      <c r="GU317" t="s">
        <v>457</v>
      </c>
      <c r="GV317">
        <v>562120849.98537695</v>
      </c>
      <c r="GW317">
        <v>4933219372.7956305</v>
      </c>
      <c r="GX317">
        <v>5495340222.7810001</v>
      </c>
      <c r="GY317">
        <v>0</v>
      </c>
      <c r="GZ317">
        <v>5495340222.7810001</v>
      </c>
      <c r="HA317">
        <v>5495340222.7810001</v>
      </c>
      <c r="HB317">
        <v>0</v>
      </c>
      <c r="HC317">
        <v>0</v>
      </c>
      <c r="HD317" t="s">
        <v>137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0.05</v>
      </c>
      <c r="HX317">
        <v>0.97798234361883296</v>
      </c>
      <c r="HY317">
        <v>1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28106042.4992688</v>
      </c>
      <c r="IJ317">
        <v>246660968.639781</v>
      </c>
      <c r="IK317">
        <v>0</v>
      </c>
      <c r="IL317">
        <v>0</v>
      </c>
      <c r="IM317">
        <v>0</v>
      </c>
      <c r="IN317">
        <v>590226892.48464501</v>
      </c>
      <c r="IO317">
        <v>5179880341.4354095</v>
      </c>
      <c r="IP317">
        <v>5770107233.9200497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</row>
    <row r="318" spans="2:268" customFormat="1" x14ac:dyDescent="0.25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3"/>
      <c r="N318" s="3"/>
      <c r="O318" s="3"/>
      <c r="P318" s="2"/>
      <c r="Q318" s="2"/>
      <c r="R318" s="2"/>
      <c r="S318" s="2"/>
      <c r="T318" s="2"/>
      <c r="U318" s="2"/>
      <c r="V318" s="3"/>
      <c r="W318" s="3"/>
      <c r="X318" s="3"/>
      <c r="Y318" s="3"/>
      <c r="Z318" s="3"/>
      <c r="AA318" s="3"/>
      <c r="AB318" s="3"/>
      <c r="AC318" s="2"/>
      <c r="AD318" s="2"/>
      <c r="AE318" s="2"/>
      <c r="AF318" s="2"/>
      <c r="AG318" s="2"/>
      <c r="AH318" s="2"/>
      <c r="AI318" s="2"/>
      <c r="AJ318" s="3"/>
      <c r="AK318" s="2"/>
      <c r="AL318" s="2"/>
      <c r="AM318" s="2"/>
      <c r="AN318" s="2"/>
      <c r="AO318" s="3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3"/>
      <c r="BC318" s="3"/>
      <c r="BD318" s="3"/>
      <c r="BE318" s="3"/>
      <c r="BF318" s="3"/>
      <c r="BG318" s="3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2"/>
      <c r="DI318" s="2"/>
      <c r="DJ318" s="3"/>
      <c r="DK318" s="3"/>
      <c r="DL318" s="2"/>
      <c r="DM318" s="2"/>
      <c r="DN318" s="2"/>
      <c r="DO318" s="3"/>
      <c r="DP318" s="3"/>
      <c r="GO318" t="s">
        <v>144</v>
      </c>
      <c r="GP318" t="s">
        <v>135</v>
      </c>
      <c r="GQ318" t="s">
        <v>502</v>
      </c>
      <c r="GR318">
        <v>98</v>
      </c>
      <c r="GS318">
        <v>97</v>
      </c>
      <c r="GT318">
        <v>1</v>
      </c>
      <c r="GU318" t="s">
        <v>457</v>
      </c>
      <c r="GV318">
        <v>590226892.48464501</v>
      </c>
      <c r="GW318">
        <v>5179880341.4354095</v>
      </c>
      <c r="GX318">
        <v>5770107233.9200497</v>
      </c>
      <c r="GY318">
        <v>0</v>
      </c>
      <c r="GZ318">
        <v>5770107233.9200497</v>
      </c>
      <c r="HA318">
        <v>5770107233.9200497</v>
      </c>
      <c r="HB318">
        <v>0</v>
      </c>
      <c r="HC318">
        <v>0</v>
      </c>
      <c r="HD318" t="s">
        <v>137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0.05</v>
      </c>
      <c r="HX318">
        <v>0.97798234361883296</v>
      </c>
      <c r="HY318">
        <v>1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29511344.6242323</v>
      </c>
      <c r="IJ318">
        <v>258994017.07177001</v>
      </c>
      <c r="IK318">
        <v>0</v>
      </c>
      <c r="IL318">
        <v>0</v>
      </c>
      <c r="IM318">
        <v>0</v>
      </c>
      <c r="IN318">
        <v>619738237.10887802</v>
      </c>
      <c r="IO318">
        <v>5438874358.5071802</v>
      </c>
      <c r="IP318">
        <v>6058612595.6160498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</row>
    <row r="319" spans="2:268" customFormat="1" x14ac:dyDescent="0.25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3"/>
      <c r="N319" s="3"/>
      <c r="O319" s="3"/>
      <c r="P319" s="2"/>
      <c r="Q319" s="2"/>
      <c r="R319" s="2"/>
      <c r="S319" s="2"/>
      <c r="T319" s="2"/>
      <c r="U319" s="2"/>
      <c r="V319" s="3"/>
      <c r="W319" s="3"/>
      <c r="X319" s="3"/>
      <c r="Y319" s="3"/>
      <c r="Z319" s="3"/>
      <c r="AA319" s="3"/>
      <c r="AB319" s="3"/>
      <c r="AC319" s="2"/>
      <c r="AD319" s="2"/>
      <c r="AE319" s="2"/>
      <c r="AF319" s="2"/>
      <c r="AG319" s="2"/>
      <c r="AH319" s="2"/>
      <c r="AI319" s="2"/>
      <c r="AJ319" s="3"/>
      <c r="AK319" s="2"/>
      <c r="AL319" s="2"/>
      <c r="AM319" s="2"/>
      <c r="AN319" s="2"/>
      <c r="AO319" s="3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3"/>
      <c r="BC319" s="3"/>
      <c r="BD319" s="3"/>
      <c r="BE319" s="3"/>
      <c r="BF319" s="3"/>
      <c r="BG319" s="3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2"/>
      <c r="DI319" s="2"/>
      <c r="DJ319" s="3"/>
      <c r="DK319" s="3"/>
      <c r="DL319" s="2"/>
      <c r="DM319" s="2"/>
      <c r="DN319" s="2"/>
      <c r="DO319" s="3"/>
      <c r="DP319" s="3"/>
      <c r="GO319" t="s">
        <v>144</v>
      </c>
      <c r="GP319" t="s">
        <v>135</v>
      </c>
      <c r="GQ319" t="s">
        <v>502</v>
      </c>
      <c r="GR319">
        <v>99</v>
      </c>
      <c r="GS319">
        <v>98</v>
      </c>
      <c r="GT319">
        <v>1</v>
      </c>
      <c r="GU319" t="s">
        <v>457</v>
      </c>
      <c r="GV319">
        <v>619738237.10887802</v>
      </c>
      <c r="GW319">
        <v>5438874358.5071802</v>
      </c>
      <c r="GX319">
        <v>6058612595.6160498</v>
      </c>
      <c r="GY319">
        <v>0</v>
      </c>
      <c r="GZ319">
        <v>6058612595.6160498</v>
      </c>
      <c r="HA319">
        <v>6058612595.6160498</v>
      </c>
      <c r="HB319">
        <v>0</v>
      </c>
      <c r="HC319">
        <v>0</v>
      </c>
      <c r="HD319" t="s">
        <v>137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0.05</v>
      </c>
      <c r="HX319">
        <v>0.97798234361883296</v>
      </c>
      <c r="HY319">
        <v>1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30986911.855443899</v>
      </c>
      <c r="IJ319">
        <v>271943717.92535901</v>
      </c>
      <c r="IK319">
        <v>0</v>
      </c>
      <c r="IL319">
        <v>0</v>
      </c>
      <c r="IM319">
        <v>0</v>
      </c>
      <c r="IN319">
        <v>650725148.96432102</v>
      </c>
      <c r="IO319">
        <v>5710818076.4325399</v>
      </c>
      <c r="IP319">
        <v>6361543225.3968601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</row>
    <row r="320" spans="2:268" customFormat="1" x14ac:dyDescent="0.25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3"/>
      <c r="N320" s="3"/>
      <c r="O320" s="3"/>
      <c r="P320" s="2"/>
      <c r="Q320" s="2"/>
      <c r="R320" s="2"/>
      <c r="S320" s="2"/>
      <c r="T320" s="2"/>
      <c r="U320" s="2"/>
      <c r="V320" s="3"/>
      <c r="W320" s="3"/>
      <c r="X320" s="3"/>
      <c r="Y320" s="3"/>
      <c r="Z320" s="3"/>
      <c r="AA320" s="3"/>
      <c r="AB320" s="3"/>
      <c r="AC320" s="2"/>
      <c r="AD320" s="2"/>
      <c r="AE320" s="2"/>
      <c r="AF320" s="2"/>
      <c r="AG320" s="2"/>
      <c r="AH320" s="2"/>
      <c r="AI320" s="2"/>
      <c r="AJ320" s="3"/>
      <c r="AK320" s="2"/>
      <c r="AL320" s="2"/>
      <c r="AM320" s="2"/>
      <c r="AN320" s="2"/>
      <c r="AO320" s="3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3"/>
      <c r="BC320" s="3"/>
      <c r="BD320" s="3"/>
      <c r="BE320" s="3"/>
      <c r="BF320" s="3"/>
      <c r="BG320" s="3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2"/>
      <c r="DI320" s="2"/>
      <c r="DJ320" s="3"/>
      <c r="DK320" s="3"/>
      <c r="DL320" s="2"/>
      <c r="DM320" s="2"/>
      <c r="DN320" s="2"/>
      <c r="DO320" s="3"/>
      <c r="DP320" s="3"/>
      <c r="GO320" t="s">
        <v>144</v>
      </c>
      <c r="GP320" t="s">
        <v>135</v>
      </c>
      <c r="GQ320" t="s">
        <v>502</v>
      </c>
      <c r="GR320">
        <v>100</v>
      </c>
      <c r="GS320">
        <v>99</v>
      </c>
      <c r="GT320">
        <v>1</v>
      </c>
      <c r="GU320" t="s">
        <v>457</v>
      </c>
      <c r="GV320">
        <v>650725148.96432102</v>
      </c>
      <c r="GW320">
        <v>5710818076.4325399</v>
      </c>
      <c r="GX320">
        <v>6361543225.3968601</v>
      </c>
      <c r="GY320">
        <v>0</v>
      </c>
      <c r="GZ320">
        <v>6361543225.3968601</v>
      </c>
      <c r="HA320">
        <v>6361543225.3968601</v>
      </c>
      <c r="HB320">
        <v>0</v>
      </c>
      <c r="HC320">
        <v>0</v>
      </c>
      <c r="HD320" t="s">
        <v>137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0.05</v>
      </c>
      <c r="HX320">
        <v>0.97798234361883296</v>
      </c>
      <c r="HY320">
        <v>1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32536257.448216099</v>
      </c>
      <c r="IJ320">
        <v>285540903.82162702</v>
      </c>
      <c r="IK320">
        <v>0</v>
      </c>
      <c r="IL320">
        <v>0</v>
      </c>
      <c r="IM320">
        <v>0</v>
      </c>
      <c r="IN320">
        <v>683261406.41253805</v>
      </c>
      <c r="IO320">
        <v>5996358980.2541599</v>
      </c>
      <c r="IP320">
        <v>6679620386.6667004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</row>
    <row r="321" spans="2:268" customFormat="1" x14ac:dyDescent="0.25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3"/>
      <c r="N321" s="3"/>
      <c r="O321" s="3"/>
      <c r="P321" s="2"/>
      <c r="Q321" s="2"/>
      <c r="R321" s="2"/>
      <c r="S321" s="2"/>
      <c r="T321" s="2"/>
      <c r="U321" s="2"/>
      <c r="V321" s="3"/>
      <c r="W321" s="3"/>
      <c r="X321" s="3"/>
      <c r="Y321" s="3"/>
      <c r="Z321" s="3"/>
      <c r="AA321" s="3"/>
      <c r="AB321" s="3"/>
      <c r="AC321" s="2"/>
      <c r="AD321" s="2"/>
      <c r="AE321" s="2"/>
      <c r="AF321" s="2"/>
      <c r="AG321" s="2"/>
      <c r="AH321" s="2"/>
      <c r="AI321" s="2"/>
      <c r="AJ321" s="3"/>
      <c r="AK321" s="2"/>
      <c r="AL321" s="2"/>
      <c r="AM321" s="2"/>
      <c r="AN321" s="2"/>
      <c r="AO321" s="3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3"/>
      <c r="BC321" s="3"/>
      <c r="BD321" s="3"/>
      <c r="BE321" s="3"/>
      <c r="BF321" s="3"/>
      <c r="BG321" s="3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2"/>
      <c r="DI321" s="2"/>
      <c r="DJ321" s="3"/>
      <c r="DK321" s="3"/>
      <c r="DL321" s="2"/>
      <c r="DM321" s="2"/>
      <c r="DN321" s="2"/>
      <c r="DO321" s="3"/>
      <c r="DP321" s="3"/>
      <c r="GO321" t="s">
        <v>144</v>
      </c>
      <c r="GP321" t="s">
        <v>501</v>
      </c>
      <c r="GQ321" t="s">
        <v>502</v>
      </c>
      <c r="GR321">
        <v>1</v>
      </c>
      <c r="GS321">
        <v>0</v>
      </c>
      <c r="GT321">
        <v>1</v>
      </c>
      <c r="GU321" t="s">
        <v>136</v>
      </c>
      <c r="GV321">
        <v>0</v>
      </c>
      <c r="GW321">
        <v>0</v>
      </c>
      <c r="GX321">
        <v>0</v>
      </c>
      <c r="GY321">
        <v>1072000</v>
      </c>
      <c r="GZ321">
        <v>0</v>
      </c>
      <c r="HA321">
        <v>101000000</v>
      </c>
      <c r="HB321">
        <v>303000000</v>
      </c>
      <c r="HC321">
        <v>0</v>
      </c>
      <c r="HD321" t="s">
        <v>137</v>
      </c>
      <c r="HE321">
        <v>0</v>
      </c>
      <c r="HF321">
        <v>0</v>
      </c>
      <c r="HG321">
        <v>0</v>
      </c>
      <c r="HH321">
        <v>1072000</v>
      </c>
      <c r="HI321">
        <v>589600</v>
      </c>
      <c r="HJ321">
        <v>482400</v>
      </c>
      <c r="HK321">
        <v>5200000</v>
      </c>
      <c r="HL321">
        <v>104000</v>
      </c>
      <c r="HM321">
        <v>5096000</v>
      </c>
      <c r="HN321">
        <v>0</v>
      </c>
      <c r="HO321">
        <v>207000</v>
      </c>
      <c r="HP321">
        <v>207000</v>
      </c>
      <c r="HQ321">
        <v>4140</v>
      </c>
      <c r="HR321">
        <v>202860</v>
      </c>
      <c r="HS321">
        <v>6479000</v>
      </c>
      <c r="HT321">
        <v>697740</v>
      </c>
      <c r="HU321">
        <v>5781260</v>
      </c>
      <c r="HV321">
        <v>6479000</v>
      </c>
      <c r="HW321">
        <v>0.05</v>
      </c>
      <c r="HX321">
        <v>0.97798234361883296</v>
      </c>
      <c r="HY321">
        <v>1</v>
      </c>
      <c r="HZ321">
        <v>300000</v>
      </c>
      <c r="IA321">
        <v>189879.99999999901</v>
      </c>
      <c r="IB321">
        <v>142409.99999999901</v>
      </c>
      <c r="IC321">
        <v>202000</v>
      </c>
      <c r="ID321">
        <v>806989.99999999802</v>
      </c>
      <c r="IE321">
        <v>1106990</v>
      </c>
      <c r="IF321">
        <v>1082616.67456261</v>
      </c>
      <c r="IG321">
        <v>482400</v>
      </c>
      <c r="IH321">
        <v>600216.67456260999</v>
      </c>
      <c r="II321">
        <v>0</v>
      </c>
      <c r="IJ321">
        <v>234932.16627187</v>
      </c>
      <c r="IK321">
        <v>0</v>
      </c>
      <c r="IL321">
        <v>0</v>
      </c>
      <c r="IM321">
        <v>0</v>
      </c>
      <c r="IN321">
        <v>0</v>
      </c>
      <c r="IO321">
        <v>4933575.4917092603</v>
      </c>
      <c r="IP321">
        <v>4933575.4917092603</v>
      </c>
      <c r="IQ321">
        <v>536000</v>
      </c>
      <c r="IR321">
        <v>2600000</v>
      </c>
      <c r="IS321">
        <v>0</v>
      </c>
      <c r="IT321">
        <v>104000</v>
      </c>
      <c r="IU321">
        <v>104000</v>
      </c>
      <c r="IV321">
        <v>3240000</v>
      </c>
      <c r="IW321">
        <v>268000</v>
      </c>
      <c r="IX321">
        <v>1300000</v>
      </c>
      <c r="IY321">
        <v>0</v>
      </c>
      <c r="IZ321">
        <v>52000</v>
      </c>
      <c r="JA321">
        <v>52000</v>
      </c>
      <c r="JB321">
        <v>1620000</v>
      </c>
      <c r="JC321">
        <v>90000</v>
      </c>
      <c r="JD321">
        <v>434000</v>
      </c>
      <c r="JE321">
        <v>0</v>
      </c>
      <c r="JF321">
        <v>18000</v>
      </c>
      <c r="JG321">
        <v>18000</v>
      </c>
      <c r="JH321">
        <v>542000</v>
      </c>
    </row>
    <row r="322" spans="2:268" customFormat="1" x14ac:dyDescent="0.25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3"/>
      <c r="N322" s="3"/>
      <c r="O322" s="3"/>
      <c r="P322" s="2"/>
      <c r="Q322" s="2"/>
      <c r="R322" s="2"/>
      <c r="S322" s="2"/>
      <c r="T322" s="2"/>
      <c r="U322" s="2"/>
      <c r="V322" s="3"/>
      <c r="W322" s="3"/>
      <c r="X322" s="3"/>
      <c r="Y322" s="3"/>
      <c r="Z322" s="3"/>
      <c r="AA322" s="3"/>
      <c r="AB322" s="3"/>
      <c r="AC322" s="2"/>
      <c r="AD322" s="2"/>
      <c r="AE322" s="2"/>
      <c r="AF322" s="2"/>
      <c r="AG322" s="2"/>
      <c r="AH322" s="2"/>
      <c r="AI322" s="2"/>
      <c r="AJ322" s="3"/>
      <c r="AK322" s="2"/>
      <c r="AL322" s="2"/>
      <c r="AM322" s="2"/>
      <c r="AN322" s="2"/>
      <c r="AO322" s="3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3"/>
      <c r="BC322" s="3"/>
      <c r="BD322" s="3"/>
      <c r="BE322" s="3"/>
      <c r="BF322" s="3"/>
      <c r="BG322" s="3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2"/>
      <c r="DI322" s="2"/>
      <c r="DJ322" s="3"/>
      <c r="DK322" s="3"/>
      <c r="DL322" s="2"/>
      <c r="DM322" s="2"/>
      <c r="DN322" s="2"/>
      <c r="DO322" s="3"/>
      <c r="DP322" s="3"/>
      <c r="GO322" t="s">
        <v>144</v>
      </c>
      <c r="GP322" t="s">
        <v>501</v>
      </c>
      <c r="GQ322" t="s">
        <v>502</v>
      </c>
      <c r="GR322">
        <v>2</v>
      </c>
      <c r="GS322">
        <v>1</v>
      </c>
      <c r="GT322">
        <v>1</v>
      </c>
      <c r="GU322" t="s">
        <v>457</v>
      </c>
      <c r="GV322">
        <v>0</v>
      </c>
      <c r="GW322">
        <v>4933575.4917092603</v>
      </c>
      <c r="GX322">
        <v>4933575.4917092603</v>
      </c>
      <c r="GY322">
        <v>1072000</v>
      </c>
      <c r="GZ322">
        <v>4933575.4917092603</v>
      </c>
      <c r="HA322">
        <v>101000000</v>
      </c>
      <c r="HB322">
        <v>303000000</v>
      </c>
      <c r="HC322">
        <v>0</v>
      </c>
      <c r="HD322" t="s">
        <v>137</v>
      </c>
      <c r="HE322">
        <v>0</v>
      </c>
      <c r="HF322">
        <v>0</v>
      </c>
      <c r="HG322">
        <v>0</v>
      </c>
      <c r="HH322">
        <v>1072000</v>
      </c>
      <c r="HI322">
        <v>428800</v>
      </c>
      <c r="HJ322">
        <v>643200</v>
      </c>
      <c r="HK322">
        <v>5200000</v>
      </c>
      <c r="HL322">
        <v>104000</v>
      </c>
      <c r="HM322">
        <v>5096000</v>
      </c>
      <c r="HN322">
        <v>0</v>
      </c>
      <c r="HO322">
        <v>207000</v>
      </c>
      <c r="HP322">
        <v>207000</v>
      </c>
      <c r="HQ322">
        <v>4140</v>
      </c>
      <c r="HR322">
        <v>202860</v>
      </c>
      <c r="HS322">
        <v>6479000</v>
      </c>
      <c r="HT322">
        <v>536940</v>
      </c>
      <c r="HU322">
        <v>5942060</v>
      </c>
      <c r="HV322">
        <v>12958000</v>
      </c>
      <c r="HW322">
        <v>0.05</v>
      </c>
      <c r="HX322">
        <v>0.97798234361883296</v>
      </c>
      <c r="HY322">
        <v>1</v>
      </c>
      <c r="HZ322">
        <v>300000</v>
      </c>
      <c r="IA322">
        <v>80695.796586959594</v>
      </c>
      <c r="IB322">
        <v>60521.847440219703</v>
      </c>
      <c r="IC322">
        <v>192132.84901658099</v>
      </c>
      <c r="ID322">
        <v>606050.493043761</v>
      </c>
      <c r="IE322">
        <v>906050.493043761</v>
      </c>
      <c r="IF322">
        <v>886101.38462393603</v>
      </c>
      <c r="IG322">
        <v>643200</v>
      </c>
      <c r="IH322">
        <v>242901.384623936</v>
      </c>
      <c r="II322">
        <v>0</v>
      </c>
      <c r="IJ322">
        <v>499476.70535426599</v>
      </c>
      <c r="IK322">
        <v>0</v>
      </c>
      <c r="IL322">
        <v>0</v>
      </c>
      <c r="IM322">
        <v>0</v>
      </c>
      <c r="IN322">
        <v>0</v>
      </c>
      <c r="IO322">
        <v>10489010.8124396</v>
      </c>
      <c r="IP322">
        <v>10489010.8124396</v>
      </c>
      <c r="IQ322">
        <v>536000</v>
      </c>
      <c r="IR322">
        <v>2600000</v>
      </c>
      <c r="IS322">
        <v>0</v>
      </c>
      <c r="IT322">
        <v>104000</v>
      </c>
      <c r="IU322">
        <v>104000</v>
      </c>
      <c r="IV322">
        <v>3240000</v>
      </c>
      <c r="IW322">
        <v>268000</v>
      </c>
      <c r="IX322">
        <v>1300000</v>
      </c>
      <c r="IY322">
        <v>0</v>
      </c>
      <c r="IZ322">
        <v>52000</v>
      </c>
      <c r="JA322">
        <v>52000</v>
      </c>
      <c r="JB322">
        <v>1620000</v>
      </c>
      <c r="JC322">
        <v>90000</v>
      </c>
      <c r="JD322">
        <v>434000</v>
      </c>
      <c r="JE322">
        <v>0</v>
      </c>
      <c r="JF322">
        <v>18000</v>
      </c>
      <c r="JG322">
        <v>18000</v>
      </c>
      <c r="JH322">
        <v>542000</v>
      </c>
    </row>
    <row r="323" spans="2:268" customFormat="1" x14ac:dyDescent="0.25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3"/>
      <c r="N323" s="3"/>
      <c r="O323" s="3"/>
      <c r="P323" s="2"/>
      <c r="Q323" s="2"/>
      <c r="R323" s="2"/>
      <c r="S323" s="2"/>
      <c r="T323" s="2"/>
      <c r="U323" s="2"/>
      <c r="V323" s="3"/>
      <c r="W323" s="3"/>
      <c r="X323" s="3"/>
      <c r="Y323" s="3"/>
      <c r="Z323" s="3"/>
      <c r="AA323" s="3"/>
      <c r="AB323" s="3"/>
      <c r="AC323" s="2"/>
      <c r="AD323" s="2"/>
      <c r="AE323" s="2"/>
      <c r="AF323" s="2"/>
      <c r="AG323" s="2"/>
      <c r="AH323" s="2"/>
      <c r="AI323" s="2"/>
      <c r="AJ323" s="3"/>
      <c r="AK323" s="2"/>
      <c r="AL323" s="2"/>
      <c r="AM323" s="2"/>
      <c r="AN323" s="2"/>
      <c r="AO323" s="3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3"/>
      <c r="BC323" s="3"/>
      <c r="BD323" s="3"/>
      <c r="BE323" s="3"/>
      <c r="BF323" s="3"/>
      <c r="BG323" s="3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2"/>
      <c r="DI323" s="2"/>
      <c r="DJ323" s="3"/>
      <c r="DK323" s="3"/>
      <c r="DL323" s="2"/>
      <c r="DM323" s="2"/>
      <c r="DN323" s="2"/>
      <c r="DO323" s="3"/>
      <c r="DP323" s="3"/>
      <c r="GO323" t="s">
        <v>144</v>
      </c>
      <c r="GP323" t="s">
        <v>501</v>
      </c>
      <c r="GQ323" t="s">
        <v>502</v>
      </c>
      <c r="GR323">
        <v>3</v>
      </c>
      <c r="GS323">
        <v>2</v>
      </c>
      <c r="GT323">
        <v>1</v>
      </c>
      <c r="GU323" t="s">
        <v>457</v>
      </c>
      <c r="GV323">
        <v>0</v>
      </c>
      <c r="GW323">
        <v>10489010.8124396</v>
      </c>
      <c r="GX323">
        <v>10489010.8124396</v>
      </c>
      <c r="GY323">
        <v>1072000</v>
      </c>
      <c r="GZ323">
        <v>10489010.8124396</v>
      </c>
      <c r="HA323">
        <v>101000000</v>
      </c>
      <c r="HB323">
        <v>303000000</v>
      </c>
      <c r="HC323">
        <v>0</v>
      </c>
      <c r="HD323" t="s">
        <v>137</v>
      </c>
      <c r="HE323">
        <v>0</v>
      </c>
      <c r="HF323">
        <v>0</v>
      </c>
      <c r="HG323">
        <v>0</v>
      </c>
      <c r="HH323">
        <v>1072000</v>
      </c>
      <c r="HI323">
        <v>268000</v>
      </c>
      <c r="HJ323">
        <v>804000</v>
      </c>
      <c r="HK323">
        <v>5200000</v>
      </c>
      <c r="HL323">
        <v>104000</v>
      </c>
      <c r="HM323">
        <v>5096000</v>
      </c>
      <c r="HN323">
        <v>0</v>
      </c>
      <c r="HO323">
        <v>207000</v>
      </c>
      <c r="HP323">
        <v>207000</v>
      </c>
      <c r="HQ323">
        <v>4140</v>
      </c>
      <c r="HR323">
        <v>202860</v>
      </c>
      <c r="HS323">
        <v>6479000</v>
      </c>
      <c r="HT323">
        <v>376140</v>
      </c>
      <c r="HU323">
        <v>6102860</v>
      </c>
      <c r="HV323">
        <v>19437000</v>
      </c>
      <c r="HW323">
        <v>0.05</v>
      </c>
      <c r="HX323">
        <v>0.97798234361883296</v>
      </c>
      <c r="HY323">
        <v>1</v>
      </c>
      <c r="HZ323">
        <v>300000</v>
      </c>
      <c r="IA323">
        <v>72408.791350050393</v>
      </c>
      <c r="IB323">
        <v>54306.593512537802</v>
      </c>
      <c r="IC323">
        <v>181021.97837512099</v>
      </c>
      <c r="ID323">
        <v>580437.36323770904</v>
      </c>
      <c r="IE323">
        <v>880437.36323770904</v>
      </c>
      <c r="IF323">
        <v>861052.1959088</v>
      </c>
      <c r="IG323">
        <v>804000</v>
      </c>
      <c r="IH323">
        <v>57052.195908800299</v>
      </c>
      <c r="II323">
        <v>0</v>
      </c>
      <c r="IJ323">
        <v>786540.93082653999</v>
      </c>
      <c r="IK323">
        <v>0</v>
      </c>
      <c r="IL323">
        <v>0</v>
      </c>
      <c r="IM323">
        <v>0</v>
      </c>
      <c r="IN323">
        <v>0</v>
      </c>
      <c r="IO323">
        <v>16517359.5473573</v>
      </c>
      <c r="IP323">
        <v>16517359.5473573</v>
      </c>
      <c r="IQ323">
        <v>536000</v>
      </c>
      <c r="IR323">
        <v>2600000</v>
      </c>
      <c r="IS323">
        <v>0</v>
      </c>
      <c r="IT323">
        <v>104000</v>
      </c>
      <c r="IU323">
        <v>104000</v>
      </c>
      <c r="IV323">
        <v>3240000</v>
      </c>
      <c r="IW323">
        <v>268000</v>
      </c>
      <c r="IX323">
        <v>1300000</v>
      </c>
      <c r="IY323">
        <v>0</v>
      </c>
      <c r="IZ323">
        <v>52000</v>
      </c>
      <c r="JA323">
        <v>52000</v>
      </c>
      <c r="JB323">
        <v>1620000</v>
      </c>
      <c r="JC323">
        <v>90000</v>
      </c>
      <c r="JD323">
        <v>434000</v>
      </c>
      <c r="JE323">
        <v>0</v>
      </c>
      <c r="JF323">
        <v>18000</v>
      </c>
      <c r="JG323">
        <v>18000</v>
      </c>
      <c r="JH323">
        <v>542000</v>
      </c>
    </row>
    <row r="324" spans="2:268" customFormat="1" x14ac:dyDescent="0.25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3"/>
      <c r="N324" s="3"/>
      <c r="O324" s="3"/>
      <c r="P324" s="2"/>
      <c r="Q324" s="2"/>
      <c r="R324" s="2"/>
      <c r="S324" s="2"/>
      <c r="T324" s="2"/>
      <c r="U324" s="2"/>
      <c r="V324" s="3"/>
      <c r="W324" s="3"/>
      <c r="X324" s="3"/>
      <c r="Y324" s="3"/>
      <c r="Z324" s="3"/>
      <c r="AA324" s="3"/>
      <c r="AB324" s="3"/>
      <c r="AC324" s="2"/>
      <c r="AD324" s="2"/>
      <c r="AE324" s="2"/>
      <c r="AF324" s="2"/>
      <c r="AG324" s="2"/>
      <c r="AH324" s="2"/>
      <c r="AI324" s="2"/>
      <c r="AJ324" s="3"/>
      <c r="AK324" s="2"/>
      <c r="AL324" s="2"/>
      <c r="AM324" s="2"/>
      <c r="AN324" s="2"/>
      <c r="AO324" s="3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3"/>
      <c r="BC324" s="3"/>
      <c r="BD324" s="3"/>
      <c r="BE324" s="3"/>
      <c r="BF324" s="3"/>
      <c r="BG324" s="3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2"/>
      <c r="DI324" s="2"/>
      <c r="DJ324" s="3"/>
      <c r="DK324" s="3"/>
      <c r="DL324" s="2"/>
      <c r="DM324" s="2"/>
      <c r="DN324" s="2"/>
      <c r="DO324" s="3"/>
      <c r="DP324" s="3"/>
      <c r="GO324" t="s">
        <v>144</v>
      </c>
      <c r="GP324" t="s">
        <v>501</v>
      </c>
      <c r="GQ324" t="s">
        <v>502</v>
      </c>
      <c r="GR324">
        <v>4</v>
      </c>
      <c r="GS324">
        <v>3</v>
      </c>
      <c r="GT324">
        <v>1</v>
      </c>
      <c r="GU324" t="s">
        <v>457</v>
      </c>
      <c r="GV324">
        <v>0</v>
      </c>
      <c r="GW324">
        <v>16517359.5473573</v>
      </c>
      <c r="GX324">
        <v>16517359.5473573</v>
      </c>
      <c r="GY324">
        <v>1072000</v>
      </c>
      <c r="GZ324">
        <v>16517359.5473573</v>
      </c>
      <c r="HA324">
        <v>101000000</v>
      </c>
      <c r="HB324">
        <v>303000000</v>
      </c>
      <c r="HC324">
        <v>0</v>
      </c>
      <c r="HD324" t="s">
        <v>137</v>
      </c>
      <c r="HE324">
        <v>0</v>
      </c>
      <c r="HF324">
        <v>0</v>
      </c>
      <c r="HG324">
        <v>0</v>
      </c>
      <c r="HH324">
        <v>1072000</v>
      </c>
      <c r="HI324">
        <v>214400</v>
      </c>
      <c r="HJ324">
        <v>857600</v>
      </c>
      <c r="HK324">
        <v>5200000</v>
      </c>
      <c r="HL324">
        <v>104000</v>
      </c>
      <c r="HM324">
        <v>5096000</v>
      </c>
      <c r="HN324">
        <v>0</v>
      </c>
      <c r="HO324">
        <v>207000</v>
      </c>
      <c r="HP324">
        <v>207000</v>
      </c>
      <c r="HQ324">
        <v>4140</v>
      </c>
      <c r="HR324">
        <v>202860</v>
      </c>
      <c r="HS324">
        <v>6479000</v>
      </c>
      <c r="HT324">
        <v>322540</v>
      </c>
      <c r="HU324">
        <v>6156460</v>
      </c>
      <c r="HV324">
        <v>25916000</v>
      </c>
      <c r="HW324">
        <v>0.05</v>
      </c>
      <c r="HX324">
        <v>0.97798234361883296</v>
      </c>
      <c r="HY324">
        <v>1</v>
      </c>
      <c r="HZ324">
        <v>300000</v>
      </c>
      <c r="IA324">
        <v>65896.459553061504</v>
      </c>
      <c r="IB324">
        <v>49422.344664796197</v>
      </c>
      <c r="IC324">
        <v>168965.28090528501</v>
      </c>
      <c r="ID324">
        <v>556984.08512314304</v>
      </c>
      <c r="IE324">
        <v>856984.08512314304</v>
      </c>
      <c r="IF324">
        <v>838115.30401277298</v>
      </c>
      <c r="IG324">
        <v>838115.30401277298</v>
      </c>
      <c r="IH324">
        <v>0</v>
      </c>
      <c r="II324">
        <v>974.23479936136903</v>
      </c>
      <c r="IJ324">
        <v>1090810.97736787</v>
      </c>
      <c r="IK324">
        <v>64320</v>
      </c>
      <c r="IL324">
        <v>0</v>
      </c>
      <c r="IM324">
        <v>64320</v>
      </c>
      <c r="IN324">
        <v>84778.930786588695</v>
      </c>
      <c r="IO324">
        <v>22907030.524725199</v>
      </c>
      <c r="IP324">
        <v>22991809.455511801</v>
      </c>
      <c r="IQ324">
        <v>536000</v>
      </c>
      <c r="IR324">
        <v>2600000</v>
      </c>
      <c r="IS324">
        <v>0</v>
      </c>
      <c r="IT324">
        <v>104000</v>
      </c>
      <c r="IU324">
        <v>104000</v>
      </c>
      <c r="IV324">
        <v>3240000</v>
      </c>
      <c r="IW324">
        <v>268000</v>
      </c>
      <c r="IX324">
        <v>1300000</v>
      </c>
      <c r="IY324">
        <v>0</v>
      </c>
      <c r="IZ324">
        <v>52000</v>
      </c>
      <c r="JA324">
        <v>52000</v>
      </c>
      <c r="JB324">
        <v>1620000</v>
      </c>
      <c r="JC324">
        <v>90000</v>
      </c>
      <c r="JD324">
        <v>434000</v>
      </c>
      <c r="JE324">
        <v>0</v>
      </c>
      <c r="JF324">
        <v>18000</v>
      </c>
      <c r="JG324">
        <v>18000</v>
      </c>
      <c r="JH324">
        <v>542000</v>
      </c>
    </row>
    <row r="325" spans="2:268" customFormat="1" x14ac:dyDescent="0.25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3"/>
      <c r="N325" s="3"/>
      <c r="O325" s="3"/>
      <c r="P325" s="2"/>
      <c r="Q325" s="2"/>
      <c r="R325" s="2"/>
      <c r="S325" s="2"/>
      <c r="T325" s="2"/>
      <c r="U325" s="2"/>
      <c r="V325" s="3"/>
      <c r="W325" s="3"/>
      <c r="X325" s="3"/>
      <c r="Y325" s="3"/>
      <c r="Z325" s="3"/>
      <c r="AA325" s="3"/>
      <c r="AB325" s="3"/>
      <c r="AC325" s="2"/>
      <c r="AD325" s="2"/>
      <c r="AE325" s="2"/>
      <c r="AF325" s="2"/>
      <c r="AG325" s="2"/>
      <c r="AH325" s="2"/>
      <c r="AI325" s="2"/>
      <c r="AJ325" s="3"/>
      <c r="AK325" s="2"/>
      <c r="AL325" s="2"/>
      <c r="AM325" s="2"/>
      <c r="AN325" s="2"/>
      <c r="AO325" s="3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3"/>
      <c r="BC325" s="3"/>
      <c r="BD325" s="3"/>
      <c r="BE325" s="3"/>
      <c r="BF325" s="3"/>
      <c r="BG325" s="3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2"/>
      <c r="DI325" s="2"/>
      <c r="DJ325" s="3"/>
      <c r="DK325" s="3"/>
      <c r="DL325" s="2"/>
      <c r="DM325" s="2"/>
      <c r="DN325" s="2"/>
      <c r="DO325" s="3"/>
      <c r="DP325" s="3"/>
      <c r="GO325" t="s">
        <v>144</v>
      </c>
      <c r="GP325" t="s">
        <v>501</v>
      </c>
      <c r="GQ325" t="s">
        <v>502</v>
      </c>
      <c r="GR325">
        <v>5</v>
      </c>
      <c r="GS325">
        <v>4</v>
      </c>
      <c r="GT325">
        <v>1</v>
      </c>
      <c r="GU325" t="s">
        <v>457</v>
      </c>
      <c r="GV325">
        <v>84778.930786588695</v>
      </c>
      <c r="GW325">
        <v>22907030.524725199</v>
      </c>
      <c r="GX325">
        <v>22991809.455511801</v>
      </c>
      <c r="GY325">
        <v>857600</v>
      </c>
      <c r="GZ325">
        <v>22907030.524725199</v>
      </c>
      <c r="HA325">
        <v>101000000</v>
      </c>
      <c r="HB325">
        <v>303000000</v>
      </c>
      <c r="HC325">
        <v>1000000</v>
      </c>
      <c r="HD325" t="s">
        <v>458</v>
      </c>
      <c r="HE325">
        <v>0</v>
      </c>
      <c r="HF325">
        <v>1000000</v>
      </c>
      <c r="HG325">
        <v>1000000</v>
      </c>
      <c r="HH325">
        <v>1072000</v>
      </c>
      <c r="HI325">
        <v>107200</v>
      </c>
      <c r="HJ325">
        <v>964800</v>
      </c>
      <c r="HK325">
        <v>5200000</v>
      </c>
      <c r="HL325">
        <v>104000</v>
      </c>
      <c r="HM325">
        <v>5096000</v>
      </c>
      <c r="HN325">
        <v>0</v>
      </c>
      <c r="HO325">
        <v>207000</v>
      </c>
      <c r="HP325">
        <v>207000</v>
      </c>
      <c r="HQ325">
        <v>4140</v>
      </c>
      <c r="HR325">
        <v>202860</v>
      </c>
      <c r="HS325">
        <v>6479000</v>
      </c>
      <c r="HT325">
        <v>215340</v>
      </c>
      <c r="HU325">
        <v>6263660</v>
      </c>
      <c r="HV325">
        <v>32395000</v>
      </c>
      <c r="HW325">
        <v>0.05</v>
      </c>
      <c r="HX325">
        <v>0.97798234361883296</v>
      </c>
      <c r="HY325">
        <v>1</v>
      </c>
      <c r="HZ325">
        <v>300000</v>
      </c>
      <c r="IA325">
        <v>60066.306719259701</v>
      </c>
      <c r="IB325">
        <v>45049.730039444803</v>
      </c>
      <c r="IC325">
        <v>156016.38108897599</v>
      </c>
      <c r="ID325">
        <v>533832.41784768098</v>
      </c>
      <c r="IE325">
        <v>833832.41784768098</v>
      </c>
      <c r="IF325">
        <v>815473.38219203299</v>
      </c>
      <c r="IG325">
        <v>815473.38219203299</v>
      </c>
      <c r="IH325">
        <v>0</v>
      </c>
      <c r="II325">
        <v>11705.277429727799</v>
      </c>
      <c r="IJ325">
        <v>1360294.5262362601</v>
      </c>
      <c r="IK325">
        <v>0</v>
      </c>
      <c r="IL325">
        <v>0</v>
      </c>
      <c r="IM325">
        <v>0</v>
      </c>
      <c r="IN325">
        <v>245810.826024284</v>
      </c>
      <c r="IO325">
        <v>28566185.050961498</v>
      </c>
      <c r="IP325">
        <v>28811995.876985699</v>
      </c>
      <c r="IQ325">
        <v>536000</v>
      </c>
      <c r="IR325">
        <v>2600000</v>
      </c>
      <c r="IS325">
        <v>0</v>
      </c>
      <c r="IT325">
        <v>104000</v>
      </c>
      <c r="IU325">
        <v>104000</v>
      </c>
      <c r="IV325">
        <v>3240000</v>
      </c>
      <c r="IW325">
        <v>268000</v>
      </c>
      <c r="IX325">
        <v>1300000</v>
      </c>
      <c r="IY325">
        <v>0</v>
      </c>
      <c r="IZ325">
        <v>52000</v>
      </c>
      <c r="JA325">
        <v>52000</v>
      </c>
      <c r="JB325">
        <v>1620000</v>
      </c>
      <c r="JC325">
        <v>90000</v>
      </c>
      <c r="JD325">
        <v>434000</v>
      </c>
      <c r="JE325">
        <v>0</v>
      </c>
      <c r="JF325">
        <v>18000</v>
      </c>
      <c r="JG325">
        <v>18000</v>
      </c>
      <c r="JH325">
        <v>542000</v>
      </c>
    </row>
    <row r="326" spans="2:268" customFormat="1" x14ac:dyDescent="0.25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3"/>
      <c r="N326" s="3"/>
      <c r="O326" s="3"/>
      <c r="P326" s="2"/>
      <c r="Q326" s="2"/>
      <c r="R326" s="2"/>
      <c r="S326" s="2"/>
      <c r="T326" s="2"/>
      <c r="U326" s="2"/>
      <c r="V326" s="3"/>
      <c r="W326" s="3"/>
      <c r="X326" s="3"/>
      <c r="Y326" s="3"/>
      <c r="Z326" s="3"/>
      <c r="AA326" s="3"/>
      <c r="AB326" s="3"/>
      <c r="AC326" s="2"/>
      <c r="AD326" s="2"/>
      <c r="AE326" s="2"/>
      <c r="AF326" s="2"/>
      <c r="AG326" s="2"/>
      <c r="AH326" s="2"/>
      <c r="AI326" s="2"/>
      <c r="AJ326" s="3"/>
      <c r="AK326" s="2"/>
      <c r="AL326" s="2"/>
      <c r="AM326" s="2"/>
      <c r="AN326" s="2"/>
      <c r="AO326" s="3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3"/>
      <c r="BC326" s="3"/>
      <c r="BD326" s="3"/>
      <c r="BE326" s="3"/>
      <c r="BF326" s="3"/>
      <c r="BG326" s="3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2"/>
      <c r="DI326" s="2"/>
      <c r="DJ326" s="3"/>
      <c r="DK326" s="3"/>
      <c r="DL326" s="2"/>
      <c r="DM326" s="2"/>
      <c r="DN326" s="2"/>
      <c r="DO326" s="3"/>
      <c r="DP326" s="3"/>
      <c r="GO326" t="s">
        <v>144</v>
      </c>
      <c r="GP326" t="s">
        <v>501</v>
      </c>
      <c r="GQ326" t="s">
        <v>502</v>
      </c>
      <c r="GR326">
        <v>6</v>
      </c>
      <c r="GS326">
        <v>5</v>
      </c>
      <c r="GT326">
        <v>1</v>
      </c>
      <c r="GU326" t="s">
        <v>457</v>
      </c>
      <c r="GV326">
        <v>245810.826024284</v>
      </c>
      <c r="GW326">
        <v>28566185.050961498</v>
      </c>
      <c r="GX326">
        <v>28811995.876985699</v>
      </c>
      <c r="GY326">
        <v>643200</v>
      </c>
      <c r="GZ326">
        <v>28566185.050961498</v>
      </c>
      <c r="HA326">
        <v>101000000</v>
      </c>
      <c r="HB326">
        <v>303000000</v>
      </c>
      <c r="HC326">
        <v>1000000</v>
      </c>
      <c r="HD326" t="s">
        <v>458</v>
      </c>
      <c r="HE326">
        <v>0</v>
      </c>
      <c r="HF326">
        <v>1000000</v>
      </c>
      <c r="HG326">
        <v>1000000</v>
      </c>
      <c r="HH326">
        <v>1072000</v>
      </c>
      <c r="HI326">
        <v>75040</v>
      </c>
      <c r="HJ326">
        <v>996960</v>
      </c>
      <c r="HK326">
        <v>5200000</v>
      </c>
      <c r="HL326">
        <v>104000</v>
      </c>
      <c r="HM326">
        <v>5096000</v>
      </c>
      <c r="HN326">
        <v>0</v>
      </c>
      <c r="HO326">
        <v>207000</v>
      </c>
      <c r="HP326">
        <v>207000</v>
      </c>
      <c r="HQ326">
        <v>4140</v>
      </c>
      <c r="HR326">
        <v>202860</v>
      </c>
      <c r="HS326">
        <v>6479000</v>
      </c>
      <c r="HT326">
        <v>183180</v>
      </c>
      <c r="HU326">
        <v>6295820</v>
      </c>
      <c r="HV326">
        <v>38874000</v>
      </c>
      <c r="HW326">
        <v>0.05</v>
      </c>
      <c r="HX326">
        <v>0.97798234361883296</v>
      </c>
      <c r="HY326">
        <v>1</v>
      </c>
      <c r="HZ326">
        <v>300000</v>
      </c>
      <c r="IA326">
        <v>54141.003092254701</v>
      </c>
      <c r="IB326">
        <v>40605.752319191</v>
      </c>
      <c r="IC326">
        <v>144376.008246029</v>
      </c>
      <c r="ID326">
        <v>511822.76365747402</v>
      </c>
      <c r="IE326">
        <v>811822.76365747396</v>
      </c>
      <c r="IF326">
        <v>793948.32900485396</v>
      </c>
      <c r="IG326">
        <v>793948.32900485396</v>
      </c>
      <c r="IH326">
        <v>0</v>
      </c>
      <c r="II326">
        <v>22441.124850971501</v>
      </c>
      <c r="IJ326">
        <v>1643252.2525480699</v>
      </c>
      <c r="IK326">
        <v>0</v>
      </c>
      <c r="IL326">
        <v>0</v>
      </c>
      <c r="IM326">
        <v>0</v>
      </c>
      <c r="IN326">
        <v>471263.62187040102</v>
      </c>
      <c r="IO326">
        <v>34508297.303509504</v>
      </c>
      <c r="IP326">
        <v>34979560.925379902</v>
      </c>
      <c r="IQ326">
        <v>536000</v>
      </c>
      <c r="IR326">
        <v>2600000</v>
      </c>
      <c r="IS326">
        <v>0</v>
      </c>
      <c r="IT326">
        <v>104000</v>
      </c>
      <c r="IU326">
        <v>104000</v>
      </c>
      <c r="IV326">
        <v>3240000</v>
      </c>
      <c r="IW326">
        <v>268000</v>
      </c>
      <c r="IX326">
        <v>1300000</v>
      </c>
      <c r="IY326">
        <v>0</v>
      </c>
      <c r="IZ326">
        <v>52000</v>
      </c>
      <c r="JA326">
        <v>52000</v>
      </c>
      <c r="JB326">
        <v>1620000</v>
      </c>
      <c r="JC326">
        <v>90000</v>
      </c>
      <c r="JD326">
        <v>434000</v>
      </c>
      <c r="JE326">
        <v>0</v>
      </c>
      <c r="JF326">
        <v>18000</v>
      </c>
      <c r="JG326">
        <v>18000</v>
      </c>
      <c r="JH326">
        <v>542000</v>
      </c>
    </row>
    <row r="327" spans="2:268" customFormat="1" x14ac:dyDescent="0.25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3"/>
      <c r="N327" s="3"/>
      <c r="O327" s="3"/>
      <c r="P327" s="2"/>
      <c r="Q327" s="2"/>
      <c r="R327" s="2"/>
      <c r="S327" s="2"/>
      <c r="T327" s="2"/>
      <c r="U327" s="2"/>
      <c r="V327" s="3"/>
      <c r="W327" s="3"/>
      <c r="X327" s="3"/>
      <c r="Y327" s="3"/>
      <c r="Z327" s="3"/>
      <c r="AA327" s="3"/>
      <c r="AB327" s="3"/>
      <c r="AC327" s="2"/>
      <c r="AD327" s="2"/>
      <c r="AE327" s="2"/>
      <c r="AF327" s="2"/>
      <c r="AG327" s="2"/>
      <c r="AH327" s="2"/>
      <c r="AI327" s="2"/>
      <c r="AJ327" s="3"/>
      <c r="AK327" s="2"/>
      <c r="AL327" s="2"/>
      <c r="AM327" s="2"/>
      <c r="AN327" s="2"/>
      <c r="AO327" s="3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3"/>
      <c r="BC327" s="3"/>
      <c r="BD327" s="3"/>
      <c r="BE327" s="3"/>
      <c r="BF327" s="3"/>
      <c r="BG327" s="3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2"/>
      <c r="DI327" s="2"/>
      <c r="DJ327" s="3"/>
      <c r="DK327" s="3"/>
      <c r="DL327" s="2"/>
      <c r="DM327" s="2"/>
      <c r="DN327" s="2"/>
      <c r="DO327" s="3"/>
      <c r="DP327" s="3"/>
      <c r="GO327" t="s">
        <v>144</v>
      </c>
      <c r="GP327" t="s">
        <v>501</v>
      </c>
      <c r="GQ327" t="s">
        <v>502</v>
      </c>
      <c r="GR327">
        <v>7</v>
      </c>
      <c r="GS327">
        <v>6</v>
      </c>
      <c r="GT327">
        <v>1</v>
      </c>
      <c r="GU327" t="s">
        <v>457</v>
      </c>
      <c r="GV327">
        <v>471263.62187040102</v>
      </c>
      <c r="GW327">
        <v>34508297.303509504</v>
      </c>
      <c r="GX327">
        <v>34979560.925379902</v>
      </c>
      <c r="GY327">
        <v>428800</v>
      </c>
      <c r="GZ327">
        <v>34550760.925379902</v>
      </c>
      <c r="HA327">
        <v>101000000</v>
      </c>
      <c r="HB327">
        <v>303000000</v>
      </c>
      <c r="HC327">
        <v>1000000</v>
      </c>
      <c r="HD327" t="s">
        <v>458</v>
      </c>
      <c r="HE327">
        <v>0</v>
      </c>
      <c r="HF327">
        <v>1000000</v>
      </c>
      <c r="HG327">
        <v>1000000</v>
      </c>
      <c r="HH327">
        <v>1072000</v>
      </c>
      <c r="HI327">
        <v>75040</v>
      </c>
      <c r="HJ327">
        <v>996960</v>
      </c>
      <c r="HK327">
        <v>5200000</v>
      </c>
      <c r="HL327">
        <v>104000</v>
      </c>
      <c r="HM327">
        <v>5096000</v>
      </c>
      <c r="HN327">
        <v>0</v>
      </c>
      <c r="HO327">
        <v>207000</v>
      </c>
      <c r="HP327">
        <v>207000</v>
      </c>
      <c r="HQ327">
        <v>4140</v>
      </c>
      <c r="HR327">
        <v>202860</v>
      </c>
      <c r="HS327">
        <v>6479000</v>
      </c>
      <c r="HT327">
        <v>183180</v>
      </c>
      <c r="HU327">
        <v>6295820</v>
      </c>
      <c r="HV327">
        <v>45353000</v>
      </c>
      <c r="HW327">
        <v>0.05</v>
      </c>
      <c r="HX327">
        <v>0.97798234361883296</v>
      </c>
      <c r="HY327">
        <v>1</v>
      </c>
      <c r="HZ327">
        <v>300000</v>
      </c>
      <c r="IA327">
        <v>48194.9205244732</v>
      </c>
      <c r="IB327">
        <v>36146.190393354897</v>
      </c>
      <c r="IC327">
        <v>132040.87814923999</v>
      </c>
      <c r="ID327">
        <v>489081.98906706797</v>
      </c>
      <c r="IE327">
        <v>789081.98906706797</v>
      </c>
      <c r="IF327">
        <v>771708.25297522196</v>
      </c>
      <c r="IG327">
        <v>771708.25297522196</v>
      </c>
      <c r="IH327">
        <v>0</v>
      </c>
      <c r="II327">
        <v>34825.768444758898</v>
      </c>
      <c r="IJ327">
        <v>1940357.86517548</v>
      </c>
      <c r="IK327">
        <v>0</v>
      </c>
      <c r="IL327">
        <v>0</v>
      </c>
      <c r="IM327">
        <v>0</v>
      </c>
      <c r="IN327">
        <v>731341.13733993797</v>
      </c>
      <c r="IO327">
        <v>40747515.168684997</v>
      </c>
      <c r="IP327">
        <v>41478856.306024902</v>
      </c>
      <c r="IQ327">
        <v>536000</v>
      </c>
      <c r="IR327">
        <v>2600000</v>
      </c>
      <c r="IS327">
        <v>0</v>
      </c>
      <c r="IT327">
        <v>104000</v>
      </c>
      <c r="IU327">
        <v>104000</v>
      </c>
      <c r="IV327">
        <v>3240000</v>
      </c>
      <c r="IW327">
        <v>268000</v>
      </c>
      <c r="IX327">
        <v>1300000</v>
      </c>
      <c r="IY327">
        <v>0</v>
      </c>
      <c r="IZ327">
        <v>52000</v>
      </c>
      <c r="JA327">
        <v>52000</v>
      </c>
      <c r="JB327">
        <v>1620000</v>
      </c>
      <c r="JC327">
        <v>90000</v>
      </c>
      <c r="JD327">
        <v>434000</v>
      </c>
      <c r="JE327">
        <v>0</v>
      </c>
      <c r="JF327">
        <v>18000</v>
      </c>
      <c r="JG327">
        <v>18000</v>
      </c>
      <c r="JH327">
        <v>542000</v>
      </c>
    </row>
    <row r="328" spans="2:268" customFormat="1" x14ac:dyDescent="0.25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3"/>
      <c r="N328" s="3"/>
      <c r="O328" s="3"/>
      <c r="P328" s="2"/>
      <c r="Q328" s="2"/>
      <c r="R328" s="2"/>
      <c r="S328" s="2"/>
      <c r="T328" s="2"/>
      <c r="U328" s="2"/>
      <c r="V328" s="3"/>
      <c r="W328" s="3"/>
      <c r="X328" s="3"/>
      <c r="Y328" s="3"/>
      <c r="Z328" s="3"/>
      <c r="AA328" s="3"/>
      <c r="AB328" s="3"/>
      <c r="AC328" s="2"/>
      <c r="AD328" s="2"/>
      <c r="AE328" s="2"/>
      <c r="AF328" s="2"/>
      <c r="AG328" s="2"/>
      <c r="AH328" s="2"/>
      <c r="AI328" s="2"/>
      <c r="AJ328" s="3"/>
      <c r="AK328" s="2"/>
      <c r="AL328" s="2"/>
      <c r="AM328" s="2"/>
      <c r="AN328" s="2"/>
      <c r="AO328" s="3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3"/>
      <c r="BC328" s="3"/>
      <c r="BD328" s="3"/>
      <c r="BE328" s="3"/>
      <c r="BF328" s="3"/>
      <c r="BG328" s="3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2"/>
      <c r="DI328" s="2"/>
      <c r="DJ328" s="3"/>
      <c r="DK328" s="3"/>
      <c r="DL328" s="2"/>
      <c r="DM328" s="2"/>
      <c r="DN328" s="2"/>
      <c r="DO328" s="3"/>
      <c r="DP328" s="3"/>
      <c r="GO328" t="s">
        <v>144</v>
      </c>
      <c r="GP328" t="s">
        <v>501</v>
      </c>
      <c r="GQ328" t="s">
        <v>502</v>
      </c>
      <c r="GR328">
        <v>8</v>
      </c>
      <c r="GS328">
        <v>7</v>
      </c>
      <c r="GT328">
        <v>1</v>
      </c>
      <c r="GU328" t="s">
        <v>457</v>
      </c>
      <c r="GV328">
        <v>731341.13733993797</v>
      </c>
      <c r="GW328">
        <v>40747515.168684997</v>
      </c>
      <c r="GX328">
        <v>41478856.306024902</v>
      </c>
      <c r="GY328">
        <v>214400</v>
      </c>
      <c r="GZ328">
        <v>41264456.306024902</v>
      </c>
      <c r="HA328">
        <v>101000000</v>
      </c>
      <c r="HB328">
        <v>303000000</v>
      </c>
      <c r="HC328">
        <v>0</v>
      </c>
      <c r="HD328" t="s">
        <v>137</v>
      </c>
      <c r="HE328">
        <v>0</v>
      </c>
      <c r="HF328">
        <v>0</v>
      </c>
      <c r="HG328">
        <v>0</v>
      </c>
      <c r="HH328">
        <v>1072000</v>
      </c>
      <c r="HI328">
        <v>42880</v>
      </c>
      <c r="HJ328">
        <v>1029120</v>
      </c>
      <c r="HK328">
        <v>5200000</v>
      </c>
      <c r="HL328">
        <v>104000</v>
      </c>
      <c r="HM328">
        <v>5096000</v>
      </c>
      <c r="HN328">
        <v>0</v>
      </c>
      <c r="HO328">
        <v>207000</v>
      </c>
      <c r="HP328">
        <v>207000</v>
      </c>
      <c r="HQ328">
        <v>4140</v>
      </c>
      <c r="HR328">
        <v>202860</v>
      </c>
      <c r="HS328">
        <v>6479000</v>
      </c>
      <c r="HT328">
        <v>151020</v>
      </c>
      <c r="HU328">
        <v>6327980</v>
      </c>
      <c r="HV328">
        <v>51832000</v>
      </c>
      <c r="HW328">
        <v>0.05</v>
      </c>
      <c r="HX328">
        <v>0.97798234361883296</v>
      </c>
      <c r="HY328">
        <v>1</v>
      </c>
      <c r="HZ328">
        <v>300000</v>
      </c>
      <c r="IA328">
        <v>42260.012022721603</v>
      </c>
      <c r="IB328">
        <v>31695.0090170412</v>
      </c>
      <c r="IC328">
        <v>119042.28738795</v>
      </c>
      <c r="ID328">
        <v>465697.308427713</v>
      </c>
      <c r="IE328">
        <v>765697.308427713</v>
      </c>
      <c r="IF328">
        <v>748838.44819876703</v>
      </c>
      <c r="IG328">
        <v>748838.44819876703</v>
      </c>
      <c r="IH328">
        <v>0</v>
      </c>
      <c r="II328">
        <v>50581.134457058601</v>
      </c>
      <c r="IJ328">
        <v>2302318.75843425</v>
      </c>
      <c r="IK328">
        <v>128640</v>
      </c>
      <c r="IL328">
        <v>0</v>
      </c>
      <c r="IM328">
        <v>128640</v>
      </c>
      <c r="IN328">
        <v>1190843.82359823</v>
      </c>
      <c r="IO328">
        <v>48348693.9271193</v>
      </c>
      <c r="IP328">
        <v>49539537.750717498</v>
      </c>
      <c r="IQ328">
        <v>536000</v>
      </c>
      <c r="IR328">
        <v>2600000</v>
      </c>
      <c r="IS328">
        <v>0</v>
      </c>
      <c r="IT328">
        <v>104000</v>
      </c>
      <c r="IU328">
        <v>104000</v>
      </c>
      <c r="IV328">
        <v>3240000</v>
      </c>
      <c r="IW328">
        <v>268000</v>
      </c>
      <c r="IX328">
        <v>1300000</v>
      </c>
      <c r="IY328">
        <v>0</v>
      </c>
      <c r="IZ328">
        <v>52000</v>
      </c>
      <c r="JA328">
        <v>52000</v>
      </c>
      <c r="JB328">
        <v>1620000</v>
      </c>
      <c r="JC328">
        <v>90000</v>
      </c>
      <c r="JD328">
        <v>434000</v>
      </c>
      <c r="JE328">
        <v>0</v>
      </c>
      <c r="JF328">
        <v>18000</v>
      </c>
      <c r="JG328">
        <v>18000</v>
      </c>
      <c r="JH328">
        <v>542000</v>
      </c>
    </row>
    <row r="329" spans="2:268" customFormat="1" x14ac:dyDescent="0.25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3"/>
      <c r="N329" s="3"/>
      <c r="O329" s="3"/>
      <c r="P329" s="2"/>
      <c r="Q329" s="2"/>
      <c r="R329" s="2"/>
      <c r="S329" s="2"/>
      <c r="T329" s="2"/>
      <c r="U329" s="2"/>
      <c r="V329" s="3"/>
      <c r="W329" s="3"/>
      <c r="X329" s="3"/>
      <c r="Y329" s="3"/>
      <c r="Z329" s="3"/>
      <c r="AA329" s="3"/>
      <c r="AB329" s="3"/>
      <c r="AC329" s="2"/>
      <c r="AD329" s="2"/>
      <c r="AE329" s="2"/>
      <c r="AF329" s="2"/>
      <c r="AG329" s="2"/>
      <c r="AH329" s="2"/>
      <c r="AI329" s="2"/>
      <c r="AJ329" s="3"/>
      <c r="AK329" s="2"/>
      <c r="AL329" s="2"/>
      <c r="AM329" s="2"/>
      <c r="AN329" s="2"/>
      <c r="AO329" s="3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3"/>
      <c r="BC329" s="3"/>
      <c r="BD329" s="3"/>
      <c r="BE329" s="3"/>
      <c r="BF329" s="3"/>
      <c r="BG329" s="3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2"/>
      <c r="DI329" s="2"/>
      <c r="DJ329" s="3"/>
      <c r="DK329" s="3"/>
      <c r="DL329" s="2"/>
      <c r="DM329" s="2"/>
      <c r="DN329" s="2"/>
      <c r="DO329" s="3"/>
      <c r="DP329" s="3"/>
      <c r="GO329" t="s">
        <v>144</v>
      </c>
      <c r="GP329" t="s">
        <v>501</v>
      </c>
      <c r="GQ329" t="s">
        <v>502</v>
      </c>
      <c r="GR329">
        <v>9</v>
      </c>
      <c r="GS329">
        <v>8</v>
      </c>
      <c r="GT329">
        <v>1</v>
      </c>
      <c r="GU329" t="s">
        <v>457</v>
      </c>
      <c r="GV329">
        <v>1190843.82359823</v>
      </c>
      <c r="GW329">
        <v>48348693.9271193</v>
      </c>
      <c r="GX329">
        <v>49539537.750717498</v>
      </c>
      <c r="GY329">
        <v>107200</v>
      </c>
      <c r="GZ329">
        <v>49432337.750717498</v>
      </c>
      <c r="HA329">
        <v>101000000</v>
      </c>
      <c r="HB329">
        <v>303000000</v>
      </c>
      <c r="HC329">
        <v>0</v>
      </c>
      <c r="HD329" t="s">
        <v>137</v>
      </c>
      <c r="HE329">
        <v>0</v>
      </c>
      <c r="HF329">
        <v>0</v>
      </c>
      <c r="HG329">
        <v>0</v>
      </c>
      <c r="HH329">
        <v>1072000</v>
      </c>
      <c r="HI329">
        <v>42880</v>
      </c>
      <c r="HJ329">
        <v>1029120</v>
      </c>
      <c r="HK329">
        <v>5200000</v>
      </c>
      <c r="HL329">
        <v>104000</v>
      </c>
      <c r="HM329">
        <v>5096000</v>
      </c>
      <c r="HN329">
        <v>0</v>
      </c>
      <c r="HO329">
        <v>207000</v>
      </c>
      <c r="HP329">
        <v>207000</v>
      </c>
      <c r="HQ329">
        <v>4140</v>
      </c>
      <c r="HR329">
        <v>202860</v>
      </c>
      <c r="HS329">
        <v>6479000</v>
      </c>
      <c r="HT329">
        <v>151020</v>
      </c>
      <c r="HU329">
        <v>6327980</v>
      </c>
      <c r="HV329">
        <v>58311000</v>
      </c>
      <c r="HW329">
        <v>0.05</v>
      </c>
      <c r="HX329">
        <v>0.97798234361883296</v>
      </c>
      <c r="HY329">
        <v>1</v>
      </c>
      <c r="HZ329">
        <v>300000</v>
      </c>
      <c r="IA329">
        <v>36022.323574499504</v>
      </c>
      <c r="IB329">
        <v>27016.742680874599</v>
      </c>
      <c r="IC329">
        <v>102920.924498565</v>
      </c>
      <c r="ID329">
        <v>438659.99075393903</v>
      </c>
      <c r="IE329">
        <v>738659.99075393903</v>
      </c>
      <c r="IF329">
        <v>722396.42889500305</v>
      </c>
      <c r="IG329">
        <v>722396.42889500305</v>
      </c>
      <c r="IH329">
        <v>0</v>
      </c>
      <c r="II329">
        <v>74878.369735161294</v>
      </c>
      <c r="IJ329">
        <v>2682377.6963559599</v>
      </c>
      <c r="IK329">
        <v>0</v>
      </c>
      <c r="IL329">
        <v>0</v>
      </c>
      <c r="IM329">
        <v>0</v>
      </c>
      <c r="IN329">
        <v>1572445.76443839</v>
      </c>
      <c r="IO329">
        <v>56329931.623475201</v>
      </c>
      <c r="IP329">
        <v>57902377.3879136</v>
      </c>
      <c r="IQ329">
        <v>536000</v>
      </c>
      <c r="IR329">
        <v>2600000</v>
      </c>
      <c r="IS329">
        <v>0</v>
      </c>
      <c r="IT329">
        <v>104000</v>
      </c>
      <c r="IU329">
        <v>104000</v>
      </c>
      <c r="IV329">
        <v>3240000</v>
      </c>
      <c r="IW329">
        <v>268000</v>
      </c>
      <c r="IX329">
        <v>1300000</v>
      </c>
      <c r="IY329">
        <v>0</v>
      </c>
      <c r="IZ329">
        <v>52000</v>
      </c>
      <c r="JA329">
        <v>52000</v>
      </c>
      <c r="JB329">
        <v>1620000</v>
      </c>
      <c r="JC329">
        <v>90000</v>
      </c>
      <c r="JD329">
        <v>434000</v>
      </c>
      <c r="JE329">
        <v>0</v>
      </c>
      <c r="JF329">
        <v>18000</v>
      </c>
      <c r="JG329">
        <v>18000</v>
      </c>
      <c r="JH329">
        <v>542000</v>
      </c>
    </row>
    <row r="330" spans="2:268" customFormat="1" x14ac:dyDescent="0.25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3"/>
      <c r="N330" s="3"/>
      <c r="O330" s="3"/>
      <c r="P330" s="2"/>
      <c r="Q330" s="2"/>
      <c r="R330" s="2"/>
      <c r="S330" s="2"/>
      <c r="T330" s="2"/>
      <c r="U330" s="2"/>
      <c r="V330" s="3"/>
      <c r="W330" s="3"/>
      <c r="X330" s="3"/>
      <c r="Y330" s="3"/>
      <c r="Z330" s="3"/>
      <c r="AA330" s="3"/>
      <c r="AB330" s="3"/>
      <c r="AC330" s="2"/>
      <c r="AD330" s="2"/>
      <c r="AE330" s="2"/>
      <c r="AF330" s="2"/>
      <c r="AG330" s="2"/>
      <c r="AH330" s="2"/>
      <c r="AI330" s="2"/>
      <c r="AJ330" s="3"/>
      <c r="AK330" s="2"/>
      <c r="AL330" s="2"/>
      <c r="AM330" s="2"/>
      <c r="AN330" s="2"/>
      <c r="AO330" s="3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3"/>
      <c r="BC330" s="3"/>
      <c r="BD330" s="3"/>
      <c r="BE330" s="3"/>
      <c r="BF330" s="3"/>
      <c r="BG330" s="3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2"/>
      <c r="DI330" s="2"/>
      <c r="DJ330" s="3"/>
      <c r="DK330" s="3"/>
      <c r="DL330" s="2"/>
      <c r="DM330" s="2"/>
      <c r="DN330" s="2"/>
      <c r="DO330" s="3"/>
      <c r="DP330" s="3"/>
      <c r="GO330" t="s">
        <v>144</v>
      </c>
      <c r="GP330" t="s">
        <v>501</v>
      </c>
      <c r="GQ330" t="s">
        <v>502</v>
      </c>
      <c r="GR330">
        <v>10</v>
      </c>
      <c r="GS330">
        <v>9</v>
      </c>
      <c r="GT330">
        <v>1</v>
      </c>
      <c r="GU330" t="s">
        <v>457</v>
      </c>
      <c r="GV330">
        <v>1572445.76443839</v>
      </c>
      <c r="GW330">
        <v>56329931.623475201</v>
      </c>
      <c r="GX330">
        <v>57902377.3879136</v>
      </c>
      <c r="GY330">
        <v>0</v>
      </c>
      <c r="GZ330">
        <v>57902377.3879136</v>
      </c>
      <c r="HA330">
        <v>101000000</v>
      </c>
      <c r="HB330">
        <v>303000000</v>
      </c>
      <c r="HC330">
        <v>0</v>
      </c>
      <c r="HD330" t="s">
        <v>137</v>
      </c>
      <c r="HE330">
        <v>0</v>
      </c>
      <c r="HF330">
        <v>0</v>
      </c>
      <c r="HG330">
        <v>0</v>
      </c>
      <c r="HH330">
        <v>1072000</v>
      </c>
      <c r="HI330">
        <v>21440</v>
      </c>
      <c r="HJ330">
        <v>1050560</v>
      </c>
      <c r="HK330">
        <v>5200000</v>
      </c>
      <c r="HL330">
        <v>104000</v>
      </c>
      <c r="HM330">
        <v>5096000</v>
      </c>
      <c r="HN330">
        <v>0</v>
      </c>
      <c r="HO330">
        <v>207000</v>
      </c>
      <c r="HP330">
        <v>207000</v>
      </c>
      <c r="HQ330">
        <v>4140</v>
      </c>
      <c r="HR330">
        <v>202860</v>
      </c>
      <c r="HS330">
        <v>6479000</v>
      </c>
      <c r="HT330">
        <v>129580</v>
      </c>
      <c r="HU330">
        <v>6349420</v>
      </c>
      <c r="HV330">
        <v>64790000</v>
      </c>
      <c r="HW330">
        <v>0.05</v>
      </c>
      <c r="HX330">
        <v>0.97798234361883296</v>
      </c>
      <c r="HY330">
        <v>1</v>
      </c>
      <c r="HZ330">
        <v>300000</v>
      </c>
      <c r="IA330">
        <v>29737.359602338202</v>
      </c>
      <c r="IB330">
        <v>22303.019701753699</v>
      </c>
      <c r="IC330">
        <v>86195.245224172802</v>
      </c>
      <c r="ID330">
        <v>410935.62452826498</v>
      </c>
      <c r="IE330">
        <v>710935.62452826498</v>
      </c>
      <c r="IF330">
        <v>695282.48823827098</v>
      </c>
      <c r="IG330">
        <v>695282.48823827098</v>
      </c>
      <c r="IH330">
        <v>0</v>
      </c>
      <c r="II330">
        <v>96386.163810005906</v>
      </c>
      <c r="IJ330">
        <v>3081439.5811737599</v>
      </c>
      <c r="IK330">
        <v>0</v>
      </c>
      <c r="IL330">
        <v>0</v>
      </c>
      <c r="IM330">
        <v>0</v>
      </c>
      <c r="IN330">
        <v>2024109.4400101199</v>
      </c>
      <c r="IO330">
        <v>64710231.204649001</v>
      </c>
      <c r="IP330">
        <v>66734340.644659102</v>
      </c>
      <c r="IQ330">
        <v>536000</v>
      </c>
      <c r="IR330">
        <v>2600000</v>
      </c>
      <c r="IS330">
        <v>0</v>
      </c>
      <c r="IT330">
        <v>104000</v>
      </c>
      <c r="IU330">
        <v>104000</v>
      </c>
      <c r="IV330">
        <v>3240000</v>
      </c>
      <c r="IW330">
        <v>268000</v>
      </c>
      <c r="IX330">
        <v>1300000</v>
      </c>
      <c r="IY330">
        <v>0</v>
      </c>
      <c r="IZ330">
        <v>52000</v>
      </c>
      <c r="JA330">
        <v>52000</v>
      </c>
      <c r="JB330">
        <v>1620000</v>
      </c>
      <c r="JC330">
        <v>90000</v>
      </c>
      <c r="JD330">
        <v>434000</v>
      </c>
      <c r="JE330">
        <v>0</v>
      </c>
      <c r="JF330">
        <v>18000</v>
      </c>
      <c r="JG330">
        <v>18000</v>
      </c>
      <c r="JH330">
        <v>542000</v>
      </c>
    </row>
    <row r="331" spans="2:268" customFormat="1" x14ac:dyDescent="0.25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3"/>
      <c r="N331" s="3"/>
      <c r="O331" s="3"/>
      <c r="P331" s="2"/>
      <c r="Q331" s="2"/>
      <c r="R331" s="2"/>
      <c r="S331" s="2"/>
      <c r="T331" s="2"/>
      <c r="U331" s="2"/>
      <c r="V331" s="3"/>
      <c r="W331" s="3"/>
      <c r="X331" s="3"/>
      <c r="Y331" s="3"/>
      <c r="Z331" s="3"/>
      <c r="AA331" s="3"/>
      <c r="AB331" s="3"/>
      <c r="AC331" s="2"/>
      <c r="AD331" s="2"/>
      <c r="AE331" s="2"/>
      <c r="AF331" s="2"/>
      <c r="AG331" s="2"/>
      <c r="AH331" s="2"/>
      <c r="AI331" s="2"/>
      <c r="AJ331" s="3"/>
      <c r="AK331" s="2"/>
      <c r="AL331" s="2"/>
      <c r="AM331" s="2"/>
      <c r="AN331" s="2"/>
      <c r="AO331" s="3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3"/>
      <c r="BC331" s="3"/>
      <c r="BD331" s="3"/>
      <c r="BE331" s="3"/>
      <c r="BF331" s="3"/>
      <c r="BG331" s="3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2"/>
      <c r="DI331" s="2"/>
      <c r="DJ331" s="3"/>
      <c r="DK331" s="3"/>
      <c r="DL331" s="2"/>
      <c r="DM331" s="2"/>
      <c r="DN331" s="2"/>
      <c r="DO331" s="3"/>
      <c r="DP331" s="3"/>
      <c r="GO331" t="s">
        <v>144</v>
      </c>
      <c r="GP331" t="s">
        <v>501</v>
      </c>
      <c r="GQ331" t="s">
        <v>502</v>
      </c>
      <c r="GR331">
        <v>11</v>
      </c>
      <c r="GS331">
        <v>10</v>
      </c>
      <c r="GT331">
        <v>1</v>
      </c>
      <c r="GU331" t="s">
        <v>457</v>
      </c>
      <c r="GV331">
        <v>2024109.4400101199</v>
      </c>
      <c r="GW331">
        <v>64710231.204649001</v>
      </c>
      <c r="GX331">
        <v>66734340.644659102</v>
      </c>
      <c r="GY331">
        <v>0</v>
      </c>
      <c r="GZ331">
        <v>66734340.644659102</v>
      </c>
      <c r="HA331">
        <v>101000000</v>
      </c>
      <c r="HB331">
        <v>303000000</v>
      </c>
      <c r="HC331">
        <v>0</v>
      </c>
      <c r="HD331" t="s">
        <v>137</v>
      </c>
      <c r="HE331">
        <v>0</v>
      </c>
      <c r="HF331">
        <v>0</v>
      </c>
      <c r="HG331">
        <v>0</v>
      </c>
      <c r="HH331">
        <v>1072000</v>
      </c>
      <c r="HI331">
        <v>21440</v>
      </c>
      <c r="HJ331">
        <v>1050560</v>
      </c>
      <c r="HK331">
        <v>5200000</v>
      </c>
      <c r="HL331">
        <v>104000</v>
      </c>
      <c r="HM331">
        <v>5096000</v>
      </c>
      <c r="HN331">
        <v>0</v>
      </c>
      <c r="HO331">
        <v>207000</v>
      </c>
      <c r="HP331">
        <v>207000</v>
      </c>
      <c r="HQ331">
        <v>4140</v>
      </c>
      <c r="HR331">
        <v>202860</v>
      </c>
      <c r="HS331">
        <v>6479000</v>
      </c>
      <c r="HT331">
        <v>129580</v>
      </c>
      <c r="HU331">
        <v>6349420</v>
      </c>
      <c r="HV331">
        <v>71269000</v>
      </c>
      <c r="HW331">
        <v>0.05</v>
      </c>
      <c r="HX331">
        <v>0.97798234361883296</v>
      </c>
      <c r="HY331">
        <v>1</v>
      </c>
      <c r="HZ331">
        <v>300000</v>
      </c>
      <c r="IA331">
        <v>23300.648361632298</v>
      </c>
      <c r="IB331">
        <v>17475.486271224199</v>
      </c>
      <c r="IC331">
        <v>68531.318710681793</v>
      </c>
      <c r="ID331">
        <v>382007.45334353799</v>
      </c>
      <c r="IE331">
        <v>682007.45334353799</v>
      </c>
      <c r="IF331">
        <v>666991.24758642504</v>
      </c>
      <c r="IG331">
        <v>666991.24758642504</v>
      </c>
      <c r="IH331">
        <v>0</v>
      </c>
      <c r="II331">
        <v>120383.909621185</v>
      </c>
      <c r="IJ331">
        <v>3500454.5602324498</v>
      </c>
      <c r="IK331">
        <v>0</v>
      </c>
      <c r="IL331">
        <v>0</v>
      </c>
      <c r="IM331">
        <v>0</v>
      </c>
      <c r="IN331">
        <v>2528062.1020448799</v>
      </c>
      <c r="IO331">
        <v>73509545.764881402</v>
      </c>
      <c r="IP331">
        <v>76037607.866926298</v>
      </c>
      <c r="IQ331">
        <v>536000</v>
      </c>
      <c r="IR331">
        <v>2600000</v>
      </c>
      <c r="IS331">
        <v>0</v>
      </c>
      <c r="IT331">
        <v>104000</v>
      </c>
      <c r="IU331">
        <v>104000</v>
      </c>
      <c r="IV331">
        <v>3240000</v>
      </c>
      <c r="IW331">
        <v>268000</v>
      </c>
      <c r="IX331">
        <v>1300000</v>
      </c>
      <c r="IY331">
        <v>0</v>
      </c>
      <c r="IZ331">
        <v>52000</v>
      </c>
      <c r="JA331">
        <v>52000</v>
      </c>
      <c r="JB331">
        <v>1620000</v>
      </c>
      <c r="JC331">
        <v>90000</v>
      </c>
      <c r="JD331">
        <v>434000</v>
      </c>
      <c r="JE331">
        <v>0</v>
      </c>
      <c r="JF331">
        <v>18000</v>
      </c>
      <c r="JG331">
        <v>18000</v>
      </c>
      <c r="JH331">
        <v>542000</v>
      </c>
    </row>
    <row r="332" spans="2:268" customFormat="1" x14ac:dyDescent="0.25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3"/>
      <c r="N332" s="3"/>
      <c r="O332" s="3"/>
      <c r="P332" s="2"/>
      <c r="Q332" s="2"/>
      <c r="R332" s="2"/>
      <c r="S332" s="2"/>
      <c r="T332" s="2"/>
      <c r="U332" s="2"/>
      <c r="V332" s="3"/>
      <c r="W332" s="3"/>
      <c r="X332" s="3"/>
      <c r="Y332" s="3"/>
      <c r="Z332" s="3"/>
      <c r="AA332" s="3"/>
      <c r="AB332" s="3"/>
      <c r="AC332" s="2"/>
      <c r="AD332" s="2"/>
      <c r="AE332" s="2"/>
      <c r="AF332" s="2"/>
      <c r="AG332" s="2"/>
      <c r="AH332" s="2"/>
      <c r="AI332" s="2"/>
      <c r="AJ332" s="3"/>
      <c r="AK332" s="2"/>
      <c r="AL332" s="2"/>
      <c r="AM332" s="2"/>
      <c r="AN332" s="2"/>
      <c r="AO332" s="3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3"/>
      <c r="BC332" s="3"/>
      <c r="BD332" s="3"/>
      <c r="BE332" s="3"/>
      <c r="BF332" s="3"/>
      <c r="BG332" s="3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2"/>
      <c r="DI332" s="2"/>
      <c r="DJ332" s="3"/>
      <c r="DK332" s="3"/>
      <c r="DL332" s="2"/>
      <c r="DM332" s="2"/>
      <c r="DN332" s="2"/>
      <c r="DO332" s="3"/>
      <c r="DP332" s="3"/>
      <c r="GO332" t="s">
        <v>144</v>
      </c>
      <c r="GP332" t="s">
        <v>501</v>
      </c>
      <c r="GQ332" t="s">
        <v>502</v>
      </c>
      <c r="GR332">
        <v>12</v>
      </c>
      <c r="GS332">
        <v>11</v>
      </c>
      <c r="GT332">
        <v>1</v>
      </c>
      <c r="GU332" t="s">
        <v>457</v>
      </c>
      <c r="GV332">
        <v>2528062.1020448799</v>
      </c>
      <c r="GW332">
        <v>73509545.764881402</v>
      </c>
      <c r="GX332">
        <v>76037607.866926298</v>
      </c>
      <c r="GY332">
        <v>0</v>
      </c>
      <c r="GZ332">
        <v>76037607.866926298</v>
      </c>
      <c r="HA332">
        <v>101000000</v>
      </c>
      <c r="HB332">
        <v>303000000</v>
      </c>
      <c r="HC332">
        <v>5000000</v>
      </c>
      <c r="HD332" t="s">
        <v>458</v>
      </c>
      <c r="HE332">
        <v>0</v>
      </c>
      <c r="HF332">
        <v>5000000</v>
      </c>
      <c r="HG332">
        <v>5000000</v>
      </c>
      <c r="HH332">
        <v>1072000</v>
      </c>
      <c r="HI332">
        <v>21440</v>
      </c>
      <c r="HJ332">
        <v>1050560</v>
      </c>
      <c r="HK332">
        <v>5200000</v>
      </c>
      <c r="HL332">
        <v>104000</v>
      </c>
      <c r="HM332">
        <v>5096000</v>
      </c>
      <c r="HN332">
        <v>0</v>
      </c>
      <c r="HO332">
        <v>207000</v>
      </c>
      <c r="HP332">
        <v>207000</v>
      </c>
      <c r="HQ332">
        <v>4140</v>
      </c>
      <c r="HR332">
        <v>202860</v>
      </c>
      <c r="HS332">
        <v>6479000</v>
      </c>
      <c r="HT332">
        <v>129580</v>
      </c>
      <c r="HU332">
        <v>6349420</v>
      </c>
      <c r="HV332">
        <v>77748000</v>
      </c>
      <c r="HW332">
        <v>0.05</v>
      </c>
      <c r="HX332">
        <v>0.97798234361883296</v>
      </c>
      <c r="HY332">
        <v>1</v>
      </c>
      <c r="HZ332">
        <v>300000</v>
      </c>
      <c r="IA332">
        <v>17473.674493152401</v>
      </c>
      <c r="IB332">
        <v>13105.255869864301</v>
      </c>
      <c r="IC332">
        <v>49924.784266147399</v>
      </c>
      <c r="ID332">
        <v>353203.71462916402</v>
      </c>
      <c r="IE332">
        <v>653203.71462916397</v>
      </c>
      <c r="IF332">
        <v>638821.69969355699</v>
      </c>
      <c r="IG332">
        <v>638821.69969355699</v>
      </c>
      <c r="IH332">
        <v>0</v>
      </c>
      <c r="II332">
        <v>146990.02011756599</v>
      </c>
      <c r="IJ332">
        <v>3690420.28824407</v>
      </c>
      <c r="IK332">
        <v>192960</v>
      </c>
      <c r="IL332">
        <v>0</v>
      </c>
      <c r="IM332">
        <v>192960</v>
      </c>
      <c r="IN332">
        <v>3279750.42246889</v>
      </c>
      <c r="IO332">
        <v>77498826.053125501</v>
      </c>
      <c r="IP332">
        <v>80778576.475594401</v>
      </c>
      <c r="IQ332">
        <v>536000</v>
      </c>
      <c r="IR332">
        <v>2600000</v>
      </c>
      <c r="IS332">
        <v>0</v>
      </c>
      <c r="IT332">
        <v>104000</v>
      </c>
      <c r="IU332">
        <v>104000</v>
      </c>
      <c r="IV332">
        <v>3240000</v>
      </c>
      <c r="IW332">
        <v>268000</v>
      </c>
      <c r="IX332">
        <v>1300000</v>
      </c>
      <c r="IY332">
        <v>0</v>
      </c>
      <c r="IZ332">
        <v>52000</v>
      </c>
      <c r="JA332">
        <v>52000</v>
      </c>
      <c r="JB332">
        <v>1620000</v>
      </c>
      <c r="JC332">
        <v>90000</v>
      </c>
      <c r="JD332">
        <v>434000</v>
      </c>
      <c r="JE332">
        <v>0</v>
      </c>
      <c r="JF332">
        <v>18000</v>
      </c>
      <c r="JG332">
        <v>18000</v>
      </c>
      <c r="JH332">
        <v>542000</v>
      </c>
    </row>
    <row r="333" spans="2:268" customFormat="1" x14ac:dyDescent="0.25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3"/>
      <c r="N333" s="3"/>
      <c r="O333" s="3"/>
      <c r="P333" s="2"/>
      <c r="Q333" s="2"/>
      <c r="R333" s="2"/>
      <c r="S333" s="2"/>
      <c r="T333" s="2"/>
      <c r="U333" s="2"/>
      <c r="V333" s="3"/>
      <c r="W333" s="3"/>
      <c r="X333" s="3"/>
      <c r="Y333" s="3"/>
      <c r="Z333" s="3"/>
      <c r="AA333" s="3"/>
      <c r="AB333" s="3"/>
      <c r="AC333" s="2"/>
      <c r="AD333" s="2"/>
      <c r="AE333" s="2"/>
      <c r="AF333" s="2"/>
      <c r="AG333" s="2"/>
      <c r="AH333" s="2"/>
      <c r="AI333" s="2"/>
      <c r="AJ333" s="3"/>
      <c r="AK333" s="2"/>
      <c r="AL333" s="2"/>
      <c r="AM333" s="2"/>
      <c r="AN333" s="2"/>
      <c r="AO333" s="3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3"/>
      <c r="BC333" s="3"/>
      <c r="BD333" s="3"/>
      <c r="BE333" s="3"/>
      <c r="BF333" s="3"/>
      <c r="BG333" s="3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2"/>
      <c r="DI333" s="2"/>
      <c r="DJ333" s="3"/>
      <c r="DK333" s="3"/>
      <c r="DL333" s="2"/>
      <c r="DM333" s="2"/>
      <c r="DN333" s="2"/>
      <c r="DO333" s="3"/>
      <c r="DP333" s="3"/>
      <c r="GO333" t="s">
        <v>144</v>
      </c>
      <c r="GP333" t="s">
        <v>501</v>
      </c>
      <c r="GQ333" t="s">
        <v>502</v>
      </c>
      <c r="GR333">
        <v>13</v>
      </c>
      <c r="GS333">
        <v>12</v>
      </c>
      <c r="GT333">
        <v>1</v>
      </c>
      <c r="GU333" t="s">
        <v>457</v>
      </c>
      <c r="GV333">
        <v>3279750.42246889</v>
      </c>
      <c r="GW333">
        <v>77498826.053125501</v>
      </c>
      <c r="GX333">
        <v>80778576.475594401</v>
      </c>
      <c r="GY333">
        <v>0</v>
      </c>
      <c r="GZ333">
        <v>80778576.475594401</v>
      </c>
      <c r="HA333">
        <v>101000000</v>
      </c>
      <c r="HB333">
        <v>303000000</v>
      </c>
      <c r="HC333">
        <v>5000000</v>
      </c>
      <c r="HD333" t="s">
        <v>458</v>
      </c>
      <c r="HE333">
        <v>0</v>
      </c>
      <c r="HF333">
        <v>5000000</v>
      </c>
      <c r="HG333">
        <v>5000000</v>
      </c>
      <c r="HH333">
        <v>1072000</v>
      </c>
      <c r="HI333">
        <v>21440</v>
      </c>
      <c r="HJ333">
        <v>1050560</v>
      </c>
      <c r="HK333">
        <v>5200000</v>
      </c>
      <c r="HL333">
        <v>104000</v>
      </c>
      <c r="HM333">
        <v>5096000</v>
      </c>
      <c r="HN333">
        <v>0</v>
      </c>
      <c r="HO333">
        <v>207000</v>
      </c>
      <c r="HP333">
        <v>207000</v>
      </c>
      <c r="HQ333">
        <v>4140</v>
      </c>
      <c r="HR333">
        <v>202860</v>
      </c>
      <c r="HS333">
        <v>6479000</v>
      </c>
      <c r="HT333">
        <v>129580</v>
      </c>
      <c r="HU333">
        <v>6349420</v>
      </c>
      <c r="HV333">
        <v>84227000</v>
      </c>
      <c r="HW333">
        <v>0.05</v>
      </c>
      <c r="HX333">
        <v>0.97798234361883296</v>
      </c>
      <c r="HY333">
        <v>1</v>
      </c>
      <c r="HZ333">
        <v>300000</v>
      </c>
      <c r="IA333">
        <v>14761.6391728163</v>
      </c>
      <c r="IB333">
        <v>11071.229379612199</v>
      </c>
      <c r="IC333">
        <v>40442.847048811302</v>
      </c>
      <c r="ID333">
        <v>338975.71560123999</v>
      </c>
      <c r="IE333">
        <v>638975.71560124005</v>
      </c>
      <c r="IF333">
        <v>624906.96785922104</v>
      </c>
      <c r="IG333">
        <v>624906.96785922104</v>
      </c>
      <c r="IH333">
        <v>0</v>
      </c>
      <c r="II333">
        <v>185270.17273048399</v>
      </c>
      <c r="IJ333">
        <v>3889884.3026562701</v>
      </c>
      <c r="IK333">
        <v>0</v>
      </c>
      <c r="IL333">
        <v>0</v>
      </c>
      <c r="IM333">
        <v>0</v>
      </c>
      <c r="IN333">
        <v>3890673.6273401501</v>
      </c>
      <c r="IO333">
        <v>81687570.355781794</v>
      </c>
      <c r="IP333">
        <v>85578243.983121902</v>
      </c>
      <c r="IQ333">
        <v>536000</v>
      </c>
      <c r="IR333">
        <v>2600000</v>
      </c>
      <c r="IS333">
        <v>0</v>
      </c>
      <c r="IT333">
        <v>104000</v>
      </c>
      <c r="IU333">
        <v>104000</v>
      </c>
      <c r="IV333">
        <v>3240000</v>
      </c>
      <c r="IW333">
        <v>268000</v>
      </c>
      <c r="IX333">
        <v>1300000</v>
      </c>
      <c r="IY333">
        <v>0</v>
      </c>
      <c r="IZ333">
        <v>52000</v>
      </c>
      <c r="JA333">
        <v>52000</v>
      </c>
      <c r="JB333">
        <v>1620000</v>
      </c>
      <c r="JC333">
        <v>90000</v>
      </c>
      <c r="JD333">
        <v>434000</v>
      </c>
      <c r="JE333">
        <v>0</v>
      </c>
      <c r="JF333">
        <v>18000</v>
      </c>
      <c r="JG333">
        <v>18000</v>
      </c>
      <c r="JH333">
        <v>542000</v>
      </c>
    </row>
    <row r="334" spans="2:268" customFormat="1" x14ac:dyDescent="0.25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3"/>
      <c r="N334" s="3"/>
      <c r="O334" s="3"/>
      <c r="P334" s="2"/>
      <c r="Q334" s="2"/>
      <c r="R334" s="2"/>
      <c r="S334" s="2"/>
      <c r="T334" s="2"/>
      <c r="U334" s="2"/>
      <c r="V334" s="3"/>
      <c r="W334" s="3"/>
      <c r="X334" s="3"/>
      <c r="Y334" s="3"/>
      <c r="Z334" s="3"/>
      <c r="AA334" s="3"/>
      <c r="AB334" s="3"/>
      <c r="AC334" s="2"/>
      <c r="AD334" s="2"/>
      <c r="AE334" s="2"/>
      <c r="AF334" s="2"/>
      <c r="AG334" s="2"/>
      <c r="AH334" s="2"/>
      <c r="AI334" s="2"/>
      <c r="AJ334" s="3"/>
      <c r="AK334" s="2"/>
      <c r="AL334" s="2"/>
      <c r="AM334" s="2"/>
      <c r="AN334" s="2"/>
      <c r="AO334" s="3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3"/>
      <c r="BC334" s="3"/>
      <c r="BD334" s="3"/>
      <c r="BE334" s="3"/>
      <c r="BF334" s="3"/>
      <c r="BG334" s="3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2"/>
      <c r="DI334" s="2"/>
      <c r="DJ334" s="3"/>
      <c r="DK334" s="3"/>
      <c r="DL334" s="2"/>
      <c r="DM334" s="2"/>
      <c r="DN334" s="2"/>
      <c r="DO334" s="3"/>
      <c r="DP334" s="3"/>
      <c r="GO334" t="s">
        <v>144</v>
      </c>
      <c r="GP334" t="s">
        <v>501</v>
      </c>
      <c r="GQ334" t="s">
        <v>502</v>
      </c>
      <c r="GR334">
        <v>14</v>
      </c>
      <c r="GS334">
        <v>13</v>
      </c>
      <c r="GT334">
        <v>1</v>
      </c>
      <c r="GU334" t="s">
        <v>457</v>
      </c>
      <c r="GV334">
        <v>3890673.6273401501</v>
      </c>
      <c r="GW334">
        <v>81687570.355781794</v>
      </c>
      <c r="GX334">
        <v>85578243.983121902</v>
      </c>
      <c r="GY334">
        <v>0</v>
      </c>
      <c r="GZ334">
        <v>85578243.983121902</v>
      </c>
      <c r="HA334">
        <v>101000000</v>
      </c>
      <c r="HB334">
        <v>303000000</v>
      </c>
      <c r="HC334">
        <v>5000000</v>
      </c>
      <c r="HD334" t="s">
        <v>458</v>
      </c>
      <c r="HE334">
        <v>0</v>
      </c>
      <c r="HF334">
        <v>5000000</v>
      </c>
      <c r="HG334">
        <v>5000000</v>
      </c>
      <c r="HH334">
        <v>1072000</v>
      </c>
      <c r="HI334">
        <v>21440</v>
      </c>
      <c r="HJ334">
        <v>1050560</v>
      </c>
      <c r="HK334">
        <v>5200000</v>
      </c>
      <c r="HL334">
        <v>104000</v>
      </c>
      <c r="HM334">
        <v>5096000</v>
      </c>
      <c r="HN334">
        <v>0</v>
      </c>
      <c r="HO334">
        <v>207000</v>
      </c>
      <c r="HP334">
        <v>207000</v>
      </c>
      <c r="HQ334">
        <v>4140</v>
      </c>
      <c r="HR334">
        <v>202860</v>
      </c>
      <c r="HS334">
        <v>6479000</v>
      </c>
      <c r="HT334">
        <v>129580</v>
      </c>
      <c r="HU334">
        <v>6349420</v>
      </c>
      <c r="HV334">
        <v>90706000</v>
      </c>
      <c r="HW334">
        <v>0.05</v>
      </c>
      <c r="HX334">
        <v>0.97798234361883296</v>
      </c>
      <c r="HY334">
        <v>1</v>
      </c>
      <c r="HZ334">
        <v>300000</v>
      </c>
      <c r="IA334">
        <v>11874.7521329952</v>
      </c>
      <c r="IB334">
        <v>8906.0640997463597</v>
      </c>
      <c r="IC334">
        <v>30843.5120337562</v>
      </c>
      <c r="ID334">
        <v>324324.32826649799</v>
      </c>
      <c r="IE334">
        <v>624324.32826649805</v>
      </c>
      <c r="IF334">
        <v>610578.16973632295</v>
      </c>
      <c r="IG334">
        <v>610578.16973632295</v>
      </c>
      <c r="IH334">
        <v>0</v>
      </c>
      <c r="II334">
        <v>216532.772880192</v>
      </c>
      <c r="IJ334">
        <v>4099321.5177890901</v>
      </c>
      <c r="IK334">
        <v>0</v>
      </c>
      <c r="IL334">
        <v>0</v>
      </c>
      <c r="IM334">
        <v>0</v>
      </c>
      <c r="IN334">
        <v>4547188.23048402</v>
      </c>
      <c r="IO334">
        <v>86085751.873570904</v>
      </c>
      <c r="IP334">
        <v>90632940.104054898</v>
      </c>
      <c r="IQ334">
        <v>536000</v>
      </c>
      <c r="IR334">
        <v>2600000</v>
      </c>
      <c r="IS334">
        <v>0</v>
      </c>
      <c r="IT334">
        <v>104000</v>
      </c>
      <c r="IU334">
        <v>104000</v>
      </c>
      <c r="IV334">
        <v>3240000</v>
      </c>
      <c r="IW334">
        <v>268000</v>
      </c>
      <c r="IX334">
        <v>1300000</v>
      </c>
      <c r="IY334">
        <v>0</v>
      </c>
      <c r="IZ334">
        <v>52000</v>
      </c>
      <c r="JA334">
        <v>52000</v>
      </c>
      <c r="JB334">
        <v>1620000</v>
      </c>
      <c r="JC334">
        <v>90000</v>
      </c>
      <c r="JD334">
        <v>434000</v>
      </c>
      <c r="JE334">
        <v>0</v>
      </c>
      <c r="JF334">
        <v>18000</v>
      </c>
      <c r="JG334">
        <v>18000</v>
      </c>
      <c r="JH334">
        <v>542000</v>
      </c>
    </row>
    <row r="335" spans="2:268" customFormat="1" x14ac:dyDescent="0.25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3"/>
      <c r="N335" s="3"/>
      <c r="O335" s="3"/>
      <c r="P335" s="2"/>
      <c r="Q335" s="2"/>
      <c r="R335" s="2"/>
      <c r="S335" s="2"/>
      <c r="T335" s="2"/>
      <c r="U335" s="2"/>
      <c r="V335" s="3"/>
      <c r="W335" s="3"/>
      <c r="X335" s="3"/>
      <c r="Y335" s="3"/>
      <c r="Z335" s="3"/>
      <c r="AA335" s="3"/>
      <c r="AB335" s="3"/>
      <c r="AC335" s="2"/>
      <c r="AD335" s="2"/>
      <c r="AE335" s="2"/>
      <c r="AF335" s="2"/>
      <c r="AG335" s="2"/>
      <c r="AH335" s="2"/>
      <c r="AI335" s="2"/>
      <c r="AJ335" s="3"/>
      <c r="AK335" s="2"/>
      <c r="AL335" s="2"/>
      <c r="AM335" s="2"/>
      <c r="AN335" s="2"/>
      <c r="AO335" s="3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3"/>
      <c r="BC335" s="3"/>
      <c r="BD335" s="3"/>
      <c r="BE335" s="3"/>
      <c r="BF335" s="3"/>
      <c r="BG335" s="3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2"/>
      <c r="DI335" s="2"/>
      <c r="DJ335" s="3"/>
      <c r="DK335" s="3"/>
      <c r="DL335" s="2"/>
      <c r="DM335" s="2"/>
      <c r="DN335" s="2"/>
      <c r="DO335" s="3"/>
      <c r="DP335" s="3"/>
      <c r="GO335" t="s">
        <v>144</v>
      </c>
      <c r="GP335" t="s">
        <v>501</v>
      </c>
      <c r="GQ335" t="s">
        <v>502</v>
      </c>
      <c r="GR335">
        <v>15</v>
      </c>
      <c r="GS335">
        <v>14</v>
      </c>
      <c r="GT335">
        <v>1</v>
      </c>
      <c r="GU335" t="s">
        <v>457</v>
      </c>
      <c r="GV335">
        <v>4547188.23048402</v>
      </c>
      <c r="GW335">
        <v>86085751.873570904</v>
      </c>
      <c r="GX335">
        <v>90632940.104054898</v>
      </c>
      <c r="GY335">
        <v>0</v>
      </c>
      <c r="GZ335">
        <v>90632940.104054898</v>
      </c>
      <c r="HA335">
        <v>101000000</v>
      </c>
      <c r="HB335">
        <v>303000000</v>
      </c>
      <c r="HC335">
        <v>5000000</v>
      </c>
      <c r="HD335" t="s">
        <v>458</v>
      </c>
      <c r="HE335">
        <v>0</v>
      </c>
      <c r="HF335">
        <v>5000000</v>
      </c>
      <c r="HG335">
        <v>5000000</v>
      </c>
      <c r="HH335">
        <v>1072000</v>
      </c>
      <c r="HI335">
        <v>21440</v>
      </c>
      <c r="HJ335">
        <v>1050560</v>
      </c>
      <c r="HK335">
        <v>5200000</v>
      </c>
      <c r="HL335">
        <v>104000</v>
      </c>
      <c r="HM335">
        <v>5096000</v>
      </c>
      <c r="HN335">
        <v>0</v>
      </c>
      <c r="HO335">
        <v>207000</v>
      </c>
      <c r="HP335">
        <v>207000</v>
      </c>
      <c r="HQ335">
        <v>4140</v>
      </c>
      <c r="HR335">
        <v>202860</v>
      </c>
      <c r="HS335">
        <v>6479000</v>
      </c>
      <c r="HT335">
        <v>129580</v>
      </c>
      <c r="HU335">
        <v>6349420</v>
      </c>
      <c r="HV335">
        <v>97185000</v>
      </c>
      <c r="HW335">
        <v>0.05</v>
      </c>
      <c r="HX335">
        <v>0.97798234361883296</v>
      </c>
      <c r="HY335">
        <v>1</v>
      </c>
      <c r="HZ335">
        <v>300000</v>
      </c>
      <c r="IA335">
        <v>8500.9891146754399</v>
      </c>
      <c r="IB335">
        <v>6375.7418360065803</v>
      </c>
      <c r="IC335">
        <v>20734.1197918902</v>
      </c>
      <c r="ID335">
        <v>308310.85074257199</v>
      </c>
      <c r="IE335">
        <v>608310.85074257199</v>
      </c>
      <c r="IF335">
        <v>594917.27145798702</v>
      </c>
      <c r="IG335">
        <v>594917.27145798702</v>
      </c>
      <c r="IH335">
        <v>0</v>
      </c>
      <c r="II335">
        <v>250141.547951302</v>
      </c>
      <c r="IJ335">
        <v>4319230.5936785396</v>
      </c>
      <c r="IK335">
        <v>0</v>
      </c>
      <c r="IL335">
        <v>0</v>
      </c>
      <c r="IM335">
        <v>0</v>
      </c>
      <c r="IN335">
        <v>5252972.5069773402</v>
      </c>
      <c r="IO335">
        <v>90703842.467249393</v>
      </c>
      <c r="IP335">
        <v>95956814.974226698</v>
      </c>
      <c r="IQ335">
        <v>536000</v>
      </c>
      <c r="IR335">
        <v>2600000</v>
      </c>
      <c r="IS335">
        <v>0</v>
      </c>
      <c r="IT335">
        <v>104000</v>
      </c>
      <c r="IU335">
        <v>104000</v>
      </c>
      <c r="IV335">
        <v>3240000</v>
      </c>
      <c r="IW335">
        <v>268000</v>
      </c>
      <c r="IX335">
        <v>1300000</v>
      </c>
      <c r="IY335">
        <v>0</v>
      </c>
      <c r="IZ335">
        <v>52000</v>
      </c>
      <c r="JA335">
        <v>52000</v>
      </c>
      <c r="JB335">
        <v>1620000</v>
      </c>
      <c r="JC335">
        <v>90000</v>
      </c>
      <c r="JD335">
        <v>434000</v>
      </c>
      <c r="JE335">
        <v>0</v>
      </c>
      <c r="JF335">
        <v>18000</v>
      </c>
      <c r="JG335">
        <v>18000</v>
      </c>
      <c r="JH335">
        <v>542000</v>
      </c>
    </row>
    <row r="336" spans="2:268" customFormat="1" x14ac:dyDescent="0.25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3"/>
      <c r="N336" s="3"/>
      <c r="O336" s="3"/>
      <c r="P336" s="2"/>
      <c r="Q336" s="2"/>
      <c r="R336" s="2"/>
      <c r="S336" s="2"/>
      <c r="T336" s="2"/>
      <c r="U336" s="2"/>
      <c r="V336" s="3"/>
      <c r="W336" s="3"/>
      <c r="X336" s="3"/>
      <c r="Y336" s="3"/>
      <c r="Z336" s="3"/>
      <c r="AA336" s="3"/>
      <c r="AB336" s="3"/>
      <c r="AC336" s="2"/>
      <c r="AD336" s="2"/>
      <c r="AE336" s="2"/>
      <c r="AF336" s="2"/>
      <c r="AG336" s="2"/>
      <c r="AH336" s="2"/>
      <c r="AI336" s="2"/>
      <c r="AJ336" s="3"/>
      <c r="AK336" s="2"/>
      <c r="AL336" s="2"/>
      <c r="AM336" s="2"/>
      <c r="AN336" s="2"/>
      <c r="AO336" s="3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3"/>
      <c r="BC336" s="3"/>
      <c r="BD336" s="3"/>
      <c r="BE336" s="3"/>
      <c r="BF336" s="3"/>
      <c r="BG336" s="3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2"/>
      <c r="DI336" s="2"/>
      <c r="DJ336" s="3"/>
      <c r="DK336" s="3"/>
      <c r="DL336" s="2"/>
      <c r="DM336" s="2"/>
      <c r="DN336" s="2"/>
      <c r="DO336" s="3"/>
      <c r="DP336" s="3"/>
      <c r="GO336" t="s">
        <v>144</v>
      </c>
      <c r="GP336" t="s">
        <v>501</v>
      </c>
      <c r="GQ336" t="s">
        <v>502</v>
      </c>
      <c r="GR336">
        <v>16</v>
      </c>
      <c r="GS336">
        <v>15</v>
      </c>
      <c r="GT336">
        <v>1</v>
      </c>
      <c r="GU336" t="s">
        <v>457</v>
      </c>
      <c r="GV336">
        <v>5252972.5069773402</v>
      </c>
      <c r="GW336">
        <v>90703842.467249393</v>
      </c>
      <c r="GX336">
        <v>95956814.974226698</v>
      </c>
      <c r="GY336">
        <v>0</v>
      </c>
      <c r="GZ336">
        <v>95956814.974226698</v>
      </c>
      <c r="HA336">
        <v>101000000</v>
      </c>
      <c r="HB336">
        <v>303000000</v>
      </c>
      <c r="HC336">
        <v>0</v>
      </c>
      <c r="HD336" t="s">
        <v>137</v>
      </c>
      <c r="HE336">
        <v>0</v>
      </c>
      <c r="HF336">
        <v>0</v>
      </c>
      <c r="HG336">
        <v>0</v>
      </c>
      <c r="HH336">
        <v>1072000</v>
      </c>
      <c r="HI336">
        <v>21440</v>
      </c>
      <c r="HJ336">
        <v>1050560</v>
      </c>
      <c r="HK336">
        <v>5200000</v>
      </c>
      <c r="HL336">
        <v>104000</v>
      </c>
      <c r="HM336">
        <v>5096000</v>
      </c>
      <c r="HN336">
        <v>0</v>
      </c>
      <c r="HO336">
        <v>207000</v>
      </c>
      <c r="HP336">
        <v>207000</v>
      </c>
      <c r="HQ336">
        <v>4140</v>
      </c>
      <c r="HR336">
        <v>202860</v>
      </c>
      <c r="HS336">
        <v>6479000</v>
      </c>
      <c r="HT336">
        <v>129580</v>
      </c>
      <c r="HU336">
        <v>6349420</v>
      </c>
      <c r="HV336">
        <v>103664000</v>
      </c>
      <c r="HW336">
        <v>0.05</v>
      </c>
      <c r="HX336">
        <v>0.97798234361883296</v>
      </c>
      <c r="HY336">
        <v>1</v>
      </c>
      <c r="HZ336">
        <v>300000</v>
      </c>
      <c r="IA336">
        <v>4387.57097242292</v>
      </c>
      <c r="IB336">
        <v>3290.67822931719</v>
      </c>
      <c r="IC336">
        <v>10086.370051546501</v>
      </c>
      <c r="ID336">
        <v>290464.61925328698</v>
      </c>
      <c r="IE336">
        <v>590464.61925328698</v>
      </c>
      <c r="IF336">
        <v>577463.97216133098</v>
      </c>
      <c r="IG336">
        <v>577463.97216133098</v>
      </c>
      <c r="IH336">
        <v>0</v>
      </c>
      <c r="II336">
        <v>286303.42674079997</v>
      </c>
      <c r="IJ336">
        <v>4800135.1233624704</v>
      </c>
      <c r="IK336">
        <v>257280</v>
      </c>
      <c r="IL336">
        <v>0</v>
      </c>
      <c r="IM336">
        <v>257280</v>
      </c>
      <c r="IN336">
        <v>6269651.96155681</v>
      </c>
      <c r="IO336">
        <v>100802837.59061199</v>
      </c>
      <c r="IP336">
        <v>107072489.552169</v>
      </c>
      <c r="IQ336">
        <v>536000</v>
      </c>
      <c r="IR336">
        <v>2600000</v>
      </c>
      <c r="IS336">
        <v>0</v>
      </c>
      <c r="IT336">
        <v>104000</v>
      </c>
      <c r="IU336">
        <v>104000</v>
      </c>
      <c r="IV336">
        <v>3240000</v>
      </c>
      <c r="IW336">
        <v>268000</v>
      </c>
      <c r="IX336">
        <v>1300000</v>
      </c>
      <c r="IY336">
        <v>0</v>
      </c>
      <c r="IZ336">
        <v>52000</v>
      </c>
      <c r="JA336">
        <v>52000</v>
      </c>
      <c r="JB336">
        <v>1620000</v>
      </c>
      <c r="JC336">
        <v>90000</v>
      </c>
      <c r="JD336">
        <v>434000</v>
      </c>
      <c r="JE336">
        <v>0</v>
      </c>
      <c r="JF336">
        <v>18000</v>
      </c>
      <c r="JG336">
        <v>18000</v>
      </c>
      <c r="JH336">
        <v>542000</v>
      </c>
    </row>
    <row r="337" spans="2:268" customFormat="1" x14ac:dyDescent="0.25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3"/>
      <c r="N337" s="3"/>
      <c r="O337" s="3"/>
      <c r="P337" s="2"/>
      <c r="Q337" s="2"/>
      <c r="R337" s="2"/>
      <c r="S337" s="2"/>
      <c r="T337" s="2"/>
      <c r="U337" s="2"/>
      <c r="V337" s="3"/>
      <c r="W337" s="3"/>
      <c r="X337" s="3"/>
      <c r="Y337" s="3"/>
      <c r="Z337" s="3"/>
      <c r="AA337" s="3"/>
      <c r="AB337" s="3"/>
      <c r="AC337" s="2"/>
      <c r="AD337" s="2"/>
      <c r="AE337" s="2"/>
      <c r="AF337" s="2"/>
      <c r="AG337" s="2"/>
      <c r="AH337" s="2"/>
      <c r="AI337" s="2"/>
      <c r="AJ337" s="3"/>
      <c r="AK337" s="2"/>
      <c r="AL337" s="2"/>
      <c r="AM337" s="2"/>
      <c r="AN337" s="2"/>
      <c r="AO337" s="3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3"/>
      <c r="BC337" s="3"/>
      <c r="BD337" s="3"/>
      <c r="BE337" s="3"/>
      <c r="BF337" s="3"/>
      <c r="BG337" s="3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2"/>
      <c r="DI337" s="2"/>
      <c r="DJ337" s="3"/>
      <c r="DK337" s="3"/>
      <c r="DL337" s="2"/>
      <c r="DM337" s="2"/>
      <c r="DN337" s="2"/>
      <c r="DO337" s="3"/>
      <c r="DP337" s="3"/>
      <c r="GO337" t="s">
        <v>144</v>
      </c>
      <c r="GP337" t="s">
        <v>501</v>
      </c>
      <c r="GQ337" t="s">
        <v>502</v>
      </c>
      <c r="GR337">
        <v>17</v>
      </c>
      <c r="GS337">
        <v>16</v>
      </c>
      <c r="GT337">
        <v>1</v>
      </c>
      <c r="GU337" t="s">
        <v>457</v>
      </c>
      <c r="GV337">
        <v>6269651.96155681</v>
      </c>
      <c r="GW337">
        <v>100802837.59061199</v>
      </c>
      <c r="GX337">
        <v>107072489.552169</v>
      </c>
      <c r="GY337">
        <v>0</v>
      </c>
      <c r="GZ337">
        <v>107072489.552169</v>
      </c>
      <c r="HA337">
        <v>107072489.552169</v>
      </c>
      <c r="HB337">
        <v>303000000</v>
      </c>
      <c r="HC337">
        <v>0</v>
      </c>
      <c r="HD337" t="s">
        <v>137</v>
      </c>
      <c r="HE337">
        <v>0</v>
      </c>
      <c r="HF337">
        <v>0</v>
      </c>
      <c r="HG337">
        <v>0</v>
      </c>
      <c r="HH337">
        <v>1072000</v>
      </c>
      <c r="HI337">
        <v>21440</v>
      </c>
      <c r="HJ337">
        <v>1050560</v>
      </c>
      <c r="HK337">
        <v>5200000</v>
      </c>
      <c r="HL337">
        <v>104000</v>
      </c>
      <c r="HM337">
        <v>5096000</v>
      </c>
      <c r="HN337">
        <v>0</v>
      </c>
      <c r="HO337">
        <v>219000</v>
      </c>
      <c r="HP337">
        <v>219000</v>
      </c>
      <c r="HQ337">
        <v>4380</v>
      </c>
      <c r="HR337">
        <v>214620</v>
      </c>
      <c r="HS337">
        <v>6491000</v>
      </c>
      <c r="HT337">
        <v>129820</v>
      </c>
      <c r="HU337">
        <v>6361180</v>
      </c>
      <c r="HV337">
        <v>110155000</v>
      </c>
      <c r="HW337">
        <v>0.05</v>
      </c>
      <c r="HX337">
        <v>0.97798234361883296</v>
      </c>
      <c r="HY337">
        <v>1</v>
      </c>
      <c r="HZ337">
        <v>300000</v>
      </c>
      <c r="IA337">
        <v>0</v>
      </c>
      <c r="IB337">
        <v>0</v>
      </c>
      <c r="IC337">
        <v>0</v>
      </c>
      <c r="ID337">
        <v>272700</v>
      </c>
      <c r="IE337">
        <v>572700</v>
      </c>
      <c r="IF337">
        <v>560090.488190506</v>
      </c>
      <c r="IG337">
        <v>560090.488190506</v>
      </c>
      <c r="IH337">
        <v>0</v>
      </c>
      <c r="II337">
        <v>338006.07366831502</v>
      </c>
      <c r="IJ337">
        <v>5305672.87953059</v>
      </c>
      <c r="IK337">
        <v>0</v>
      </c>
      <c r="IL337">
        <v>0</v>
      </c>
      <c r="IM337">
        <v>0</v>
      </c>
      <c r="IN337">
        <v>7098127.5470346203</v>
      </c>
      <c r="IO337">
        <v>111419130.47014201</v>
      </c>
      <c r="IP337">
        <v>118517258.017177</v>
      </c>
      <c r="IQ337">
        <v>536000</v>
      </c>
      <c r="IR337">
        <v>2600000</v>
      </c>
      <c r="IS337">
        <v>0</v>
      </c>
      <c r="IT337">
        <v>110000</v>
      </c>
      <c r="IU337">
        <v>110000</v>
      </c>
      <c r="IV337">
        <v>3246000</v>
      </c>
      <c r="IW337">
        <v>268000</v>
      </c>
      <c r="IX337">
        <v>1300000</v>
      </c>
      <c r="IY337">
        <v>0</v>
      </c>
      <c r="IZ337">
        <v>55000</v>
      </c>
      <c r="JA337">
        <v>55000</v>
      </c>
      <c r="JB337">
        <v>1623000</v>
      </c>
      <c r="JC337">
        <v>90000</v>
      </c>
      <c r="JD337">
        <v>434000</v>
      </c>
      <c r="JE337">
        <v>0</v>
      </c>
      <c r="JF337">
        <v>19000</v>
      </c>
      <c r="JG337">
        <v>19000</v>
      </c>
      <c r="JH337">
        <v>543000</v>
      </c>
    </row>
    <row r="338" spans="2:268" customFormat="1" x14ac:dyDescent="0.25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3"/>
      <c r="N338" s="3"/>
      <c r="O338" s="3"/>
      <c r="P338" s="2"/>
      <c r="Q338" s="2"/>
      <c r="R338" s="2"/>
      <c r="S338" s="2"/>
      <c r="T338" s="2"/>
      <c r="U338" s="2"/>
      <c r="V338" s="3"/>
      <c r="W338" s="3"/>
      <c r="X338" s="3"/>
      <c r="Y338" s="3"/>
      <c r="Z338" s="3"/>
      <c r="AA338" s="3"/>
      <c r="AB338" s="3"/>
      <c r="AC338" s="2"/>
      <c r="AD338" s="2"/>
      <c r="AE338" s="2"/>
      <c r="AF338" s="2"/>
      <c r="AG338" s="2"/>
      <c r="AH338" s="2"/>
      <c r="AI338" s="2"/>
      <c r="AJ338" s="3"/>
      <c r="AK338" s="2"/>
      <c r="AL338" s="2"/>
      <c r="AM338" s="2"/>
      <c r="AN338" s="2"/>
      <c r="AO338" s="3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3"/>
      <c r="BC338" s="3"/>
      <c r="BD338" s="3"/>
      <c r="BE338" s="3"/>
      <c r="BF338" s="3"/>
      <c r="BG338" s="3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2"/>
      <c r="DI338" s="2"/>
      <c r="DJ338" s="3"/>
      <c r="DK338" s="3"/>
      <c r="DL338" s="2"/>
      <c r="DM338" s="2"/>
      <c r="DN338" s="2"/>
      <c r="DO338" s="3"/>
      <c r="DP338" s="3"/>
      <c r="GO338" t="s">
        <v>144</v>
      </c>
      <c r="GP338" t="s">
        <v>501</v>
      </c>
      <c r="GQ338" t="s">
        <v>502</v>
      </c>
      <c r="GR338">
        <v>18</v>
      </c>
      <c r="GS338">
        <v>17</v>
      </c>
      <c r="GT338">
        <v>1</v>
      </c>
      <c r="GU338" t="s">
        <v>457</v>
      </c>
      <c r="GV338">
        <v>7098127.5470346203</v>
      </c>
      <c r="GW338">
        <v>111419130.47014201</v>
      </c>
      <c r="GX338">
        <v>118517258.017177</v>
      </c>
      <c r="GY338">
        <v>0</v>
      </c>
      <c r="GZ338">
        <v>118517258.017177</v>
      </c>
      <c r="HA338">
        <v>118517258.017177</v>
      </c>
      <c r="HB338">
        <v>303000000</v>
      </c>
      <c r="HC338">
        <v>0</v>
      </c>
      <c r="HD338" t="s">
        <v>137</v>
      </c>
      <c r="HE338">
        <v>0</v>
      </c>
      <c r="HF338">
        <v>0</v>
      </c>
      <c r="HG338">
        <v>0</v>
      </c>
      <c r="HH338">
        <v>1072000</v>
      </c>
      <c r="HI338">
        <v>21440</v>
      </c>
      <c r="HJ338">
        <v>1050560</v>
      </c>
      <c r="HK338">
        <v>5200000</v>
      </c>
      <c r="HL338">
        <v>104000</v>
      </c>
      <c r="HM338">
        <v>5096000</v>
      </c>
      <c r="HN338">
        <v>0</v>
      </c>
      <c r="HO338">
        <v>242000</v>
      </c>
      <c r="HP338">
        <v>242000</v>
      </c>
      <c r="HQ338">
        <v>4840</v>
      </c>
      <c r="HR338">
        <v>237160</v>
      </c>
      <c r="HS338">
        <v>6514000</v>
      </c>
      <c r="HT338">
        <v>130280</v>
      </c>
      <c r="HU338">
        <v>6383720</v>
      </c>
      <c r="HV338">
        <v>116669000</v>
      </c>
      <c r="HW338">
        <v>0.05</v>
      </c>
      <c r="HX338">
        <v>0.97798234361883296</v>
      </c>
      <c r="HY338">
        <v>1</v>
      </c>
      <c r="HZ338">
        <v>300000</v>
      </c>
      <c r="IA338">
        <v>0</v>
      </c>
      <c r="IB338">
        <v>0</v>
      </c>
      <c r="IC338">
        <v>0</v>
      </c>
      <c r="ID338">
        <v>272700</v>
      </c>
      <c r="IE338">
        <v>572700</v>
      </c>
      <c r="IF338">
        <v>560090.488190506</v>
      </c>
      <c r="IG338">
        <v>560090.488190506</v>
      </c>
      <c r="IH338">
        <v>0</v>
      </c>
      <c r="II338">
        <v>379429.85294220498</v>
      </c>
      <c r="IJ338">
        <v>5837614.5235071201</v>
      </c>
      <c r="IK338">
        <v>0</v>
      </c>
      <c r="IL338">
        <v>0</v>
      </c>
      <c r="IM338">
        <v>0</v>
      </c>
      <c r="IN338">
        <v>7968026.9117863197</v>
      </c>
      <c r="IO338">
        <v>122589904.99365</v>
      </c>
      <c r="IP338">
        <v>130557931.90543599</v>
      </c>
      <c r="IQ338">
        <v>536000</v>
      </c>
      <c r="IR338">
        <v>2600000</v>
      </c>
      <c r="IS338">
        <v>0</v>
      </c>
      <c r="IT338">
        <v>121000</v>
      </c>
      <c r="IU338">
        <v>121000</v>
      </c>
      <c r="IV338">
        <v>3257000</v>
      </c>
      <c r="IW338">
        <v>268000</v>
      </c>
      <c r="IX338">
        <v>1300000</v>
      </c>
      <c r="IY338">
        <v>0</v>
      </c>
      <c r="IZ338">
        <v>61000</v>
      </c>
      <c r="JA338">
        <v>61000</v>
      </c>
      <c r="JB338">
        <v>1629000</v>
      </c>
      <c r="JC338">
        <v>90000</v>
      </c>
      <c r="JD338">
        <v>434000</v>
      </c>
      <c r="JE338">
        <v>0</v>
      </c>
      <c r="JF338">
        <v>21000</v>
      </c>
      <c r="JG338">
        <v>21000</v>
      </c>
      <c r="JH338">
        <v>545000</v>
      </c>
    </row>
    <row r="339" spans="2:268" customFormat="1" x14ac:dyDescent="0.25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3"/>
      <c r="N339" s="3"/>
      <c r="O339" s="3"/>
      <c r="P339" s="2"/>
      <c r="Q339" s="2"/>
      <c r="R339" s="2"/>
      <c r="S339" s="2"/>
      <c r="T339" s="2"/>
      <c r="U339" s="2"/>
      <c r="V339" s="3"/>
      <c r="W339" s="3"/>
      <c r="X339" s="3"/>
      <c r="Y339" s="3"/>
      <c r="Z339" s="3"/>
      <c r="AA339" s="3"/>
      <c r="AB339" s="3"/>
      <c r="AC339" s="2"/>
      <c r="AD339" s="2"/>
      <c r="AE339" s="2"/>
      <c r="AF339" s="2"/>
      <c r="AG339" s="2"/>
      <c r="AH339" s="2"/>
      <c r="AI339" s="2"/>
      <c r="AJ339" s="3"/>
      <c r="AK339" s="2"/>
      <c r="AL339" s="2"/>
      <c r="AM339" s="2"/>
      <c r="AN339" s="2"/>
      <c r="AO339" s="3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3"/>
      <c r="BC339" s="3"/>
      <c r="BD339" s="3"/>
      <c r="BE339" s="3"/>
      <c r="BF339" s="3"/>
      <c r="BG339" s="3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2"/>
      <c r="DI339" s="2"/>
      <c r="DJ339" s="3"/>
      <c r="DK339" s="3"/>
      <c r="DL339" s="2"/>
      <c r="DM339" s="2"/>
      <c r="DN339" s="2"/>
      <c r="DO339" s="3"/>
      <c r="DP339" s="3"/>
      <c r="GO339" t="s">
        <v>144</v>
      </c>
      <c r="GP339" t="s">
        <v>501</v>
      </c>
      <c r="GQ339" t="s">
        <v>502</v>
      </c>
      <c r="GR339">
        <v>19</v>
      </c>
      <c r="GS339">
        <v>18</v>
      </c>
      <c r="GT339">
        <v>1</v>
      </c>
      <c r="GU339" t="s">
        <v>457</v>
      </c>
      <c r="GV339">
        <v>7968026.9117863197</v>
      </c>
      <c r="GW339">
        <v>122589904.99365</v>
      </c>
      <c r="GX339">
        <v>130557931.90543599</v>
      </c>
      <c r="GY339">
        <v>0</v>
      </c>
      <c r="GZ339">
        <v>130557931.90543599</v>
      </c>
      <c r="HA339">
        <v>130557931.90543599</v>
      </c>
      <c r="HB339">
        <v>303000000</v>
      </c>
      <c r="HC339">
        <v>0</v>
      </c>
      <c r="HD339" t="s">
        <v>137</v>
      </c>
      <c r="HE339">
        <v>0</v>
      </c>
      <c r="HF339">
        <v>0</v>
      </c>
      <c r="HG339">
        <v>0</v>
      </c>
      <c r="HH339">
        <v>1072000</v>
      </c>
      <c r="HI339">
        <v>21440</v>
      </c>
      <c r="HJ339">
        <v>1050560</v>
      </c>
      <c r="HK339">
        <v>5200000</v>
      </c>
      <c r="HL339">
        <v>104000</v>
      </c>
      <c r="HM339">
        <v>5096000</v>
      </c>
      <c r="HN339">
        <v>0</v>
      </c>
      <c r="HO339">
        <v>267000</v>
      </c>
      <c r="HP339">
        <v>267000</v>
      </c>
      <c r="HQ339">
        <v>5340</v>
      </c>
      <c r="HR339">
        <v>261660</v>
      </c>
      <c r="HS339">
        <v>6539000</v>
      </c>
      <c r="HT339">
        <v>130780</v>
      </c>
      <c r="HU339">
        <v>6408220</v>
      </c>
      <c r="HV339">
        <v>123208000</v>
      </c>
      <c r="HW339">
        <v>0.05</v>
      </c>
      <c r="HX339">
        <v>0.97798234361883296</v>
      </c>
      <c r="HY339">
        <v>1</v>
      </c>
      <c r="HZ339">
        <v>300000</v>
      </c>
      <c r="IA339">
        <v>0</v>
      </c>
      <c r="IB339">
        <v>0</v>
      </c>
      <c r="IC339">
        <v>0</v>
      </c>
      <c r="ID339">
        <v>272700</v>
      </c>
      <c r="IE339">
        <v>572700</v>
      </c>
      <c r="IF339">
        <v>560090.488190506</v>
      </c>
      <c r="IG339">
        <v>560090.488190506</v>
      </c>
      <c r="IH339">
        <v>0</v>
      </c>
      <c r="II339">
        <v>422924.821179791</v>
      </c>
      <c r="IJ339">
        <v>6397378.2496824795</v>
      </c>
      <c r="IK339">
        <v>0</v>
      </c>
      <c r="IL339">
        <v>0</v>
      </c>
      <c r="IM339">
        <v>0</v>
      </c>
      <c r="IN339">
        <v>8881421.2447756007</v>
      </c>
      <c r="IO339">
        <v>134344943.243332</v>
      </c>
      <c r="IP339">
        <v>143226364.48810801</v>
      </c>
      <c r="IQ339">
        <v>536000</v>
      </c>
      <c r="IR339">
        <v>2600000</v>
      </c>
      <c r="IS339">
        <v>0</v>
      </c>
      <c r="IT339">
        <v>134000</v>
      </c>
      <c r="IU339">
        <v>134000</v>
      </c>
      <c r="IV339">
        <v>3270000</v>
      </c>
      <c r="IW339">
        <v>268000</v>
      </c>
      <c r="IX339">
        <v>1300000</v>
      </c>
      <c r="IY339">
        <v>0</v>
      </c>
      <c r="IZ339">
        <v>67000</v>
      </c>
      <c r="JA339">
        <v>67000</v>
      </c>
      <c r="JB339">
        <v>1635000</v>
      </c>
      <c r="JC339">
        <v>90000</v>
      </c>
      <c r="JD339">
        <v>434000</v>
      </c>
      <c r="JE339">
        <v>0</v>
      </c>
      <c r="JF339">
        <v>23000</v>
      </c>
      <c r="JG339">
        <v>23000</v>
      </c>
      <c r="JH339">
        <v>547000</v>
      </c>
    </row>
    <row r="340" spans="2:268" customFormat="1" x14ac:dyDescent="0.25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3"/>
      <c r="N340" s="3"/>
      <c r="O340" s="3"/>
      <c r="P340" s="2"/>
      <c r="Q340" s="2"/>
      <c r="R340" s="2"/>
      <c r="S340" s="2"/>
      <c r="T340" s="2"/>
      <c r="U340" s="2"/>
      <c r="V340" s="3"/>
      <c r="W340" s="3"/>
      <c r="X340" s="3"/>
      <c r="Y340" s="3"/>
      <c r="Z340" s="3"/>
      <c r="AA340" s="3"/>
      <c r="AB340" s="3"/>
      <c r="AC340" s="2"/>
      <c r="AD340" s="2"/>
      <c r="AE340" s="2"/>
      <c r="AF340" s="2"/>
      <c r="AG340" s="2"/>
      <c r="AH340" s="2"/>
      <c r="AI340" s="2"/>
      <c r="AJ340" s="3"/>
      <c r="AK340" s="2"/>
      <c r="AL340" s="2"/>
      <c r="AM340" s="2"/>
      <c r="AN340" s="2"/>
      <c r="AO340" s="3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3"/>
      <c r="BC340" s="3"/>
      <c r="BD340" s="3"/>
      <c r="BE340" s="3"/>
      <c r="BF340" s="3"/>
      <c r="BG340" s="3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2"/>
      <c r="DI340" s="2"/>
      <c r="DJ340" s="3"/>
      <c r="DK340" s="3"/>
      <c r="DL340" s="2"/>
      <c r="DM340" s="2"/>
      <c r="DN340" s="2"/>
      <c r="DO340" s="3"/>
      <c r="DP340" s="3"/>
      <c r="GO340" t="s">
        <v>144</v>
      </c>
      <c r="GP340" t="s">
        <v>501</v>
      </c>
      <c r="GQ340" t="s">
        <v>502</v>
      </c>
      <c r="GR340">
        <v>20</v>
      </c>
      <c r="GS340">
        <v>19</v>
      </c>
      <c r="GT340">
        <v>1</v>
      </c>
      <c r="GU340" t="s">
        <v>457</v>
      </c>
      <c r="GV340">
        <v>8881421.2447756007</v>
      </c>
      <c r="GW340">
        <v>134344943.243332</v>
      </c>
      <c r="GX340">
        <v>143226364.48810801</v>
      </c>
      <c r="GY340">
        <v>0</v>
      </c>
      <c r="GZ340">
        <v>143226364.48810801</v>
      </c>
      <c r="HA340">
        <v>143226364.48810801</v>
      </c>
      <c r="HB340">
        <v>303000000</v>
      </c>
      <c r="HC340">
        <v>10000000</v>
      </c>
      <c r="HD340" t="s">
        <v>458</v>
      </c>
      <c r="HE340">
        <v>0</v>
      </c>
      <c r="HF340">
        <v>10000000</v>
      </c>
      <c r="HG340">
        <v>10000000</v>
      </c>
      <c r="HH340">
        <v>1072000</v>
      </c>
      <c r="HI340">
        <v>21440</v>
      </c>
      <c r="HJ340">
        <v>1050560</v>
      </c>
      <c r="HK340">
        <v>5200000</v>
      </c>
      <c r="HL340">
        <v>104000</v>
      </c>
      <c r="HM340">
        <v>5096000</v>
      </c>
      <c r="HN340">
        <v>0</v>
      </c>
      <c r="HO340">
        <v>293000</v>
      </c>
      <c r="HP340">
        <v>293000</v>
      </c>
      <c r="HQ340">
        <v>5860</v>
      </c>
      <c r="HR340">
        <v>287140</v>
      </c>
      <c r="HS340">
        <v>6565000</v>
      </c>
      <c r="HT340">
        <v>131300</v>
      </c>
      <c r="HU340">
        <v>6433700</v>
      </c>
      <c r="HV340">
        <v>129773000</v>
      </c>
      <c r="HW340">
        <v>0.05</v>
      </c>
      <c r="HX340">
        <v>0.97798234361883296</v>
      </c>
      <c r="HY340">
        <v>1</v>
      </c>
      <c r="HZ340">
        <v>300000</v>
      </c>
      <c r="IA340">
        <v>0</v>
      </c>
      <c r="IB340">
        <v>0</v>
      </c>
      <c r="IC340">
        <v>0</v>
      </c>
      <c r="ID340">
        <v>272700</v>
      </c>
      <c r="IE340">
        <v>572700</v>
      </c>
      <c r="IF340">
        <v>560090.488190506</v>
      </c>
      <c r="IG340">
        <v>560090.488190506</v>
      </c>
      <c r="IH340">
        <v>0</v>
      </c>
      <c r="II340">
        <v>468594.53782925499</v>
      </c>
      <c r="IJ340">
        <v>6486404.1621666001</v>
      </c>
      <c r="IK340">
        <v>321600</v>
      </c>
      <c r="IL340">
        <v>0</v>
      </c>
      <c r="IM340">
        <v>321600</v>
      </c>
      <c r="IN340">
        <v>10162085.2944143</v>
      </c>
      <c r="IO340">
        <v>136214487.40549901</v>
      </c>
      <c r="IP340">
        <v>146376572.699913</v>
      </c>
      <c r="IQ340">
        <v>536000</v>
      </c>
      <c r="IR340">
        <v>2600000</v>
      </c>
      <c r="IS340">
        <v>0</v>
      </c>
      <c r="IT340">
        <v>147000</v>
      </c>
      <c r="IU340">
        <v>147000</v>
      </c>
      <c r="IV340">
        <v>3283000</v>
      </c>
      <c r="IW340">
        <v>268000</v>
      </c>
      <c r="IX340">
        <v>1300000</v>
      </c>
      <c r="IY340">
        <v>0</v>
      </c>
      <c r="IZ340">
        <v>74000</v>
      </c>
      <c r="JA340">
        <v>74000</v>
      </c>
      <c r="JB340">
        <v>1642000</v>
      </c>
      <c r="JC340">
        <v>90000</v>
      </c>
      <c r="JD340">
        <v>434000</v>
      </c>
      <c r="JE340">
        <v>0</v>
      </c>
      <c r="JF340">
        <v>25000</v>
      </c>
      <c r="JG340">
        <v>25000</v>
      </c>
      <c r="JH340">
        <v>549000</v>
      </c>
    </row>
    <row r="341" spans="2:268" customFormat="1" x14ac:dyDescent="0.25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3"/>
      <c r="N341" s="3"/>
      <c r="O341" s="3"/>
      <c r="P341" s="2"/>
      <c r="Q341" s="2"/>
      <c r="R341" s="2"/>
      <c r="S341" s="2"/>
      <c r="T341" s="2"/>
      <c r="U341" s="2"/>
      <c r="V341" s="3"/>
      <c r="W341" s="3"/>
      <c r="X341" s="3"/>
      <c r="Y341" s="3"/>
      <c r="Z341" s="3"/>
      <c r="AA341" s="3"/>
      <c r="AB341" s="3"/>
      <c r="AC341" s="2"/>
      <c r="AD341" s="2"/>
      <c r="AE341" s="2"/>
      <c r="AF341" s="2"/>
      <c r="AG341" s="2"/>
      <c r="AH341" s="2"/>
      <c r="AI341" s="2"/>
      <c r="AJ341" s="3"/>
      <c r="AK341" s="2"/>
      <c r="AL341" s="2"/>
      <c r="AM341" s="2"/>
      <c r="AN341" s="2"/>
      <c r="AO341" s="3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3"/>
      <c r="BC341" s="3"/>
      <c r="BD341" s="3"/>
      <c r="BE341" s="3"/>
      <c r="BF341" s="3"/>
      <c r="BG341" s="3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2"/>
      <c r="DI341" s="2"/>
      <c r="DJ341" s="3"/>
      <c r="DK341" s="3"/>
      <c r="DL341" s="2"/>
      <c r="DM341" s="2"/>
      <c r="DN341" s="2"/>
      <c r="DO341" s="3"/>
      <c r="DP341" s="3"/>
      <c r="GO341" t="s">
        <v>144</v>
      </c>
      <c r="GP341" t="s">
        <v>501</v>
      </c>
      <c r="GQ341" t="s">
        <v>502</v>
      </c>
      <c r="GR341">
        <v>21</v>
      </c>
      <c r="GS341">
        <v>20</v>
      </c>
      <c r="GT341">
        <v>1</v>
      </c>
      <c r="GU341" t="s">
        <v>457</v>
      </c>
      <c r="GV341">
        <v>10162085.2944143</v>
      </c>
      <c r="GW341">
        <v>136214487.40549901</v>
      </c>
      <c r="GX341">
        <v>146376572.699913</v>
      </c>
      <c r="GY341">
        <v>0</v>
      </c>
      <c r="GZ341">
        <v>146376572.699913</v>
      </c>
      <c r="HA341">
        <v>146376572.699913</v>
      </c>
      <c r="HB341">
        <v>303000000</v>
      </c>
      <c r="HC341">
        <v>10000000</v>
      </c>
      <c r="HD341" t="s">
        <v>458</v>
      </c>
      <c r="HE341">
        <v>0</v>
      </c>
      <c r="HF341">
        <v>10000000</v>
      </c>
      <c r="HG341">
        <v>10000000</v>
      </c>
      <c r="HH341">
        <v>1072000</v>
      </c>
      <c r="HI341">
        <v>21440</v>
      </c>
      <c r="HJ341">
        <v>1050560</v>
      </c>
      <c r="HK341">
        <v>5200000</v>
      </c>
      <c r="HL341">
        <v>104000</v>
      </c>
      <c r="HM341">
        <v>5096000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6272000</v>
      </c>
      <c r="HT341">
        <v>125440</v>
      </c>
      <c r="HU341">
        <v>6146560</v>
      </c>
      <c r="HV341">
        <v>136045000</v>
      </c>
      <c r="HW341">
        <v>0.05</v>
      </c>
      <c r="HX341">
        <v>0.97798234361883296</v>
      </c>
      <c r="HY341">
        <v>1</v>
      </c>
      <c r="HZ341">
        <v>300000</v>
      </c>
      <c r="IA341">
        <v>0</v>
      </c>
      <c r="IB341">
        <v>0</v>
      </c>
      <c r="IC341">
        <v>0</v>
      </c>
      <c r="ID341">
        <v>272700</v>
      </c>
      <c r="IE341">
        <v>572700</v>
      </c>
      <c r="IF341">
        <v>560090.488190506</v>
      </c>
      <c r="IG341">
        <v>560090.488190506</v>
      </c>
      <c r="IH341">
        <v>0</v>
      </c>
      <c r="II341">
        <v>532627.740311192</v>
      </c>
      <c r="IJ341">
        <v>6565524.3702749303</v>
      </c>
      <c r="IK341">
        <v>0</v>
      </c>
      <c r="IL341">
        <v>0</v>
      </c>
      <c r="IM341">
        <v>0</v>
      </c>
      <c r="IN341">
        <v>11185182.546535</v>
      </c>
      <c r="IO341">
        <v>137876011.775774</v>
      </c>
      <c r="IP341">
        <v>149061194.32230899</v>
      </c>
      <c r="IQ341">
        <v>536000</v>
      </c>
      <c r="IR341">
        <v>2600000</v>
      </c>
      <c r="IS341">
        <v>0</v>
      </c>
      <c r="IT341">
        <v>0</v>
      </c>
      <c r="IU341">
        <v>0</v>
      </c>
      <c r="IV341">
        <v>3136000</v>
      </c>
      <c r="IW341">
        <v>268000</v>
      </c>
      <c r="IX341">
        <v>1300000</v>
      </c>
      <c r="IY341">
        <v>0</v>
      </c>
      <c r="IZ341">
        <v>0</v>
      </c>
      <c r="JA341">
        <v>0</v>
      </c>
      <c r="JB341">
        <v>1568000</v>
      </c>
      <c r="JC341">
        <v>90000</v>
      </c>
      <c r="JD341">
        <v>434000</v>
      </c>
      <c r="JE341">
        <v>0</v>
      </c>
      <c r="JF341">
        <v>0</v>
      </c>
      <c r="JG341">
        <v>0</v>
      </c>
      <c r="JH341">
        <v>524000</v>
      </c>
    </row>
    <row r="342" spans="2:268" customFormat="1" x14ac:dyDescent="0.25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3"/>
      <c r="N342" s="3"/>
      <c r="O342" s="3"/>
      <c r="P342" s="2"/>
      <c r="Q342" s="2"/>
      <c r="R342" s="2"/>
      <c r="S342" s="2"/>
      <c r="T342" s="2"/>
      <c r="U342" s="2"/>
      <c r="V342" s="3"/>
      <c r="W342" s="3"/>
      <c r="X342" s="3"/>
      <c r="Y342" s="3"/>
      <c r="Z342" s="3"/>
      <c r="AA342" s="3"/>
      <c r="AB342" s="3"/>
      <c r="AC342" s="2"/>
      <c r="AD342" s="2"/>
      <c r="AE342" s="2"/>
      <c r="AF342" s="2"/>
      <c r="AG342" s="2"/>
      <c r="AH342" s="2"/>
      <c r="AI342" s="2"/>
      <c r="AJ342" s="3"/>
      <c r="AK342" s="2"/>
      <c r="AL342" s="2"/>
      <c r="AM342" s="2"/>
      <c r="AN342" s="2"/>
      <c r="AO342" s="3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3"/>
      <c r="BC342" s="3"/>
      <c r="BD342" s="3"/>
      <c r="BE342" s="3"/>
      <c r="BF342" s="3"/>
      <c r="BG342" s="3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2"/>
      <c r="DI342" s="2"/>
      <c r="DJ342" s="3"/>
      <c r="DK342" s="3"/>
      <c r="DL342" s="2"/>
      <c r="DM342" s="2"/>
      <c r="DN342" s="2"/>
      <c r="DO342" s="3"/>
      <c r="DP342" s="3"/>
      <c r="GO342" t="s">
        <v>144</v>
      </c>
      <c r="GP342" t="s">
        <v>501</v>
      </c>
      <c r="GQ342" t="s">
        <v>502</v>
      </c>
      <c r="GR342">
        <v>22</v>
      </c>
      <c r="GS342">
        <v>21</v>
      </c>
      <c r="GT342">
        <v>1</v>
      </c>
      <c r="GU342" t="s">
        <v>457</v>
      </c>
      <c r="GV342">
        <v>11185182.546535</v>
      </c>
      <c r="GW342">
        <v>137876011.775774</v>
      </c>
      <c r="GX342">
        <v>149061194.32230899</v>
      </c>
      <c r="GY342">
        <v>0</v>
      </c>
      <c r="GZ342">
        <v>149061194.32230899</v>
      </c>
      <c r="HA342">
        <v>149061194.32230899</v>
      </c>
      <c r="HB342">
        <v>303000000</v>
      </c>
      <c r="HC342">
        <v>10000000</v>
      </c>
      <c r="HD342" t="s">
        <v>458</v>
      </c>
      <c r="HE342">
        <v>0</v>
      </c>
      <c r="HF342">
        <v>10000000</v>
      </c>
      <c r="HG342">
        <v>10000000</v>
      </c>
      <c r="HH342">
        <v>1072000</v>
      </c>
      <c r="HI342">
        <v>21440</v>
      </c>
      <c r="HJ342">
        <v>1050560</v>
      </c>
      <c r="HK342">
        <v>5200000</v>
      </c>
      <c r="HL342">
        <v>104000</v>
      </c>
      <c r="HM342">
        <v>5096000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6272000</v>
      </c>
      <c r="HT342">
        <v>125440</v>
      </c>
      <c r="HU342">
        <v>6146560</v>
      </c>
      <c r="HV342">
        <v>142317000</v>
      </c>
      <c r="HW342">
        <v>0.05</v>
      </c>
      <c r="HX342">
        <v>0.97798234361883296</v>
      </c>
      <c r="HY342">
        <v>1</v>
      </c>
      <c r="HZ342">
        <v>300000</v>
      </c>
      <c r="IA342">
        <v>0</v>
      </c>
      <c r="IB342">
        <v>0</v>
      </c>
      <c r="IC342">
        <v>0</v>
      </c>
      <c r="ID342">
        <v>272700</v>
      </c>
      <c r="IE342">
        <v>572700</v>
      </c>
      <c r="IF342">
        <v>560090.488190506</v>
      </c>
      <c r="IG342">
        <v>560090.488190506</v>
      </c>
      <c r="IH342">
        <v>0</v>
      </c>
      <c r="II342">
        <v>583782.60291722603</v>
      </c>
      <c r="IJ342">
        <v>6648600.5887886798</v>
      </c>
      <c r="IK342">
        <v>0</v>
      </c>
      <c r="IL342">
        <v>0</v>
      </c>
      <c r="IM342">
        <v>0</v>
      </c>
      <c r="IN342">
        <v>12259434.661261801</v>
      </c>
      <c r="IO342">
        <v>139620612.364562</v>
      </c>
      <c r="IP342">
        <v>151880047.02582401</v>
      </c>
      <c r="IQ342">
        <v>536000</v>
      </c>
      <c r="IR342">
        <v>2600000</v>
      </c>
      <c r="IS342">
        <v>0</v>
      </c>
      <c r="IT342">
        <v>0</v>
      </c>
      <c r="IU342">
        <v>0</v>
      </c>
      <c r="IV342">
        <v>3136000</v>
      </c>
      <c r="IW342">
        <v>268000</v>
      </c>
      <c r="IX342">
        <v>1300000</v>
      </c>
      <c r="IY342">
        <v>0</v>
      </c>
      <c r="IZ342">
        <v>0</v>
      </c>
      <c r="JA342">
        <v>0</v>
      </c>
      <c r="JB342">
        <v>1568000</v>
      </c>
      <c r="JC342">
        <v>90000</v>
      </c>
      <c r="JD342">
        <v>434000</v>
      </c>
      <c r="JE342">
        <v>0</v>
      </c>
      <c r="JF342">
        <v>0</v>
      </c>
      <c r="JG342">
        <v>0</v>
      </c>
      <c r="JH342">
        <v>524000</v>
      </c>
    </row>
    <row r="343" spans="2:268" customFormat="1" x14ac:dyDescent="0.25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3"/>
      <c r="N343" s="3"/>
      <c r="O343" s="3"/>
      <c r="P343" s="2"/>
      <c r="Q343" s="2"/>
      <c r="R343" s="2"/>
      <c r="S343" s="2"/>
      <c r="T343" s="2"/>
      <c r="U343" s="2"/>
      <c r="V343" s="3"/>
      <c r="W343" s="3"/>
      <c r="X343" s="3"/>
      <c r="Y343" s="3"/>
      <c r="Z343" s="3"/>
      <c r="AA343" s="3"/>
      <c r="AB343" s="3"/>
      <c r="AC343" s="2"/>
      <c r="AD343" s="2"/>
      <c r="AE343" s="2"/>
      <c r="AF343" s="2"/>
      <c r="AG343" s="2"/>
      <c r="AH343" s="2"/>
      <c r="AI343" s="2"/>
      <c r="AJ343" s="3"/>
      <c r="AK343" s="2"/>
      <c r="AL343" s="2"/>
      <c r="AM343" s="2"/>
      <c r="AN343" s="2"/>
      <c r="AO343" s="3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3"/>
      <c r="BC343" s="3"/>
      <c r="BD343" s="3"/>
      <c r="BE343" s="3"/>
      <c r="BF343" s="3"/>
      <c r="BG343" s="3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2"/>
      <c r="DI343" s="2"/>
      <c r="DJ343" s="3"/>
      <c r="DK343" s="3"/>
      <c r="DL343" s="2"/>
      <c r="DM343" s="2"/>
      <c r="DN343" s="2"/>
      <c r="DO343" s="3"/>
      <c r="DP343" s="3"/>
      <c r="GO343" t="s">
        <v>144</v>
      </c>
      <c r="GP343" t="s">
        <v>501</v>
      </c>
      <c r="GQ343" t="s">
        <v>502</v>
      </c>
      <c r="GR343">
        <v>23</v>
      </c>
      <c r="GS343">
        <v>22</v>
      </c>
      <c r="GT343">
        <v>1</v>
      </c>
      <c r="GU343" t="s">
        <v>457</v>
      </c>
      <c r="GV343">
        <v>12259434.661261801</v>
      </c>
      <c r="GW343">
        <v>139620612.364562</v>
      </c>
      <c r="GX343">
        <v>151880047.02582401</v>
      </c>
      <c r="GY343">
        <v>0</v>
      </c>
      <c r="GZ343">
        <v>151880047.02582401</v>
      </c>
      <c r="HA343">
        <v>151880047.02582401</v>
      </c>
      <c r="HB343">
        <v>303000000</v>
      </c>
      <c r="HC343">
        <v>10000000</v>
      </c>
      <c r="HD343" t="s">
        <v>458</v>
      </c>
      <c r="HE343">
        <v>0</v>
      </c>
      <c r="HF343">
        <v>10000000</v>
      </c>
      <c r="HG343">
        <v>10000000</v>
      </c>
      <c r="HH343">
        <v>1072000</v>
      </c>
      <c r="HI343">
        <v>21440</v>
      </c>
      <c r="HJ343">
        <v>1050560</v>
      </c>
      <c r="HK343">
        <v>5200000</v>
      </c>
      <c r="HL343">
        <v>104000</v>
      </c>
      <c r="HM343">
        <v>5096000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6272000</v>
      </c>
      <c r="HT343">
        <v>125440</v>
      </c>
      <c r="HU343">
        <v>6146560</v>
      </c>
      <c r="HV343">
        <v>148589000</v>
      </c>
      <c r="HW343">
        <v>0.05</v>
      </c>
      <c r="HX343">
        <v>0.97798234361883296</v>
      </c>
      <c r="HY343">
        <v>1</v>
      </c>
      <c r="HZ343">
        <v>300000</v>
      </c>
      <c r="IA343">
        <v>0</v>
      </c>
      <c r="IB343">
        <v>0</v>
      </c>
      <c r="IC343">
        <v>0</v>
      </c>
      <c r="ID343">
        <v>272700</v>
      </c>
      <c r="IE343">
        <v>572700</v>
      </c>
      <c r="IF343">
        <v>560090.488190506</v>
      </c>
      <c r="IG343">
        <v>560090.488190506</v>
      </c>
      <c r="IH343">
        <v>0</v>
      </c>
      <c r="II343">
        <v>637495.20865356305</v>
      </c>
      <c r="IJ343">
        <v>6735830.6182281096</v>
      </c>
      <c r="IK343">
        <v>0</v>
      </c>
      <c r="IL343">
        <v>0</v>
      </c>
      <c r="IM343">
        <v>0</v>
      </c>
      <c r="IN343">
        <v>13387399.381724801</v>
      </c>
      <c r="IO343">
        <v>141452442.98278999</v>
      </c>
      <c r="IP343">
        <v>154839842.36451501</v>
      </c>
      <c r="IQ343">
        <v>536000</v>
      </c>
      <c r="IR343">
        <v>2600000</v>
      </c>
      <c r="IS343">
        <v>0</v>
      </c>
      <c r="IT343">
        <v>0</v>
      </c>
      <c r="IU343">
        <v>0</v>
      </c>
      <c r="IV343">
        <v>3136000</v>
      </c>
      <c r="IW343">
        <v>268000</v>
      </c>
      <c r="IX343">
        <v>1300000</v>
      </c>
      <c r="IY343">
        <v>0</v>
      </c>
      <c r="IZ343">
        <v>0</v>
      </c>
      <c r="JA343">
        <v>0</v>
      </c>
      <c r="JB343">
        <v>1568000</v>
      </c>
      <c r="JC343">
        <v>90000</v>
      </c>
      <c r="JD343">
        <v>434000</v>
      </c>
      <c r="JE343">
        <v>0</v>
      </c>
      <c r="JF343">
        <v>0</v>
      </c>
      <c r="JG343">
        <v>0</v>
      </c>
      <c r="JH343">
        <v>524000</v>
      </c>
    </row>
    <row r="344" spans="2:268" customFormat="1" x14ac:dyDescent="0.25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3"/>
      <c r="N344" s="3"/>
      <c r="O344" s="3"/>
      <c r="P344" s="2"/>
      <c r="Q344" s="2"/>
      <c r="R344" s="2"/>
      <c r="S344" s="2"/>
      <c r="T344" s="2"/>
      <c r="U344" s="2"/>
      <c r="V344" s="3"/>
      <c r="W344" s="3"/>
      <c r="X344" s="3"/>
      <c r="Y344" s="3"/>
      <c r="Z344" s="3"/>
      <c r="AA344" s="3"/>
      <c r="AB344" s="3"/>
      <c r="AC344" s="2"/>
      <c r="AD344" s="2"/>
      <c r="AE344" s="2"/>
      <c r="AF344" s="2"/>
      <c r="AG344" s="2"/>
      <c r="AH344" s="2"/>
      <c r="AI344" s="2"/>
      <c r="AJ344" s="3"/>
      <c r="AK344" s="2"/>
      <c r="AL344" s="2"/>
      <c r="AM344" s="2"/>
      <c r="AN344" s="2"/>
      <c r="AO344" s="3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3"/>
      <c r="BC344" s="3"/>
      <c r="BD344" s="3"/>
      <c r="BE344" s="3"/>
      <c r="BF344" s="3"/>
      <c r="BG344" s="3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2"/>
      <c r="DI344" s="2"/>
      <c r="DJ344" s="3"/>
      <c r="DK344" s="3"/>
      <c r="DL344" s="2"/>
      <c r="DM344" s="2"/>
      <c r="DN344" s="2"/>
      <c r="DO344" s="3"/>
      <c r="DP344" s="3"/>
      <c r="GO344" t="s">
        <v>144</v>
      </c>
      <c r="GP344" t="s">
        <v>501</v>
      </c>
      <c r="GQ344" t="s">
        <v>502</v>
      </c>
      <c r="GR344">
        <v>24</v>
      </c>
      <c r="GS344">
        <v>23</v>
      </c>
      <c r="GT344">
        <v>1</v>
      </c>
      <c r="GU344" t="s">
        <v>457</v>
      </c>
      <c r="GV344">
        <v>13387399.381724801</v>
      </c>
      <c r="GW344">
        <v>141452442.98278999</v>
      </c>
      <c r="GX344">
        <v>154839842.36451501</v>
      </c>
      <c r="GY344">
        <v>0</v>
      </c>
      <c r="GZ344">
        <v>154839842.36451501</v>
      </c>
      <c r="HA344">
        <v>154839842.36451501</v>
      </c>
      <c r="HB344">
        <v>303000000</v>
      </c>
      <c r="HC344">
        <v>0</v>
      </c>
      <c r="HD344" t="s">
        <v>137</v>
      </c>
      <c r="HE344">
        <v>0</v>
      </c>
      <c r="HF344">
        <v>0</v>
      </c>
      <c r="HG344">
        <v>0</v>
      </c>
      <c r="HH344">
        <v>1072000</v>
      </c>
      <c r="HI344">
        <v>21440</v>
      </c>
      <c r="HJ344">
        <v>1050560</v>
      </c>
      <c r="HK344">
        <v>5200000</v>
      </c>
      <c r="HL344">
        <v>104000</v>
      </c>
      <c r="HM344">
        <v>5096000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6272000</v>
      </c>
      <c r="HT344">
        <v>125440</v>
      </c>
      <c r="HU344">
        <v>6146560</v>
      </c>
      <c r="HV344">
        <v>154861000</v>
      </c>
      <c r="HW344">
        <v>0.05</v>
      </c>
      <c r="HX344">
        <v>0.97798234361883296</v>
      </c>
      <c r="HY344">
        <v>1</v>
      </c>
      <c r="HZ344">
        <v>300000</v>
      </c>
      <c r="IA344">
        <v>0</v>
      </c>
      <c r="IB344">
        <v>0</v>
      </c>
      <c r="IC344">
        <v>0</v>
      </c>
      <c r="ID344">
        <v>272700</v>
      </c>
      <c r="IE344">
        <v>572700</v>
      </c>
      <c r="IF344">
        <v>560090.488190506</v>
      </c>
      <c r="IG344">
        <v>560090.488190506</v>
      </c>
      <c r="IH344">
        <v>0</v>
      </c>
      <c r="II344">
        <v>693893.44467671495</v>
      </c>
      <c r="IJ344">
        <v>7327422.1491395198</v>
      </c>
      <c r="IK344">
        <v>0</v>
      </c>
      <c r="IL344">
        <v>0</v>
      </c>
      <c r="IM344">
        <v>0</v>
      </c>
      <c r="IN344">
        <v>14571762.338211</v>
      </c>
      <c r="IO344">
        <v>153875865.13192999</v>
      </c>
      <c r="IP344">
        <v>168447627.47014099</v>
      </c>
      <c r="IQ344">
        <v>536000</v>
      </c>
      <c r="IR344">
        <v>2600000</v>
      </c>
      <c r="IS344">
        <v>0</v>
      </c>
      <c r="IT344">
        <v>0</v>
      </c>
      <c r="IU344">
        <v>0</v>
      </c>
      <c r="IV344">
        <v>3136000</v>
      </c>
      <c r="IW344">
        <v>268000</v>
      </c>
      <c r="IX344">
        <v>1300000</v>
      </c>
      <c r="IY344">
        <v>0</v>
      </c>
      <c r="IZ344">
        <v>0</v>
      </c>
      <c r="JA344">
        <v>0</v>
      </c>
      <c r="JB344">
        <v>1568000</v>
      </c>
      <c r="JC344">
        <v>90000</v>
      </c>
      <c r="JD344">
        <v>434000</v>
      </c>
      <c r="JE344">
        <v>0</v>
      </c>
      <c r="JF344">
        <v>0</v>
      </c>
      <c r="JG344">
        <v>0</v>
      </c>
      <c r="JH344">
        <v>524000</v>
      </c>
    </row>
    <row r="345" spans="2:268" customFormat="1" x14ac:dyDescent="0.25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3"/>
      <c r="N345" s="3"/>
      <c r="O345" s="3"/>
      <c r="P345" s="2"/>
      <c r="Q345" s="2"/>
      <c r="R345" s="2"/>
      <c r="S345" s="2"/>
      <c r="T345" s="2"/>
      <c r="U345" s="2"/>
      <c r="V345" s="3"/>
      <c r="W345" s="3"/>
      <c r="X345" s="3"/>
      <c r="Y345" s="3"/>
      <c r="Z345" s="3"/>
      <c r="AA345" s="3"/>
      <c r="AB345" s="3"/>
      <c r="AC345" s="2"/>
      <c r="AD345" s="2"/>
      <c r="AE345" s="2"/>
      <c r="AF345" s="2"/>
      <c r="AG345" s="2"/>
      <c r="AH345" s="2"/>
      <c r="AI345" s="2"/>
      <c r="AJ345" s="3"/>
      <c r="AK345" s="2"/>
      <c r="AL345" s="2"/>
      <c r="AM345" s="2"/>
      <c r="AN345" s="2"/>
      <c r="AO345" s="3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3"/>
      <c r="BC345" s="3"/>
      <c r="BD345" s="3"/>
      <c r="BE345" s="3"/>
      <c r="BF345" s="3"/>
      <c r="BG345" s="3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2"/>
      <c r="DI345" s="2"/>
      <c r="DJ345" s="3"/>
      <c r="DK345" s="3"/>
      <c r="DL345" s="2"/>
      <c r="DM345" s="2"/>
      <c r="DN345" s="2"/>
      <c r="DO345" s="3"/>
      <c r="DP345" s="3"/>
      <c r="GO345" t="s">
        <v>144</v>
      </c>
      <c r="GP345" t="s">
        <v>501</v>
      </c>
      <c r="GQ345" t="s">
        <v>502</v>
      </c>
      <c r="GR345">
        <v>25</v>
      </c>
      <c r="GS345">
        <v>24</v>
      </c>
      <c r="GT345">
        <v>1</v>
      </c>
      <c r="GU345" t="s">
        <v>457</v>
      </c>
      <c r="GV345">
        <v>14571762.338211</v>
      </c>
      <c r="GW345">
        <v>153875865.13192999</v>
      </c>
      <c r="GX345">
        <v>168447627.47014099</v>
      </c>
      <c r="GY345">
        <v>0</v>
      </c>
      <c r="GZ345">
        <v>168447627.47014099</v>
      </c>
      <c r="HA345">
        <v>168447627.47014099</v>
      </c>
      <c r="HB345">
        <v>303000000</v>
      </c>
      <c r="HC345">
        <v>0</v>
      </c>
      <c r="HD345" t="s">
        <v>137</v>
      </c>
      <c r="HE345">
        <v>0</v>
      </c>
      <c r="HF345">
        <v>0</v>
      </c>
      <c r="HG345">
        <v>0</v>
      </c>
      <c r="HH345">
        <v>1072000</v>
      </c>
      <c r="HI345">
        <v>21440</v>
      </c>
      <c r="HJ345">
        <v>1050560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1072000</v>
      </c>
      <c r="HT345">
        <v>21440</v>
      </c>
      <c r="HU345">
        <v>1050560</v>
      </c>
      <c r="HV345">
        <v>155933000</v>
      </c>
      <c r="HW345">
        <v>0.05</v>
      </c>
      <c r="HX345">
        <v>0.97798234361883296</v>
      </c>
      <c r="HY345">
        <v>1</v>
      </c>
      <c r="HZ345">
        <v>300000</v>
      </c>
      <c r="IA345">
        <v>0</v>
      </c>
      <c r="IB345">
        <v>0</v>
      </c>
      <c r="IC345">
        <v>0</v>
      </c>
      <c r="ID345">
        <v>272700</v>
      </c>
      <c r="IE345">
        <v>572700</v>
      </c>
      <c r="IF345">
        <v>560090.488190506</v>
      </c>
      <c r="IG345">
        <v>560090.488190506</v>
      </c>
      <c r="IH345">
        <v>0</v>
      </c>
      <c r="II345">
        <v>753111.592501026</v>
      </c>
      <c r="IJ345">
        <v>7693793.2565965001</v>
      </c>
      <c r="IK345">
        <v>0</v>
      </c>
      <c r="IL345">
        <v>0</v>
      </c>
      <c r="IM345">
        <v>0</v>
      </c>
      <c r="IN345">
        <v>15815343.442521499</v>
      </c>
      <c r="IO345">
        <v>161569658.38852599</v>
      </c>
      <c r="IP345">
        <v>177385001.83104801</v>
      </c>
      <c r="IQ345">
        <v>536000</v>
      </c>
      <c r="IR345">
        <v>2600000</v>
      </c>
      <c r="IS345">
        <v>0</v>
      </c>
      <c r="IT345">
        <v>0</v>
      </c>
      <c r="IU345">
        <v>0</v>
      </c>
      <c r="IV345">
        <v>3136000</v>
      </c>
      <c r="IW345">
        <v>268000</v>
      </c>
      <c r="IX345">
        <v>1300000</v>
      </c>
      <c r="IY345">
        <v>0</v>
      </c>
      <c r="IZ345">
        <v>0</v>
      </c>
      <c r="JA345">
        <v>0</v>
      </c>
      <c r="JB345">
        <v>1568000</v>
      </c>
      <c r="JC345">
        <v>90000</v>
      </c>
      <c r="JD345">
        <v>434000</v>
      </c>
      <c r="JE345">
        <v>0</v>
      </c>
      <c r="JF345">
        <v>0</v>
      </c>
      <c r="JG345">
        <v>0</v>
      </c>
      <c r="JH345">
        <v>524000</v>
      </c>
    </row>
    <row r="346" spans="2:268" customFormat="1" x14ac:dyDescent="0.25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3"/>
      <c r="N346" s="3"/>
      <c r="O346" s="3"/>
      <c r="P346" s="2"/>
      <c r="Q346" s="2"/>
      <c r="R346" s="2"/>
      <c r="S346" s="2"/>
      <c r="T346" s="2"/>
      <c r="U346" s="2"/>
      <c r="V346" s="3"/>
      <c r="W346" s="3"/>
      <c r="X346" s="3"/>
      <c r="Y346" s="3"/>
      <c r="Z346" s="3"/>
      <c r="AA346" s="3"/>
      <c r="AB346" s="3"/>
      <c r="AC346" s="2"/>
      <c r="AD346" s="2"/>
      <c r="AE346" s="2"/>
      <c r="AF346" s="2"/>
      <c r="AG346" s="2"/>
      <c r="AH346" s="2"/>
      <c r="AI346" s="2"/>
      <c r="AJ346" s="3"/>
      <c r="AK346" s="2"/>
      <c r="AL346" s="2"/>
      <c r="AM346" s="2"/>
      <c r="AN346" s="2"/>
      <c r="AO346" s="3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3"/>
      <c r="BC346" s="3"/>
      <c r="BD346" s="3"/>
      <c r="BE346" s="3"/>
      <c r="BF346" s="3"/>
      <c r="BG346" s="3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2"/>
      <c r="DI346" s="2"/>
      <c r="DJ346" s="3"/>
      <c r="DK346" s="3"/>
      <c r="DL346" s="2"/>
      <c r="DM346" s="2"/>
      <c r="DN346" s="2"/>
      <c r="DO346" s="3"/>
      <c r="DP346" s="3"/>
      <c r="GO346" t="s">
        <v>144</v>
      </c>
      <c r="GP346" t="s">
        <v>501</v>
      </c>
      <c r="GQ346" t="s">
        <v>502</v>
      </c>
      <c r="GR346">
        <v>26</v>
      </c>
      <c r="GS346">
        <v>25</v>
      </c>
      <c r="GT346">
        <v>1</v>
      </c>
      <c r="GU346" t="s">
        <v>457</v>
      </c>
      <c r="GV346">
        <v>15815343.442521499</v>
      </c>
      <c r="GW346">
        <v>161569658.38852599</v>
      </c>
      <c r="GX346">
        <v>177385001.83104801</v>
      </c>
      <c r="GY346">
        <v>0</v>
      </c>
      <c r="GZ346">
        <v>177385001.83104801</v>
      </c>
      <c r="HA346">
        <v>177385001.83104801</v>
      </c>
      <c r="HB346">
        <v>303000000</v>
      </c>
      <c r="HC346">
        <v>0</v>
      </c>
      <c r="HD346" t="s">
        <v>137</v>
      </c>
      <c r="HE346">
        <v>0</v>
      </c>
      <c r="HF346">
        <v>0</v>
      </c>
      <c r="HG346">
        <v>0</v>
      </c>
      <c r="HH346">
        <v>1072000</v>
      </c>
      <c r="HI346">
        <v>21440</v>
      </c>
      <c r="HJ346">
        <v>1050560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1072000</v>
      </c>
      <c r="HT346">
        <v>21440</v>
      </c>
      <c r="HU346">
        <v>1050560</v>
      </c>
      <c r="HV346">
        <v>157005000</v>
      </c>
      <c r="HW346">
        <v>0.05</v>
      </c>
      <c r="HX346">
        <v>0.97798234361883296</v>
      </c>
      <c r="HY346">
        <v>1</v>
      </c>
      <c r="HZ346">
        <v>300000</v>
      </c>
      <c r="IA346">
        <v>0</v>
      </c>
      <c r="IB346">
        <v>0</v>
      </c>
      <c r="IC346">
        <v>0</v>
      </c>
      <c r="ID346">
        <v>272700</v>
      </c>
      <c r="IE346">
        <v>572700</v>
      </c>
      <c r="IF346">
        <v>560090.488190506</v>
      </c>
      <c r="IG346">
        <v>560090.488190506</v>
      </c>
      <c r="IH346">
        <v>0</v>
      </c>
      <c r="II346">
        <v>815290.64771655202</v>
      </c>
      <c r="IJ346">
        <v>8078482.9194263201</v>
      </c>
      <c r="IK346">
        <v>0</v>
      </c>
      <c r="IL346">
        <v>0</v>
      </c>
      <c r="IM346">
        <v>0</v>
      </c>
      <c r="IN346">
        <v>17121103.6020476</v>
      </c>
      <c r="IO346">
        <v>169648141.307953</v>
      </c>
      <c r="IP346">
        <v>186769244.91</v>
      </c>
      <c r="IQ346">
        <v>536000</v>
      </c>
      <c r="IR346">
        <v>2600000</v>
      </c>
      <c r="IS346">
        <v>0</v>
      </c>
      <c r="IT346">
        <v>0</v>
      </c>
      <c r="IU346">
        <v>0</v>
      </c>
      <c r="IV346">
        <v>3136000</v>
      </c>
      <c r="IW346">
        <v>268000</v>
      </c>
      <c r="IX346">
        <v>1300000</v>
      </c>
      <c r="IY346">
        <v>0</v>
      </c>
      <c r="IZ346">
        <v>0</v>
      </c>
      <c r="JA346">
        <v>0</v>
      </c>
      <c r="JB346">
        <v>1568000</v>
      </c>
      <c r="JC346">
        <v>90000</v>
      </c>
      <c r="JD346">
        <v>434000</v>
      </c>
      <c r="JE346">
        <v>0</v>
      </c>
      <c r="JF346">
        <v>0</v>
      </c>
      <c r="JG346">
        <v>0</v>
      </c>
      <c r="JH346">
        <v>524000</v>
      </c>
    </row>
    <row r="347" spans="2:268" customFormat="1" x14ac:dyDescent="0.25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3"/>
      <c r="N347" s="3"/>
      <c r="O347" s="3"/>
      <c r="P347" s="2"/>
      <c r="Q347" s="2"/>
      <c r="R347" s="2"/>
      <c r="S347" s="2"/>
      <c r="T347" s="2"/>
      <c r="U347" s="2"/>
      <c r="V347" s="3"/>
      <c r="W347" s="3"/>
      <c r="X347" s="3"/>
      <c r="Y347" s="3"/>
      <c r="Z347" s="3"/>
      <c r="AA347" s="3"/>
      <c r="AB347" s="3"/>
      <c r="AC347" s="2"/>
      <c r="AD347" s="2"/>
      <c r="AE347" s="2"/>
      <c r="AF347" s="2"/>
      <c r="AG347" s="2"/>
      <c r="AH347" s="2"/>
      <c r="AI347" s="2"/>
      <c r="AJ347" s="3"/>
      <c r="AK347" s="2"/>
      <c r="AL347" s="2"/>
      <c r="AM347" s="2"/>
      <c r="AN347" s="2"/>
      <c r="AO347" s="3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3"/>
      <c r="BC347" s="3"/>
      <c r="BD347" s="3"/>
      <c r="BE347" s="3"/>
      <c r="BF347" s="3"/>
      <c r="BG347" s="3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2"/>
      <c r="DI347" s="2"/>
      <c r="DJ347" s="3"/>
      <c r="DK347" s="3"/>
      <c r="DL347" s="2"/>
      <c r="DM347" s="2"/>
      <c r="DN347" s="2"/>
      <c r="DO347" s="3"/>
      <c r="DP347" s="3"/>
      <c r="GO347" t="s">
        <v>144</v>
      </c>
      <c r="GP347" t="s">
        <v>501</v>
      </c>
      <c r="GQ347" t="s">
        <v>502</v>
      </c>
      <c r="GR347">
        <v>27</v>
      </c>
      <c r="GS347">
        <v>26</v>
      </c>
      <c r="GT347">
        <v>1</v>
      </c>
      <c r="GU347" t="s">
        <v>457</v>
      </c>
      <c r="GV347">
        <v>17121103.6020476</v>
      </c>
      <c r="GW347">
        <v>169648141.307953</v>
      </c>
      <c r="GX347">
        <v>186769244.91</v>
      </c>
      <c r="GY347">
        <v>0</v>
      </c>
      <c r="GZ347">
        <v>186769244.91</v>
      </c>
      <c r="HA347">
        <v>186769244.91</v>
      </c>
      <c r="HB347">
        <v>303000000</v>
      </c>
      <c r="HC347">
        <v>0</v>
      </c>
      <c r="HD347" t="s">
        <v>137</v>
      </c>
      <c r="HE347">
        <v>0</v>
      </c>
      <c r="HF347">
        <v>0</v>
      </c>
      <c r="HG347">
        <v>0</v>
      </c>
      <c r="HH347">
        <v>1072000</v>
      </c>
      <c r="HI347">
        <v>21440</v>
      </c>
      <c r="HJ347">
        <v>1050560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1072000</v>
      </c>
      <c r="HT347">
        <v>21440</v>
      </c>
      <c r="HU347">
        <v>1050560</v>
      </c>
      <c r="HV347">
        <v>158077000</v>
      </c>
      <c r="HW347">
        <v>0.05</v>
      </c>
      <c r="HX347">
        <v>0.97798234361883296</v>
      </c>
      <c r="HY347">
        <v>1</v>
      </c>
      <c r="HZ347">
        <v>300000</v>
      </c>
      <c r="IA347">
        <v>0</v>
      </c>
      <c r="IB347">
        <v>0</v>
      </c>
      <c r="IC347">
        <v>0</v>
      </c>
      <c r="ID347">
        <v>272700</v>
      </c>
      <c r="IE347">
        <v>572700</v>
      </c>
      <c r="IF347">
        <v>560090.488190506</v>
      </c>
      <c r="IG347">
        <v>560090.488190506</v>
      </c>
      <c r="IH347">
        <v>0</v>
      </c>
      <c r="II347">
        <v>880578.65569285396</v>
      </c>
      <c r="IJ347">
        <v>8482407.0653976407</v>
      </c>
      <c r="IK347">
        <v>0</v>
      </c>
      <c r="IL347">
        <v>0</v>
      </c>
      <c r="IM347">
        <v>0</v>
      </c>
      <c r="IN347">
        <v>18492151.769549899</v>
      </c>
      <c r="IO347">
        <v>178130548.37334999</v>
      </c>
      <c r="IP347">
        <v>196622700.14289999</v>
      </c>
      <c r="IQ347">
        <v>536000</v>
      </c>
      <c r="IR347">
        <v>2600000</v>
      </c>
      <c r="IS347">
        <v>0</v>
      </c>
      <c r="IT347">
        <v>0</v>
      </c>
      <c r="IU347">
        <v>0</v>
      </c>
      <c r="IV347">
        <v>3136000</v>
      </c>
      <c r="IW347">
        <v>268000</v>
      </c>
      <c r="IX347">
        <v>1300000</v>
      </c>
      <c r="IY347">
        <v>0</v>
      </c>
      <c r="IZ347">
        <v>0</v>
      </c>
      <c r="JA347">
        <v>0</v>
      </c>
      <c r="JB347">
        <v>1568000</v>
      </c>
      <c r="JC347">
        <v>90000</v>
      </c>
      <c r="JD347">
        <v>434000</v>
      </c>
      <c r="JE347">
        <v>0</v>
      </c>
      <c r="JF347">
        <v>0</v>
      </c>
      <c r="JG347">
        <v>0</v>
      </c>
      <c r="JH347">
        <v>524000</v>
      </c>
    </row>
    <row r="348" spans="2:268" customFormat="1" x14ac:dyDescent="0.25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3"/>
      <c r="N348" s="3"/>
      <c r="O348" s="3"/>
      <c r="P348" s="2"/>
      <c r="Q348" s="2"/>
      <c r="R348" s="2"/>
      <c r="S348" s="2"/>
      <c r="T348" s="2"/>
      <c r="U348" s="2"/>
      <c r="V348" s="3"/>
      <c r="W348" s="3"/>
      <c r="X348" s="3"/>
      <c r="Y348" s="3"/>
      <c r="Z348" s="3"/>
      <c r="AA348" s="3"/>
      <c r="AB348" s="3"/>
      <c r="AC348" s="2"/>
      <c r="AD348" s="2"/>
      <c r="AE348" s="2"/>
      <c r="AF348" s="2"/>
      <c r="AG348" s="2"/>
      <c r="AH348" s="2"/>
      <c r="AI348" s="2"/>
      <c r="AJ348" s="3"/>
      <c r="AK348" s="2"/>
      <c r="AL348" s="2"/>
      <c r="AM348" s="2"/>
      <c r="AN348" s="2"/>
      <c r="AO348" s="3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3"/>
      <c r="BC348" s="3"/>
      <c r="BD348" s="3"/>
      <c r="BE348" s="3"/>
      <c r="BF348" s="3"/>
      <c r="BG348" s="3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2"/>
      <c r="DI348" s="2"/>
      <c r="DJ348" s="3"/>
      <c r="DK348" s="3"/>
      <c r="DL348" s="2"/>
      <c r="DM348" s="2"/>
      <c r="DN348" s="2"/>
      <c r="DO348" s="3"/>
      <c r="DP348" s="3"/>
      <c r="GO348" t="s">
        <v>144</v>
      </c>
      <c r="GP348" t="s">
        <v>501</v>
      </c>
      <c r="GQ348" t="s">
        <v>502</v>
      </c>
      <c r="GR348">
        <v>28</v>
      </c>
      <c r="GS348">
        <v>27</v>
      </c>
      <c r="GT348">
        <v>1</v>
      </c>
      <c r="GU348" t="s">
        <v>457</v>
      </c>
      <c r="GV348">
        <v>18492151.769549899</v>
      </c>
      <c r="GW348">
        <v>178130548.37334999</v>
      </c>
      <c r="GX348">
        <v>196622700.14289999</v>
      </c>
      <c r="GY348">
        <v>0</v>
      </c>
      <c r="GZ348">
        <v>196622700.14289999</v>
      </c>
      <c r="HA348">
        <v>196622700.14289999</v>
      </c>
      <c r="HB348">
        <v>303000000</v>
      </c>
      <c r="HC348">
        <v>0</v>
      </c>
      <c r="HD348" t="s">
        <v>137</v>
      </c>
      <c r="HE348">
        <v>0</v>
      </c>
      <c r="HF348">
        <v>0</v>
      </c>
      <c r="HG348">
        <v>0</v>
      </c>
      <c r="HH348">
        <v>1072000</v>
      </c>
      <c r="HI348">
        <v>21440</v>
      </c>
      <c r="HJ348">
        <v>1050560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1072000</v>
      </c>
      <c r="HT348">
        <v>21440</v>
      </c>
      <c r="HU348">
        <v>1050560</v>
      </c>
      <c r="HV348">
        <v>159149000</v>
      </c>
      <c r="HW348">
        <v>0.05</v>
      </c>
      <c r="HX348">
        <v>0.97798234361883296</v>
      </c>
      <c r="HY348">
        <v>1</v>
      </c>
      <c r="HZ348">
        <v>300000</v>
      </c>
      <c r="IA348">
        <v>0</v>
      </c>
      <c r="IB348">
        <v>0</v>
      </c>
      <c r="IC348">
        <v>0</v>
      </c>
      <c r="ID348">
        <v>272700</v>
      </c>
      <c r="IE348">
        <v>572700</v>
      </c>
      <c r="IF348">
        <v>560090.488190506</v>
      </c>
      <c r="IG348">
        <v>560090.488190506</v>
      </c>
      <c r="IH348">
        <v>0</v>
      </c>
      <c r="II348">
        <v>949131.06406797201</v>
      </c>
      <c r="IJ348">
        <v>8906527.4186675195</v>
      </c>
      <c r="IK348">
        <v>0</v>
      </c>
      <c r="IL348">
        <v>0</v>
      </c>
      <c r="IM348">
        <v>0</v>
      </c>
      <c r="IN348">
        <v>19931752.345427401</v>
      </c>
      <c r="IO348">
        <v>187037075.792018</v>
      </c>
      <c r="IP348">
        <v>206968828.137445</v>
      </c>
      <c r="IQ348">
        <v>536000</v>
      </c>
      <c r="IR348">
        <v>2600000</v>
      </c>
      <c r="IS348">
        <v>0</v>
      </c>
      <c r="IT348">
        <v>0</v>
      </c>
      <c r="IU348">
        <v>0</v>
      </c>
      <c r="IV348">
        <v>3136000</v>
      </c>
      <c r="IW348">
        <v>268000</v>
      </c>
      <c r="IX348">
        <v>1300000</v>
      </c>
      <c r="IY348">
        <v>0</v>
      </c>
      <c r="IZ348">
        <v>0</v>
      </c>
      <c r="JA348">
        <v>0</v>
      </c>
      <c r="JB348">
        <v>1568000</v>
      </c>
      <c r="JC348">
        <v>90000</v>
      </c>
      <c r="JD348">
        <v>434000</v>
      </c>
      <c r="JE348">
        <v>0</v>
      </c>
      <c r="JF348">
        <v>0</v>
      </c>
      <c r="JG348">
        <v>0</v>
      </c>
      <c r="JH348">
        <v>524000</v>
      </c>
    </row>
    <row r="349" spans="2:268" customFormat="1" x14ac:dyDescent="0.25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3"/>
      <c r="N349" s="3"/>
      <c r="O349" s="3"/>
      <c r="P349" s="2"/>
      <c r="Q349" s="2"/>
      <c r="R349" s="2"/>
      <c r="S349" s="2"/>
      <c r="T349" s="2"/>
      <c r="U349" s="2"/>
      <c r="V349" s="3"/>
      <c r="W349" s="3"/>
      <c r="X349" s="3"/>
      <c r="Y349" s="3"/>
      <c r="Z349" s="3"/>
      <c r="AA349" s="3"/>
      <c r="AB349" s="3"/>
      <c r="AC349" s="2"/>
      <c r="AD349" s="2"/>
      <c r="AE349" s="2"/>
      <c r="AF349" s="2"/>
      <c r="AG349" s="2"/>
      <c r="AH349" s="2"/>
      <c r="AI349" s="2"/>
      <c r="AJ349" s="3"/>
      <c r="AK349" s="2"/>
      <c r="AL349" s="2"/>
      <c r="AM349" s="2"/>
      <c r="AN349" s="2"/>
      <c r="AO349" s="3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3"/>
      <c r="BC349" s="3"/>
      <c r="BD349" s="3"/>
      <c r="BE349" s="3"/>
      <c r="BF349" s="3"/>
      <c r="BG349" s="3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2"/>
      <c r="DI349" s="2"/>
      <c r="DJ349" s="3"/>
      <c r="DK349" s="3"/>
      <c r="DL349" s="2"/>
      <c r="DM349" s="2"/>
      <c r="DN349" s="2"/>
      <c r="DO349" s="3"/>
      <c r="DP349" s="3"/>
      <c r="GO349" t="s">
        <v>144</v>
      </c>
      <c r="GP349" t="s">
        <v>501</v>
      </c>
      <c r="GQ349" t="s">
        <v>502</v>
      </c>
      <c r="GR349">
        <v>29</v>
      </c>
      <c r="GS349">
        <v>28</v>
      </c>
      <c r="GT349">
        <v>1</v>
      </c>
      <c r="GU349" t="s">
        <v>457</v>
      </c>
      <c r="GV349">
        <v>19931752.345427401</v>
      </c>
      <c r="GW349">
        <v>187037075.792018</v>
      </c>
      <c r="GX349">
        <v>206968828.137445</v>
      </c>
      <c r="GY349">
        <v>0</v>
      </c>
      <c r="GZ349">
        <v>206968828.137445</v>
      </c>
      <c r="HA349">
        <v>206968828.137445</v>
      </c>
      <c r="HB349">
        <v>303000000</v>
      </c>
      <c r="HC349">
        <v>0</v>
      </c>
      <c r="HD349" t="s">
        <v>137</v>
      </c>
      <c r="HE349">
        <v>0</v>
      </c>
      <c r="HF349">
        <v>0</v>
      </c>
      <c r="HG349">
        <v>0</v>
      </c>
      <c r="HH349">
        <v>1072000</v>
      </c>
      <c r="HI349">
        <v>21440</v>
      </c>
      <c r="HJ349">
        <v>1050560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1072000</v>
      </c>
      <c r="HT349">
        <v>21440</v>
      </c>
      <c r="HU349">
        <v>1050560</v>
      </c>
      <c r="HV349">
        <v>160221000</v>
      </c>
      <c r="HW349">
        <v>0.05</v>
      </c>
      <c r="HX349">
        <v>0.97798234361883296</v>
      </c>
      <c r="HY349">
        <v>1</v>
      </c>
      <c r="HZ349">
        <v>300000</v>
      </c>
      <c r="IA349">
        <v>0</v>
      </c>
      <c r="IB349">
        <v>0</v>
      </c>
      <c r="IC349">
        <v>0</v>
      </c>
      <c r="ID349">
        <v>272700</v>
      </c>
      <c r="IE349">
        <v>572700</v>
      </c>
      <c r="IF349">
        <v>560090.488190506</v>
      </c>
      <c r="IG349">
        <v>560090.488190506</v>
      </c>
      <c r="IH349">
        <v>0</v>
      </c>
      <c r="II349">
        <v>1021111.09286184</v>
      </c>
      <c r="IJ349">
        <v>9351853.7896008994</v>
      </c>
      <c r="IK349">
        <v>0</v>
      </c>
      <c r="IL349">
        <v>0</v>
      </c>
      <c r="IM349">
        <v>0</v>
      </c>
      <c r="IN349">
        <v>21443332.950098701</v>
      </c>
      <c r="IO349">
        <v>196388929.58161899</v>
      </c>
      <c r="IP349">
        <v>217832262.53171799</v>
      </c>
      <c r="IQ349">
        <v>536000</v>
      </c>
      <c r="IR349">
        <v>2600000</v>
      </c>
      <c r="IS349">
        <v>0</v>
      </c>
      <c r="IT349">
        <v>0</v>
      </c>
      <c r="IU349">
        <v>0</v>
      </c>
      <c r="IV349">
        <v>3136000</v>
      </c>
      <c r="IW349">
        <v>268000</v>
      </c>
      <c r="IX349">
        <v>1300000</v>
      </c>
      <c r="IY349">
        <v>0</v>
      </c>
      <c r="IZ349">
        <v>0</v>
      </c>
      <c r="JA349">
        <v>0</v>
      </c>
      <c r="JB349">
        <v>1568000</v>
      </c>
      <c r="JC349">
        <v>90000</v>
      </c>
      <c r="JD349">
        <v>434000</v>
      </c>
      <c r="JE349">
        <v>0</v>
      </c>
      <c r="JF349">
        <v>0</v>
      </c>
      <c r="JG349">
        <v>0</v>
      </c>
      <c r="JH349">
        <v>524000</v>
      </c>
    </row>
    <row r="350" spans="2:268" customFormat="1" x14ac:dyDescent="0.25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3"/>
      <c r="N350" s="3"/>
      <c r="O350" s="3"/>
      <c r="P350" s="2"/>
      <c r="Q350" s="2"/>
      <c r="R350" s="2"/>
      <c r="S350" s="2"/>
      <c r="T350" s="2"/>
      <c r="U350" s="2"/>
      <c r="V350" s="3"/>
      <c r="W350" s="3"/>
      <c r="X350" s="3"/>
      <c r="Y350" s="3"/>
      <c r="Z350" s="3"/>
      <c r="AA350" s="3"/>
      <c r="AB350" s="3"/>
      <c r="AC350" s="2"/>
      <c r="AD350" s="2"/>
      <c r="AE350" s="2"/>
      <c r="AF350" s="2"/>
      <c r="AG350" s="2"/>
      <c r="AH350" s="2"/>
      <c r="AI350" s="2"/>
      <c r="AJ350" s="3"/>
      <c r="AK350" s="2"/>
      <c r="AL350" s="2"/>
      <c r="AM350" s="2"/>
      <c r="AN350" s="2"/>
      <c r="AO350" s="3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3"/>
      <c r="BC350" s="3"/>
      <c r="BD350" s="3"/>
      <c r="BE350" s="3"/>
      <c r="BF350" s="3"/>
      <c r="BG350" s="3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2"/>
      <c r="DI350" s="2"/>
      <c r="DJ350" s="3"/>
      <c r="DK350" s="3"/>
      <c r="DL350" s="2"/>
      <c r="DM350" s="2"/>
      <c r="DN350" s="2"/>
      <c r="DO350" s="3"/>
      <c r="DP350" s="3"/>
      <c r="GO350" t="s">
        <v>144</v>
      </c>
      <c r="GP350" t="s">
        <v>501</v>
      </c>
      <c r="GQ350" t="s">
        <v>502</v>
      </c>
      <c r="GR350">
        <v>30</v>
      </c>
      <c r="GS350">
        <v>29</v>
      </c>
      <c r="GT350">
        <v>1</v>
      </c>
      <c r="GU350" t="s">
        <v>457</v>
      </c>
      <c r="GV350">
        <v>21443332.950098701</v>
      </c>
      <c r="GW350">
        <v>196388929.58161899</v>
      </c>
      <c r="GX350">
        <v>217832262.53171799</v>
      </c>
      <c r="GY350">
        <v>0</v>
      </c>
      <c r="GZ350">
        <v>217832262.53171799</v>
      </c>
      <c r="HA350">
        <v>217832262.53171799</v>
      </c>
      <c r="HB350">
        <v>303000000</v>
      </c>
      <c r="HC350">
        <v>0</v>
      </c>
      <c r="HD350" t="s">
        <v>137</v>
      </c>
      <c r="HE350">
        <v>0</v>
      </c>
      <c r="HF350">
        <v>0</v>
      </c>
      <c r="HG350">
        <v>0</v>
      </c>
      <c r="HH350">
        <v>1072000</v>
      </c>
      <c r="HI350">
        <v>21440</v>
      </c>
      <c r="HJ350">
        <v>1050560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1072000</v>
      </c>
      <c r="HT350">
        <v>21440</v>
      </c>
      <c r="HU350">
        <v>1050560</v>
      </c>
      <c r="HV350">
        <v>161293000</v>
      </c>
      <c r="HW350">
        <v>0.05</v>
      </c>
      <c r="HX350">
        <v>0.97798234361883296</v>
      </c>
      <c r="HY350">
        <v>1</v>
      </c>
      <c r="HZ350">
        <v>300000</v>
      </c>
      <c r="IA350">
        <v>0</v>
      </c>
      <c r="IB350">
        <v>0</v>
      </c>
      <c r="IC350">
        <v>0</v>
      </c>
      <c r="ID350">
        <v>272700</v>
      </c>
      <c r="IE350">
        <v>572700</v>
      </c>
      <c r="IF350">
        <v>560090.488190506</v>
      </c>
      <c r="IG350">
        <v>560090.488190506</v>
      </c>
      <c r="IH350">
        <v>0</v>
      </c>
      <c r="II350">
        <v>1096690.1230954099</v>
      </c>
      <c r="IJ350">
        <v>9819446.4790809397</v>
      </c>
      <c r="IK350">
        <v>0</v>
      </c>
      <c r="IL350">
        <v>0</v>
      </c>
      <c r="IM350">
        <v>0</v>
      </c>
      <c r="IN350">
        <v>23030492.5850036</v>
      </c>
      <c r="IO350">
        <v>206208376.0607</v>
      </c>
      <c r="IP350">
        <v>229238868.64570299</v>
      </c>
      <c r="IQ350">
        <v>536000</v>
      </c>
      <c r="IR350">
        <v>2600000</v>
      </c>
      <c r="IS350">
        <v>0</v>
      </c>
      <c r="IT350">
        <v>0</v>
      </c>
      <c r="IU350">
        <v>0</v>
      </c>
      <c r="IV350">
        <v>3136000</v>
      </c>
      <c r="IW350">
        <v>268000</v>
      </c>
      <c r="IX350">
        <v>1300000</v>
      </c>
      <c r="IY350">
        <v>0</v>
      </c>
      <c r="IZ350">
        <v>0</v>
      </c>
      <c r="JA350">
        <v>0</v>
      </c>
      <c r="JB350">
        <v>1568000</v>
      </c>
      <c r="JC350">
        <v>90000</v>
      </c>
      <c r="JD350">
        <v>434000</v>
      </c>
      <c r="JE350">
        <v>0</v>
      </c>
      <c r="JF350">
        <v>0</v>
      </c>
      <c r="JG350">
        <v>0</v>
      </c>
      <c r="JH350">
        <v>524000</v>
      </c>
    </row>
    <row r="351" spans="2:268" customFormat="1" x14ac:dyDescent="0.25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3"/>
      <c r="N351" s="3"/>
      <c r="O351" s="3"/>
      <c r="P351" s="2"/>
      <c r="Q351" s="2"/>
      <c r="R351" s="2"/>
      <c r="S351" s="2"/>
      <c r="T351" s="2"/>
      <c r="U351" s="2"/>
      <c r="V351" s="3"/>
      <c r="W351" s="3"/>
      <c r="X351" s="3"/>
      <c r="Y351" s="3"/>
      <c r="Z351" s="3"/>
      <c r="AA351" s="3"/>
      <c r="AB351" s="3"/>
      <c r="AC351" s="2"/>
      <c r="AD351" s="2"/>
      <c r="AE351" s="2"/>
      <c r="AF351" s="2"/>
      <c r="AG351" s="2"/>
      <c r="AH351" s="2"/>
      <c r="AI351" s="2"/>
      <c r="AJ351" s="3"/>
      <c r="AK351" s="2"/>
      <c r="AL351" s="2"/>
      <c r="AM351" s="2"/>
      <c r="AN351" s="2"/>
      <c r="AO351" s="3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3"/>
      <c r="BC351" s="3"/>
      <c r="BD351" s="3"/>
      <c r="BE351" s="3"/>
      <c r="BF351" s="3"/>
      <c r="BG351" s="3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2"/>
      <c r="DI351" s="2"/>
      <c r="DJ351" s="3"/>
      <c r="DK351" s="3"/>
      <c r="DL351" s="2"/>
      <c r="DM351" s="2"/>
      <c r="DN351" s="2"/>
      <c r="DO351" s="3"/>
      <c r="DP351" s="3"/>
      <c r="GO351" t="s">
        <v>144</v>
      </c>
      <c r="GP351" t="s">
        <v>501</v>
      </c>
      <c r="GQ351" t="s">
        <v>502</v>
      </c>
      <c r="GR351">
        <v>31</v>
      </c>
      <c r="GS351">
        <v>30</v>
      </c>
      <c r="GT351">
        <v>1</v>
      </c>
      <c r="GU351" t="s">
        <v>457</v>
      </c>
      <c r="GV351">
        <v>23030492.5850036</v>
      </c>
      <c r="GW351">
        <v>206208376.0607</v>
      </c>
      <c r="GX351">
        <v>229238868.64570299</v>
      </c>
      <c r="GY351">
        <v>0</v>
      </c>
      <c r="GZ351">
        <v>229238868.64570299</v>
      </c>
      <c r="HA351">
        <v>229238868.64570299</v>
      </c>
      <c r="HB351">
        <v>303000000</v>
      </c>
      <c r="HC351">
        <v>0</v>
      </c>
      <c r="HD351" t="s">
        <v>137</v>
      </c>
      <c r="HE351">
        <v>0</v>
      </c>
      <c r="HF351">
        <v>0</v>
      </c>
      <c r="HG351">
        <v>0</v>
      </c>
      <c r="HH351">
        <v>1072000</v>
      </c>
      <c r="HI351">
        <v>21440</v>
      </c>
      <c r="HJ351">
        <v>1050560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1072000</v>
      </c>
      <c r="HT351">
        <v>21440</v>
      </c>
      <c r="HU351">
        <v>1050560</v>
      </c>
      <c r="HV351">
        <v>162365000</v>
      </c>
      <c r="HW351">
        <v>0.05</v>
      </c>
      <c r="HX351">
        <v>0.97798234361883296</v>
      </c>
      <c r="HY351">
        <v>1</v>
      </c>
      <c r="HZ351">
        <v>300000</v>
      </c>
      <c r="IA351">
        <v>0</v>
      </c>
      <c r="IB351">
        <v>0</v>
      </c>
      <c r="IC351">
        <v>0</v>
      </c>
      <c r="ID351">
        <v>272700</v>
      </c>
      <c r="IE351">
        <v>572700</v>
      </c>
      <c r="IF351">
        <v>560090.488190506</v>
      </c>
      <c r="IG351">
        <v>560090.488190506</v>
      </c>
      <c r="IH351">
        <v>0</v>
      </c>
      <c r="II351">
        <v>1176048.10484066</v>
      </c>
      <c r="IJ351">
        <v>10310418.803035</v>
      </c>
      <c r="IK351">
        <v>0</v>
      </c>
      <c r="IL351">
        <v>0</v>
      </c>
      <c r="IM351">
        <v>0</v>
      </c>
      <c r="IN351">
        <v>24697010.201653801</v>
      </c>
      <c r="IO351">
        <v>216518794.86373499</v>
      </c>
      <c r="IP351">
        <v>241215805.06538901</v>
      </c>
      <c r="IQ351">
        <v>536000</v>
      </c>
      <c r="IR351">
        <v>2600000</v>
      </c>
      <c r="IS351">
        <v>0</v>
      </c>
      <c r="IT351">
        <v>0</v>
      </c>
      <c r="IU351">
        <v>0</v>
      </c>
      <c r="IV351">
        <v>3136000</v>
      </c>
      <c r="IW351">
        <v>268000</v>
      </c>
      <c r="IX351">
        <v>1300000</v>
      </c>
      <c r="IY351">
        <v>0</v>
      </c>
      <c r="IZ351">
        <v>0</v>
      </c>
      <c r="JA351">
        <v>0</v>
      </c>
      <c r="JB351">
        <v>1568000</v>
      </c>
      <c r="JC351">
        <v>90000</v>
      </c>
      <c r="JD351">
        <v>434000</v>
      </c>
      <c r="JE351">
        <v>0</v>
      </c>
      <c r="JF351">
        <v>0</v>
      </c>
      <c r="JG351">
        <v>0</v>
      </c>
      <c r="JH351">
        <v>524000</v>
      </c>
    </row>
    <row r="352" spans="2:268" customFormat="1" x14ac:dyDescent="0.25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3"/>
      <c r="N352" s="3"/>
      <c r="O352" s="3"/>
      <c r="P352" s="2"/>
      <c r="Q352" s="2"/>
      <c r="R352" s="2"/>
      <c r="S352" s="2"/>
      <c r="T352" s="2"/>
      <c r="U352" s="2"/>
      <c r="V352" s="3"/>
      <c r="W352" s="3"/>
      <c r="X352" s="3"/>
      <c r="Y352" s="3"/>
      <c r="Z352" s="3"/>
      <c r="AA352" s="3"/>
      <c r="AB352" s="3"/>
      <c r="AC352" s="2"/>
      <c r="AD352" s="2"/>
      <c r="AE352" s="2"/>
      <c r="AF352" s="2"/>
      <c r="AG352" s="2"/>
      <c r="AH352" s="2"/>
      <c r="AI352" s="2"/>
      <c r="AJ352" s="3"/>
      <c r="AK352" s="2"/>
      <c r="AL352" s="2"/>
      <c r="AM352" s="2"/>
      <c r="AN352" s="2"/>
      <c r="AO352" s="3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3"/>
      <c r="BC352" s="3"/>
      <c r="BD352" s="3"/>
      <c r="BE352" s="3"/>
      <c r="BF352" s="3"/>
      <c r="BG352" s="3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2"/>
      <c r="DI352" s="2"/>
      <c r="DJ352" s="3"/>
      <c r="DK352" s="3"/>
      <c r="DL352" s="2"/>
      <c r="DM352" s="2"/>
      <c r="DN352" s="2"/>
      <c r="DO352" s="3"/>
      <c r="DP352" s="3"/>
      <c r="GO352" t="s">
        <v>144</v>
      </c>
      <c r="GP352" t="s">
        <v>501</v>
      </c>
      <c r="GQ352" t="s">
        <v>502</v>
      </c>
      <c r="GR352">
        <v>32</v>
      </c>
      <c r="GS352">
        <v>31</v>
      </c>
      <c r="GT352">
        <v>1</v>
      </c>
      <c r="GU352" t="s">
        <v>457</v>
      </c>
      <c r="GV352">
        <v>24697010.201653801</v>
      </c>
      <c r="GW352">
        <v>216518794.86373499</v>
      </c>
      <c r="GX352">
        <v>241215805.06538901</v>
      </c>
      <c r="GY352">
        <v>0</v>
      </c>
      <c r="GZ352">
        <v>241215805.06538901</v>
      </c>
      <c r="HA352">
        <v>241215805.06538901</v>
      </c>
      <c r="HB352">
        <v>303000000</v>
      </c>
      <c r="HC352">
        <v>0</v>
      </c>
      <c r="HD352" t="s">
        <v>137</v>
      </c>
      <c r="HE352">
        <v>0</v>
      </c>
      <c r="HF352">
        <v>0</v>
      </c>
      <c r="HG352">
        <v>0</v>
      </c>
      <c r="HH352">
        <v>1072000</v>
      </c>
      <c r="HI352">
        <v>21440</v>
      </c>
      <c r="HJ352">
        <v>1050560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1072000</v>
      </c>
      <c r="HT352">
        <v>21440</v>
      </c>
      <c r="HU352">
        <v>1050560</v>
      </c>
      <c r="HV352">
        <v>163437000</v>
      </c>
      <c r="HW352">
        <v>0.05</v>
      </c>
      <c r="HX352">
        <v>0.97798234361883296</v>
      </c>
      <c r="HY352">
        <v>1</v>
      </c>
      <c r="HZ352">
        <v>300000</v>
      </c>
      <c r="IA352">
        <v>0</v>
      </c>
      <c r="IB352">
        <v>0</v>
      </c>
      <c r="IC352">
        <v>0</v>
      </c>
      <c r="ID352">
        <v>272700</v>
      </c>
      <c r="IE352">
        <v>572700</v>
      </c>
      <c r="IF352">
        <v>560090.488190506</v>
      </c>
      <c r="IG352">
        <v>560090.488190506</v>
      </c>
      <c r="IH352">
        <v>0</v>
      </c>
      <c r="II352">
        <v>1259373.9856731601</v>
      </c>
      <c r="IJ352">
        <v>10825939.743186699</v>
      </c>
      <c r="IK352">
        <v>0</v>
      </c>
      <c r="IL352">
        <v>0</v>
      </c>
      <c r="IM352">
        <v>0</v>
      </c>
      <c r="IN352">
        <v>26446853.699136499</v>
      </c>
      <c r="IO352">
        <v>227344734.60692099</v>
      </c>
      <c r="IP352">
        <v>253791588.30605799</v>
      </c>
      <c r="IQ352">
        <v>536000</v>
      </c>
      <c r="IR352">
        <v>2600000</v>
      </c>
      <c r="IS352">
        <v>0</v>
      </c>
      <c r="IT352">
        <v>0</v>
      </c>
      <c r="IU352">
        <v>0</v>
      </c>
      <c r="IV352">
        <v>3136000</v>
      </c>
      <c r="IW352">
        <v>268000</v>
      </c>
      <c r="IX352">
        <v>1300000</v>
      </c>
      <c r="IY352">
        <v>0</v>
      </c>
      <c r="IZ352">
        <v>0</v>
      </c>
      <c r="JA352">
        <v>0</v>
      </c>
      <c r="JB352">
        <v>1568000</v>
      </c>
      <c r="JC352">
        <v>90000</v>
      </c>
      <c r="JD352">
        <v>434000</v>
      </c>
      <c r="JE352">
        <v>0</v>
      </c>
      <c r="JF352">
        <v>0</v>
      </c>
      <c r="JG352">
        <v>0</v>
      </c>
      <c r="JH352">
        <v>524000</v>
      </c>
    </row>
    <row r="353" spans="2:268" customFormat="1" x14ac:dyDescent="0.25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3"/>
      <c r="N353" s="3"/>
      <c r="O353" s="3"/>
      <c r="P353" s="2"/>
      <c r="Q353" s="2"/>
      <c r="R353" s="2"/>
      <c r="S353" s="2"/>
      <c r="T353" s="2"/>
      <c r="U353" s="2"/>
      <c r="V353" s="3"/>
      <c r="W353" s="3"/>
      <c r="X353" s="3"/>
      <c r="Y353" s="3"/>
      <c r="Z353" s="3"/>
      <c r="AA353" s="3"/>
      <c r="AB353" s="3"/>
      <c r="AC353" s="2"/>
      <c r="AD353" s="2"/>
      <c r="AE353" s="2"/>
      <c r="AF353" s="2"/>
      <c r="AG353" s="2"/>
      <c r="AH353" s="2"/>
      <c r="AI353" s="2"/>
      <c r="AJ353" s="3"/>
      <c r="AK353" s="2"/>
      <c r="AL353" s="2"/>
      <c r="AM353" s="2"/>
      <c r="AN353" s="2"/>
      <c r="AO353" s="3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3"/>
      <c r="BC353" s="3"/>
      <c r="BD353" s="3"/>
      <c r="BE353" s="3"/>
      <c r="BF353" s="3"/>
      <c r="BG353" s="3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2"/>
      <c r="DI353" s="2"/>
      <c r="DJ353" s="3"/>
      <c r="DK353" s="3"/>
      <c r="DL353" s="2"/>
      <c r="DM353" s="2"/>
      <c r="DN353" s="2"/>
      <c r="DO353" s="3"/>
      <c r="DP353" s="3"/>
      <c r="GO353" t="s">
        <v>144</v>
      </c>
      <c r="GP353" t="s">
        <v>501</v>
      </c>
      <c r="GQ353" t="s">
        <v>502</v>
      </c>
      <c r="GR353">
        <v>33</v>
      </c>
      <c r="GS353">
        <v>32</v>
      </c>
      <c r="GT353">
        <v>1</v>
      </c>
      <c r="GU353" t="s">
        <v>457</v>
      </c>
      <c r="GV353">
        <v>26446853.699136499</v>
      </c>
      <c r="GW353">
        <v>227344734.60692099</v>
      </c>
      <c r="GX353">
        <v>253791588.30605799</v>
      </c>
      <c r="GY353">
        <v>0</v>
      </c>
      <c r="GZ353">
        <v>253791588.30605799</v>
      </c>
      <c r="HA353">
        <v>253791588.30605799</v>
      </c>
      <c r="HB353">
        <v>303000000</v>
      </c>
      <c r="HC353">
        <v>0</v>
      </c>
      <c r="HD353" t="s">
        <v>137</v>
      </c>
      <c r="HE353">
        <v>0</v>
      </c>
      <c r="HF353">
        <v>0</v>
      </c>
      <c r="HG353">
        <v>0</v>
      </c>
      <c r="HH353">
        <v>1072000</v>
      </c>
      <c r="HI353">
        <v>21440</v>
      </c>
      <c r="HJ353">
        <v>1050560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1072000</v>
      </c>
      <c r="HT353">
        <v>21440</v>
      </c>
      <c r="HU353">
        <v>1050560</v>
      </c>
      <c r="HV353">
        <v>164509000</v>
      </c>
      <c r="HW353">
        <v>0.05</v>
      </c>
      <c r="HX353">
        <v>0.97798234361883296</v>
      </c>
      <c r="HY353">
        <v>1</v>
      </c>
      <c r="HZ353">
        <v>300000</v>
      </c>
      <c r="IA353">
        <v>0</v>
      </c>
      <c r="IB353">
        <v>0</v>
      </c>
      <c r="IC353">
        <v>0</v>
      </c>
      <c r="ID353">
        <v>272700</v>
      </c>
      <c r="IE353">
        <v>572700</v>
      </c>
      <c r="IF353">
        <v>560090.488190506</v>
      </c>
      <c r="IG353">
        <v>560090.488190506</v>
      </c>
      <c r="IH353">
        <v>0</v>
      </c>
      <c r="II353">
        <v>1346866.1605473</v>
      </c>
      <c r="IJ353">
        <v>11367236.7303461</v>
      </c>
      <c r="IK353">
        <v>0</v>
      </c>
      <c r="IL353">
        <v>0</v>
      </c>
      <c r="IM353">
        <v>0</v>
      </c>
      <c r="IN353">
        <v>28284189.371493299</v>
      </c>
      <c r="IO353">
        <v>238711971.33726799</v>
      </c>
      <c r="IP353">
        <v>266996160.70876101</v>
      </c>
      <c r="IQ353">
        <v>536000</v>
      </c>
      <c r="IR353">
        <v>2600000</v>
      </c>
      <c r="IS353">
        <v>0</v>
      </c>
      <c r="IT353">
        <v>0</v>
      </c>
      <c r="IU353">
        <v>0</v>
      </c>
      <c r="IV353">
        <v>3136000</v>
      </c>
      <c r="IW353">
        <v>268000</v>
      </c>
      <c r="IX353">
        <v>1300000</v>
      </c>
      <c r="IY353">
        <v>0</v>
      </c>
      <c r="IZ353">
        <v>0</v>
      </c>
      <c r="JA353">
        <v>0</v>
      </c>
      <c r="JB353">
        <v>1568000</v>
      </c>
      <c r="JC353">
        <v>90000</v>
      </c>
      <c r="JD353">
        <v>434000</v>
      </c>
      <c r="JE353">
        <v>0</v>
      </c>
      <c r="JF353">
        <v>0</v>
      </c>
      <c r="JG353">
        <v>0</v>
      </c>
      <c r="JH353">
        <v>524000</v>
      </c>
    </row>
    <row r="354" spans="2:268" customFormat="1" x14ac:dyDescent="0.25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3"/>
      <c r="N354" s="3"/>
      <c r="O354" s="3"/>
      <c r="P354" s="2"/>
      <c r="Q354" s="2"/>
      <c r="R354" s="2"/>
      <c r="S354" s="2"/>
      <c r="T354" s="2"/>
      <c r="U354" s="2"/>
      <c r="V354" s="3"/>
      <c r="W354" s="3"/>
      <c r="X354" s="3"/>
      <c r="Y354" s="3"/>
      <c r="Z354" s="3"/>
      <c r="AA354" s="3"/>
      <c r="AB354" s="3"/>
      <c r="AC354" s="2"/>
      <c r="AD354" s="2"/>
      <c r="AE354" s="2"/>
      <c r="AF354" s="2"/>
      <c r="AG354" s="2"/>
      <c r="AH354" s="2"/>
      <c r="AI354" s="2"/>
      <c r="AJ354" s="3"/>
      <c r="AK354" s="2"/>
      <c r="AL354" s="2"/>
      <c r="AM354" s="2"/>
      <c r="AN354" s="2"/>
      <c r="AO354" s="3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3"/>
      <c r="BC354" s="3"/>
      <c r="BD354" s="3"/>
      <c r="BE354" s="3"/>
      <c r="BF354" s="3"/>
      <c r="BG354" s="3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2"/>
      <c r="DI354" s="2"/>
      <c r="DJ354" s="3"/>
      <c r="DK354" s="3"/>
      <c r="DL354" s="2"/>
      <c r="DM354" s="2"/>
      <c r="DN354" s="2"/>
      <c r="DO354" s="3"/>
      <c r="DP354" s="3"/>
      <c r="GO354" t="s">
        <v>144</v>
      </c>
      <c r="GP354" t="s">
        <v>501</v>
      </c>
      <c r="GQ354" t="s">
        <v>502</v>
      </c>
      <c r="GR354">
        <v>34</v>
      </c>
      <c r="GS354">
        <v>33</v>
      </c>
      <c r="GT354">
        <v>1</v>
      </c>
      <c r="GU354" t="s">
        <v>457</v>
      </c>
      <c r="GV354">
        <v>28284189.371493299</v>
      </c>
      <c r="GW354">
        <v>238711971.33726799</v>
      </c>
      <c r="GX354">
        <v>266996160.70876101</v>
      </c>
      <c r="GY354">
        <v>0</v>
      </c>
      <c r="GZ354">
        <v>266996160.70876101</v>
      </c>
      <c r="HA354">
        <v>266996160.70876101</v>
      </c>
      <c r="HB354">
        <v>303000000</v>
      </c>
      <c r="HC354">
        <v>0</v>
      </c>
      <c r="HD354" t="s">
        <v>137</v>
      </c>
      <c r="HE354">
        <v>0</v>
      </c>
      <c r="HF354">
        <v>0</v>
      </c>
      <c r="HG354">
        <v>0</v>
      </c>
      <c r="HH354">
        <v>1072000</v>
      </c>
      <c r="HI354">
        <v>21440</v>
      </c>
      <c r="HJ354">
        <v>1050560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1072000</v>
      </c>
      <c r="HT354">
        <v>21440</v>
      </c>
      <c r="HU354">
        <v>1050560</v>
      </c>
      <c r="HV354">
        <v>165581000</v>
      </c>
      <c r="HW354">
        <v>0.05</v>
      </c>
      <c r="HX354">
        <v>0.97798234361883296</v>
      </c>
      <c r="HY354">
        <v>1</v>
      </c>
      <c r="HZ354">
        <v>300000</v>
      </c>
      <c r="IA354">
        <v>0</v>
      </c>
      <c r="IB354">
        <v>0</v>
      </c>
      <c r="IC354">
        <v>0</v>
      </c>
      <c r="ID354">
        <v>272700</v>
      </c>
      <c r="IE354">
        <v>572700</v>
      </c>
      <c r="IF354">
        <v>560090.488190506</v>
      </c>
      <c r="IG354">
        <v>560090.488190506</v>
      </c>
      <c r="IH354">
        <v>0</v>
      </c>
      <c r="II354">
        <v>1438732.9441651399</v>
      </c>
      <c r="IJ354">
        <v>11935598.566863401</v>
      </c>
      <c r="IK354">
        <v>0</v>
      </c>
      <c r="IL354">
        <v>0</v>
      </c>
      <c r="IM354">
        <v>0</v>
      </c>
      <c r="IN354">
        <v>30213391.8274679</v>
      </c>
      <c r="IO354">
        <v>250647569.904131</v>
      </c>
      <c r="IP354">
        <v>280860961.73159897</v>
      </c>
      <c r="IQ354">
        <v>536000</v>
      </c>
      <c r="IR354">
        <v>2600000</v>
      </c>
      <c r="IS354">
        <v>0</v>
      </c>
      <c r="IT354">
        <v>0</v>
      </c>
      <c r="IU354">
        <v>0</v>
      </c>
      <c r="IV354">
        <v>3136000</v>
      </c>
      <c r="IW354">
        <v>268000</v>
      </c>
      <c r="IX354">
        <v>1300000</v>
      </c>
      <c r="IY354">
        <v>0</v>
      </c>
      <c r="IZ354">
        <v>0</v>
      </c>
      <c r="JA354">
        <v>0</v>
      </c>
      <c r="JB354">
        <v>1568000</v>
      </c>
      <c r="JC354">
        <v>90000</v>
      </c>
      <c r="JD354">
        <v>434000</v>
      </c>
      <c r="JE354">
        <v>0</v>
      </c>
      <c r="JF354">
        <v>0</v>
      </c>
      <c r="JG354">
        <v>0</v>
      </c>
      <c r="JH354">
        <v>524000</v>
      </c>
    </row>
    <row r="355" spans="2:268" customFormat="1" x14ac:dyDescent="0.25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3"/>
      <c r="N355" s="3"/>
      <c r="O355" s="3"/>
      <c r="P355" s="2"/>
      <c r="Q355" s="2"/>
      <c r="R355" s="2"/>
      <c r="S355" s="2"/>
      <c r="T355" s="2"/>
      <c r="U355" s="2"/>
      <c r="V355" s="3"/>
      <c r="W355" s="3"/>
      <c r="X355" s="3"/>
      <c r="Y355" s="3"/>
      <c r="Z355" s="3"/>
      <c r="AA355" s="3"/>
      <c r="AB355" s="3"/>
      <c r="AC355" s="2"/>
      <c r="AD355" s="2"/>
      <c r="AE355" s="2"/>
      <c r="AF355" s="2"/>
      <c r="AG355" s="2"/>
      <c r="AH355" s="2"/>
      <c r="AI355" s="2"/>
      <c r="AJ355" s="3"/>
      <c r="AK355" s="2"/>
      <c r="AL355" s="2"/>
      <c r="AM355" s="2"/>
      <c r="AN355" s="2"/>
      <c r="AO355" s="3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3"/>
      <c r="BC355" s="3"/>
      <c r="BD355" s="3"/>
      <c r="BE355" s="3"/>
      <c r="BF355" s="3"/>
      <c r="BG355" s="3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2"/>
      <c r="DI355" s="2"/>
      <c r="DJ355" s="3"/>
      <c r="DK355" s="3"/>
      <c r="DL355" s="2"/>
      <c r="DM355" s="2"/>
      <c r="DN355" s="2"/>
      <c r="DO355" s="3"/>
      <c r="DP355" s="3"/>
      <c r="GO355" t="s">
        <v>144</v>
      </c>
      <c r="GP355" t="s">
        <v>501</v>
      </c>
      <c r="GQ355" t="s">
        <v>502</v>
      </c>
      <c r="GR355">
        <v>35</v>
      </c>
      <c r="GS355">
        <v>34</v>
      </c>
      <c r="GT355">
        <v>1</v>
      </c>
      <c r="GU355" t="s">
        <v>457</v>
      </c>
      <c r="GV355">
        <v>30213391.8274679</v>
      </c>
      <c r="GW355">
        <v>250647569.904131</v>
      </c>
      <c r="GX355">
        <v>280860961.73159897</v>
      </c>
      <c r="GY355">
        <v>0</v>
      </c>
      <c r="GZ355">
        <v>280860961.73159897</v>
      </c>
      <c r="HA355">
        <v>280860961.73159897</v>
      </c>
      <c r="HB355">
        <v>303000000</v>
      </c>
      <c r="HC355">
        <v>0</v>
      </c>
      <c r="HD355" t="s">
        <v>137</v>
      </c>
      <c r="HE355">
        <v>0</v>
      </c>
      <c r="HF355">
        <v>0</v>
      </c>
      <c r="HG355">
        <v>0</v>
      </c>
      <c r="HH355">
        <v>1072000</v>
      </c>
      <c r="HI355">
        <v>21440</v>
      </c>
      <c r="HJ355">
        <v>1050560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1072000</v>
      </c>
      <c r="HT355">
        <v>21440</v>
      </c>
      <c r="HU355">
        <v>1050560</v>
      </c>
      <c r="HV355">
        <v>166653000</v>
      </c>
      <c r="HW355">
        <v>0.05</v>
      </c>
      <c r="HX355">
        <v>0.97798234361883296</v>
      </c>
      <c r="HY355">
        <v>1</v>
      </c>
      <c r="HZ355">
        <v>300000</v>
      </c>
      <c r="IA355">
        <v>0</v>
      </c>
      <c r="IB355">
        <v>0</v>
      </c>
      <c r="IC355">
        <v>0</v>
      </c>
      <c r="ID355">
        <v>272700</v>
      </c>
      <c r="IE355">
        <v>572700</v>
      </c>
      <c r="IF355">
        <v>560090.488190506</v>
      </c>
      <c r="IG355">
        <v>560090.488190506</v>
      </c>
      <c r="IH355">
        <v>0</v>
      </c>
      <c r="II355">
        <v>1535193.0669638701</v>
      </c>
      <c r="IJ355">
        <v>12532378.495206499</v>
      </c>
      <c r="IK355">
        <v>0</v>
      </c>
      <c r="IL355">
        <v>0</v>
      </c>
      <c r="IM355">
        <v>0</v>
      </c>
      <c r="IN355">
        <v>32239054.406241201</v>
      </c>
      <c r="IO355">
        <v>263179948.39933801</v>
      </c>
      <c r="IP355">
        <v>295419002.80557901</v>
      </c>
      <c r="IQ355">
        <v>536000</v>
      </c>
      <c r="IR355">
        <v>2600000</v>
      </c>
      <c r="IS355">
        <v>0</v>
      </c>
      <c r="IT355">
        <v>0</v>
      </c>
      <c r="IU355">
        <v>0</v>
      </c>
      <c r="IV355">
        <v>3136000</v>
      </c>
      <c r="IW355">
        <v>268000</v>
      </c>
      <c r="IX355">
        <v>1300000</v>
      </c>
      <c r="IY355">
        <v>0</v>
      </c>
      <c r="IZ355">
        <v>0</v>
      </c>
      <c r="JA355">
        <v>0</v>
      </c>
      <c r="JB355">
        <v>1568000</v>
      </c>
      <c r="JC355">
        <v>90000</v>
      </c>
      <c r="JD355">
        <v>434000</v>
      </c>
      <c r="JE355">
        <v>0</v>
      </c>
      <c r="JF355">
        <v>0</v>
      </c>
      <c r="JG355">
        <v>0</v>
      </c>
      <c r="JH355">
        <v>524000</v>
      </c>
    </row>
    <row r="356" spans="2:268" customFormat="1" x14ac:dyDescent="0.25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3"/>
      <c r="N356" s="3"/>
      <c r="O356" s="3"/>
      <c r="P356" s="2"/>
      <c r="Q356" s="2"/>
      <c r="R356" s="2"/>
      <c r="S356" s="2"/>
      <c r="T356" s="2"/>
      <c r="U356" s="2"/>
      <c r="V356" s="3"/>
      <c r="W356" s="3"/>
      <c r="X356" s="3"/>
      <c r="Y356" s="3"/>
      <c r="Z356" s="3"/>
      <c r="AA356" s="3"/>
      <c r="AB356" s="3"/>
      <c r="AC356" s="2"/>
      <c r="AD356" s="2"/>
      <c r="AE356" s="2"/>
      <c r="AF356" s="2"/>
      <c r="AG356" s="2"/>
      <c r="AH356" s="2"/>
      <c r="AI356" s="2"/>
      <c r="AJ356" s="3"/>
      <c r="AK356" s="2"/>
      <c r="AL356" s="2"/>
      <c r="AM356" s="2"/>
      <c r="AN356" s="2"/>
      <c r="AO356" s="3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3"/>
      <c r="BC356" s="3"/>
      <c r="BD356" s="3"/>
      <c r="BE356" s="3"/>
      <c r="BF356" s="3"/>
      <c r="BG356" s="3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2"/>
      <c r="DI356" s="2"/>
      <c r="DJ356" s="3"/>
      <c r="DK356" s="3"/>
      <c r="DL356" s="2"/>
      <c r="DM356" s="2"/>
      <c r="DN356" s="2"/>
      <c r="DO356" s="3"/>
      <c r="DP356" s="3"/>
      <c r="GO356" t="s">
        <v>144</v>
      </c>
      <c r="GP356" t="s">
        <v>501</v>
      </c>
      <c r="GQ356" t="s">
        <v>502</v>
      </c>
      <c r="GR356">
        <v>36</v>
      </c>
      <c r="GS356">
        <v>35</v>
      </c>
      <c r="GT356">
        <v>1</v>
      </c>
      <c r="GU356" t="s">
        <v>457</v>
      </c>
      <c r="GV356">
        <v>32239054.406241201</v>
      </c>
      <c r="GW356">
        <v>263179948.39933801</v>
      </c>
      <c r="GX356">
        <v>295419002.80557901</v>
      </c>
      <c r="GY356">
        <v>0</v>
      </c>
      <c r="GZ356">
        <v>295419002.80557901</v>
      </c>
      <c r="HA356">
        <v>295419002.80557901</v>
      </c>
      <c r="HB356">
        <v>303000000</v>
      </c>
      <c r="HC356">
        <v>0</v>
      </c>
      <c r="HD356" t="s">
        <v>137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0.05</v>
      </c>
      <c r="HX356">
        <v>0.97798234361883296</v>
      </c>
      <c r="HY356">
        <v>1</v>
      </c>
      <c r="HZ356">
        <v>300000</v>
      </c>
      <c r="IA356">
        <v>0</v>
      </c>
      <c r="IB356">
        <v>0</v>
      </c>
      <c r="IC356">
        <v>0</v>
      </c>
      <c r="ID356">
        <v>272700</v>
      </c>
      <c r="IE356">
        <v>572700</v>
      </c>
      <c r="IF356">
        <v>560090.488190506</v>
      </c>
      <c r="IG356">
        <v>560090.488190506</v>
      </c>
      <c r="IH356">
        <v>0</v>
      </c>
      <c r="II356">
        <v>1583948.1959025401</v>
      </c>
      <c r="IJ356">
        <v>13158997.419966901</v>
      </c>
      <c r="IK356">
        <v>0</v>
      </c>
      <c r="IL356">
        <v>0</v>
      </c>
      <c r="IM356">
        <v>0</v>
      </c>
      <c r="IN356">
        <v>33262912.1139533</v>
      </c>
      <c r="IO356">
        <v>276338945.81930399</v>
      </c>
      <c r="IP356">
        <v>309601857.933258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</row>
    <row r="357" spans="2:268" customFormat="1" x14ac:dyDescent="0.25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3"/>
      <c r="N357" s="3"/>
      <c r="O357" s="3"/>
      <c r="P357" s="2"/>
      <c r="Q357" s="2"/>
      <c r="R357" s="2"/>
      <c r="S357" s="2"/>
      <c r="T357" s="2"/>
      <c r="U357" s="2"/>
      <c r="V357" s="3"/>
      <c r="W357" s="3"/>
      <c r="X357" s="3"/>
      <c r="Y357" s="3"/>
      <c r="Z357" s="3"/>
      <c r="AA357" s="3"/>
      <c r="AB357" s="3"/>
      <c r="AC357" s="2"/>
      <c r="AD357" s="2"/>
      <c r="AE357" s="2"/>
      <c r="AF357" s="2"/>
      <c r="AG357" s="2"/>
      <c r="AH357" s="2"/>
      <c r="AI357" s="2"/>
      <c r="AJ357" s="3"/>
      <c r="AK357" s="2"/>
      <c r="AL357" s="2"/>
      <c r="AM357" s="2"/>
      <c r="AN357" s="2"/>
      <c r="AO357" s="3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3"/>
      <c r="BC357" s="3"/>
      <c r="BD357" s="3"/>
      <c r="BE357" s="3"/>
      <c r="BF357" s="3"/>
      <c r="BG357" s="3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2"/>
      <c r="DI357" s="2"/>
      <c r="DJ357" s="3"/>
      <c r="DK357" s="3"/>
      <c r="DL357" s="2"/>
      <c r="DM357" s="2"/>
      <c r="DN357" s="2"/>
      <c r="DO357" s="3"/>
      <c r="DP357" s="3"/>
      <c r="GO357" t="s">
        <v>144</v>
      </c>
      <c r="GP357" t="s">
        <v>501</v>
      </c>
      <c r="GQ357" t="s">
        <v>502</v>
      </c>
      <c r="GR357">
        <v>37</v>
      </c>
      <c r="GS357">
        <v>36</v>
      </c>
      <c r="GT357">
        <v>1</v>
      </c>
      <c r="GU357" t="s">
        <v>457</v>
      </c>
      <c r="GV357">
        <v>33262912.1139533</v>
      </c>
      <c r="GW357">
        <v>276338945.81930399</v>
      </c>
      <c r="GX357">
        <v>309601857.933258</v>
      </c>
      <c r="GY357">
        <v>0</v>
      </c>
      <c r="GZ357">
        <v>309601857.933258</v>
      </c>
      <c r="HA357">
        <v>309601857.933258</v>
      </c>
      <c r="HB357">
        <v>303000000</v>
      </c>
      <c r="HC357">
        <v>0</v>
      </c>
      <c r="HD357" t="s">
        <v>137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0.05</v>
      </c>
      <c r="HX357">
        <v>0.97798234361883296</v>
      </c>
      <c r="HY357">
        <v>1</v>
      </c>
      <c r="HZ357">
        <v>300000</v>
      </c>
      <c r="IA357">
        <v>0</v>
      </c>
      <c r="IB357">
        <v>0</v>
      </c>
      <c r="IC357">
        <v>0</v>
      </c>
      <c r="ID357">
        <v>272700</v>
      </c>
      <c r="IE357">
        <v>572700</v>
      </c>
      <c r="IF357">
        <v>560090.488190506</v>
      </c>
      <c r="IG357">
        <v>560090.488190506</v>
      </c>
      <c r="IH357">
        <v>0</v>
      </c>
      <c r="II357">
        <v>1635141.08128814</v>
      </c>
      <c r="IJ357">
        <v>13816947.290965199</v>
      </c>
      <c r="IK357">
        <v>0</v>
      </c>
      <c r="IL357">
        <v>0</v>
      </c>
      <c r="IM357">
        <v>0</v>
      </c>
      <c r="IN357">
        <v>34337962.707050897</v>
      </c>
      <c r="IO357">
        <v>290155893.11027002</v>
      </c>
      <c r="IP357">
        <v>324493855.817321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</row>
    <row r="358" spans="2:268" customFormat="1" x14ac:dyDescent="0.25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3"/>
      <c r="N358" s="3"/>
      <c r="O358" s="3"/>
      <c r="P358" s="2"/>
      <c r="Q358" s="2"/>
      <c r="R358" s="2"/>
      <c r="S358" s="2"/>
      <c r="T358" s="2"/>
      <c r="U358" s="2"/>
      <c r="V358" s="3"/>
      <c r="W358" s="3"/>
      <c r="X358" s="3"/>
      <c r="Y358" s="3"/>
      <c r="Z358" s="3"/>
      <c r="AA358" s="3"/>
      <c r="AB358" s="3"/>
      <c r="AC358" s="2"/>
      <c r="AD358" s="2"/>
      <c r="AE358" s="2"/>
      <c r="AF358" s="2"/>
      <c r="AG358" s="2"/>
      <c r="AH358" s="2"/>
      <c r="AI358" s="2"/>
      <c r="AJ358" s="3"/>
      <c r="AK358" s="2"/>
      <c r="AL358" s="2"/>
      <c r="AM358" s="2"/>
      <c r="AN358" s="2"/>
      <c r="AO358" s="3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3"/>
      <c r="BC358" s="3"/>
      <c r="BD358" s="3"/>
      <c r="BE358" s="3"/>
      <c r="BF358" s="3"/>
      <c r="BG358" s="3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2"/>
      <c r="DI358" s="2"/>
      <c r="DJ358" s="3"/>
      <c r="DK358" s="3"/>
      <c r="DL358" s="2"/>
      <c r="DM358" s="2"/>
      <c r="DN358" s="2"/>
      <c r="DO358" s="3"/>
      <c r="DP358" s="3"/>
      <c r="GO358" t="s">
        <v>144</v>
      </c>
      <c r="GP358" t="s">
        <v>501</v>
      </c>
      <c r="GQ358" t="s">
        <v>502</v>
      </c>
      <c r="GR358">
        <v>38</v>
      </c>
      <c r="GS358">
        <v>37</v>
      </c>
      <c r="GT358">
        <v>1</v>
      </c>
      <c r="GU358" t="s">
        <v>457</v>
      </c>
      <c r="GV358">
        <v>34337962.707050897</v>
      </c>
      <c r="GW358">
        <v>290155893.11027002</v>
      </c>
      <c r="GX358">
        <v>324493855.817321</v>
      </c>
      <c r="GY358">
        <v>0</v>
      </c>
      <c r="GZ358">
        <v>324493855.817321</v>
      </c>
      <c r="HA358">
        <v>324493855.817321</v>
      </c>
      <c r="HB358">
        <v>303000000</v>
      </c>
      <c r="HC358">
        <v>0</v>
      </c>
      <c r="HD358" t="s">
        <v>137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0.05</v>
      </c>
      <c r="HX358">
        <v>0.97798234361883296</v>
      </c>
      <c r="HY358">
        <v>1</v>
      </c>
      <c r="HZ358">
        <v>300000</v>
      </c>
      <c r="IA358">
        <v>0</v>
      </c>
      <c r="IB358">
        <v>0</v>
      </c>
      <c r="IC358">
        <v>0</v>
      </c>
      <c r="ID358">
        <v>272700</v>
      </c>
      <c r="IE358">
        <v>572700</v>
      </c>
      <c r="IF358">
        <v>560090.488190506</v>
      </c>
      <c r="IG358">
        <v>560090.488190506</v>
      </c>
      <c r="IH358">
        <v>0</v>
      </c>
      <c r="II358">
        <v>1688893.6109430201</v>
      </c>
      <c r="IJ358">
        <v>14507794.655513501</v>
      </c>
      <c r="IK358">
        <v>0</v>
      </c>
      <c r="IL358">
        <v>0</v>
      </c>
      <c r="IM358">
        <v>0</v>
      </c>
      <c r="IN358">
        <v>35466765.8298034</v>
      </c>
      <c r="IO358">
        <v>304663687.76578301</v>
      </c>
      <c r="IP358">
        <v>340130453.595586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</row>
    <row r="359" spans="2:268" customFormat="1" x14ac:dyDescent="0.25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3"/>
      <c r="N359" s="3"/>
      <c r="O359" s="3"/>
      <c r="P359" s="2"/>
      <c r="Q359" s="2"/>
      <c r="R359" s="2"/>
      <c r="S359" s="2"/>
      <c r="T359" s="2"/>
      <c r="U359" s="2"/>
      <c r="V359" s="3"/>
      <c r="W359" s="3"/>
      <c r="X359" s="3"/>
      <c r="Y359" s="3"/>
      <c r="Z359" s="3"/>
      <c r="AA359" s="3"/>
      <c r="AB359" s="3"/>
      <c r="AC359" s="2"/>
      <c r="AD359" s="2"/>
      <c r="AE359" s="2"/>
      <c r="AF359" s="2"/>
      <c r="AG359" s="2"/>
      <c r="AH359" s="2"/>
      <c r="AI359" s="2"/>
      <c r="AJ359" s="3"/>
      <c r="AK359" s="2"/>
      <c r="AL359" s="2"/>
      <c r="AM359" s="2"/>
      <c r="AN359" s="2"/>
      <c r="AO359" s="3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3"/>
      <c r="BC359" s="3"/>
      <c r="BD359" s="3"/>
      <c r="BE359" s="3"/>
      <c r="BF359" s="3"/>
      <c r="BG359" s="3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2"/>
      <c r="DI359" s="2"/>
      <c r="DJ359" s="3"/>
      <c r="DK359" s="3"/>
      <c r="DL359" s="2"/>
      <c r="DM359" s="2"/>
      <c r="DN359" s="2"/>
      <c r="DO359" s="3"/>
      <c r="DP359" s="3"/>
      <c r="GO359" t="s">
        <v>144</v>
      </c>
      <c r="GP359" t="s">
        <v>501</v>
      </c>
      <c r="GQ359" t="s">
        <v>502</v>
      </c>
      <c r="GR359">
        <v>39</v>
      </c>
      <c r="GS359">
        <v>38</v>
      </c>
      <c r="GT359">
        <v>1</v>
      </c>
      <c r="GU359" t="s">
        <v>457</v>
      </c>
      <c r="GV359">
        <v>35466765.8298034</v>
      </c>
      <c r="GW359">
        <v>304663687.76578301</v>
      </c>
      <c r="GX359">
        <v>340130453.595586</v>
      </c>
      <c r="GY359">
        <v>0</v>
      </c>
      <c r="GZ359">
        <v>340130453.595586</v>
      </c>
      <c r="HA359">
        <v>340130453.595586</v>
      </c>
      <c r="HB359">
        <v>303000000</v>
      </c>
      <c r="HC359">
        <v>0</v>
      </c>
      <c r="HD359" t="s">
        <v>137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0.05</v>
      </c>
      <c r="HX359">
        <v>0.97798234361883296</v>
      </c>
      <c r="HY359">
        <v>1</v>
      </c>
      <c r="HZ359">
        <v>300000</v>
      </c>
      <c r="IA359">
        <v>0</v>
      </c>
      <c r="IB359">
        <v>0</v>
      </c>
      <c r="IC359">
        <v>0</v>
      </c>
      <c r="ID359">
        <v>272700</v>
      </c>
      <c r="IE359">
        <v>572700</v>
      </c>
      <c r="IF359">
        <v>560090.488190506</v>
      </c>
      <c r="IG359">
        <v>560090.488190506</v>
      </c>
      <c r="IH359">
        <v>0</v>
      </c>
      <c r="II359">
        <v>1745333.76708065</v>
      </c>
      <c r="IJ359">
        <v>15233184.3882892</v>
      </c>
      <c r="IK359">
        <v>0</v>
      </c>
      <c r="IL359">
        <v>0</v>
      </c>
      <c r="IM359">
        <v>0</v>
      </c>
      <c r="IN359">
        <v>36652009.1086936</v>
      </c>
      <c r="IO359">
        <v>319896872.15407199</v>
      </c>
      <c r="IP359">
        <v>356548881.262766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</row>
    <row r="360" spans="2:268" customFormat="1" x14ac:dyDescent="0.25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3"/>
      <c r="N360" s="3"/>
      <c r="O360" s="3"/>
      <c r="P360" s="2"/>
      <c r="Q360" s="2"/>
      <c r="R360" s="2"/>
      <c r="S360" s="2"/>
      <c r="T360" s="2"/>
      <c r="U360" s="2"/>
      <c r="V360" s="3"/>
      <c r="W360" s="3"/>
      <c r="X360" s="3"/>
      <c r="Y360" s="3"/>
      <c r="Z360" s="3"/>
      <c r="AA360" s="3"/>
      <c r="AB360" s="3"/>
      <c r="AC360" s="2"/>
      <c r="AD360" s="2"/>
      <c r="AE360" s="2"/>
      <c r="AF360" s="2"/>
      <c r="AG360" s="2"/>
      <c r="AH360" s="2"/>
      <c r="AI360" s="2"/>
      <c r="AJ360" s="3"/>
      <c r="AK360" s="2"/>
      <c r="AL360" s="2"/>
      <c r="AM360" s="2"/>
      <c r="AN360" s="2"/>
      <c r="AO360" s="3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3"/>
      <c r="BC360" s="3"/>
      <c r="BD360" s="3"/>
      <c r="BE360" s="3"/>
      <c r="BF360" s="3"/>
      <c r="BG360" s="3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2"/>
      <c r="DI360" s="2"/>
      <c r="DJ360" s="3"/>
      <c r="DK360" s="3"/>
      <c r="DL360" s="2"/>
      <c r="DM360" s="2"/>
      <c r="DN360" s="2"/>
      <c r="DO360" s="3"/>
      <c r="DP360" s="3"/>
      <c r="GO360" t="s">
        <v>144</v>
      </c>
      <c r="GP360" t="s">
        <v>501</v>
      </c>
      <c r="GQ360" t="s">
        <v>502</v>
      </c>
      <c r="GR360">
        <v>40</v>
      </c>
      <c r="GS360">
        <v>39</v>
      </c>
      <c r="GT360">
        <v>1</v>
      </c>
      <c r="GU360" t="s">
        <v>457</v>
      </c>
      <c r="GV360">
        <v>36652009.1086936</v>
      </c>
      <c r="GW360">
        <v>319896872.15407199</v>
      </c>
      <c r="GX360">
        <v>356548881.262766</v>
      </c>
      <c r="GY360">
        <v>0</v>
      </c>
      <c r="GZ360">
        <v>356548881.262766</v>
      </c>
      <c r="HA360">
        <v>356548881.262766</v>
      </c>
      <c r="HB360">
        <v>303000000</v>
      </c>
      <c r="HC360">
        <v>0</v>
      </c>
      <c r="HD360" t="s">
        <v>137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0.05</v>
      </c>
      <c r="HX360">
        <v>0.97798234361883296</v>
      </c>
      <c r="HY360">
        <v>1</v>
      </c>
      <c r="HZ360">
        <v>300000</v>
      </c>
      <c r="IA360">
        <v>0</v>
      </c>
      <c r="IB360">
        <v>0</v>
      </c>
      <c r="IC360">
        <v>0</v>
      </c>
      <c r="ID360">
        <v>272700</v>
      </c>
      <c r="IE360">
        <v>572700</v>
      </c>
      <c r="IF360">
        <v>560090.488190506</v>
      </c>
      <c r="IG360">
        <v>560090.488190506</v>
      </c>
      <c r="IH360">
        <v>0</v>
      </c>
      <c r="II360">
        <v>1804595.93102515</v>
      </c>
      <c r="IJ360">
        <v>15994843.6077036</v>
      </c>
      <c r="IK360">
        <v>0</v>
      </c>
      <c r="IL360">
        <v>0</v>
      </c>
      <c r="IM360">
        <v>0</v>
      </c>
      <c r="IN360">
        <v>37896514.551528201</v>
      </c>
      <c r="IO360">
        <v>335891715.76177597</v>
      </c>
      <c r="IP360">
        <v>373788230.31330401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</row>
    <row r="361" spans="2:268" customFormat="1" x14ac:dyDescent="0.25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3"/>
      <c r="N361" s="3"/>
      <c r="O361" s="3"/>
      <c r="P361" s="2"/>
      <c r="Q361" s="2"/>
      <c r="R361" s="2"/>
      <c r="S361" s="2"/>
      <c r="T361" s="2"/>
      <c r="U361" s="2"/>
      <c r="V361" s="3"/>
      <c r="W361" s="3"/>
      <c r="X361" s="3"/>
      <c r="Y361" s="3"/>
      <c r="Z361" s="3"/>
      <c r="AA361" s="3"/>
      <c r="AB361" s="3"/>
      <c r="AC361" s="2"/>
      <c r="AD361" s="2"/>
      <c r="AE361" s="2"/>
      <c r="AF361" s="2"/>
      <c r="AG361" s="2"/>
      <c r="AH361" s="2"/>
      <c r="AI361" s="2"/>
      <c r="AJ361" s="3"/>
      <c r="AK361" s="2"/>
      <c r="AL361" s="2"/>
      <c r="AM361" s="2"/>
      <c r="AN361" s="2"/>
      <c r="AO361" s="3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3"/>
      <c r="BC361" s="3"/>
      <c r="BD361" s="3"/>
      <c r="BE361" s="3"/>
      <c r="BF361" s="3"/>
      <c r="BG361" s="3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2"/>
      <c r="DI361" s="2"/>
      <c r="DJ361" s="3"/>
      <c r="DK361" s="3"/>
      <c r="DL361" s="2"/>
      <c r="DM361" s="2"/>
      <c r="DN361" s="2"/>
      <c r="DO361" s="3"/>
      <c r="DP361" s="3"/>
      <c r="GO361" t="s">
        <v>144</v>
      </c>
      <c r="GP361" t="s">
        <v>501</v>
      </c>
      <c r="GQ361" t="s">
        <v>502</v>
      </c>
      <c r="GR361">
        <v>41</v>
      </c>
      <c r="GS361">
        <v>40</v>
      </c>
      <c r="GT361">
        <v>1</v>
      </c>
      <c r="GU361" t="s">
        <v>457</v>
      </c>
      <c r="GV361">
        <v>37896514.551528201</v>
      </c>
      <c r="GW361">
        <v>335891715.76177597</v>
      </c>
      <c r="GX361">
        <v>373788230.31330401</v>
      </c>
      <c r="GY361">
        <v>0</v>
      </c>
      <c r="GZ361">
        <v>373788230.31330401</v>
      </c>
      <c r="HA361">
        <v>373788230.31330401</v>
      </c>
      <c r="HB361">
        <v>303000000</v>
      </c>
      <c r="HC361">
        <v>0</v>
      </c>
      <c r="HD361" t="s">
        <v>137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0.05</v>
      </c>
      <c r="HX361">
        <v>0.97798234361883296</v>
      </c>
      <c r="HY361">
        <v>1</v>
      </c>
      <c r="HZ361">
        <v>300000</v>
      </c>
      <c r="IA361">
        <v>0</v>
      </c>
      <c r="IB361">
        <v>0</v>
      </c>
      <c r="IC361">
        <v>0</v>
      </c>
      <c r="ID361">
        <v>272700</v>
      </c>
      <c r="IE361">
        <v>572700</v>
      </c>
      <c r="IF361">
        <v>560090.488190506</v>
      </c>
      <c r="IG361">
        <v>560090.488190506</v>
      </c>
      <c r="IH361">
        <v>0</v>
      </c>
      <c r="II361">
        <v>1866821.20316689</v>
      </c>
      <c r="IJ361">
        <v>16794585.788088799</v>
      </c>
      <c r="IK361">
        <v>0</v>
      </c>
      <c r="IL361">
        <v>0</v>
      </c>
      <c r="IM361">
        <v>0</v>
      </c>
      <c r="IN361">
        <v>39203245.266504601</v>
      </c>
      <c r="IO361">
        <v>352686301.54986501</v>
      </c>
      <c r="IP361">
        <v>391889546.816369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</row>
    <row r="362" spans="2:268" customFormat="1" x14ac:dyDescent="0.25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3"/>
      <c r="N362" s="3"/>
      <c r="O362" s="3"/>
      <c r="P362" s="2"/>
      <c r="Q362" s="2"/>
      <c r="R362" s="2"/>
      <c r="S362" s="2"/>
      <c r="T362" s="2"/>
      <c r="U362" s="2"/>
      <c r="V362" s="3"/>
      <c r="W362" s="3"/>
      <c r="X362" s="3"/>
      <c r="Y362" s="3"/>
      <c r="Z362" s="3"/>
      <c r="AA362" s="3"/>
      <c r="AB362" s="3"/>
      <c r="AC362" s="2"/>
      <c r="AD362" s="2"/>
      <c r="AE362" s="2"/>
      <c r="AF362" s="2"/>
      <c r="AG362" s="2"/>
      <c r="AH362" s="2"/>
      <c r="AI362" s="2"/>
      <c r="AJ362" s="3"/>
      <c r="AK362" s="2"/>
      <c r="AL362" s="2"/>
      <c r="AM362" s="2"/>
      <c r="AN362" s="2"/>
      <c r="AO362" s="3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3"/>
      <c r="BC362" s="3"/>
      <c r="BD362" s="3"/>
      <c r="BE362" s="3"/>
      <c r="BF362" s="3"/>
      <c r="BG362" s="3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2"/>
      <c r="DI362" s="2"/>
      <c r="DJ362" s="3"/>
      <c r="DK362" s="3"/>
      <c r="DL362" s="2"/>
      <c r="DM362" s="2"/>
      <c r="DN362" s="2"/>
      <c r="DO362" s="3"/>
      <c r="DP362" s="3"/>
      <c r="GO362" t="s">
        <v>144</v>
      </c>
      <c r="GP362" t="s">
        <v>501</v>
      </c>
      <c r="GQ362" t="s">
        <v>502</v>
      </c>
      <c r="GR362">
        <v>42</v>
      </c>
      <c r="GS362">
        <v>41</v>
      </c>
      <c r="GT362">
        <v>1</v>
      </c>
      <c r="GU362" t="s">
        <v>457</v>
      </c>
      <c r="GV362">
        <v>39203245.266504601</v>
      </c>
      <c r="GW362">
        <v>352686301.54986501</v>
      </c>
      <c r="GX362">
        <v>391889546.816369</v>
      </c>
      <c r="GY362">
        <v>0</v>
      </c>
      <c r="GZ362">
        <v>391889546.816369</v>
      </c>
      <c r="HA362">
        <v>391889546.816369</v>
      </c>
      <c r="HB362">
        <v>303000000</v>
      </c>
      <c r="HC362">
        <v>0</v>
      </c>
      <c r="HD362" t="s">
        <v>137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0.05</v>
      </c>
      <c r="HX362">
        <v>0.97798234361883296</v>
      </c>
      <c r="HY362">
        <v>1</v>
      </c>
      <c r="HZ362">
        <v>300000</v>
      </c>
      <c r="IA362">
        <v>0</v>
      </c>
      <c r="IB362">
        <v>0</v>
      </c>
      <c r="IC362">
        <v>0</v>
      </c>
      <c r="ID362">
        <v>272700</v>
      </c>
      <c r="IE362">
        <v>572700</v>
      </c>
      <c r="IF362">
        <v>560090.488190506</v>
      </c>
      <c r="IG362">
        <v>560090.488190506</v>
      </c>
      <c r="IH362">
        <v>0</v>
      </c>
      <c r="II362">
        <v>1932157.73891571</v>
      </c>
      <c r="IJ362">
        <v>17634315.077493198</v>
      </c>
      <c r="IK362">
        <v>0</v>
      </c>
      <c r="IL362">
        <v>0</v>
      </c>
      <c r="IM362">
        <v>0</v>
      </c>
      <c r="IN362">
        <v>40575312.517229803</v>
      </c>
      <c r="IO362">
        <v>370320616.62735802</v>
      </c>
      <c r="IP362">
        <v>410895929.14458799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</row>
    <row r="363" spans="2:268" customFormat="1" x14ac:dyDescent="0.25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3"/>
      <c r="N363" s="3"/>
      <c r="O363" s="3"/>
      <c r="P363" s="2"/>
      <c r="Q363" s="2"/>
      <c r="R363" s="2"/>
      <c r="S363" s="2"/>
      <c r="T363" s="2"/>
      <c r="U363" s="2"/>
      <c r="V363" s="3"/>
      <c r="W363" s="3"/>
      <c r="X363" s="3"/>
      <c r="Y363" s="3"/>
      <c r="Z363" s="3"/>
      <c r="AA363" s="3"/>
      <c r="AB363" s="3"/>
      <c r="AC363" s="2"/>
      <c r="AD363" s="2"/>
      <c r="AE363" s="2"/>
      <c r="AF363" s="2"/>
      <c r="AG363" s="2"/>
      <c r="AH363" s="2"/>
      <c r="AI363" s="2"/>
      <c r="AJ363" s="3"/>
      <c r="AK363" s="2"/>
      <c r="AL363" s="2"/>
      <c r="AM363" s="2"/>
      <c r="AN363" s="2"/>
      <c r="AO363" s="3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3"/>
      <c r="BC363" s="3"/>
      <c r="BD363" s="3"/>
      <c r="BE363" s="3"/>
      <c r="BF363" s="3"/>
      <c r="BG363" s="3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2"/>
      <c r="DI363" s="2"/>
      <c r="DJ363" s="3"/>
      <c r="DK363" s="3"/>
      <c r="DL363" s="2"/>
      <c r="DM363" s="2"/>
      <c r="DN363" s="2"/>
      <c r="DO363" s="3"/>
      <c r="DP363" s="3"/>
      <c r="GO363" t="s">
        <v>144</v>
      </c>
      <c r="GP363" t="s">
        <v>501</v>
      </c>
      <c r="GQ363" t="s">
        <v>502</v>
      </c>
      <c r="GR363">
        <v>43</v>
      </c>
      <c r="GS363">
        <v>42</v>
      </c>
      <c r="GT363">
        <v>1</v>
      </c>
      <c r="GU363" t="s">
        <v>457</v>
      </c>
      <c r="GV363">
        <v>40575312.517229803</v>
      </c>
      <c r="GW363">
        <v>370320616.62735802</v>
      </c>
      <c r="GX363">
        <v>410895929.14458799</v>
      </c>
      <c r="GY363">
        <v>0</v>
      </c>
      <c r="GZ363">
        <v>410895929.14458799</v>
      </c>
      <c r="HA363">
        <v>410895929.14458799</v>
      </c>
      <c r="HB363">
        <v>303000000</v>
      </c>
      <c r="HC363">
        <v>0</v>
      </c>
      <c r="HD363" t="s">
        <v>137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0.05</v>
      </c>
      <c r="HX363">
        <v>0.97798234361883296</v>
      </c>
      <c r="HY363">
        <v>1</v>
      </c>
      <c r="HZ363">
        <v>300000</v>
      </c>
      <c r="IA363">
        <v>0</v>
      </c>
      <c r="IB363">
        <v>0</v>
      </c>
      <c r="IC363">
        <v>0</v>
      </c>
      <c r="ID363">
        <v>272700</v>
      </c>
      <c r="IE363">
        <v>572700</v>
      </c>
      <c r="IF363">
        <v>560090.488190506</v>
      </c>
      <c r="IG363">
        <v>560090.488190506</v>
      </c>
      <c r="IH363">
        <v>0</v>
      </c>
      <c r="II363">
        <v>2000761.1014519699</v>
      </c>
      <c r="IJ363">
        <v>18516030.831367899</v>
      </c>
      <c r="IK363">
        <v>0</v>
      </c>
      <c r="IL363">
        <v>0</v>
      </c>
      <c r="IM363">
        <v>0</v>
      </c>
      <c r="IN363">
        <v>42015983.130491301</v>
      </c>
      <c r="IO363">
        <v>388836647.45872599</v>
      </c>
      <c r="IP363">
        <v>430852630.58921701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</row>
    <row r="364" spans="2:268" customFormat="1" x14ac:dyDescent="0.25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3"/>
      <c r="N364" s="3"/>
      <c r="O364" s="3"/>
      <c r="P364" s="2"/>
      <c r="Q364" s="2"/>
      <c r="R364" s="2"/>
      <c r="S364" s="2"/>
      <c r="T364" s="2"/>
      <c r="U364" s="2"/>
      <c r="V364" s="3"/>
      <c r="W364" s="3"/>
      <c r="X364" s="3"/>
      <c r="Y364" s="3"/>
      <c r="Z364" s="3"/>
      <c r="AA364" s="3"/>
      <c r="AB364" s="3"/>
      <c r="AC364" s="2"/>
      <c r="AD364" s="2"/>
      <c r="AE364" s="2"/>
      <c r="AF364" s="2"/>
      <c r="AG364" s="2"/>
      <c r="AH364" s="2"/>
      <c r="AI364" s="2"/>
      <c r="AJ364" s="3"/>
      <c r="AK364" s="2"/>
      <c r="AL364" s="2"/>
      <c r="AM364" s="2"/>
      <c r="AN364" s="2"/>
      <c r="AO364" s="3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3"/>
      <c r="BC364" s="3"/>
      <c r="BD364" s="3"/>
      <c r="BE364" s="3"/>
      <c r="BF364" s="3"/>
      <c r="BG364" s="3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2"/>
      <c r="DI364" s="2"/>
      <c r="DJ364" s="3"/>
      <c r="DK364" s="3"/>
      <c r="DL364" s="2"/>
      <c r="DM364" s="2"/>
      <c r="DN364" s="2"/>
      <c r="DO364" s="3"/>
      <c r="DP364" s="3"/>
      <c r="GO364" t="s">
        <v>144</v>
      </c>
      <c r="GP364" t="s">
        <v>501</v>
      </c>
      <c r="GQ364" t="s">
        <v>502</v>
      </c>
      <c r="GR364">
        <v>44</v>
      </c>
      <c r="GS364">
        <v>43</v>
      </c>
      <c r="GT364">
        <v>1</v>
      </c>
      <c r="GU364" t="s">
        <v>457</v>
      </c>
      <c r="GV364">
        <v>42015983.130491301</v>
      </c>
      <c r="GW364">
        <v>388836647.45872599</v>
      </c>
      <c r="GX364">
        <v>430852630.58921701</v>
      </c>
      <c r="GY364">
        <v>0</v>
      </c>
      <c r="GZ364">
        <v>430852630.58921701</v>
      </c>
      <c r="HA364">
        <v>430852630.58921701</v>
      </c>
      <c r="HB364">
        <v>303000000</v>
      </c>
      <c r="HC364">
        <v>0</v>
      </c>
      <c r="HD364" t="s">
        <v>137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0.05</v>
      </c>
      <c r="HX364">
        <v>0.97798234361883296</v>
      </c>
      <c r="HY364">
        <v>1</v>
      </c>
      <c r="HZ364">
        <v>300000</v>
      </c>
      <c r="IA364">
        <v>0</v>
      </c>
      <c r="IB364">
        <v>0</v>
      </c>
      <c r="IC364">
        <v>0</v>
      </c>
      <c r="ID364">
        <v>272700</v>
      </c>
      <c r="IE364">
        <v>572700</v>
      </c>
      <c r="IF364">
        <v>560090.488190506</v>
      </c>
      <c r="IG364">
        <v>560090.488190506</v>
      </c>
      <c r="IH364">
        <v>0</v>
      </c>
      <c r="II364">
        <v>2072794.63211504</v>
      </c>
      <c r="IJ364">
        <v>19441832.372936301</v>
      </c>
      <c r="IK364">
        <v>0</v>
      </c>
      <c r="IL364">
        <v>0</v>
      </c>
      <c r="IM364">
        <v>0</v>
      </c>
      <c r="IN364">
        <v>43528687.274415798</v>
      </c>
      <c r="IO364">
        <v>408278479.831662</v>
      </c>
      <c r="IP364">
        <v>451807167.10607803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</row>
    <row r="365" spans="2:268" customFormat="1" x14ac:dyDescent="0.25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3"/>
      <c r="N365" s="3"/>
      <c r="O365" s="3"/>
      <c r="P365" s="2"/>
      <c r="Q365" s="2"/>
      <c r="R365" s="2"/>
      <c r="S365" s="2"/>
      <c r="T365" s="2"/>
      <c r="U365" s="2"/>
      <c r="V365" s="3"/>
      <c r="W365" s="3"/>
      <c r="X365" s="3"/>
      <c r="Y365" s="3"/>
      <c r="Z365" s="3"/>
      <c r="AA365" s="3"/>
      <c r="AB365" s="3"/>
      <c r="AC365" s="2"/>
      <c r="AD365" s="2"/>
      <c r="AE365" s="2"/>
      <c r="AF365" s="2"/>
      <c r="AG365" s="2"/>
      <c r="AH365" s="2"/>
      <c r="AI365" s="2"/>
      <c r="AJ365" s="3"/>
      <c r="AK365" s="2"/>
      <c r="AL365" s="2"/>
      <c r="AM365" s="2"/>
      <c r="AN365" s="2"/>
      <c r="AO365" s="3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3"/>
      <c r="BC365" s="3"/>
      <c r="BD365" s="3"/>
      <c r="BE365" s="3"/>
      <c r="BF365" s="3"/>
      <c r="BG365" s="3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2"/>
      <c r="DI365" s="2"/>
      <c r="DJ365" s="3"/>
      <c r="DK365" s="3"/>
      <c r="DL365" s="2"/>
      <c r="DM365" s="2"/>
      <c r="DN365" s="2"/>
      <c r="DO365" s="3"/>
      <c r="DP365" s="3"/>
      <c r="GO365" t="s">
        <v>144</v>
      </c>
      <c r="GP365" t="s">
        <v>501</v>
      </c>
      <c r="GQ365" t="s">
        <v>502</v>
      </c>
      <c r="GR365">
        <v>45</v>
      </c>
      <c r="GS365">
        <v>44</v>
      </c>
      <c r="GT365">
        <v>1</v>
      </c>
      <c r="GU365" t="s">
        <v>457</v>
      </c>
      <c r="GV365">
        <v>43528687.274415798</v>
      </c>
      <c r="GW365">
        <v>408278479.831662</v>
      </c>
      <c r="GX365">
        <v>451807167.10607803</v>
      </c>
      <c r="GY365">
        <v>0</v>
      </c>
      <c r="GZ365">
        <v>451807167.10607803</v>
      </c>
      <c r="HA365">
        <v>451807167.10607803</v>
      </c>
      <c r="HB365">
        <v>303000000</v>
      </c>
      <c r="HC365">
        <v>0</v>
      </c>
      <c r="HD365" t="s">
        <v>137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0.05</v>
      </c>
      <c r="HX365">
        <v>0.97798234361883296</v>
      </c>
      <c r="HY365">
        <v>1</v>
      </c>
      <c r="HZ365">
        <v>300000</v>
      </c>
      <c r="IA365">
        <v>0</v>
      </c>
      <c r="IB365">
        <v>0</v>
      </c>
      <c r="IC365">
        <v>0</v>
      </c>
      <c r="ID365">
        <v>272700</v>
      </c>
      <c r="IE365">
        <v>572700</v>
      </c>
      <c r="IF365">
        <v>560090.488190506</v>
      </c>
      <c r="IG365">
        <v>560090.488190506</v>
      </c>
      <c r="IH365">
        <v>0</v>
      </c>
      <c r="II365">
        <v>2148429.83931127</v>
      </c>
      <c r="IJ365">
        <v>20413923.991583101</v>
      </c>
      <c r="IK365">
        <v>0</v>
      </c>
      <c r="IL365">
        <v>0</v>
      </c>
      <c r="IM365">
        <v>0</v>
      </c>
      <c r="IN365">
        <v>45117026.625536598</v>
      </c>
      <c r="IO365">
        <v>428692403.82324499</v>
      </c>
      <c r="IP365">
        <v>473809430.44878203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</row>
    <row r="366" spans="2:268" customFormat="1" x14ac:dyDescent="0.25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3"/>
      <c r="N366" s="3"/>
      <c r="O366" s="3"/>
      <c r="P366" s="2"/>
      <c r="Q366" s="2"/>
      <c r="R366" s="2"/>
      <c r="S366" s="2"/>
      <c r="T366" s="2"/>
      <c r="U366" s="2"/>
      <c r="V366" s="3"/>
      <c r="W366" s="3"/>
      <c r="X366" s="3"/>
      <c r="Y366" s="3"/>
      <c r="Z366" s="3"/>
      <c r="AA366" s="3"/>
      <c r="AB366" s="3"/>
      <c r="AC366" s="2"/>
      <c r="AD366" s="2"/>
      <c r="AE366" s="2"/>
      <c r="AF366" s="2"/>
      <c r="AG366" s="2"/>
      <c r="AH366" s="2"/>
      <c r="AI366" s="2"/>
      <c r="AJ366" s="3"/>
      <c r="AK366" s="2"/>
      <c r="AL366" s="2"/>
      <c r="AM366" s="2"/>
      <c r="AN366" s="2"/>
      <c r="AO366" s="3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3"/>
      <c r="BC366" s="3"/>
      <c r="BD366" s="3"/>
      <c r="BE366" s="3"/>
      <c r="BF366" s="3"/>
      <c r="BG366" s="3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2"/>
      <c r="DI366" s="2"/>
      <c r="DJ366" s="3"/>
      <c r="DK366" s="3"/>
      <c r="DL366" s="2"/>
      <c r="DM366" s="2"/>
      <c r="DN366" s="2"/>
      <c r="DO366" s="3"/>
      <c r="DP366" s="3"/>
      <c r="GO366" t="s">
        <v>144</v>
      </c>
      <c r="GP366" t="s">
        <v>501</v>
      </c>
      <c r="GQ366" t="s">
        <v>502</v>
      </c>
      <c r="GR366">
        <v>46</v>
      </c>
      <c r="GS366">
        <v>45</v>
      </c>
      <c r="GT366">
        <v>1</v>
      </c>
      <c r="GU366" t="s">
        <v>457</v>
      </c>
      <c r="GV366">
        <v>45117026.625536598</v>
      </c>
      <c r="GW366">
        <v>428692403.82324499</v>
      </c>
      <c r="GX366">
        <v>473809430.44878203</v>
      </c>
      <c r="GY366">
        <v>0</v>
      </c>
      <c r="GZ366">
        <v>473809430.44878203</v>
      </c>
      <c r="HA366">
        <v>473809430.44878203</v>
      </c>
      <c r="HB366">
        <v>303000000</v>
      </c>
      <c r="HC366">
        <v>0</v>
      </c>
      <c r="HD366" t="s">
        <v>137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0.05</v>
      </c>
      <c r="HX366">
        <v>0.97798234361883296</v>
      </c>
      <c r="HY366">
        <v>1</v>
      </c>
      <c r="HZ366">
        <v>300000</v>
      </c>
      <c r="IA366">
        <v>0</v>
      </c>
      <c r="IB366">
        <v>0</v>
      </c>
      <c r="IC366">
        <v>0</v>
      </c>
      <c r="ID366">
        <v>272700</v>
      </c>
      <c r="IE366">
        <v>572700</v>
      </c>
      <c r="IF366">
        <v>560090.488190506</v>
      </c>
      <c r="IG366">
        <v>560090.488190506</v>
      </c>
      <c r="IH366">
        <v>0</v>
      </c>
      <c r="II366">
        <v>2227846.8068673001</v>
      </c>
      <c r="IJ366">
        <v>21434620.191162299</v>
      </c>
      <c r="IK366">
        <v>0</v>
      </c>
      <c r="IL366">
        <v>0</v>
      </c>
      <c r="IM366">
        <v>0</v>
      </c>
      <c r="IN366">
        <v>46784782.944213398</v>
      </c>
      <c r="IO366">
        <v>450127024.01440799</v>
      </c>
      <c r="IP366">
        <v>496911806.95862103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</row>
    <row r="367" spans="2:268" customFormat="1" x14ac:dyDescent="0.25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3"/>
      <c r="N367" s="3"/>
      <c r="O367" s="3"/>
      <c r="P367" s="2"/>
      <c r="Q367" s="2"/>
      <c r="R367" s="2"/>
      <c r="S367" s="2"/>
      <c r="T367" s="2"/>
      <c r="U367" s="2"/>
      <c r="V367" s="3"/>
      <c r="W367" s="3"/>
      <c r="X367" s="3"/>
      <c r="Y367" s="3"/>
      <c r="Z367" s="3"/>
      <c r="AA367" s="3"/>
      <c r="AB367" s="3"/>
      <c r="AC367" s="2"/>
      <c r="AD367" s="2"/>
      <c r="AE367" s="2"/>
      <c r="AF367" s="2"/>
      <c r="AG367" s="2"/>
      <c r="AH367" s="2"/>
      <c r="AI367" s="2"/>
      <c r="AJ367" s="3"/>
      <c r="AK367" s="2"/>
      <c r="AL367" s="2"/>
      <c r="AM367" s="2"/>
      <c r="AN367" s="2"/>
      <c r="AO367" s="3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3"/>
      <c r="BC367" s="3"/>
      <c r="BD367" s="3"/>
      <c r="BE367" s="3"/>
      <c r="BF367" s="3"/>
      <c r="BG367" s="3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2"/>
      <c r="DI367" s="2"/>
      <c r="DJ367" s="3"/>
      <c r="DK367" s="3"/>
      <c r="DL367" s="2"/>
      <c r="DM367" s="2"/>
      <c r="DN367" s="2"/>
      <c r="DO367" s="3"/>
      <c r="DP367" s="3"/>
      <c r="GO367" t="s">
        <v>144</v>
      </c>
      <c r="GP367" t="s">
        <v>501</v>
      </c>
      <c r="GQ367" t="s">
        <v>502</v>
      </c>
      <c r="GR367">
        <v>47</v>
      </c>
      <c r="GS367">
        <v>46</v>
      </c>
      <c r="GT367">
        <v>1</v>
      </c>
      <c r="GU367" t="s">
        <v>457</v>
      </c>
      <c r="GV367">
        <v>46784782.944213398</v>
      </c>
      <c r="GW367">
        <v>450127024.01440799</v>
      </c>
      <c r="GX367">
        <v>496911806.95862103</v>
      </c>
      <c r="GY367">
        <v>0</v>
      </c>
      <c r="GZ367">
        <v>496911806.95862103</v>
      </c>
      <c r="HA367">
        <v>496911806.95862103</v>
      </c>
      <c r="HB367">
        <v>303000000</v>
      </c>
      <c r="HC367">
        <v>0</v>
      </c>
      <c r="HD367" t="s">
        <v>137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0.05</v>
      </c>
      <c r="HX367">
        <v>0.97798234361883296</v>
      </c>
      <c r="HY367">
        <v>1</v>
      </c>
      <c r="HZ367">
        <v>300000</v>
      </c>
      <c r="IA367">
        <v>0</v>
      </c>
      <c r="IB367">
        <v>0</v>
      </c>
      <c r="IC367">
        <v>0</v>
      </c>
      <c r="ID367">
        <v>272700</v>
      </c>
      <c r="IE367">
        <v>572700</v>
      </c>
      <c r="IF367">
        <v>560090.488190506</v>
      </c>
      <c r="IG367">
        <v>560090.488190506</v>
      </c>
      <c r="IH367">
        <v>0</v>
      </c>
      <c r="II367">
        <v>2311234.62280114</v>
      </c>
      <c r="IJ367">
        <v>22506351.2007204</v>
      </c>
      <c r="IK367">
        <v>0</v>
      </c>
      <c r="IL367">
        <v>0</v>
      </c>
      <c r="IM367">
        <v>0</v>
      </c>
      <c r="IN367">
        <v>48535927.078823999</v>
      </c>
      <c r="IO367">
        <v>472633375.215128</v>
      </c>
      <c r="IP367">
        <v>521169302.29395199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</row>
    <row r="368" spans="2:268" customFormat="1" x14ac:dyDescent="0.25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3"/>
      <c r="N368" s="3"/>
      <c r="O368" s="3"/>
      <c r="P368" s="2"/>
      <c r="Q368" s="2"/>
      <c r="R368" s="2"/>
      <c r="S368" s="2"/>
      <c r="T368" s="2"/>
      <c r="U368" s="2"/>
      <c r="V368" s="3"/>
      <c r="W368" s="3"/>
      <c r="X368" s="3"/>
      <c r="Y368" s="3"/>
      <c r="Z368" s="3"/>
      <c r="AA368" s="3"/>
      <c r="AB368" s="3"/>
      <c r="AC368" s="2"/>
      <c r="AD368" s="2"/>
      <c r="AE368" s="2"/>
      <c r="AF368" s="2"/>
      <c r="AG368" s="2"/>
      <c r="AH368" s="2"/>
      <c r="AI368" s="2"/>
      <c r="AJ368" s="3"/>
      <c r="AK368" s="2"/>
      <c r="AL368" s="2"/>
      <c r="AM368" s="2"/>
      <c r="AN368" s="2"/>
      <c r="AO368" s="3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3"/>
      <c r="BC368" s="3"/>
      <c r="BD368" s="3"/>
      <c r="BE368" s="3"/>
      <c r="BF368" s="3"/>
      <c r="BG368" s="3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2"/>
      <c r="DI368" s="2"/>
      <c r="DJ368" s="3"/>
      <c r="DK368" s="3"/>
      <c r="DL368" s="2"/>
      <c r="DM368" s="2"/>
      <c r="DN368" s="2"/>
      <c r="DO368" s="3"/>
      <c r="DP368" s="3"/>
      <c r="GO368" t="s">
        <v>144</v>
      </c>
      <c r="GP368" t="s">
        <v>501</v>
      </c>
      <c r="GQ368" t="s">
        <v>502</v>
      </c>
      <c r="GR368">
        <v>48</v>
      </c>
      <c r="GS368">
        <v>47</v>
      </c>
      <c r="GT368">
        <v>1</v>
      </c>
      <c r="GU368" t="s">
        <v>457</v>
      </c>
      <c r="GV368">
        <v>48535927.078823999</v>
      </c>
      <c r="GW368">
        <v>472633375.215128</v>
      </c>
      <c r="GX368">
        <v>521169302.29395199</v>
      </c>
      <c r="GY368">
        <v>0</v>
      </c>
      <c r="GZ368">
        <v>521169302.29395199</v>
      </c>
      <c r="HA368">
        <v>521169302.29395199</v>
      </c>
      <c r="HB368">
        <v>303000000</v>
      </c>
      <c r="HC368">
        <v>0</v>
      </c>
      <c r="HD368" t="s">
        <v>137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0.05</v>
      </c>
      <c r="HX368">
        <v>0.97798234361883296</v>
      </c>
      <c r="HY368">
        <v>1</v>
      </c>
      <c r="HZ368">
        <v>300000</v>
      </c>
      <c r="IA368">
        <v>0</v>
      </c>
      <c r="IB368">
        <v>0</v>
      </c>
      <c r="IC368">
        <v>0</v>
      </c>
      <c r="ID368">
        <v>272700</v>
      </c>
      <c r="IE368">
        <v>572700</v>
      </c>
      <c r="IF368">
        <v>560090.488190506</v>
      </c>
      <c r="IG368">
        <v>560090.488190506</v>
      </c>
      <c r="IH368">
        <v>0</v>
      </c>
      <c r="II368">
        <v>2398791.8295316799</v>
      </c>
      <c r="IJ368">
        <v>23631668.760756399</v>
      </c>
      <c r="IK368">
        <v>0</v>
      </c>
      <c r="IL368">
        <v>0</v>
      </c>
      <c r="IM368">
        <v>0</v>
      </c>
      <c r="IN368">
        <v>50374628.420165204</v>
      </c>
      <c r="IO368">
        <v>496265043.97588402</v>
      </c>
      <c r="IP368">
        <v>546639672.39604902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</row>
    <row r="369" spans="2:268" customFormat="1" x14ac:dyDescent="0.25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3"/>
      <c r="N369" s="3"/>
      <c r="O369" s="3"/>
      <c r="P369" s="2"/>
      <c r="Q369" s="2"/>
      <c r="R369" s="2"/>
      <c r="S369" s="2"/>
      <c r="T369" s="2"/>
      <c r="U369" s="2"/>
      <c r="V369" s="3"/>
      <c r="W369" s="3"/>
      <c r="X369" s="3"/>
      <c r="Y369" s="3"/>
      <c r="Z369" s="3"/>
      <c r="AA369" s="3"/>
      <c r="AB369" s="3"/>
      <c r="AC369" s="2"/>
      <c r="AD369" s="2"/>
      <c r="AE369" s="2"/>
      <c r="AF369" s="2"/>
      <c r="AG369" s="2"/>
      <c r="AH369" s="2"/>
      <c r="AI369" s="2"/>
      <c r="AJ369" s="3"/>
      <c r="AK369" s="2"/>
      <c r="AL369" s="2"/>
      <c r="AM369" s="2"/>
      <c r="AN369" s="2"/>
      <c r="AO369" s="3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3"/>
      <c r="BC369" s="3"/>
      <c r="BD369" s="3"/>
      <c r="BE369" s="3"/>
      <c r="BF369" s="3"/>
      <c r="BG369" s="3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2"/>
      <c r="DI369" s="2"/>
      <c r="DJ369" s="3"/>
      <c r="DK369" s="3"/>
      <c r="DL369" s="2"/>
      <c r="DM369" s="2"/>
      <c r="DN369" s="2"/>
      <c r="DO369" s="3"/>
      <c r="DP369" s="3"/>
      <c r="GO369" t="s">
        <v>144</v>
      </c>
      <c r="GP369" t="s">
        <v>501</v>
      </c>
      <c r="GQ369" t="s">
        <v>502</v>
      </c>
      <c r="GR369">
        <v>49</v>
      </c>
      <c r="GS369">
        <v>48</v>
      </c>
      <c r="GT369">
        <v>1</v>
      </c>
      <c r="GU369" t="s">
        <v>457</v>
      </c>
      <c r="GV369">
        <v>50374628.420165204</v>
      </c>
      <c r="GW369">
        <v>496265043.97588402</v>
      </c>
      <c r="GX369">
        <v>546639672.39604902</v>
      </c>
      <c r="GY369">
        <v>0</v>
      </c>
      <c r="GZ369">
        <v>546639672.39604902</v>
      </c>
      <c r="HA369">
        <v>546639672.39604902</v>
      </c>
      <c r="HB369">
        <v>303000000</v>
      </c>
      <c r="HC369">
        <v>0</v>
      </c>
      <c r="HD369" t="s">
        <v>137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0.05</v>
      </c>
      <c r="HX369">
        <v>0.97798234361883296</v>
      </c>
      <c r="HY369">
        <v>1</v>
      </c>
      <c r="HZ369">
        <v>300000</v>
      </c>
      <c r="IA369">
        <v>0</v>
      </c>
      <c r="IB369">
        <v>0</v>
      </c>
      <c r="IC369">
        <v>0</v>
      </c>
      <c r="ID369">
        <v>272700</v>
      </c>
      <c r="IE369">
        <v>572700</v>
      </c>
      <c r="IF369">
        <v>560090.488190506</v>
      </c>
      <c r="IG369">
        <v>560090.488190506</v>
      </c>
      <c r="IH369">
        <v>0</v>
      </c>
      <c r="II369">
        <v>2490726.8965987298</v>
      </c>
      <c r="IJ369">
        <v>24813252.198794201</v>
      </c>
      <c r="IK369">
        <v>0</v>
      </c>
      <c r="IL369">
        <v>0</v>
      </c>
      <c r="IM369">
        <v>0</v>
      </c>
      <c r="IN369">
        <v>52305264.828573398</v>
      </c>
      <c r="IO369">
        <v>521078296.17467803</v>
      </c>
      <c r="IP369">
        <v>573383561.00325203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</row>
    <row r="370" spans="2:268" customFormat="1" x14ac:dyDescent="0.25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3"/>
      <c r="N370" s="3"/>
      <c r="O370" s="3"/>
      <c r="P370" s="2"/>
      <c r="Q370" s="2"/>
      <c r="R370" s="2"/>
      <c r="S370" s="2"/>
      <c r="T370" s="2"/>
      <c r="U370" s="2"/>
      <c r="V370" s="3"/>
      <c r="W370" s="3"/>
      <c r="X370" s="3"/>
      <c r="Y370" s="3"/>
      <c r="Z370" s="3"/>
      <c r="AA370" s="3"/>
      <c r="AB370" s="3"/>
      <c r="AC370" s="2"/>
      <c r="AD370" s="2"/>
      <c r="AE370" s="2"/>
      <c r="AF370" s="2"/>
      <c r="AG370" s="2"/>
      <c r="AH370" s="2"/>
      <c r="AI370" s="2"/>
      <c r="AJ370" s="3"/>
      <c r="AK370" s="2"/>
      <c r="AL370" s="2"/>
      <c r="AM370" s="2"/>
      <c r="AN370" s="2"/>
      <c r="AO370" s="3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3"/>
      <c r="BC370" s="3"/>
      <c r="BD370" s="3"/>
      <c r="BE370" s="3"/>
      <c r="BF370" s="3"/>
      <c r="BG370" s="3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2"/>
      <c r="DI370" s="2"/>
      <c r="DJ370" s="3"/>
      <c r="DK370" s="3"/>
      <c r="DL370" s="2"/>
      <c r="DM370" s="2"/>
      <c r="DN370" s="2"/>
      <c r="DO370" s="3"/>
      <c r="DP370" s="3"/>
      <c r="GO370" t="s">
        <v>144</v>
      </c>
      <c r="GP370" t="s">
        <v>501</v>
      </c>
      <c r="GQ370" t="s">
        <v>502</v>
      </c>
      <c r="GR370">
        <v>50</v>
      </c>
      <c r="GS370">
        <v>49</v>
      </c>
      <c r="GT370">
        <v>1</v>
      </c>
      <c r="GU370" t="s">
        <v>457</v>
      </c>
      <c r="GV370">
        <v>52305264.828573398</v>
      </c>
      <c r="GW370">
        <v>521078296.17467803</v>
      </c>
      <c r="GX370">
        <v>573383561.00325203</v>
      </c>
      <c r="GY370">
        <v>0</v>
      </c>
      <c r="GZ370">
        <v>573383561.00325203</v>
      </c>
      <c r="HA370">
        <v>573383561.00325203</v>
      </c>
      <c r="HB370">
        <v>303000000</v>
      </c>
      <c r="HC370">
        <v>0</v>
      </c>
      <c r="HD370" t="s">
        <v>137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0.05</v>
      </c>
      <c r="HX370">
        <v>0.97798234361883296</v>
      </c>
      <c r="HY370">
        <v>1</v>
      </c>
      <c r="HZ370">
        <v>300000</v>
      </c>
      <c r="IA370">
        <v>0</v>
      </c>
      <c r="IB370">
        <v>0</v>
      </c>
      <c r="IC370">
        <v>0</v>
      </c>
      <c r="ID370">
        <v>272700</v>
      </c>
      <c r="IE370">
        <v>572700</v>
      </c>
      <c r="IF370">
        <v>560090.488190506</v>
      </c>
      <c r="IG370">
        <v>560090.488190506</v>
      </c>
      <c r="IH370">
        <v>0</v>
      </c>
      <c r="II370">
        <v>2587258.71701915</v>
      </c>
      <c r="IJ370">
        <v>26053914.808733899</v>
      </c>
      <c r="IK370">
        <v>0</v>
      </c>
      <c r="IL370">
        <v>0</v>
      </c>
      <c r="IM370">
        <v>0</v>
      </c>
      <c r="IN370">
        <v>54332433.057402097</v>
      </c>
      <c r="IO370">
        <v>547132210.98341203</v>
      </c>
      <c r="IP370">
        <v>601464644.04081404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</row>
    <row r="371" spans="2:268" customFormat="1" x14ac:dyDescent="0.25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3"/>
      <c r="N371" s="3"/>
      <c r="O371" s="3"/>
      <c r="P371" s="2"/>
      <c r="Q371" s="2"/>
      <c r="R371" s="2"/>
      <c r="S371" s="2"/>
      <c r="T371" s="2"/>
      <c r="U371" s="2"/>
      <c r="V371" s="3"/>
      <c r="W371" s="3"/>
      <c r="X371" s="3"/>
      <c r="Y371" s="3"/>
      <c r="Z371" s="3"/>
      <c r="AA371" s="3"/>
      <c r="AB371" s="3"/>
      <c r="AC371" s="2"/>
      <c r="AD371" s="2"/>
      <c r="AE371" s="2"/>
      <c r="AF371" s="2"/>
      <c r="AG371" s="2"/>
      <c r="AH371" s="2"/>
      <c r="AI371" s="2"/>
      <c r="AJ371" s="3"/>
      <c r="AK371" s="2"/>
      <c r="AL371" s="2"/>
      <c r="AM371" s="2"/>
      <c r="AN371" s="2"/>
      <c r="AO371" s="3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3"/>
      <c r="BC371" s="3"/>
      <c r="BD371" s="3"/>
      <c r="BE371" s="3"/>
      <c r="BF371" s="3"/>
      <c r="BG371" s="3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2"/>
      <c r="DI371" s="2"/>
      <c r="DJ371" s="3"/>
      <c r="DK371" s="3"/>
      <c r="DL371" s="2"/>
      <c r="DM371" s="2"/>
      <c r="DN371" s="2"/>
      <c r="DO371" s="3"/>
      <c r="DP371" s="3"/>
      <c r="GO371" t="s">
        <v>144</v>
      </c>
      <c r="GP371" t="s">
        <v>501</v>
      </c>
      <c r="GQ371" t="s">
        <v>502</v>
      </c>
      <c r="GR371">
        <v>51</v>
      </c>
      <c r="GS371">
        <v>50</v>
      </c>
      <c r="GT371">
        <v>1</v>
      </c>
      <c r="GU371" t="s">
        <v>457</v>
      </c>
      <c r="GV371">
        <v>54332433.057402097</v>
      </c>
      <c r="GW371">
        <v>547132210.98341203</v>
      </c>
      <c r="GX371">
        <v>601464644.04081404</v>
      </c>
      <c r="GY371">
        <v>0</v>
      </c>
      <c r="GZ371">
        <v>601464644.04081404</v>
      </c>
      <c r="HA371">
        <v>601464644.04081404</v>
      </c>
      <c r="HB371">
        <v>303000000</v>
      </c>
      <c r="HC371">
        <v>0</v>
      </c>
      <c r="HD371" t="s">
        <v>137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0.05</v>
      </c>
      <c r="HX371">
        <v>0.97798234361883296</v>
      </c>
      <c r="HY371">
        <v>1</v>
      </c>
      <c r="HZ371">
        <v>300000</v>
      </c>
      <c r="IA371">
        <v>0</v>
      </c>
      <c r="IB371">
        <v>0</v>
      </c>
      <c r="IC371">
        <v>0</v>
      </c>
      <c r="ID371">
        <v>272700</v>
      </c>
      <c r="IE371">
        <v>572700</v>
      </c>
      <c r="IF371">
        <v>560090.488190506</v>
      </c>
      <c r="IG371">
        <v>560090.488190506</v>
      </c>
      <c r="IH371">
        <v>0</v>
      </c>
      <c r="II371">
        <v>2688617.12846058</v>
      </c>
      <c r="IJ371">
        <v>27356610.549170598</v>
      </c>
      <c r="IK371">
        <v>0</v>
      </c>
      <c r="IL371">
        <v>0</v>
      </c>
      <c r="IM371">
        <v>0</v>
      </c>
      <c r="IN371">
        <v>56460959.697672099</v>
      </c>
      <c r="IO371">
        <v>574488821.532583</v>
      </c>
      <c r="IP371">
        <v>630949781.23025501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</row>
    <row r="372" spans="2:268" customFormat="1" x14ac:dyDescent="0.25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3"/>
      <c r="N372" s="3"/>
      <c r="O372" s="3"/>
      <c r="P372" s="2"/>
      <c r="Q372" s="2"/>
      <c r="R372" s="2"/>
      <c r="S372" s="2"/>
      <c r="T372" s="2"/>
      <c r="U372" s="2"/>
      <c r="V372" s="3"/>
      <c r="W372" s="3"/>
      <c r="X372" s="3"/>
      <c r="Y372" s="3"/>
      <c r="Z372" s="3"/>
      <c r="AA372" s="3"/>
      <c r="AB372" s="3"/>
      <c r="AC372" s="2"/>
      <c r="AD372" s="2"/>
      <c r="AE372" s="2"/>
      <c r="AF372" s="2"/>
      <c r="AG372" s="2"/>
      <c r="AH372" s="2"/>
      <c r="AI372" s="2"/>
      <c r="AJ372" s="3"/>
      <c r="AK372" s="2"/>
      <c r="AL372" s="2"/>
      <c r="AM372" s="2"/>
      <c r="AN372" s="2"/>
      <c r="AO372" s="3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3"/>
      <c r="BC372" s="3"/>
      <c r="BD372" s="3"/>
      <c r="BE372" s="3"/>
      <c r="BF372" s="3"/>
      <c r="BG372" s="3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2"/>
      <c r="DI372" s="2"/>
      <c r="DJ372" s="3"/>
      <c r="DK372" s="3"/>
      <c r="DL372" s="2"/>
      <c r="DM372" s="2"/>
      <c r="DN372" s="2"/>
      <c r="DO372" s="3"/>
      <c r="DP372" s="3"/>
      <c r="GO372" t="s">
        <v>144</v>
      </c>
      <c r="GP372" t="s">
        <v>501</v>
      </c>
      <c r="GQ372" t="s">
        <v>502</v>
      </c>
      <c r="GR372">
        <v>52</v>
      </c>
      <c r="GS372">
        <v>51</v>
      </c>
      <c r="GT372">
        <v>1</v>
      </c>
      <c r="GU372" t="s">
        <v>457</v>
      </c>
      <c r="GV372">
        <v>56460959.697672099</v>
      </c>
      <c r="GW372">
        <v>574488821.532583</v>
      </c>
      <c r="GX372">
        <v>630949781.23025501</v>
      </c>
      <c r="GY372">
        <v>0</v>
      </c>
      <c r="GZ372">
        <v>630949781.23025501</v>
      </c>
      <c r="HA372">
        <v>630949781.23025501</v>
      </c>
      <c r="HB372">
        <v>303000000</v>
      </c>
      <c r="HC372">
        <v>0</v>
      </c>
      <c r="HD372" t="s">
        <v>137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0.05</v>
      </c>
      <c r="HX372">
        <v>0.97798234361883296</v>
      </c>
      <c r="HY372">
        <v>1</v>
      </c>
      <c r="HZ372">
        <v>300000</v>
      </c>
      <c r="IA372">
        <v>0</v>
      </c>
      <c r="IB372">
        <v>0</v>
      </c>
      <c r="IC372">
        <v>0</v>
      </c>
      <c r="ID372">
        <v>272700</v>
      </c>
      <c r="IE372">
        <v>572700</v>
      </c>
      <c r="IF372">
        <v>560090.488190506</v>
      </c>
      <c r="IG372">
        <v>560090.488190506</v>
      </c>
      <c r="IH372">
        <v>0</v>
      </c>
      <c r="II372">
        <v>2795043.4604740799</v>
      </c>
      <c r="IJ372">
        <v>28724441.076629199</v>
      </c>
      <c r="IK372">
        <v>0</v>
      </c>
      <c r="IL372">
        <v>0</v>
      </c>
      <c r="IM372">
        <v>0</v>
      </c>
      <c r="IN372">
        <v>58695912.669955701</v>
      </c>
      <c r="IO372">
        <v>603213262.60921204</v>
      </c>
      <c r="IP372">
        <v>661909175.27916801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</row>
    <row r="373" spans="2:268" customFormat="1" x14ac:dyDescent="0.25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3"/>
      <c r="N373" s="3"/>
      <c r="O373" s="3"/>
      <c r="P373" s="2"/>
      <c r="Q373" s="2"/>
      <c r="R373" s="2"/>
      <c r="S373" s="2"/>
      <c r="T373" s="2"/>
      <c r="U373" s="2"/>
      <c r="V373" s="3"/>
      <c r="W373" s="3"/>
      <c r="X373" s="3"/>
      <c r="Y373" s="3"/>
      <c r="Z373" s="3"/>
      <c r="AA373" s="3"/>
      <c r="AB373" s="3"/>
      <c r="AC373" s="2"/>
      <c r="AD373" s="2"/>
      <c r="AE373" s="2"/>
      <c r="AF373" s="2"/>
      <c r="AG373" s="2"/>
      <c r="AH373" s="2"/>
      <c r="AI373" s="2"/>
      <c r="AJ373" s="3"/>
      <c r="AK373" s="2"/>
      <c r="AL373" s="2"/>
      <c r="AM373" s="2"/>
      <c r="AN373" s="2"/>
      <c r="AO373" s="3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3"/>
      <c r="BC373" s="3"/>
      <c r="BD373" s="3"/>
      <c r="BE373" s="3"/>
      <c r="BF373" s="3"/>
      <c r="BG373" s="3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2"/>
      <c r="DI373" s="2"/>
      <c r="DJ373" s="3"/>
      <c r="DK373" s="3"/>
      <c r="DL373" s="2"/>
      <c r="DM373" s="2"/>
      <c r="DN373" s="2"/>
      <c r="DO373" s="3"/>
      <c r="DP373" s="3"/>
      <c r="GO373" t="s">
        <v>144</v>
      </c>
      <c r="GP373" t="s">
        <v>501</v>
      </c>
      <c r="GQ373" t="s">
        <v>502</v>
      </c>
      <c r="GR373">
        <v>53</v>
      </c>
      <c r="GS373">
        <v>52</v>
      </c>
      <c r="GT373">
        <v>1</v>
      </c>
      <c r="GU373" t="s">
        <v>457</v>
      </c>
      <c r="GV373">
        <v>58695912.669955701</v>
      </c>
      <c r="GW373">
        <v>603213262.60921204</v>
      </c>
      <c r="GX373">
        <v>661909175.27916801</v>
      </c>
      <c r="GY373">
        <v>0</v>
      </c>
      <c r="GZ373">
        <v>661909175.27916801</v>
      </c>
      <c r="HA373">
        <v>661909175.27916801</v>
      </c>
      <c r="HB373">
        <v>303000000</v>
      </c>
      <c r="HC373">
        <v>0</v>
      </c>
      <c r="HD373" t="s">
        <v>137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0.05</v>
      </c>
      <c r="HX373">
        <v>0.97798234361883296</v>
      </c>
      <c r="HY373">
        <v>1</v>
      </c>
      <c r="HZ373">
        <v>300000</v>
      </c>
      <c r="IA373">
        <v>0</v>
      </c>
      <c r="IB373">
        <v>0</v>
      </c>
      <c r="IC373">
        <v>0</v>
      </c>
      <c r="ID373">
        <v>272700</v>
      </c>
      <c r="IE373">
        <v>572700</v>
      </c>
      <c r="IF373">
        <v>560090.488190506</v>
      </c>
      <c r="IG373">
        <v>560090.488190506</v>
      </c>
      <c r="IH373">
        <v>0</v>
      </c>
      <c r="II373">
        <v>2906791.1090882602</v>
      </c>
      <c r="IJ373">
        <v>30160663.130460601</v>
      </c>
      <c r="IK373">
        <v>0</v>
      </c>
      <c r="IL373">
        <v>0</v>
      </c>
      <c r="IM373">
        <v>0</v>
      </c>
      <c r="IN373">
        <v>61042613.2908535</v>
      </c>
      <c r="IO373">
        <v>633373925.73967302</v>
      </c>
      <c r="IP373">
        <v>694416539.03052604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</row>
    <row r="374" spans="2:268" customFormat="1" x14ac:dyDescent="0.25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3"/>
      <c r="N374" s="3"/>
      <c r="O374" s="3"/>
      <c r="P374" s="2"/>
      <c r="Q374" s="2"/>
      <c r="R374" s="2"/>
      <c r="S374" s="2"/>
      <c r="T374" s="2"/>
      <c r="U374" s="2"/>
      <c r="V374" s="3"/>
      <c r="W374" s="3"/>
      <c r="X374" s="3"/>
      <c r="Y374" s="3"/>
      <c r="Z374" s="3"/>
      <c r="AA374" s="3"/>
      <c r="AB374" s="3"/>
      <c r="AC374" s="2"/>
      <c r="AD374" s="2"/>
      <c r="AE374" s="2"/>
      <c r="AF374" s="2"/>
      <c r="AG374" s="2"/>
      <c r="AH374" s="2"/>
      <c r="AI374" s="2"/>
      <c r="AJ374" s="3"/>
      <c r="AK374" s="2"/>
      <c r="AL374" s="2"/>
      <c r="AM374" s="2"/>
      <c r="AN374" s="2"/>
      <c r="AO374" s="3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3"/>
      <c r="BC374" s="3"/>
      <c r="BD374" s="3"/>
      <c r="BE374" s="3"/>
      <c r="BF374" s="3"/>
      <c r="BG374" s="3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2"/>
      <c r="DI374" s="2"/>
      <c r="DJ374" s="3"/>
      <c r="DK374" s="3"/>
      <c r="DL374" s="2"/>
      <c r="DM374" s="2"/>
      <c r="DN374" s="2"/>
      <c r="DO374" s="3"/>
      <c r="DP374" s="3"/>
      <c r="GO374" t="s">
        <v>144</v>
      </c>
      <c r="GP374" t="s">
        <v>501</v>
      </c>
      <c r="GQ374" t="s">
        <v>502</v>
      </c>
      <c r="GR374">
        <v>54</v>
      </c>
      <c r="GS374">
        <v>53</v>
      </c>
      <c r="GT374">
        <v>1</v>
      </c>
      <c r="GU374" t="s">
        <v>457</v>
      </c>
      <c r="GV374">
        <v>61042613.2908535</v>
      </c>
      <c r="GW374">
        <v>633373925.73967302</v>
      </c>
      <c r="GX374">
        <v>694416539.03052604</v>
      </c>
      <c r="GY374">
        <v>0</v>
      </c>
      <c r="GZ374">
        <v>694416539.03052604</v>
      </c>
      <c r="HA374">
        <v>694416539.03052604</v>
      </c>
      <c r="HB374">
        <v>303000000</v>
      </c>
      <c r="HC374">
        <v>0</v>
      </c>
      <c r="HD374" t="s">
        <v>137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0.05</v>
      </c>
      <c r="HX374">
        <v>0.97798234361883296</v>
      </c>
      <c r="HY374">
        <v>1</v>
      </c>
      <c r="HZ374">
        <v>300000</v>
      </c>
      <c r="IA374">
        <v>0</v>
      </c>
      <c r="IB374">
        <v>0</v>
      </c>
      <c r="IC374">
        <v>0</v>
      </c>
      <c r="ID374">
        <v>272700</v>
      </c>
      <c r="IE374">
        <v>572700</v>
      </c>
      <c r="IF374">
        <v>560090.488190506</v>
      </c>
      <c r="IG374">
        <v>560090.488190506</v>
      </c>
      <c r="IH374">
        <v>0</v>
      </c>
      <c r="II374">
        <v>3024126.1401331499</v>
      </c>
      <c r="IJ374">
        <v>31668696.286983602</v>
      </c>
      <c r="IK374">
        <v>0</v>
      </c>
      <c r="IL374">
        <v>0</v>
      </c>
      <c r="IM374">
        <v>0</v>
      </c>
      <c r="IN374">
        <v>63506648.942796104</v>
      </c>
      <c r="IO374">
        <v>665042622.02665603</v>
      </c>
      <c r="IP374">
        <v>728549270.96945298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</row>
    <row r="375" spans="2:268" customFormat="1" x14ac:dyDescent="0.25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3"/>
      <c r="N375" s="3"/>
      <c r="O375" s="3"/>
      <c r="P375" s="2"/>
      <c r="Q375" s="2"/>
      <c r="R375" s="2"/>
      <c r="S375" s="2"/>
      <c r="T375" s="2"/>
      <c r="U375" s="2"/>
      <c r="V375" s="3"/>
      <c r="W375" s="3"/>
      <c r="X375" s="3"/>
      <c r="Y375" s="3"/>
      <c r="Z375" s="3"/>
      <c r="AA375" s="3"/>
      <c r="AB375" s="3"/>
      <c r="AC375" s="2"/>
      <c r="AD375" s="2"/>
      <c r="AE375" s="2"/>
      <c r="AF375" s="2"/>
      <c r="AG375" s="2"/>
      <c r="AH375" s="2"/>
      <c r="AI375" s="2"/>
      <c r="AJ375" s="3"/>
      <c r="AK375" s="2"/>
      <c r="AL375" s="2"/>
      <c r="AM375" s="2"/>
      <c r="AN375" s="2"/>
      <c r="AO375" s="3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3"/>
      <c r="BC375" s="3"/>
      <c r="BD375" s="3"/>
      <c r="BE375" s="3"/>
      <c r="BF375" s="3"/>
      <c r="BG375" s="3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2"/>
      <c r="DI375" s="2"/>
      <c r="DJ375" s="3"/>
      <c r="DK375" s="3"/>
      <c r="DL375" s="2"/>
      <c r="DM375" s="2"/>
      <c r="DN375" s="2"/>
      <c r="DO375" s="3"/>
      <c r="DP375" s="3"/>
      <c r="GO375" t="s">
        <v>144</v>
      </c>
      <c r="GP375" t="s">
        <v>501</v>
      </c>
      <c r="GQ375" t="s">
        <v>502</v>
      </c>
      <c r="GR375">
        <v>55</v>
      </c>
      <c r="GS375">
        <v>54</v>
      </c>
      <c r="GT375">
        <v>1</v>
      </c>
      <c r="GU375" t="s">
        <v>457</v>
      </c>
      <c r="GV375">
        <v>63506648.942796104</v>
      </c>
      <c r="GW375">
        <v>665042622.02665603</v>
      </c>
      <c r="GX375">
        <v>728549270.96945298</v>
      </c>
      <c r="GY375">
        <v>0</v>
      </c>
      <c r="GZ375">
        <v>728549270.96945298</v>
      </c>
      <c r="HA375">
        <v>728549270.96945298</v>
      </c>
      <c r="HB375">
        <v>303000000</v>
      </c>
      <c r="HC375">
        <v>0</v>
      </c>
      <c r="HD375" t="s">
        <v>137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0.05</v>
      </c>
      <c r="HX375">
        <v>0.97798234361883296</v>
      </c>
      <c r="HY375">
        <v>1</v>
      </c>
      <c r="HZ375">
        <v>300000</v>
      </c>
      <c r="IA375">
        <v>0</v>
      </c>
      <c r="IB375">
        <v>0</v>
      </c>
      <c r="IC375">
        <v>0</v>
      </c>
      <c r="ID375">
        <v>272700</v>
      </c>
      <c r="IE375">
        <v>572700</v>
      </c>
      <c r="IF375">
        <v>560090.488190506</v>
      </c>
      <c r="IG375">
        <v>560090.488190506</v>
      </c>
      <c r="IH375">
        <v>0</v>
      </c>
      <c r="II375">
        <v>3147327.9227302801</v>
      </c>
      <c r="IJ375">
        <v>33252131.101332799</v>
      </c>
      <c r="IK375">
        <v>0</v>
      </c>
      <c r="IL375">
        <v>0</v>
      </c>
      <c r="IM375">
        <v>0</v>
      </c>
      <c r="IN375">
        <v>66093886.377335899</v>
      </c>
      <c r="IO375">
        <v>698294753.12798905</v>
      </c>
      <c r="IP375">
        <v>764388639.50532496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</row>
    <row r="376" spans="2:268" customFormat="1" x14ac:dyDescent="0.25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3"/>
      <c r="N376" s="3"/>
      <c r="O376" s="3"/>
      <c r="P376" s="2"/>
      <c r="Q376" s="2"/>
      <c r="R376" s="2"/>
      <c r="S376" s="2"/>
      <c r="T376" s="2"/>
      <c r="U376" s="2"/>
      <c r="V376" s="3"/>
      <c r="W376" s="3"/>
      <c r="X376" s="3"/>
      <c r="Y376" s="3"/>
      <c r="Z376" s="3"/>
      <c r="AA376" s="3"/>
      <c r="AB376" s="3"/>
      <c r="AC376" s="2"/>
      <c r="AD376" s="2"/>
      <c r="AE376" s="2"/>
      <c r="AF376" s="2"/>
      <c r="AG376" s="2"/>
      <c r="AH376" s="2"/>
      <c r="AI376" s="2"/>
      <c r="AJ376" s="3"/>
      <c r="AK376" s="2"/>
      <c r="AL376" s="2"/>
      <c r="AM376" s="2"/>
      <c r="AN376" s="2"/>
      <c r="AO376" s="3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3"/>
      <c r="BC376" s="3"/>
      <c r="BD376" s="3"/>
      <c r="BE376" s="3"/>
      <c r="BF376" s="3"/>
      <c r="BG376" s="3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2"/>
      <c r="DI376" s="2"/>
      <c r="DJ376" s="3"/>
      <c r="DK376" s="3"/>
      <c r="DL376" s="2"/>
      <c r="DM376" s="2"/>
      <c r="DN376" s="2"/>
      <c r="DO376" s="3"/>
      <c r="DP376" s="3"/>
      <c r="GO376" t="s">
        <v>144</v>
      </c>
      <c r="GP376" t="s">
        <v>501</v>
      </c>
      <c r="GQ376" t="s">
        <v>502</v>
      </c>
      <c r="GR376">
        <v>56</v>
      </c>
      <c r="GS376">
        <v>55</v>
      </c>
      <c r="GT376">
        <v>1</v>
      </c>
      <c r="GU376" t="s">
        <v>457</v>
      </c>
      <c r="GV376">
        <v>66093886.377335899</v>
      </c>
      <c r="GW376">
        <v>698294753.12798905</v>
      </c>
      <c r="GX376">
        <v>764388639.50532496</v>
      </c>
      <c r="GY376">
        <v>0</v>
      </c>
      <c r="GZ376">
        <v>764388639.50532496</v>
      </c>
      <c r="HA376">
        <v>764388639.50532496</v>
      </c>
      <c r="HB376">
        <v>303000000</v>
      </c>
      <c r="HC376">
        <v>0</v>
      </c>
      <c r="HD376" t="s">
        <v>137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0.05</v>
      </c>
      <c r="HX376">
        <v>0.97798234361883296</v>
      </c>
      <c r="HY376">
        <v>1</v>
      </c>
      <c r="HZ376">
        <v>300000</v>
      </c>
      <c r="IA376">
        <v>0</v>
      </c>
      <c r="IB376">
        <v>0</v>
      </c>
      <c r="IC376">
        <v>0</v>
      </c>
      <c r="ID376">
        <v>272700</v>
      </c>
      <c r="IE376">
        <v>572700</v>
      </c>
      <c r="IF376">
        <v>560090.488190506</v>
      </c>
      <c r="IG376">
        <v>560090.488190506</v>
      </c>
      <c r="IH376">
        <v>0</v>
      </c>
      <c r="II376">
        <v>3276689.7944572698</v>
      </c>
      <c r="IJ376">
        <v>34914737.656399503</v>
      </c>
      <c r="IK376">
        <v>0</v>
      </c>
      <c r="IL376">
        <v>0</v>
      </c>
      <c r="IM376">
        <v>0</v>
      </c>
      <c r="IN376">
        <v>68810485.683602706</v>
      </c>
      <c r="IO376">
        <v>733209490.78438902</v>
      </c>
      <c r="IP376">
        <v>802019976.46799099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</row>
    <row r="377" spans="2:268" customFormat="1" x14ac:dyDescent="0.25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3"/>
      <c r="N377" s="3"/>
      <c r="O377" s="3"/>
      <c r="P377" s="2"/>
      <c r="Q377" s="2"/>
      <c r="R377" s="2"/>
      <c r="S377" s="2"/>
      <c r="T377" s="2"/>
      <c r="U377" s="2"/>
      <c r="V377" s="3"/>
      <c r="W377" s="3"/>
      <c r="X377" s="3"/>
      <c r="Y377" s="3"/>
      <c r="Z377" s="3"/>
      <c r="AA377" s="3"/>
      <c r="AB377" s="3"/>
      <c r="AC377" s="2"/>
      <c r="AD377" s="2"/>
      <c r="AE377" s="2"/>
      <c r="AF377" s="2"/>
      <c r="AG377" s="2"/>
      <c r="AH377" s="2"/>
      <c r="AI377" s="2"/>
      <c r="AJ377" s="3"/>
      <c r="AK377" s="2"/>
      <c r="AL377" s="2"/>
      <c r="AM377" s="2"/>
      <c r="AN377" s="2"/>
      <c r="AO377" s="3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3"/>
      <c r="BC377" s="3"/>
      <c r="BD377" s="3"/>
      <c r="BE377" s="3"/>
      <c r="BF377" s="3"/>
      <c r="BG377" s="3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2"/>
      <c r="DI377" s="2"/>
      <c r="DJ377" s="3"/>
      <c r="DK377" s="3"/>
      <c r="DL377" s="2"/>
      <c r="DM377" s="2"/>
      <c r="DN377" s="2"/>
      <c r="DO377" s="3"/>
      <c r="DP377" s="3"/>
      <c r="GO377" t="s">
        <v>144</v>
      </c>
      <c r="GP377" t="s">
        <v>501</v>
      </c>
      <c r="GQ377" t="s">
        <v>502</v>
      </c>
      <c r="GR377">
        <v>57</v>
      </c>
      <c r="GS377">
        <v>56</v>
      </c>
      <c r="GT377">
        <v>1</v>
      </c>
      <c r="GU377" t="s">
        <v>457</v>
      </c>
      <c r="GV377">
        <v>68810485.683602706</v>
      </c>
      <c r="GW377">
        <v>733209490.78438902</v>
      </c>
      <c r="GX377">
        <v>802019976.46799099</v>
      </c>
      <c r="GY377">
        <v>0</v>
      </c>
      <c r="GZ377">
        <v>802019976.46799099</v>
      </c>
      <c r="HA377">
        <v>802019976.46799099</v>
      </c>
      <c r="HB377">
        <v>303000000</v>
      </c>
      <c r="HC377">
        <v>0</v>
      </c>
      <c r="HD377" t="s">
        <v>137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0.05</v>
      </c>
      <c r="HX377">
        <v>0.97798234361883296</v>
      </c>
      <c r="HY377">
        <v>1</v>
      </c>
      <c r="HZ377">
        <v>300000</v>
      </c>
      <c r="IA377">
        <v>0</v>
      </c>
      <c r="IB377">
        <v>0</v>
      </c>
      <c r="IC377">
        <v>0</v>
      </c>
      <c r="ID377">
        <v>272700</v>
      </c>
      <c r="IE377">
        <v>572700</v>
      </c>
      <c r="IF377">
        <v>560090.488190506</v>
      </c>
      <c r="IG377">
        <v>560090.488190506</v>
      </c>
      <c r="IH377">
        <v>0</v>
      </c>
      <c r="II377">
        <v>3412519.7597706099</v>
      </c>
      <c r="IJ377">
        <v>36660474.539219402</v>
      </c>
      <c r="IK377">
        <v>0</v>
      </c>
      <c r="IL377">
        <v>0</v>
      </c>
      <c r="IM377">
        <v>0</v>
      </c>
      <c r="IN377">
        <v>71662914.955182806</v>
      </c>
      <c r="IO377">
        <v>769869965.32360804</v>
      </c>
      <c r="IP377">
        <v>841532880.27879095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</row>
    <row r="378" spans="2:268" customFormat="1" x14ac:dyDescent="0.25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3"/>
      <c r="N378" s="3"/>
      <c r="O378" s="3"/>
      <c r="P378" s="2"/>
      <c r="Q378" s="2"/>
      <c r="R378" s="2"/>
      <c r="S378" s="2"/>
      <c r="T378" s="2"/>
      <c r="U378" s="2"/>
      <c r="V378" s="3"/>
      <c r="W378" s="3"/>
      <c r="X378" s="3"/>
      <c r="Y378" s="3"/>
      <c r="Z378" s="3"/>
      <c r="AA378" s="3"/>
      <c r="AB378" s="3"/>
      <c r="AC378" s="2"/>
      <c r="AD378" s="2"/>
      <c r="AE378" s="2"/>
      <c r="AF378" s="2"/>
      <c r="AG378" s="2"/>
      <c r="AH378" s="2"/>
      <c r="AI378" s="2"/>
      <c r="AJ378" s="3"/>
      <c r="AK378" s="2"/>
      <c r="AL378" s="2"/>
      <c r="AM378" s="2"/>
      <c r="AN378" s="2"/>
      <c r="AO378" s="3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3"/>
      <c r="BC378" s="3"/>
      <c r="BD378" s="3"/>
      <c r="BE378" s="3"/>
      <c r="BF378" s="3"/>
      <c r="BG378" s="3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2"/>
      <c r="DI378" s="2"/>
      <c r="DJ378" s="3"/>
      <c r="DK378" s="3"/>
      <c r="DL378" s="2"/>
      <c r="DM378" s="2"/>
      <c r="DN378" s="2"/>
      <c r="DO378" s="3"/>
      <c r="DP378" s="3"/>
      <c r="GO378" t="s">
        <v>144</v>
      </c>
      <c r="GP378" t="s">
        <v>501</v>
      </c>
      <c r="GQ378" t="s">
        <v>502</v>
      </c>
      <c r="GR378">
        <v>58</v>
      </c>
      <c r="GS378">
        <v>57</v>
      </c>
      <c r="GT378">
        <v>1</v>
      </c>
      <c r="GU378" t="s">
        <v>457</v>
      </c>
      <c r="GV378">
        <v>71662914.955182806</v>
      </c>
      <c r="GW378">
        <v>769869965.32360804</v>
      </c>
      <c r="GX378">
        <v>841532880.27879095</v>
      </c>
      <c r="GY378">
        <v>0</v>
      </c>
      <c r="GZ378">
        <v>841532880.27879095</v>
      </c>
      <c r="HA378">
        <v>841532880.27879095</v>
      </c>
      <c r="HB378">
        <v>303000000</v>
      </c>
      <c r="HC378">
        <v>0</v>
      </c>
      <c r="HD378" t="s">
        <v>137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0.05</v>
      </c>
      <c r="HX378">
        <v>0.97798234361883296</v>
      </c>
      <c r="HY378">
        <v>1</v>
      </c>
      <c r="HZ378">
        <v>300000</v>
      </c>
      <c r="IA378">
        <v>0</v>
      </c>
      <c r="IB378">
        <v>0</v>
      </c>
      <c r="IC378">
        <v>0</v>
      </c>
      <c r="ID378">
        <v>272700</v>
      </c>
      <c r="IE378">
        <v>572700</v>
      </c>
      <c r="IF378">
        <v>560090.488190506</v>
      </c>
      <c r="IG378">
        <v>560090.488190506</v>
      </c>
      <c r="IH378">
        <v>0</v>
      </c>
      <c r="II378">
        <v>3555141.2233496099</v>
      </c>
      <c r="IJ378">
        <v>38493498.266180404</v>
      </c>
      <c r="IK378">
        <v>0</v>
      </c>
      <c r="IL378">
        <v>0</v>
      </c>
      <c r="IM378">
        <v>0</v>
      </c>
      <c r="IN378">
        <v>74657965.690341905</v>
      </c>
      <c r="IO378">
        <v>808363463.58978796</v>
      </c>
      <c r="IP378">
        <v>883021429.28013003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</row>
    <row r="379" spans="2:268" customFormat="1" x14ac:dyDescent="0.25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3"/>
      <c r="N379" s="3"/>
      <c r="O379" s="3"/>
      <c r="P379" s="2"/>
      <c r="Q379" s="2"/>
      <c r="R379" s="2"/>
      <c r="S379" s="2"/>
      <c r="T379" s="2"/>
      <c r="U379" s="2"/>
      <c r="V379" s="3"/>
      <c r="W379" s="3"/>
      <c r="X379" s="3"/>
      <c r="Y379" s="3"/>
      <c r="Z379" s="3"/>
      <c r="AA379" s="3"/>
      <c r="AB379" s="3"/>
      <c r="AC379" s="2"/>
      <c r="AD379" s="2"/>
      <c r="AE379" s="2"/>
      <c r="AF379" s="2"/>
      <c r="AG379" s="2"/>
      <c r="AH379" s="2"/>
      <c r="AI379" s="2"/>
      <c r="AJ379" s="3"/>
      <c r="AK379" s="2"/>
      <c r="AL379" s="2"/>
      <c r="AM379" s="2"/>
      <c r="AN379" s="2"/>
      <c r="AO379" s="3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3"/>
      <c r="BC379" s="3"/>
      <c r="BD379" s="3"/>
      <c r="BE379" s="3"/>
      <c r="BF379" s="3"/>
      <c r="BG379" s="3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2"/>
      <c r="DI379" s="2"/>
      <c r="DJ379" s="3"/>
      <c r="DK379" s="3"/>
      <c r="DL379" s="2"/>
      <c r="DM379" s="2"/>
      <c r="DN379" s="2"/>
      <c r="DO379" s="3"/>
      <c r="DP379" s="3"/>
      <c r="GO379" t="s">
        <v>144</v>
      </c>
      <c r="GP379" t="s">
        <v>501</v>
      </c>
      <c r="GQ379" t="s">
        <v>502</v>
      </c>
      <c r="GR379">
        <v>59</v>
      </c>
      <c r="GS379">
        <v>58</v>
      </c>
      <c r="GT379">
        <v>1</v>
      </c>
      <c r="GU379" t="s">
        <v>457</v>
      </c>
      <c r="GV379">
        <v>74657965.690341905</v>
      </c>
      <c r="GW379">
        <v>808363463.58978796</v>
      </c>
      <c r="GX379">
        <v>883021429.28013003</v>
      </c>
      <c r="GY379">
        <v>0</v>
      </c>
      <c r="GZ379">
        <v>883021429.28013003</v>
      </c>
      <c r="HA379">
        <v>883021429.28013003</v>
      </c>
      <c r="HB379">
        <v>303000000</v>
      </c>
      <c r="HC379">
        <v>0</v>
      </c>
      <c r="HD379" t="s">
        <v>137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0.05</v>
      </c>
      <c r="HX379">
        <v>0.97798234361883296</v>
      </c>
      <c r="HY379">
        <v>1</v>
      </c>
      <c r="HZ379">
        <v>300000</v>
      </c>
      <c r="IA379">
        <v>0</v>
      </c>
      <c r="IB379">
        <v>0</v>
      </c>
      <c r="IC379">
        <v>0</v>
      </c>
      <c r="ID379">
        <v>272700</v>
      </c>
      <c r="IE379">
        <v>572700</v>
      </c>
      <c r="IF379">
        <v>560090.488190506</v>
      </c>
      <c r="IG379">
        <v>560090.488190506</v>
      </c>
      <c r="IH379">
        <v>0</v>
      </c>
      <c r="II379">
        <v>3704893.7601075699</v>
      </c>
      <c r="IJ379">
        <v>40418173.179489397</v>
      </c>
      <c r="IK379">
        <v>0</v>
      </c>
      <c r="IL379">
        <v>0</v>
      </c>
      <c r="IM379">
        <v>0</v>
      </c>
      <c r="IN379">
        <v>77802768.962258995</v>
      </c>
      <c r="IO379">
        <v>848781636.76927805</v>
      </c>
      <c r="IP379">
        <v>926584405.73153698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</row>
    <row r="380" spans="2:268" customFormat="1" x14ac:dyDescent="0.25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3"/>
      <c r="N380" s="3"/>
      <c r="O380" s="3"/>
      <c r="P380" s="2"/>
      <c r="Q380" s="2"/>
      <c r="R380" s="2"/>
      <c r="S380" s="2"/>
      <c r="T380" s="2"/>
      <c r="U380" s="2"/>
      <c r="V380" s="3"/>
      <c r="W380" s="3"/>
      <c r="X380" s="3"/>
      <c r="Y380" s="3"/>
      <c r="Z380" s="3"/>
      <c r="AA380" s="3"/>
      <c r="AB380" s="3"/>
      <c r="AC380" s="2"/>
      <c r="AD380" s="2"/>
      <c r="AE380" s="2"/>
      <c r="AF380" s="2"/>
      <c r="AG380" s="2"/>
      <c r="AH380" s="2"/>
      <c r="AI380" s="2"/>
      <c r="AJ380" s="3"/>
      <c r="AK380" s="2"/>
      <c r="AL380" s="2"/>
      <c r="AM380" s="2"/>
      <c r="AN380" s="2"/>
      <c r="AO380" s="3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3"/>
      <c r="BC380" s="3"/>
      <c r="BD380" s="3"/>
      <c r="BE380" s="3"/>
      <c r="BF380" s="3"/>
      <c r="BG380" s="3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2"/>
      <c r="DI380" s="2"/>
      <c r="DJ380" s="3"/>
      <c r="DK380" s="3"/>
      <c r="DL380" s="2"/>
      <c r="DM380" s="2"/>
      <c r="DN380" s="2"/>
      <c r="DO380" s="3"/>
      <c r="DP380" s="3"/>
      <c r="GO380" t="s">
        <v>144</v>
      </c>
      <c r="GP380" t="s">
        <v>501</v>
      </c>
      <c r="GQ380" t="s">
        <v>502</v>
      </c>
      <c r="GR380">
        <v>60</v>
      </c>
      <c r="GS380">
        <v>59</v>
      </c>
      <c r="GT380">
        <v>1</v>
      </c>
      <c r="GU380" t="s">
        <v>457</v>
      </c>
      <c r="GV380">
        <v>77802768.962258995</v>
      </c>
      <c r="GW380">
        <v>848781636.76927805</v>
      </c>
      <c r="GX380">
        <v>926584405.73153698</v>
      </c>
      <c r="GY380">
        <v>0</v>
      </c>
      <c r="GZ380">
        <v>926584405.73153698</v>
      </c>
      <c r="HA380">
        <v>926584405.73153698</v>
      </c>
      <c r="HB380">
        <v>303000000</v>
      </c>
      <c r="HC380">
        <v>0</v>
      </c>
      <c r="HD380" t="s">
        <v>137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0.05</v>
      </c>
      <c r="HX380">
        <v>0.97798234361883296</v>
      </c>
      <c r="HY380">
        <v>1</v>
      </c>
      <c r="HZ380">
        <v>300000</v>
      </c>
      <c r="IA380">
        <v>0</v>
      </c>
      <c r="IB380">
        <v>0</v>
      </c>
      <c r="IC380">
        <v>0</v>
      </c>
      <c r="ID380">
        <v>272700</v>
      </c>
      <c r="IE380">
        <v>572700</v>
      </c>
      <c r="IF380">
        <v>560090.488190506</v>
      </c>
      <c r="IG380">
        <v>560090.488190506</v>
      </c>
      <c r="IH380">
        <v>0</v>
      </c>
      <c r="II380">
        <v>3862133.92370342</v>
      </c>
      <c r="IJ380">
        <v>42439081.838463902</v>
      </c>
      <c r="IK380">
        <v>0</v>
      </c>
      <c r="IL380">
        <v>0</v>
      </c>
      <c r="IM380">
        <v>0</v>
      </c>
      <c r="IN380">
        <v>81104812.397771895</v>
      </c>
      <c r="IO380">
        <v>891220718.60774195</v>
      </c>
      <c r="IP380">
        <v>972325531.00551403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</row>
    <row r="381" spans="2:268" customFormat="1" x14ac:dyDescent="0.25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3"/>
      <c r="N381" s="3"/>
      <c r="O381" s="3"/>
      <c r="P381" s="2"/>
      <c r="Q381" s="2"/>
      <c r="R381" s="2"/>
      <c r="S381" s="2"/>
      <c r="T381" s="2"/>
      <c r="U381" s="2"/>
      <c r="V381" s="3"/>
      <c r="W381" s="3"/>
      <c r="X381" s="3"/>
      <c r="Y381" s="3"/>
      <c r="Z381" s="3"/>
      <c r="AA381" s="3"/>
      <c r="AB381" s="3"/>
      <c r="AC381" s="2"/>
      <c r="AD381" s="2"/>
      <c r="AE381" s="2"/>
      <c r="AF381" s="2"/>
      <c r="AG381" s="2"/>
      <c r="AH381" s="2"/>
      <c r="AI381" s="2"/>
      <c r="AJ381" s="3"/>
      <c r="AK381" s="2"/>
      <c r="AL381" s="2"/>
      <c r="AM381" s="2"/>
      <c r="AN381" s="2"/>
      <c r="AO381" s="3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3"/>
      <c r="BC381" s="3"/>
      <c r="BD381" s="3"/>
      <c r="BE381" s="3"/>
      <c r="BF381" s="3"/>
      <c r="BG381" s="3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2"/>
      <c r="DI381" s="2"/>
      <c r="DJ381" s="3"/>
      <c r="DK381" s="3"/>
      <c r="DL381" s="2"/>
      <c r="DM381" s="2"/>
      <c r="DN381" s="2"/>
      <c r="DO381" s="3"/>
      <c r="DP381" s="3"/>
      <c r="GO381" t="s">
        <v>144</v>
      </c>
      <c r="GP381" t="s">
        <v>501</v>
      </c>
      <c r="GQ381" t="s">
        <v>502</v>
      </c>
      <c r="GR381">
        <v>61</v>
      </c>
      <c r="GS381">
        <v>60</v>
      </c>
      <c r="GT381">
        <v>1</v>
      </c>
      <c r="GU381" t="s">
        <v>457</v>
      </c>
      <c r="GV381">
        <v>81104812.397771895</v>
      </c>
      <c r="GW381">
        <v>891220718.60774195</v>
      </c>
      <c r="GX381">
        <v>972325531.00551403</v>
      </c>
      <c r="GY381">
        <v>0</v>
      </c>
      <c r="GZ381">
        <v>972325531.00551403</v>
      </c>
      <c r="HA381">
        <v>972325531.00551403</v>
      </c>
      <c r="HB381">
        <v>303000000</v>
      </c>
      <c r="HC381">
        <v>0</v>
      </c>
      <c r="HD381" t="s">
        <v>137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0.05</v>
      </c>
      <c r="HX381">
        <v>0.97798234361883296</v>
      </c>
      <c r="HY381">
        <v>1</v>
      </c>
      <c r="HZ381">
        <v>300000</v>
      </c>
      <c r="IA381">
        <v>0</v>
      </c>
      <c r="IB381">
        <v>0</v>
      </c>
      <c r="IC381">
        <v>0</v>
      </c>
      <c r="ID381">
        <v>272700</v>
      </c>
      <c r="IE381">
        <v>572700</v>
      </c>
      <c r="IF381">
        <v>560090.488190506</v>
      </c>
      <c r="IG381">
        <v>560090.488190506</v>
      </c>
      <c r="IH381">
        <v>0</v>
      </c>
      <c r="II381">
        <v>4027236.0954790702</v>
      </c>
      <c r="IJ381">
        <v>44561035.930387102</v>
      </c>
      <c r="IK381">
        <v>0</v>
      </c>
      <c r="IL381">
        <v>0</v>
      </c>
      <c r="IM381">
        <v>0</v>
      </c>
      <c r="IN381">
        <v>84571958.005060405</v>
      </c>
      <c r="IO381">
        <v>935781754.53812897</v>
      </c>
      <c r="IP381">
        <v>1020353712.54319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</row>
    <row r="382" spans="2:268" customFormat="1" x14ac:dyDescent="0.25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  <c r="N382" s="3"/>
      <c r="O382" s="3"/>
      <c r="P382" s="2"/>
      <c r="Q382" s="2"/>
      <c r="R382" s="2"/>
      <c r="S382" s="2"/>
      <c r="T382" s="2"/>
      <c r="U382" s="2"/>
      <c r="V382" s="3"/>
      <c r="W382" s="3"/>
      <c r="X382" s="3"/>
      <c r="Y382" s="3"/>
      <c r="Z382" s="3"/>
      <c r="AA382" s="3"/>
      <c r="AB382" s="3"/>
      <c r="AC382" s="2"/>
      <c r="AD382" s="2"/>
      <c r="AE382" s="2"/>
      <c r="AF382" s="2"/>
      <c r="AG382" s="2"/>
      <c r="AH382" s="2"/>
      <c r="AI382" s="2"/>
      <c r="AJ382" s="3"/>
      <c r="AK382" s="2"/>
      <c r="AL382" s="2"/>
      <c r="AM382" s="2"/>
      <c r="AN382" s="2"/>
      <c r="AO382" s="3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3"/>
      <c r="BC382" s="3"/>
      <c r="BD382" s="3"/>
      <c r="BE382" s="3"/>
      <c r="BF382" s="3"/>
      <c r="BG382" s="3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2"/>
      <c r="DI382" s="2"/>
      <c r="DJ382" s="3"/>
      <c r="DK382" s="3"/>
      <c r="DL382" s="2"/>
      <c r="DM382" s="2"/>
      <c r="DN382" s="2"/>
      <c r="DO382" s="3"/>
      <c r="DP382" s="3"/>
      <c r="GO382" t="s">
        <v>144</v>
      </c>
      <c r="GP382" t="s">
        <v>501</v>
      </c>
      <c r="GQ382" t="s">
        <v>502</v>
      </c>
      <c r="GR382">
        <v>62</v>
      </c>
      <c r="GS382">
        <v>61</v>
      </c>
      <c r="GT382">
        <v>1</v>
      </c>
      <c r="GU382" t="s">
        <v>457</v>
      </c>
      <c r="GV382">
        <v>84571958.005060405</v>
      </c>
      <c r="GW382">
        <v>935781754.53812897</v>
      </c>
      <c r="GX382">
        <v>1020353712.54319</v>
      </c>
      <c r="GY382">
        <v>0</v>
      </c>
      <c r="GZ382">
        <v>1020353712.54319</v>
      </c>
      <c r="HA382">
        <v>1020353712.54319</v>
      </c>
      <c r="HB382">
        <v>303000000</v>
      </c>
      <c r="HC382">
        <v>0</v>
      </c>
      <c r="HD382" t="s">
        <v>137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0.05</v>
      </c>
      <c r="HX382">
        <v>0.97798234361883296</v>
      </c>
      <c r="HY382">
        <v>1</v>
      </c>
      <c r="HZ382">
        <v>300000</v>
      </c>
      <c r="IA382">
        <v>0</v>
      </c>
      <c r="IB382">
        <v>0</v>
      </c>
      <c r="IC382">
        <v>0</v>
      </c>
      <c r="ID382">
        <v>272700</v>
      </c>
      <c r="IE382">
        <v>572700</v>
      </c>
      <c r="IF382">
        <v>560090.488190506</v>
      </c>
      <c r="IG382">
        <v>560090.488190506</v>
      </c>
      <c r="IH382">
        <v>0</v>
      </c>
      <c r="II382">
        <v>4200593.3758434998</v>
      </c>
      <c r="IJ382">
        <v>46789087.726906396</v>
      </c>
      <c r="IK382">
        <v>0</v>
      </c>
      <c r="IL382">
        <v>0</v>
      </c>
      <c r="IM382">
        <v>0</v>
      </c>
      <c r="IN382">
        <v>88212460.892713398</v>
      </c>
      <c r="IO382">
        <v>982570842.26503503</v>
      </c>
      <c r="IP382">
        <v>1070783303.15775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</row>
    <row r="383" spans="2:268" customFormat="1" x14ac:dyDescent="0.25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3"/>
      <c r="N383" s="3"/>
      <c r="O383" s="3"/>
      <c r="P383" s="2"/>
      <c r="Q383" s="2"/>
      <c r="R383" s="2"/>
      <c r="S383" s="2"/>
      <c r="T383" s="2"/>
      <c r="U383" s="2"/>
      <c r="V383" s="3"/>
      <c r="W383" s="3"/>
      <c r="X383" s="3"/>
      <c r="Y383" s="3"/>
      <c r="Z383" s="3"/>
      <c r="AA383" s="3"/>
      <c r="AB383" s="3"/>
      <c r="AC383" s="2"/>
      <c r="AD383" s="2"/>
      <c r="AE383" s="2"/>
      <c r="AF383" s="2"/>
      <c r="AG383" s="2"/>
      <c r="AH383" s="2"/>
      <c r="AI383" s="2"/>
      <c r="AJ383" s="3"/>
      <c r="AK383" s="2"/>
      <c r="AL383" s="2"/>
      <c r="AM383" s="2"/>
      <c r="AN383" s="2"/>
      <c r="AO383" s="3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3"/>
      <c r="BC383" s="3"/>
      <c r="BD383" s="3"/>
      <c r="BE383" s="3"/>
      <c r="BF383" s="3"/>
      <c r="BG383" s="3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2"/>
      <c r="DI383" s="2"/>
      <c r="DJ383" s="3"/>
      <c r="DK383" s="3"/>
      <c r="DL383" s="2"/>
      <c r="DM383" s="2"/>
      <c r="DN383" s="2"/>
      <c r="DO383" s="3"/>
      <c r="DP383" s="3"/>
      <c r="GO383" t="s">
        <v>144</v>
      </c>
      <c r="GP383" t="s">
        <v>501</v>
      </c>
      <c r="GQ383" t="s">
        <v>502</v>
      </c>
      <c r="GR383">
        <v>63</v>
      </c>
      <c r="GS383">
        <v>62</v>
      </c>
      <c r="GT383">
        <v>1</v>
      </c>
      <c r="GU383" t="s">
        <v>457</v>
      </c>
      <c r="GV383">
        <v>88212460.892713398</v>
      </c>
      <c r="GW383">
        <v>982570842.26503503</v>
      </c>
      <c r="GX383">
        <v>1070783303.15775</v>
      </c>
      <c r="GY383">
        <v>0</v>
      </c>
      <c r="GZ383">
        <v>1070783303.15775</v>
      </c>
      <c r="HA383">
        <v>1070783303.15775</v>
      </c>
      <c r="HB383">
        <v>303000000</v>
      </c>
      <c r="HC383">
        <v>0</v>
      </c>
      <c r="HD383" t="s">
        <v>137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0.05</v>
      </c>
      <c r="HX383">
        <v>0.97798234361883296</v>
      </c>
      <c r="HY383">
        <v>1</v>
      </c>
      <c r="HZ383">
        <v>300000</v>
      </c>
      <c r="IA383">
        <v>0</v>
      </c>
      <c r="IB383">
        <v>0</v>
      </c>
      <c r="IC383">
        <v>0</v>
      </c>
      <c r="ID383">
        <v>272700</v>
      </c>
      <c r="IE383">
        <v>572700</v>
      </c>
      <c r="IF383">
        <v>560090.488190506</v>
      </c>
      <c r="IG383">
        <v>560090.488190506</v>
      </c>
      <c r="IH383">
        <v>0</v>
      </c>
      <c r="II383">
        <v>4382618.5202261498</v>
      </c>
      <c r="IJ383">
        <v>49128542.113251798</v>
      </c>
      <c r="IK383">
        <v>0</v>
      </c>
      <c r="IL383">
        <v>0</v>
      </c>
      <c r="IM383">
        <v>0</v>
      </c>
      <c r="IN383">
        <v>92034988.924749106</v>
      </c>
      <c r="IO383">
        <v>1031699384.3782901</v>
      </c>
      <c r="IP383">
        <v>1123734373.30304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</row>
    <row r="384" spans="2:268" customFormat="1" x14ac:dyDescent="0.25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3"/>
      <c r="N384" s="3"/>
      <c r="O384" s="3"/>
      <c r="P384" s="2"/>
      <c r="Q384" s="2"/>
      <c r="R384" s="2"/>
      <c r="S384" s="2"/>
      <c r="T384" s="2"/>
      <c r="U384" s="2"/>
      <c r="V384" s="3"/>
      <c r="W384" s="3"/>
      <c r="X384" s="3"/>
      <c r="Y384" s="3"/>
      <c r="Z384" s="3"/>
      <c r="AA384" s="3"/>
      <c r="AB384" s="3"/>
      <c r="AC384" s="2"/>
      <c r="AD384" s="2"/>
      <c r="AE384" s="2"/>
      <c r="AF384" s="2"/>
      <c r="AG384" s="2"/>
      <c r="AH384" s="2"/>
      <c r="AI384" s="2"/>
      <c r="AJ384" s="3"/>
      <c r="AK384" s="2"/>
      <c r="AL384" s="2"/>
      <c r="AM384" s="2"/>
      <c r="AN384" s="2"/>
      <c r="AO384" s="3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3"/>
      <c r="BC384" s="3"/>
      <c r="BD384" s="3"/>
      <c r="BE384" s="3"/>
      <c r="BF384" s="3"/>
      <c r="BG384" s="3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2"/>
      <c r="DI384" s="2"/>
      <c r="DJ384" s="3"/>
      <c r="DK384" s="3"/>
      <c r="DL384" s="2"/>
      <c r="DM384" s="2"/>
      <c r="DN384" s="2"/>
      <c r="DO384" s="3"/>
      <c r="DP384" s="3"/>
      <c r="GO384" t="s">
        <v>144</v>
      </c>
      <c r="GP384" t="s">
        <v>501</v>
      </c>
      <c r="GQ384" t="s">
        <v>502</v>
      </c>
      <c r="GR384">
        <v>64</v>
      </c>
      <c r="GS384">
        <v>63</v>
      </c>
      <c r="GT384">
        <v>1</v>
      </c>
      <c r="GU384" t="s">
        <v>457</v>
      </c>
      <c r="GV384">
        <v>92034988.924749106</v>
      </c>
      <c r="GW384">
        <v>1031699384.3782901</v>
      </c>
      <c r="GX384">
        <v>1123734373.30304</v>
      </c>
      <c r="GY384">
        <v>0</v>
      </c>
      <c r="GZ384">
        <v>1123734373.30304</v>
      </c>
      <c r="HA384">
        <v>1123734373.30304</v>
      </c>
      <c r="HB384">
        <v>303000000</v>
      </c>
      <c r="HC384">
        <v>0</v>
      </c>
      <c r="HD384" t="s">
        <v>137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0.05</v>
      </c>
      <c r="HX384">
        <v>0.97798234361883296</v>
      </c>
      <c r="HY384">
        <v>1</v>
      </c>
      <c r="HZ384">
        <v>300000</v>
      </c>
      <c r="IA384">
        <v>0</v>
      </c>
      <c r="IB384">
        <v>0</v>
      </c>
      <c r="IC384">
        <v>0</v>
      </c>
      <c r="ID384">
        <v>272700</v>
      </c>
      <c r="IE384">
        <v>572700</v>
      </c>
      <c r="IF384">
        <v>560090.488190506</v>
      </c>
      <c r="IG384">
        <v>560090.488190506</v>
      </c>
      <c r="IH384">
        <v>0</v>
      </c>
      <c r="II384">
        <v>4573744.92182793</v>
      </c>
      <c r="IJ384">
        <v>51584969.218914397</v>
      </c>
      <c r="IK384">
        <v>0</v>
      </c>
      <c r="IL384">
        <v>0</v>
      </c>
      <c r="IM384">
        <v>0</v>
      </c>
      <c r="IN384">
        <v>96048643.358386502</v>
      </c>
      <c r="IO384">
        <v>1083284353.5971999</v>
      </c>
      <c r="IP384">
        <v>1179332996.95559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</row>
    <row r="385" spans="2:268" customFormat="1" x14ac:dyDescent="0.25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3"/>
      <c r="N385" s="3"/>
      <c r="O385" s="3"/>
      <c r="P385" s="2"/>
      <c r="Q385" s="2"/>
      <c r="R385" s="2"/>
      <c r="S385" s="2"/>
      <c r="T385" s="2"/>
      <c r="U385" s="2"/>
      <c r="V385" s="3"/>
      <c r="W385" s="3"/>
      <c r="X385" s="3"/>
      <c r="Y385" s="3"/>
      <c r="Z385" s="3"/>
      <c r="AA385" s="3"/>
      <c r="AB385" s="3"/>
      <c r="AC385" s="2"/>
      <c r="AD385" s="2"/>
      <c r="AE385" s="2"/>
      <c r="AF385" s="2"/>
      <c r="AG385" s="2"/>
      <c r="AH385" s="2"/>
      <c r="AI385" s="2"/>
      <c r="AJ385" s="3"/>
      <c r="AK385" s="2"/>
      <c r="AL385" s="2"/>
      <c r="AM385" s="2"/>
      <c r="AN385" s="2"/>
      <c r="AO385" s="3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3"/>
      <c r="BC385" s="3"/>
      <c r="BD385" s="3"/>
      <c r="BE385" s="3"/>
      <c r="BF385" s="3"/>
      <c r="BG385" s="3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2"/>
      <c r="DI385" s="2"/>
      <c r="DJ385" s="3"/>
      <c r="DK385" s="3"/>
      <c r="DL385" s="2"/>
      <c r="DM385" s="2"/>
      <c r="DN385" s="2"/>
      <c r="DO385" s="3"/>
      <c r="DP385" s="3"/>
      <c r="GO385" t="s">
        <v>144</v>
      </c>
      <c r="GP385" t="s">
        <v>501</v>
      </c>
      <c r="GQ385" t="s">
        <v>502</v>
      </c>
      <c r="GR385">
        <v>65</v>
      </c>
      <c r="GS385">
        <v>64</v>
      </c>
      <c r="GT385">
        <v>1</v>
      </c>
      <c r="GU385" t="s">
        <v>457</v>
      </c>
      <c r="GV385">
        <v>96048643.358386502</v>
      </c>
      <c r="GW385">
        <v>1083284353.5971999</v>
      </c>
      <c r="GX385">
        <v>1179332996.95559</v>
      </c>
      <c r="GY385">
        <v>0</v>
      </c>
      <c r="GZ385">
        <v>1179332996.95559</v>
      </c>
      <c r="HA385">
        <v>1179332996.95559</v>
      </c>
      <c r="HB385">
        <v>303000000</v>
      </c>
      <c r="HC385">
        <v>0</v>
      </c>
      <c r="HD385" t="s">
        <v>137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0.05</v>
      </c>
      <c r="HX385">
        <v>0.97798234361883296</v>
      </c>
      <c r="HY385">
        <v>1</v>
      </c>
      <c r="HZ385">
        <v>300000</v>
      </c>
      <c r="IA385">
        <v>0</v>
      </c>
      <c r="IB385">
        <v>0</v>
      </c>
      <c r="IC385">
        <v>0</v>
      </c>
      <c r="ID385">
        <v>272700</v>
      </c>
      <c r="IE385">
        <v>572700</v>
      </c>
      <c r="IF385">
        <v>560090.488190506</v>
      </c>
      <c r="IG385">
        <v>560090.488190506</v>
      </c>
      <c r="IH385">
        <v>0</v>
      </c>
      <c r="II385">
        <v>4774427.6435097996</v>
      </c>
      <c r="IJ385">
        <v>54164217.6798601</v>
      </c>
      <c r="IK385">
        <v>0</v>
      </c>
      <c r="IL385">
        <v>0</v>
      </c>
      <c r="IM385">
        <v>0</v>
      </c>
      <c r="IN385">
        <v>100262980.513706</v>
      </c>
      <c r="IO385">
        <v>1137448571.27706</v>
      </c>
      <c r="IP385">
        <v>1237711551.7907701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</row>
    <row r="386" spans="2:268" customFormat="1" x14ac:dyDescent="0.25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3"/>
      <c r="N386" s="3"/>
      <c r="O386" s="3"/>
      <c r="P386" s="2"/>
      <c r="Q386" s="2"/>
      <c r="R386" s="2"/>
      <c r="S386" s="2"/>
      <c r="T386" s="2"/>
      <c r="U386" s="2"/>
      <c r="V386" s="3"/>
      <c r="W386" s="3"/>
      <c r="X386" s="3"/>
      <c r="Y386" s="3"/>
      <c r="Z386" s="3"/>
      <c r="AA386" s="3"/>
      <c r="AB386" s="3"/>
      <c r="AC386" s="2"/>
      <c r="AD386" s="2"/>
      <c r="AE386" s="2"/>
      <c r="AF386" s="2"/>
      <c r="AG386" s="2"/>
      <c r="AH386" s="2"/>
      <c r="AI386" s="2"/>
      <c r="AJ386" s="3"/>
      <c r="AK386" s="2"/>
      <c r="AL386" s="2"/>
      <c r="AM386" s="2"/>
      <c r="AN386" s="2"/>
      <c r="AO386" s="3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3"/>
      <c r="BC386" s="3"/>
      <c r="BD386" s="3"/>
      <c r="BE386" s="3"/>
      <c r="BF386" s="3"/>
      <c r="BG386" s="3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2"/>
      <c r="DI386" s="2"/>
      <c r="DJ386" s="3"/>
      <c r="DK386" s="3"/>
      <c r="DL386" s="2"/>
      <c r="DM386" s="2"/>
      <c r="DN386" s="2"/>
      <c r="DO386" s="3"/>
      <c r="DP386" s="3"/>
      <c r="GO386" t="s">
        <v>144</v>
      </c>
      <c r="GP386" t="s">
        <v>501</v>
      </c>
      <c r="GQ386" t="s">
        <v>502</v>
      </c>
      <c r="GR386">
        <v>66</v>
      </c>
      <c r="GS386">
        <v>65</v>
      </c>
      <c r="GT386">
        <v>1</v>
      </c>
      <c r="GU386" t="s">
        <v>457</v>
      </c>
      <c r="GV386">
        <v>100262980.513706</v>
      </c>
      <c r="GW386">
        <v>1137448571.27706</v>
      </c>
      <c r="GX386">
        <v>1237711551.7907701</v>
      </c>
      <c r="GY386">
        <v>0</v>
      </c>
      <c r="GZ386">
        <v>1237711551.7907701</v>
      </c>
      <c r="HA386">
        <v>1237711551.7907701</v>
      </c>
      <c r="HB386">
        <v>303000000</v>
      </c>
      <c r="HC386">
        <v>0</v>
      </c>
      <c r="HD386" t="s">
        <v>137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0.05</v>
      </c>
      <c r="HX386">
        <v>0.97798234361883296</v>
      </c>
      <c r="HY386">
        <v>1</v>
      </c>
      <c r="HZ386">
        <v>300000</v>
      </c>
      <c r="IA386">
        <v>0</v>
      </c>
      <c r="IB386">
        <v>0</v>
      </c>
      <c r="IC386">
        <v>0</v>
      </c>
      <c r="ID386">
        <v>272700</v>
      </c>
      <c r="IE386">
        <v>572700</v>
      </c>
      <c r="IF386">
        <v>560090.488190506</v>
      </c>
      <c r="IG386">
        <v>560090.488190506</v>
      </c>
      <c r="IH386">
        <v>0</v>
      </c>
      <c r="II386">
        <v>4985144.5012757704</v>
      </c>
      <c r="IJ386">
        <v>56872428.5638531</v>
      </c>
      <c r="IK386">
        <v>0</v>
      </c>
      <c r="IL386">
        <v>0</v>
      </c>
      <c r="IM386">
        <v>0</v>
      </c>
      <c r="IN386">
        <v>104688034.52679101</v>
      </c>
      <c r="IO386">
        <v>1194320999.84091</v>
      </c>
      <c r="IP386">
        <v>1299009034.3677101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</row>
    <row r="387" spans="2:268" customFormat="1" x14ac:dyDescent="0.25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3"/>
      <c r="N387" s="3"/>
      <c r="O387" s="3"/>
      <c r="P387" s="2"/>
      <c r="Q387" s="2"/>
      <c r="R387" s="2"/>
      <c r="S387" s="2"/>
      <c r="T387" s="2"/>
      <c r="U387" s="2"/>
      <c r="V387" s="3"/>
      <c r="W387" s="3"/>
      <c r="X387" s="3"/>
      <c r="Y387" s="3"/>
      <c r="Z387" s="3"/>
      <c r="AA387" s="3"/>
      <c r="AB387" s="3"/>
      <c r="AC387" s="2"/>
      <c r="AD387" s="2"/>
      <c r="AE387" s="2"/>
      <c r="AF387" s="2"/>
      <c r="AG387" s="2"/>
      <c r="AH387" s="2"/>
      <c r="AI387" s="2"/>
      <c r="AJ387" s="3"/>
      <c r="AK387" s="2"/>
      <c r="AL387" s="2"/>
      <c r="AM387" s="2"/>
      <c r="AN387" s="2"/>
      <c r="AO387" s="3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3"/>
      <c r="BC387" s="3"/>
      <c r="BD387" s="3"/>
      <c r="BE387" s="3"/>
      <c r="BF387" s="3"/>
      <c r="BG387" s="3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2"/>
      <c r="DI387" s="2"/>
      <c r="DJ387" s="3"/>
      <c r="DK387" s="3"/>
      <c r="DL387" s="2"/>
      <c r="DM387" s="2"/>
      <c r="DN387" s="2"/>
      <c r="DO387" s="3"/>
      <c r="DP387" s="3"/>
      <c r="GO387" t="s">
        <v>144</v>
      </c>
      <c r="GP387" t="s">
        <v>501</v>
      </c>
      <c r="GQ387" t="s">
        <v>502</v>
      </c>
      <c r="GR387">
        <v>67</v>
      </c>
      <c r="GS387">
        <v>66</v>
      </c>
      <c r="GT387">
        <v>1</v>
      </c>
      <c r="GU387" t="s">
        <v>457</v>
      </c>
      <c r="GV387">
        <v>104688034.52679101</v>
      </c>
      <c r="GW387">
        <v>1194320999.84091</v>
      </c>
      <c r="GX387">
        <v>1299009034.3677101</v>
      </c>
      <c r="GY387">
        <v>0</v>
      </c>
      <c r="GZ387">
        <v>1299009034.3677101</v>
      </c>
      <c r="HA387">
        <v>1299009034.3677101</v>
      </c>
      <c r="HB387">
        <v>0</v>
      </c>
      <c r="HC387">
        <v>0</v>
      </c>
      <c r="HD387" t="s">
        <v>137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0.05</v>
      </c>
      <c r="HX387">
        <v>0.97798234361883296</v>
      </c>
      <c r="HY387">
        <v>1</v>
      </c>
      <c r="HZ387">
        <v>300000</v>
      </c>
      <c r="IA387">
        <v>0</v>
      </c>
      <c r="IB387">
        <v>0</v>
      </c>
      <c r="IC387">
        <v>0</v>
      </c>
      <c r="ID387">
        <v>0</v>
      </c>
      <c r="IE387">
        <v>300000</v>
      </c>
      <c r="IF387">
        <v>293394.70308564999</v>
      </c>
      <c r="IG387">
        <v>293394.70308564999</v>
      </c>
      <c r="IH387">
        <v>0</v>
      </c>
      <c r="II387">
        <v>5219731.9911852702</v>
      </c>
      <c r="IJ387">
        <v>59716049.992045701</v>
      </c>
      <c r="IK387">
        <v>0</v>
      </c>
      <c r="IL387">
        <v>0</v>
      </c>
      <c r="IM387">
        <v>0</v>
      </c>
      <c r="IN387">
        <v>109614371.814891</v>
      </c>
      <c r="IO387">
        <v>1254037049.8329599</v>
      </c>
      <c r="IP387">
        <v>1363651421.64785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</row>
    <row r="388" spans="2:268" customFormat="1" x14ac:dyDescent="0.25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3"/>
      <c r="N388" s="3"/>
      <c r="O388" s="3"/>
      <c r="P388" s="2"/>
      <c r="Q388" s="2"/>
      <c r="R388" s="2"/>
      <c r="S388" s="2"/>
      <c r="T388" s="2"/>
      <c r="U388" s="2"/>
      <c r="V388" s="3"/>
      <c r="W388" s="3"/>
      <c r="X388" s="3"/>
      <c r="Y388" s="3"/>
      <c r="Z388" s="3"/>
      <c r="AA388" s="3"/>
      <c r="AB388" s="3"/>
      <c r="AC388" s="2"/>
      <c r="AD388" s="2"/>
      <c r="AE388" s="2"/>
      <c r="AF388" s="2"/>
      <c r="AG388" s="2"/>
      <c r="AH388" s="2"/>
      <c r="AI388" s="2"/>
      <c r="AJ388" s="3"/>
      <c r="AK388" s="2"/>
      <c r="AL388" s="2"/>
      <c r="AM388" s="2"/>
      <c r="AN388" s="2"/>
      <c r="AO388" s="3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3"/>
      <c r="BC388" s="3"/>
      <c r="BD388" s="3"/>
      <c r="BE388" s="3"/>
      <c r="BF388" s="3"/>
      <c r="BG388" s="3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2"/>
      <c r="DI388" s="2"/>
      <c r="DJ388" s="3"/>
      <c r="DK388" s="3"/>
      <c r="DL388" s="2"/>
      <c r="DM388" s="2"/>
      <c r="DN388" s="2"/>
      <c r="DO388" s="3"/>
      <c r="DP388" s="3"/>
      <c r="GO388" t="s">
        <v>144</v>
      </c>
      <c r="GP388" t="s">
        <v>501</v>
      </c>
      <c r="GQ388" t="s">
        <v>502</v>
      </c>
      <c r="GR388">
        <v>68</v>
      </c>
      <c r="GS388">
        <v>67</v>
      </c>
      <c r="GT388">
        <v>1</v>
      </c>
      <c r="GU388" t="s">
        <v>457</v>
      </c>
      <c r="GV388">
        <v>109614371.814891</v>
      </c>
      <c r="GW388">
        <v>1254037049.8329599</v>
      </c>
      <c r="GX388">
        <v>1363651421.64785</v>
      </c>
      <c r="GY388">
        <v>0</v>
      </c>
      <c r="GZ388">
        <v>1363651421.64785</v>
      </c>
      <c r="HA388">
        <v>1363651421.64785</v>
      </c>
      <c r="HB388">
        <v>0</v>
      </c>
      <c r="HC388">
        <v>0</v>
      </c>
      <c r="HD388" t="s">
        <v>137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0.05</v>
      </c>
      <c r="HX388">
        <v>0.97798234361883296</v>
      </c>
      <c r="HY388">
        <v>1</v>
      </c>
      <c r="HZ388">
        <v>300000</v>
      </c>
      <c r="IA388">
        <v>0</v>
      </c>
      <c r="IB388">
        <v>0</v>
      </c>
      <c r="IC388">
        <v>0</v>
      </c>
      <c r="ID388">
        <v>0</v>
      </c>
      <c r="IE388">
        <v>300000</v>
      </c>
      <c r="IF388">
        <v>293394.70308564999</v>
      </c>
      <c r="IG388">
        <v>293394.70308564999</v>
      </c>
      <c r="IH388">
        <v>0</v>
      </c>
      <c r="II388">
        <v>5466048.8555902503</v>
      </c>
      <c r="IJ388">
        <v>62701852.491648003</v>
      </c>
      <c r="IK388">
        <v>0</v>
      </c>
      <c r="IL388">
        <v>0</v>
      </c>
      <c r="IM388">
        <v>0</v>
      </c>
      <c r="IN388">
        <v>114787025.96739499</v>
      </c>
      <c r="IO388">
        <v>1316738902.32461</v>
      </c>
      <c r="IP388">
        <v>1431525928.2920001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</row>
    <row r="389" spans="2:268" customFormat="1" x14ac:dyDescent="0.25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3"/>
      <c r="N389" s="3"/>
      <c r="O389" s="3"/>
      <c r="P389" s="2"/>
      <c r="Q389" s="2"/>
      <c r="R389" s="2"/>
      <c r="S389" s="2"/>
      <c r="T389" s="2"/>
      <c r="U389" s="2"/>
      <c r="V389" s="3"/>
      <c r="W389" s="3"/>
      <c r="X389" s="3"/>
      <c r="Y389" s="3"/>
      <c r="Z389" s="3"/>
      <c r="AA389" s="3"/>
      <c r="AB389" s="3"/>
      <c r="AC389" s="2"/>
      <c r="AD389" s="2"/>
      <c r="AE389" s="2"/>
      <c r="AF389" s="2"/>
      <c r="AG389" s="2"/>
      <c r="AH389" s="2"/>
      <c r="AI389" s="2"/>
      <c r="AJ389" s="3"/>
      <c r="AK389" s="2"/>
      <c r="AL389" s="2"/>
      <c r="AM389" s="2"/>
      <c r="AN389" s="2"/>
      <c r="AO389" s="3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3"/>
      <c r="BC389" s="3"/>
      <c r="BD389" s="3"/>
      <c r="BE389" s="3"/>
      <c r="BF389" s="3"/>
      <c r="BG389" s="3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2"/>
      <c r="DI389" s="2"/>
      <c r="DJ389" s="3"/>
      <c r="DK389" s="3"/>
      <c r="DL389" s="2"/>
      <c r="DM389" s="2"/>
      <c r="DN389" s="2"/>
      <c r="DO389" s="3"/>
      <c r="DP389" s="3"/>
      <c r="GO389" t="s">
        <v>144</v>
      </c>
      <c r="GP389" t="s">
        <v>501</v>
      </c>
      <c r="GQ389" t="s">
        <v>502</v>
      </c>
      <c r="GR389">
        <v>69</v>
      </c>
      <c r="GS389">
        <v>68</v>
      </c>
      <c r="GT389">
        <v>1</v>
      </c>
      <c r="GU389" t="s">
        <v>457</v>
      </c>
      <c r="GV389">
        <v>114787025.96739499</v>
      </c>
      <c r="GW389">
        <v>1316738902.32461</v>
      </c>
      <c r="GX389">
        <v>1431525928.2920001</v>
      </c>
      <c r="GY389">
        <v>0</v>
      </c>
      <c r="GZ389">
        <v>1431525928.2920001</v>
      </c>
      <c r="HA389">
        <v>1431525928.2920001</v>
      </c>
      <c r="HB389">
        <v>0</v>
      </c>
      <c r="HC389">
        <v>0</v>
      </c>
      <c r="HD389" t="s">
        <v>137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0.05</v>
      </c>
      <c r="HX389">
        <v>0.97798234361883296</v>
      </c>
      <c r="HY389">
        <v>1</v>
      </c>
      <c r="HZ389">
        <v>300000</v>
      </c>
      <c r="IA389">
        <v>0</v>
      </c>
      <c r="IB389">
        <v>0</v>
      </c>
      <c r="IC389">
        <v>0</v>
      </c>
      <c r="ID389">
        <v>0</v>
      </c>
      <c r="IE389">
        <v>300000</v>
      </c>
      <c r="IF389">
        <v>293394.70308564999</v>
      </c>
      <c r="IG389">
        <v>293394.70308564999</v>
      </c>
      <c r="IH389">
        <v>0</v>
      </c>
      <c r="II389">
        <v>5724681.5632154802</v>
      </c>
      <c r="IJ389">
        <v>65836945.116230398</v>
      </c>
      <c r="IK389">
        <v>0</v>
      </c>
      <c r="IL389">
        <v>0</v>
      </c>
      <c r="IM389">
        <v>0</v>
      </c>
      <c r="IN389">
        <v>120218312.827525</v>
      </c>
      <c r="IO389">
        <v>1382575847.44084</v>
      </c>
      <c r="IP389">
        <v>1502794160.2683599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</row>
    <row r="390" spans="2:268" customFormat="1" x14ac:dyDescent="0.25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3"/>
      <c r="N390" s="3"/>
      <c r="O390" s="3"/>
      <c r="P390" s="2"/>
      <c r="Q390" s="2"/>
      <c r="R390" s="2"/>
      <c r="S390" s="2"/>
      <c r="T390" s="2"/>
      <c r="U390" s="2"/>
      <c r="V390" s="3"/>
      <c r="W390" s="3"/>
      <c r="X390" s="3"/>
      <c r="Y390" s="3"/>
      <c r="Z390" s="3"/>
      <c r="AA390" s="3"/>
      <c r="AB390" s="3"/>
      <c r="AC390" s="2"/>
      <c r="AD390" s="2"/>
      <c r="AE390" s="2"/>
      <c r="AF390" s="2"/>
      <c r="AG390" s="2"/>
      <c r="AH390" s="2"/>
      <c r="AI390" s="2"/>
      <c r="AJ390" s="3"/>
      <c r="AK390" s="2"/>
      <c r="AL390" s="2"/>
      <c r="AM390" s="2"/>
      <c r="AN390" s="2"/>
      <c r="AO390" s="3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3"/>
      <c r="BC390" s="3"/>
      <c r="BD390" s="3"/>
      <c r="BE390" s="3"/>
      <c r="BF390" s="3"/>
      <c r="BG390" s="3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2"/>
      <c r="DI390" s="2"/>
      <c r="DJ390" s="3"/>
      <c r="DK390" s="3"/>
      <c r="DL390" s="2"/>
      <c r="DM390" s="2"/>
      <c r="DN390" s="2"/>
      <c r="DO390" s="3"/>
      <c r="DP390" s="3"/>
      <c r="GO390" t="s">
        <v>144</v>
      </c>
      <c r="GP390" t="s">
        <v>501</v>
      </c>
      <c r="GQ390" t="s">
        <v>502</v>
      </c>
      <c r="GR390">
        <v>70</v>
      </c>
      <c r="GS390">
        <v>69</v>
      </c>
      <c r="GT390">
        <v>1</v>
      </c>
      <c r="GU390" t="s">
        <v>457</v>
      </c>
      <c r="GV390">
        <v>120218312.827525</v>
      </c>
      <c r="GW390">
        <v>1382575847.44084</v>
      </c>
      <c r="GX390">
        <v>1502794160.2683599</v>
      </c>
      <c r="GY390">
        <v>0</v>
      </c>
      <c r="GZ390">
        <v>1502794160.2683599</v>
      </c>
      <c r="HA390">
        <v>1502794160.2683599</v>
      </c>
      <c r="HB390">
        <v>0</v>
      </c>
      <c r="HC390">
        <v>0</v>
      </c>
      <c r="HD390" t="s">
        <v>137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0.05</v>
      </c>
      <c r="HX390">
        <v>0.97798234361883296</v>
      </c>
      <c r="HY390">
        <v>1</v>
      </c>
      <c r="HZ390">
        <v>300000</v>
      </c>
      <c r="IA390">
        <v>0</v>
      </c>
      <c r="IB390">
        <v>0</v>
      </c>
      <c r="IC390">
        <v>0</v>
      </c>
      <c r="ID390">
        <v>0</v>
      </c>
      <c r="IE390">
        <v>300000</v>
      </c>
      <c r="IF390">
        <v>293394.70308564999</v>
      </c>
      <c r="IG390">
        <v>293394.70308564999</v>
      </c>
      <c r="IH390">
        <v>0</v>
      </c>
      <c r="II390">
        <v>5996245.9062219802</v>
      </c>
      <c r="IJ390">
        <v>69128792.372041896</v>
      </c>
      <c r="IK390">
        <v>0</v>
      </c>
      <c r="IL390">
        <v>0</v>
      </c>
      <c r="IM390">
        <v>0</v>
      </c>
      <c r="IN390">
        <v>125921164.030661</v>
      </c>
      <c r="IO390">
        <v>1451704639.81288</v>
      </c>
      <c r="IP390">
        <v>1577625803.84354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</row>
    <row r="391" spans="2:268" customFormat="1" x14ac:dyDescent="0.25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3"/>
      <c r="N391" s="3"/>
      <c r="O391" s="3"/>
      <c r="P391" s="2"/>
      <c r="Q391" s="2"/>
      <c r="R391" s="2"/>
      <c r="S391" s="2"/>
      <c r="T391" s="2"/>
      <c r="U391" s="2"/>
      <c r="V391" s="3"/>
      <c r="W391" s="3"/>
      <c r="X391" s="3"/>
      <c r="Y391" s="3"/>
      <c r="Z391" s="3"/>
      <c r="AA391" s="3"/>
      <c r="AB391" s="3"/>
      <c r="AC391" s="2"/>
      <c r="AD391" s="2"/>
      <c r="AE391" s="2"/>
      <c r="AF391" s="2"/>
      <c r="AG391" s="2"/>
      <c r="AH391" s="2"/>
      <c r="AI391" s="2"/>
      <c r="AJ391" s="3"/>
      <c r="AK391" s="2"/>
      <c r="AL391" s="2"/>
      <c r="AM391" s="2"/>
      <c r="AN391" s="2"/>
      <c r="AO391" s="3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3"/>
      <c r="BC391" s="3"/>
      <c r="BD391" s="3"/>
      <c r="BE391" s="3"/>
      <c r="BF391" s="3"/>
      <c r="BG391" s="3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2"/>
      <c r="DI391" s="2"/>
      <c r="DJ391" s="3"/>
      <c r="DK391" s="3"/>
      <c r="DL391" s="2"/>
      <c r="DM391" s="2"/>
      <c r="DN391" s="2"/>
      <c r="DO391" s="3"/>
      <c r="DP391" s="3"/>
      <c r="GO391" t="s">
        <v>144</v>
      </c>
      <c r="GP391" t="s">
        <v>501</v>
      </c>
      <c r="GQ391" t="s">
        <v>502</v>
      </c>
      <c r="GR391">
        <v>71</v>
      </c>
      <c r="GS391">
        <v>70</v>
      </c>
      <c r="GT391">
        <v>1</v>
      </c>
      <c r="GU391" t="s">
        <v>457</v>
      </c>
      <c r="GV391">
        <v>125921164.030661</v>
      </c>
      <c r="GW391">
        <v>1451704639.81288</v>
      </c>
      <c r="GX391">
        <v>1577625803.84354</v>
      </c>
      <c r="GY391">
        <v>0</v>
      </c>
      <c r="GZ391">
        <v>1577625803.84354</v>
      </c>
      <c r="HA391">
        <v>1577625803.84354</v>
      </c>
      <c r="HB391">
        <v>0</v>
      </c>
      <c r="HC391">
        <v>0</v>
      </c>
      <c r="HD391" t="s">
        <v>137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0.05</v>
      </c>
      <c r="HX391">
        <v>0.97798234361883296</v>
      </c>
      <c r="HY391">
        <v>1</v>
      </c>
      <c r="HZ391">
        <v>300000</v>
      </c>
      <c r="IA391">
        <v>0</v>
      </c>
      <c r="IB391">
        <v>0</v>
      </c>
      <c r="IC391">
        <v>0</v>
      </c>
      <c r="ID391">
        <v>0</v>
      </c>
      <c r="IE391">
        <v>300000</v>
      </c>
      <c r="IF391">
        <v>293394.70308564999</v>
      </c>
      <c r="IG391">
        <v>293394.70308564999</v>
      </c>
      <c r="IH391">
        <v>0</v>
      </c>
      <c r="II391">
        <v>6281388.4663787903</v>
      </c>
      <c r="IJ391">
        <v>72585231.990643993</v>
      </c>
      <c r="IK391">
        <v>0</v>
      </c>
      <c r="IL391">
        <v>0</v>
      </c>
      <c r="IM391">
        <v>0</v>
      </c>
      <c r="IN391">
        <v>131909157.793955</v>
      </c>
      <c r="IO391">
        <v>1524289871.80352</v>
      </c>
      <c r="IP391">
        <v>1656199029.5974801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</row>
    <row r="392" spans="2:268" customFormat="1" x14ac:dyDescent="0.25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3"/>
      <c r="N392" s="3"/>
      <c r="O392" s="3"/>
      <c r="P392" s="2"/>
      <c r="Q392" s="2"/>
      <c r="R392" s="2"/>
      <c r="S392" s="2"/>
      <c r="T392" s="2"/>
      <c r="U392" s="2"/>
      <c r="V392" s="3"/>
      <c r="W392" s="3"/>
      <c r="X392" s="3"/>
      <c r="Y392" s="3"/>
      <c r="Z392" s="3"/>
      <c r="AA392" s="3"/>
      <c r="AB392" s="3"/>
      <c r="AC392" s="2"/>
      <c r="AD392" s="2"/>
      <c r="AE392" s="2"/>
      <c r="AF392" s="2"/>
      <c r="AG392" s="2"/>
      <c r="AH392" s="2"/>
      <c r="AI392" s="2"/>
      <c r="AJ392" s="3"/>
      <c r="AK392" s="2"/>
      <c r="AL392" s="2"/>
      <c r="AM392" s="2"/>
      <c r="AN392" s="2"/>
      <c r="AO392" s="3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3"/>
      <c r="BC392" s="3"/>
      <c r="BD392" s="3"/>
      <c r="BE392" s="3"/>
      <c r="BF392" s="3"/>
      <c r="BG392" s="3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2"/>
      <c r="DI392" s="2"/>
      <c r="DJ392" s="3"/>
      <c r="DK392" s="3"/>
      <c r="DL392" s="2"/>
      <c r="DM392" s="2"/>
      <c r="DN392" s="2"/>
      <c r="DO392" s="3"/>
      <c r="DP392" s="3"/>
      <c r="GO392" t="s">
        <v>144</v>
      </c>
      <c r="GP392" t="s">
        <v>501</v>
      </c>
      <c r="GQ392" t="s">
        <v>502</v>
      </c>
      <c r="GR392">
        <v>72</v>
      </c>
      <c r="GS392">
        <v>71</v>
      </c>
      <c r="GT392">
        <v>1</v>
      </c>
      <c r="GU392" t="s">
        <v>457</v>
      </c>
      <c r="GV392">
        <v>131909157.793955</v>
      </c>
      <c r="GW392">
        <v>1524289871.80352</v>
      </c>
      <c r="GX392">
        <v>1656199029.5974801</v>
      </c>
      <c r="GY392">
        <v>0</v>
      </c>
      <c r="GZ392">
        <v>1656199029.5974801</v>
      </c>
      <c r="HA392">
        <v>1656199029.5974801</v>
      </c>
      <c r="HB392">
        <v>0</v>
      </c>
      <c r="HC392">
        <v>0</v>
      </c>
      <c r="HD392" t="s">
        <v>137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0.05</v>
      </c>
      <c r="HX392">
        <v>0.97798234361883296</v>
      </c>
      <c r="HY392">
        <v>1</v>
      </c>
      <c r="HZ392">
        <v>300000</v>
      </c>
      <c r="IA392">
        <v>0</v>
      </c>
      <c r="IB392">
        <v>0</v>
      </c>
      <c r="IC392">
        <v>0</v>
      </c>
      <c r="ID392">
        <v>0</v>
      </c>
      <c r="IE392">
        <v>300000</v>
      </c>
      <c r="IF392">
        <v>293394.70308564999</v>
      </c>
      <c r="IG392">
        <v>293394.70308564999</v>
      </c>
      <c r="IH392">
        <v>0</v>
      </c>
      <c r="II392">
        <v>6580788.1545434501</v>
      </c>
      <c r="IJ392">
        <v>76214493.590176195</v>
      </c>
      <c r="IK392">
        <v>0</v>
      </c>
      <c r="IL392">
        <v>0</v>
      </c>
      <c r="IM392">
        <v>0</v>
      </c>
      <c r="IN392">
        <v>138196551.24541199</v>
      </c>
      <c r="IO392">
        <v>1600504365.3936999</v>
      </c>
      <c r="IP392">
        <v>1738700916.6391101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</row>
    <row r="393" spans="2:268" customFormat="1" x14ac:dyDescent="0.25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3"/>
      <c r="N393" s="3"/>
      <c r="O393" s="3"/>
      <c r="P393" s="2"/>
      <c r="Q393" s="2"/>
      <c r="R393" s="2"/>
      <c r="S393" s="2"/>
      <c r="T393" s="2"/>
      <c r="U393" s="2"/>
      <c r="V393" s="3"/>
      <c r="W393" s="3"/>
      <c r="X393" s="3"/>
      <c r="Y393" s="3"/>
      <c r="Z393" s="3"/>
      <c r="AA393" s="3"/>
      <c r="AB393" s="3"/>
      <c r="AC393" s="2"/>
      <c r="AD393" s="2"/>
      <c r="AE393" s="2"/>
      <c r="AF393" s="2"/>
      <c r="AG393" s="2"/>
      <c r="AH393" s="2"/>
      <c r="AI393" s="2"/>
      <c r="AJ393" s="3"/>
      <c r="AK393" s="2"/>
      <c r="AL393" s="2"/>
      <c r="AM393" s="2"/>
      <c r="AN393" s="2"/>
      <c r="AO393" s="3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3"/>
      <c r="BC393" s="3"/>
      <c r="BD393" s="3"/>
      <c r="BE393" s="3"/>
      <c r="BF393" s="3"/>
      <c r="BG393" s="3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2"/>
      <c r="DI393" s="2"/>
      <c r="DJ393" s="3"/>
      <c r="DK393" s="3"/>
      <c r="DL393" s="2"/>
      <c r="DM393" s="2"/>
      <c r="DN393" s="2"/>
      <c r="DO393" s="3"/>
      <c r="DP393" s="3"/>
      <c r="GO393" t="s">
        <v>144</v>
      </c>
      <c r="GP393" t="s">
        <v>501</v>
      </c>
      <c r="GQ393" t="s">
        <v>502</v>
      </c>
      <c r="GR393">
        <v>73</v>
      </c>
      <c r="GS393">
        <v>72</v>
      </c>
      <c r="GT393">
        <v>1</v>
      </c>
      <c r="GU393" t="s">
        <v>457</v>
      </c>
      <c r="GV393">
        <v>138196551.24541199</v>
      </c>
      <c r="GW393">
        <v>1600504365.3936999</v>
      </c>
      <c r="GX393">
        <v>1738700916.6391101</v>
      </c>
      <c r="GY393">
        <v>0</v>
      </c>
      <c r="GZ393">
        <v>1738700916.6391101</v>
      </c>
      <c r="HA393">
        <v>1738700916.6391101</v>
      </c>
      <c r="HB393">
        <v>0</v>
      </c>
      <c r="HC393">
        <v>0</v>
      </c>
      <c r="HD393" t="s">
        <v>137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0.05</v>
      </c>
      <c r="HX393">
        <v>0.97798234361883296</v>
      </c>
      <c r="HY393">
        <v>1</v>
      </c>
      <c r="HZ393">
        <v>300000</v>
      </c>
      <c r="IA393">
        <v>0</v>
      </c>
      <c r="IB393">
        <v>0</v>
      </c>
      <c r="IC393">
        <v>0</v>
      </c>
      <c r="ID393">
        <v>0</v>
      </c>
      <c r="IE393">
        <v>300000</v>
      </c>
      <c r="IF393">
        <v>293394.70308564999</v>
      </c>
      <c r="IG393">
        <v>293394.70308564999</v>
      </c>
      <c r="IH393">
        <v>0</v>
      </c>
      <c r="II393">
        <v>6895157.8271163404</v>
      </c>
      <c r="IJ393">
        <v>80025218.269685</v>
      </c>
      <c r="IK393">
        <v>0</v>
      </c>
      <c r="IL393">
        <v>0</v>
      </c>
      <c r="IM393">
        <v>0</v>
      </c>
      <c r="IN393">
        <v>144798314.369443</v>
      </c>
      <c r="IO393">
        <v>1680529583.6633899</v>
      </c>
      <c r="IP393">
        <v>1825327898.03283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</row>
    <row r="394" spans="2:268" customFormat="1" x14ac:dyDescent="0.25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3"/>
      <c r="N394" s="3"/>
      <c r="O394" s="3"/>
      <c r="P394" s="2"/>
      <c r="Q394" s="2"/>
      <c r="R394" s="2"/>
      <c r="S394" s="2"/>
      <c r="T394" s="2"/>
      <c r="U394" s="2"/>
      <c r="V394" s="3"/>
      <c r="W394" s="3"/>
      <c r="X394" s="3"/>
      <c r="Y394" s="3"/>
      <c r="Z394" s="3"/>
      <c r="AA394" s="3"/>
      <c r="AB394" s="3"/>
      <c r="AC394" s="2"/>
      <c r="AD394" s="2"/>
      <c r="AE394" s="2"/>
      <c r="AF394" s="2"/>
      <c r="AG394" s="2"/>
      <c r="AH394" s="2"/>
      <c r="AI394" s="2"/>
      <c r="AJ394" s="3"/>
      <c r="AK394" s="2"/>
      <c r="AL394" s="2"/>
      <c r="AM394" s="2"/>
      <c r="AN394" s="2"/>
      <c r="AO394" s="3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3"/>
      <c r="BC394" s="3"/>
      <c r="BD394" s="3"/>
      <c r="BE394" s="3"/>
      <c r="BF394" s="3"/>
      <c r="BG394" s="3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2"/>
      <c r="DI394" s="2"/>
      <c r="DJ394" s="3"/>
      <c r="DK394" s="3"/>
      <c r="DL394" s="2"/>
      <c r="DM394" s="2"/>
      <c r="DN394" s="2"/>
      <c r="DO394" s="3"/>
      <c r="DP394" s="3"/>
      <c r="GO394" t="s">
        <v>144</v>
      </c>
      <c r="GP394" t="s">
        <v>501</v>
      </c>
      <c r="GQ394" t="s">
        <v>502</v>
      </c>
      <c r="GR394">
        <v>74</v>
      </c>
      <c r="GS394">
        <v>73</v>
      </c>
      <c r="GT394">
        <v>1</v>
      </c>
      <c r="GU394" t="s">
        <v>457</v>
      </c>
      <c r="GV394">
        <v>144798314.369443</v>
      </c>
      <c r="GW394">
        <v>1680529583.6633899</v>
      </c>
      <c r="GX394">
        <v>1825327898.03283</v>
      </c>
      <c r="GY394">
        <v>0</v>
      </c>
      <c r="GZ394">
        <v>1825327898.03283</v>
      </c>
      <c r="HA394">
        <v>1825327898.03283</v>
      </c>
      <c r="HB394">
        <v>0</v>
      </c>
      <c r="HC394">
        <v>0</v>
      </c>
      <c r="HD394" t="s">
        <v>137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0.05</v>
      </c>
      <c r="HX394">
        <v>0.97798234361883296</v>
      </c>
      <c r="HY394">
        <v>1</v>
      </c>
      <c r="HZ394">
        <v>300000</v>
      </c>
      <c r="IA394">
        <v>0</v>
      </c>
      <c r="IB394">
        <v>0</v>
      </c>
      <c r="IC394">
        <v>0</v>
      </c>
      <c r="ID394">
        <v>0</v>
      </c>
      <c r="IE394">
        <v>300000</v>
      </c>
      <c r="IF394">
        <v>293394.70308564999</v>
      </c>
      <c r="IG394">
        <v>293394.70308564999</v>
      </c>
      <c r="IH394">
        <v>0</v>
      </c>
      <c r="II394">
        <v>7225245.9833178697</v>
      </c>
      <c r="IJ394">
        <v>84026479.183169305</v>
      </c>
      <c r="IK394">
        <v>0</v>
      </c>
      <c r="IL394">
        <v>0</v>
      </c>
      <c r="IM394">
        <v>0</v>
      </c>
      <c r="IN394">
        <v>151730165.64967501</v>
      </c>
      <c r="IO394">
        <v>1764556062.84655</v>
      </c>
      <c r="IP394">
        <v>1916286228.4962299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</row>
    <row r="395" spans="2:268" customFormat="1" x14ac:dyDescent="0.25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3"/>
      <c r="N395" s="3"/>
      <c r="O395" s="3"/>
      <c r="P395" s="2"/>
      <c r="Q395" s="2"/>
      <c r="R395" s="2"/>
      <c r="S395" s="2"/>
      <c r="T395" s="2"/>
      <c r="U395" s="2"/>
      <c r="V395" s="3"/>
      <c r="W395" s="3"/>
      <c r="X395" s="3"/>
      <c r="Y395" s="3"/>
      <c r="Z395" s="3"/>
      <c r="AA395" s="3"/>
      <c r="AB395" s="3"/>
      <c r="AC395" s="2"/>
      <c r="AD395" s="2"/>
      <c r="AE395" s="2"/>
      <c r="AF395" s="2"/>
      <c r="AG395" s="2"/>
      <c r="AH395" s="2"/>
      <c r="AI395" s="2"/>
      <c r="AJ395" s="3"/>
      <c r="AK395" s="2"/>
      <c r="AL395" s="2"/>
      <c r="AM395" s="2"/>
      <c r="AN395" s="2"/>
      <c r="AO395" s="3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3"/>
      <c r="BC395" s="3"/>
      <c r="BD395" s="3"/>
      <c r="BE395" s="3"/>
      <c r="BF395" s="3"/>
      <c r="BG395" s="3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2"/>
      <c r="DI395" s="2"/>
      <c r="DJ395" s="3"/>
      <c r="DK395" s="3"/>
      <c r="DL395" s="2"/>
      <c r="DM395" s="2"/>
      <c r="DN395" s="2"/>
      <c r="DO395" s="3"/>
      <c r="DP395" s="3"/>
      <c r="GO395" t="s">
        <v>144</v>
      </c>
      <c r="GP395" t="s">
        <v>501</v>
      </c>
      <c r="GQ395" t="s">
        <v>502</v>
      </c>
      <c r="GR395">
        <v>75</v>
      </c>
      <c r="GS395">
        <v>74</v>
      </c>
      <c r="GT395">
        <v>1</v>
      </c>
      <c r="GU395" t="s">
        <v>457</v>
      </c>
      <c r="GV395">
        <v>151730165.64967501</v>
      </c>
      <c r="GW395">
        <v>1764556062.84655</v>
      </c>
      <c r="GX395">
        <v>1916286228.4962299</v>
      </c>
      <c r="GY395">
        <v>0</v>
      </c>
      <c r="GZ395">
        <v>1916286228.4962299</v>
      </c>
      <c r="HA395">
        <v>1916286228.4962299</v>
      </c>
      <c r="HB395">
        <v>0</v>
      </c>
      <c r="HC395">
        <v>0</v>
      </c>
      <c r="HD395" t="s">
        <v>137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0.05</v>
      </c>
      <c r="HX395">
        <v>0.97798234361883296</v>
      </c>
      <c r="HY395">
        <v>1</v>
      </c>
      <c r="HZ395">
        <v>300000</v>
      </c>
      <c r="IA395">
        <v>0</v>
      </c>
      <c r="IB395">
        <v>0</v>
      </c>
      <c r="IC395">
        <v>0</v>
      </c>
      <c r="ID395">
        <v>0</v>
      </c>
      <c r="IE395">
        <v>300000</v>
      </c>
      <c r="IF395">
        <v>293394.70308564999</v>
      </c>
      <c r="IG395">
        <v>293394.70308564999</v>
      </c>
      <c r="IH395">
        <v>0</v>
      </c>
      <c r="II395">
        <v>7571838.5473294798</v>
      </c>
      <c r="IJ395">
        <v>88227803.1423278</v>
      </c>
      <c r="IK395">
        <v>0</v>
      </c>
      <c r="IL395">
        <v>0</v>
      </c>
      <c r="IM395">
        <v>0</v>
      </c>
      <c r="IN395">
        <v>159008609.49391899</v>
      </c>
      <c r="IO395">
        <v>1852783865.9888799</v>
      </c>
      <c r="IP395">
        <v>2011792475.4828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</row>
    <row r="396" spans="2:268" customFormat="1" x14ac:dyDescent="0.25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3"/>
      <c r="N396" s="3"/>
      <c r="O396" s="3"/>
      <c r="P396" s="2"/>
      <c r="Q396" s="2"/>
      <c r="R396" s="2"/>
      <c r="S396" s="2"/>
      <c r="T396" s="2"/>
      <c r="U396" s="2"/>
      <c r="V396" s="3"/>
      <c r="W396" s="3"/>
      <c r="X396" s="3"/>
      <c r="Y396" s="3"/>
      <c r="Z396" s="3"/>
      <c r="AA396" s="3"/>
      <c r="AB396" s="3"/>
      <c r="AC396" s="2"/>
      <c r="AD396" s="2"/>
      <c r="AE396" s="2"/>
      <c r="AF396" s="2"/>
      <c r="AG396" s="2"/>
      <c r="AH396" s="2"/>
      <c r="AI396" s="2"/>
      <c r="AJ396" s="3"/>
      <c r="AK396" s="2"/>
      <c r="AL396" s="2"/>
      <c r="AM396" s="2"/>
      <c r="AN396" s="2"/>
      <c r="AO396" s="3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3"/>
      <c r="BC396" s="3"/>
      <c r="BD396" s="3"/>
      <c r="BE396" s="3"/>
      <c r="BF396" s="3"/>
      <c r="BG396" s="3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2"/>
      <c r="DI396" s="2"/>
      <c r="DJ396" s="3"/>
      <c r="DK396" s="3"/>
      <c r="DL396" s="2"/>
      <c r="DM396" s="2"/>
      <c r="DN396" s="2"/>
      <c r="DO396" s="3"/>
      <c r="DP396" s="3"/>
      <c r="GO396" t="s">
        <v>144</v>
      </c>
      <c r="GP396" t="s">
        <v>501</v>
      </c>
      <c r="GQ396" t="s">
        <v>502</v>
      </c>
      <c r="GR396">
        <v>76</v>
      </c>
      <c r="GS396">
        <v>75</v>
      </c>
      <c r="GT396">
        <v>1</v>
      </c>
      <c r="GU396" t="s">
        <v>457</v>
      </c>
      <c r="GV396">
        <v>159008609.49391899</v>
      </c>
      <c r="GW396">
        <v>1852783865.9888799</v>
      </c>
      <c r="GX396">
        <v>2011792475.4828</v>
      </c>
      <c r="GY396">
        <v>0</v>
      </c>
      <c r="GZ396">
        <v>2011792475.4828</v>
      </c>
      <c r="HA396">
        <v>2011792475.4828</v>
      </c>
      <c r="HB396">
        <v>0</v>
      </c>
      <c r="HC396">
        <v>0</v>
      </c>
      <c r="HD396" t="s">
        <v>137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0.05</v>
      </c>
      <c r="HX396">
        <v>0.97798234361883296</v>
      </c>
      <c r="HY396">
        <v>1</v>
      </c>
      <c r="HZ396">
        <v>300000</v>
      </c>
      <c r="IA396">
        <v>0</v>
      </c>
      <c r="IB396">
        <v>0</v>
      </c>
      <c r="IC396">
        <v>0</v>
      </c>
      <c r="ID396">
        <v>0</v>
      </c>
      <c r="IE396">
        <v>300000</v>
      </c>
      <c r="IF396">
        <v>293394.70308564999</v>
      </c>
      <c r="IG396">
        <v>293394.70308564999</v>
      </c>
      <c r="IH396">
        <v>0</v>
      </c>
      <c r="II396">
        <v>7935760.7395416796</v>
      </c>
      <c r="IJ396">
        <v>92639193.299444094</v>
      </c>
      <c r="IK396">
        <v>0</v>
      </c>
      <c r="IL396">
        <v>0</v>
      </c>
      <c r="IM396">
        <v>0</v>
      </c>
      <c r="IN396">
        <v>166650975.530375</v>
      </c>
      <c r="IO396">
        <v>1945423059.2883301</v>
      </c>
      <c r="IP396">
        <v>2112074034.8187001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</row>
    <row r="397" spans="2:268" customFormat="1" x14ac:dyDescent="0.25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3"/>
      <c r="N397" s="3"/>
      <c r="O397" s="3"/>
      <c r="P397" s="2"/>
      <c r="Q397" s="2"/>
      <c r="R397" s="2"/>
      <c r="S397" s="2"/>
      <c r="T397" s="2"/>
      <c r="U397" s="2"/>
      <c r="V397" s="3"/>
      <c r="W397" s="3"/>
      <c r="X397" s="3"/>
      <c r="Y397" s="3"/>
      <c r="Z397" s="3"/>
      <c r="AA397" s="3"/>
      <c r="AB397" s="3"/>
      <c r="AC397" s="2"/>
      <c r="AD397" s="2"/>
      <c r="AE397" s="2"/>
      <c r="AF397" s="2"/>
      <c r="AG397" s="2"/>
      <c r="AH397" s="2"/>
      <c r="AI397" s="2"/>
      <c r="AJ397" s="3"/>
      <c r="AK397" s="2"/>
      <c r="AL397" s="2"/>
      <c r="AM397" s="2"/>
      <c r="AN397" s="2"/>
      <c r="AO397" s="3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3"/>
      <c r="BC397" s="3"/>
      <c r="BD397" s="3"/>
      <c r="BE397" s="3"/>
      <c r="BF397" s="3"/>
      <c r="BG397" s="3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2"/>
      <c r="DI397" s="2"/>
      <c r="DJ397" s="3"/>
      <c r="DK397" s="3"/>
      <c r="DL397" s="2"/>
      <c r="DM397" s="2"/>
      <c r="DN397" s="2"/>
      <c r="DO397" s="3"/>
      <c r="DP397" s="3"/>
      <c r="GO397" t="s">
        <v>144</v>
      </c>
      <c r="GP397" t="s">
        <v>501</v>
      </c>
      <c r="GQ397" t="s">
        <v>502</v>
      </c>
      <c r="GR397">
        <v>77</v>
      </c>
      <c r="GS397">
        <v>76</v>
      </c>
      <c r="GT397">
        <v>1</v>
      </c>
      <c r="GU397" t="s">
        <v>457</v>
      </c>
      <c r="GV397">
        <v>166650975.530375</v>
      </c>
      <c r="GW397">
        <v>1945423059.2883301</v>
      </c>
      <c r="GX397">
        <v>2112074034.8187001</v>
      </c>
      <c r="GY397">
        <v>0</v>
      </c>
      <c r="GZ397">
        <v>2112074034.8187001</v>
      </c>
      <c r="HA397">
        <v>2112074034.8187001</v>
      </c>
      <c r="HB397">
        <v>0</v>
      </c>
      <c r="HC397">
        <v>0</v>
      </c>
      <c r="HD397" t="s">
        <v>137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0.05</v>
      </c>
      <c r="HX397">
        <v>0.97798234361883296</v>
      </c>
      <c r="HY397">
        <v>1</v>
      </c>
      <c r="HZ397">
        <v>300000</v>
      </c>
      <c r="IA397">
        <v>0</v>
      </c>
      <c r="IB397">
        <v>0</v>
      </c>
      <c r="IC397">
        <v>0</v>
      </c>
      <c r="ID397">
        <v>0</v>
      </c>
      <c r="IE397">
        <v>300000</v>
      </c>
      <c r="IF397">
        <v>293394.70308564999</v>
      </c>
      <c r="IG397">
        <v>293394.70308564999</v>
      </c>
      <c r="IH397">
        <v>0</v>
      </c>
      <c r="II397">
        <v>8317879.0413644798</v>
      </c>
      <c r="IJ397">
        <v>97271152.9644164</v>
      </c>
      <c r="IK397">
        <v>0</v>
      </c>
      <c r="IL397">
        <v>0</v>
      </c>
      <c r="IM397">
        <v>0</v>
      </c>
      <c r="IN397">
        <v>174675459.86865401</v>
      </c>
      <c r="IO397">
        <v>2042694212.2527399</v>
      </c>
      <c r="IP397">
        <v>2217369672.1213999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</row>
    <row r="398" spans="2:268" customFormat="1" x14ac:dyDescent="0.25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3"/>
      <c r="N398" s="3"/>
      <c r="O398" s="3"/>
      <c r="P398" s="2"/>
      <c r="Q398" s="2"/>
      <c r="R398" s="2"/>
      <c r="S398" s="2"/>
      <c r="T398" s="2"/>
      <c r="U398" s="2"/>
      <c r="V398" s="3"/>
      <c r="W398" s="3"/>
      <c r="X398" s="3"/>
      <c r="Y398" s="3"/>
      <c r="Z398" s="3"/>
      <c r="AA398" s="3"/>
      <c r="AB398" s="3"/>
      <c r="AC398" s="2"/>
      <c r="AD398" s="2"/>
      <c r="AE398" s="2"/>
      <c r="AF398" s="2"/>
      <c r="AG398" s="2"/>
      <c r="AH398" s="2"/>
      <c r="AI398" s="2"/>
      <c r="AJ398" s="3"/>
      <c r="AK398" s="2"/>
      <c r="AL398" s="2"/>
      <c r="AM398" s="2"/>
      <c r="AN398" s="2"/>
      <c r="AO398" s="3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3"/>
      <c r="BC398" s="3"/>
      <c r="BD398" s="3"/>
      <c r="BE398" s="3"/>
      <c r="BF398" s="3"/>
      <c r="BG398" s="3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2"/>
      <c r="DI398" s="2"/>
      <c r="DJ398" s="3"/>
      <c r="DK398" s="3"/>
      <c r="DL398" s="2"/>
      <c r="DM398" s="2"/>
      <c r="DN398" s="2"/>
      <c r="DO398" s="3"/>
      <c r="DP398" s="3"/>
      <c r="GO398" t="s">
        <v>144</v>
      </c>
      <c r="GP398" t="s">
        <v>501</v>
      </c>
      <c r="GQ398" t="s">
        <v>502</v>
      </c>
      <c r="GR398">
        <v>78</v>
      </c>
      <c r="GS398">
        <v>77</v>
      </c>
      <c r="GT398">
        <v>1</v>
      </c>
      <c r="GU398" t="s">
        <v>457</v>
      </c>
      <c r="GV398">
        <v>174675459.86865401</v>
      </c>
      <c r="GW398">
        <v>2042694212.2527399</v>
      </c>
      <c r="GX398">
        <v>2217369672.1213999</v>
      </c>
      <c r="GY398">
        <v>0</v>
      </c>
      <c r="GZ398">
        <v>2217369672.1213999</v>
      </c>
      <c r="HA398">
        <v>2217369672.1213999</v>
      </c>
      <c r="HB398">
        <v>0</v>
      </c>
      <c r="HC398">
        <v>0</v>
      </c>
      <c r="HD398" t="s">
        <v>137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0.05</v>
      </c>
      <c r="HX398">
        <v>0.97798234361883296</v>
      </c>
      <c r="HY398">
        <v>1</v>
      </c>
      <c r="HZ398">
        <v>300000</v>
      </c>
      <c r="IA398">
        <v>0</v>
      </c>
      <c r="IB398">
        <v>0</v>
      </c>
      <c r="IC398">
        <v>0</v>
      </c>
      <c r="ID398">
        <v>0</v>
      </c>
      <c r="IE398">
        <v>300000</v>
      </c>
      <c r="IF398">
        <v>293394.70308564999</v>
      </c>
      <c r="IG398">
        <v>293394.70308564999</v>
      </c>
      <c r="IH398">
        <v>0</v>
      </c>
      <c r="II398">
        <v>8719103.2582784202</v>
      </c>
      <c r="IJ398">
        <v>102134710.612637</v>
      </c>
      <c r="IK398">
        <v>0</v>
      </c>
      <c r="IL398">
        <v>0</v>
      </c>
      <c r="IM398">
        <v>0</v>
      </c>
      <c r="IN398">
        <v>183101168.42384699</v>
      </c>
      <c r="IO398">
        <v>2144828922.86538</v>
      </c>
      <c r="IP398">
        <v>2327930091.2892299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</row>
    <row r="399" spans="2:268" customFormat="1" x14ac:dyDescent="0.25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3"/>
      <c r="N399" s="3"/>
      <c r="O399" s="3"/>
      <c r="P399" s="2"/>
      <c r="Q399" s="2"/>
      <c r="R399" s="2"/>
      <c r="S399" s="2"/>
      <c r="T399" s="2"/>
      <c r="U399" s="2"/>
      <c r="V399" s="3"/>
      <c r="W399" s="3"/>
      <c r="X399" s="3"/>
      <c r="Y399" s="3"/>
      <c r="Z399" s="3"/>
      <c r="AA399" s="3"/>
      <c r="AB399" s="3"/>
      <c r="AC399" s="2"/>
      <c r="AD399" s="2"/>
      <c r="AE399" s="2"/>
      <c r="AF399" s="2"/>
      <c r="AG399" s="2"/>
      <c r="AH399" s="2"/>
      <c r="AI399" s="2"/>
      <c r="AJ399" s="3"/>
      <c r="AK399" s="2"/>
      <c r="AL399" s="2"/>
      <c r="AM399" s="2"/>
      <c r="AN399" s="2"/>
      <c r="AO399" s="3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3"/>
      <c r="BC399" s="3"/>
      <c r="BD399" s="3"/>
      <c r="BE399" s="3"/>
      <c r="BF399" s="3"/>
      <c r="BG399" s="3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2"/>
      <c r="DI399" s="2"/>
      <c r="DJ399" s="3"/>
      <c r="DK399" s="3"/>
      <c r="DL399" s="2"/>
      <c r="DM399" s="2"/>
      <c r="DN399" s="2"/>
      <c r="DO399" s="3"/>
      <c r="DP399" s="3"/>
      <c r="GO399" t="s">
        <v>144</v>
      </c>
      <c r="GP399" t="s">
        <v>501</v>
      </c>
      <c r="GQ399" t="s">
        <v>502</v>
      </c>
      <c r="GR399">
        <v>79</v>
      </c>
      <c r="GS399">
        <v>78</v>
      </c>
      <c r="GT399">
        <v>1</v>
      </c>
      <c r="GU399" t="s">
        <v>457</v>
      </c>
      <c r="GV399">
        <v>183101168.42384699</v>
      </c>
      <c r="GW399">
        <v>2144828922.86538</v>
      </c>
      <c r="GX399">
        <v>2327930091.2892299</v>
      </c>
      <c r="GY399">
        <v>0</v>
      </c>
      <c r="GZ399">
        <v>2327930091.2892299</v>
      </c>
      <c r="HA399">
        <v>2327930091.2892299</v>
      </c>
      <c r="HB399">
        <v>0</v>
      </c>
      <c r="HC399">
        <v>0</v>
      </c>
      <c r="HD399" t="s">
        <v>137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0.05</v>
      </c>
      <c r="HX399">
        <v>0.97798234361883296</v>
      </c>
      <c r="HY399">
        <v>1</v>
      </c>
      <c r="HZ399">
        <v>300000</v>
      </c>
      <c r="IA399">
        <v>0</v>
      </c>
      <c r="IB399">
        <v>0</v>
      </c>
      <c r="IC399">
        <v>0</v>
      </c>
      <c r="ID399">
        <v>0</v>
      </c>
      <c r="IE399">
        <v>300000</v>
      </c>
      <c r="IF399">
        <v>293394.70308564999</v>
      </c>
      <c r="IG399">
        <v>293394.70308564999</v>
      </c>
      <c r="IH399">
        <v>0</v>
      </c>
      <c r="II399">
        <v>9140388.6860380601</v>
      </c>
      <c r="IJ399">
        <v>107241446.143269</v>
      </c>
      <c r="IK399">
        <v>0</v>
      </c>
      <c r="IL399">
        <v>0</v>
      </c>
      <c r="IM399">
        <v>0</v>
      </c>
      <c r="IN399">
        <v>191948162.40679899</v>
      </c>
      <c r="IO399">
        <v>2252070369.0086498</v>
      </c>
      <c r="IP399">
        <v>2444018531.4154501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</row>
    <row r="400" spans="2:268" customFormat="1" x14ac:dyDescent="0.25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3"/>
      <c r="N400" s="3"/>
      <c r="O400" s="3"/>
      <c r="P400" s="2"/>
      <c r="Q400" s="2"/>
      <c r="R400" s="2"/>
      <c r="S400" s="2"/>
      <c r="T400" s="2"/>
      <c r="U400" s="2"/>
      <c r="V400" s="3"/>
      <c r="W400" s="3"/>
      <c r="X400" s="3"/>
      <c r="Y400" s="3"/>
      <c r="Z400" s="3"/>
      <c r="AA400" s="3"/>
      <c r="AB400" s="3"/>
      <c r="AC400" s="2"/>
      <c r="AD400" s="2"/>
      <c r="AE400" s="2"/>
      <c r="AF400" s="2"/>
      <c r="AG400" s="2"/>
      <c r="AH400" s="2"/>
      <c r="AI400" s="2"/>
      <c r="AJ400" s="3"/>
      <c r="AK400" s="2"/>
      <c r="AL400" s="2"/>
      <c r="AM400" s="2"/>
      <c r="AN400" s="2"/>
      <c r="AO400" s="3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3"/>
      <c r="BC400" s="3"/>
      <c r="BD400" s="3"/>
      <c r="BE400" s="3"/>
      <c r="BF400" s="3"/>
      <c r="BG400" s="3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2"/>
      <c r="DI400" s="2"/>
      <c r="DJ400" s="3"/>
      <c r="DK400" s="3"/>
      <c r="DL400" s="2"/>
      <c r="DM400" s="2"/>
      <c r="DN400" s="2"/>
      <c r="DO400" s="3"/>
      <c r="DP400" s="3"/>
      <c r="GO400" t="s">
        <v>144</v>
      </c>
      <c r="GP400" t="s">
        <v>501</v>
      </c>
      <c r="GQ400" t="s">
        <v>502</v>
      </c>
      <c r="GR400">
        <v>80</v>
      </c>
      <c r="GS400">
        <v>79</v>
      </c>
      <c r="GT400">
        <v>1</v>
      </c>
      <c r="GU400" t="s">
        <v>457</v>
      </c>
      <c r="GV400">
        <v>191948162.40679899</v>
      </c>
      <c r="GW400">
        <v>2252070369.0086498</v>
      </c>
      <c r="GX400">
        <v>2444018531.4154501</v>
      </c>
      <c r="GY400">
        <v>0</v>
      </c>
      <c r="GZ400">
        <v>2444018531.4154501</v>
      </c>
      <c r="HA400">
        <v>2444018531.4154501</v>
      </c>
      <c r="HB400">
        <v>0</v>
      </c>
      <c r="HC400">
        <v>0</v>
      </c>
      <c r="HD400" t="s">
        <v>137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0.05</v>
      </c>
      <c r="HX400">
        <v>0.97798234361883296</v>
      </c>
      <c r="HY400">
        <v>1</v>
      </c>
      <c r="HZ400">
        <v>300000</v>
      </c>
      <c r="IA400">
        <v>0</v>
      </c>
      <c r="IB400">
        <v>0</v>
      </c>
      <c r="IC400">
        <v>0</v>
      </c>
      <c r="ID400">
        <v>0</v>
      </c>
      <c r="IE400">
        <v>300000</v>
      </c>
      <c r="IF400">
        <v>293394.70308564999</v>
      </c>
      <c r="IG400">
        <v>293394.70308564999</v>
      </c>
      <c r="IH400">
        <v>0</v>
      </c>
      <c r="II400">
        <v>9582738.3851856794</v>
      </c>
      <c r="IJ400">
        <v>112603518.450432</v>
      </c>
      <c r="IK400">
        <v>0</v>
      </c>
      <c r="IL400">
        <v>0</v>
      </c>
      <c r="IM400">
        <v>0</v>
      </c>
      <c r="IN400">
        <v>201237506.08889899</v>
      </c>
      <c r="IO400">
        <v>2364673887.4590802</v>
      </c>
      <c r="IP400">
        <v>2565911393.5479798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</row>
    <row r="401" spans="2:268" customFormat="1" x14ac:dyDescent="0.25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3"/>
      <c r="N401" s="3"/>
      <c r="O401" s="3"/>
      <c r="P401" s="2"/>
      <c r="Q401" s="2"/>
      <c r="R401" s="2"/>
      <c r="S401" s="2"/>
      <c r="T401" s="2"/>
      <c r="U401" s="2"/>
      <c r="V401" s="3"/>
      <c r="W401" s="3"/>
      <c r="X401" s="3"/>
      <c r="Y401" s="3"/>
      <c r="Z401" s="3"/>
      <c r="AA401" s="3"/>
      <c r="AB401" s="3"/>
      <c r="AC401" s="2"/>
      <c r="AD401" s="2"/>
      <c r="AE401" s="2"/>
      <c r="AF401" s="2"/>
      <c r="AG401" s="2"/>
      <c r="AH401" s="2"/>
      <c r="AI401" s="2"/>
      <c r="AJ401" s="3"/>
      <c r="AK401" s="2"/>
      <c r="AL401" s="2"/>
      <c r="AM401" s="2"/>
      <c r="AN401" s="2"/>
      <c r="AO401" s="3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3"/>
      <c r="BC401" s="3"/>
      <c r="BD401" s="3"/>
      <c r="BE401" s="3"/>
      <c r="BF401" s="3"/>
      <c r="BG401" s="3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2"/>
      <c r="DI401" s="2"/>
      <c r="DJ401" s="3"/>
      <c r="DK401" s="3"/>
      <c r="DL401" s="2"/>
      <c r="DM401" s="2"/>
      <c r="DN401" s="2"/>
      <c r="DO401" s="3"/>
      <c r="DP401" s="3"/>
      <c r="GO401" t="s">
        <v>144</v>
      </c>
      <c r="GP401" t="s">
        <v>501</v>
      </c>
      <c r="GQ401" t="s">
        <v>502</v>
      </c>
      <c r="GR401">
        <v>81</v>
      </c>
      <c r="GS401">
        <v>80</v>
      </c>
      <c r="GT401">
        <v>1</v>
      </c>
      <c r="GU401" t="s">
        <v>457</v>
      </c>
      <c r="GV401">
        <v>201237506.08889899</v>
      </c>
      <c r="GW401">
        <v>2364673887.4590802</v>
      </c>
      <c r="GX401">
        <v>2565911393.5479798</v>
      </c>
      <c r="GY401">
        <v>0</v>
      </c>
      <c r="GZ401">
        <v>2565911393.5479798</v>
      </c>
      <c r="HA401">
        <v>2565911393.5479798</v>
      </c>
      <c r="HB401">
        <v>0</v>
      </c>
      <c r="HC401">
        <v>0</v>
      </c>
      <c r="HD401" t="s">
        <v>137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0.05</v>
      </c>
      <c r="HX401">
        <v>0.97798234361883296</v>
      </c>
      <c r="HY401">
        <v>1</v>
      </c>
      <c r="HZ401">
        <v>300000</v>
      </c>
      <c r="IA401">
        <v>0</v>
      </c>
      <c r="IB401">
        <v>0</v>
      </c>
      <c r="IC401">
        <v>0</v>
      </c>
      <c r="ID401">
        <v>0</v>
      </c>
      <c r="IE401">
        <v>300000</v>
      </c>
      <c r="IF401">
        <v>293394.70308564999</v>
      </c>
      <c r="IG401">
        <v>293394.70308564999</v>
      </c>
      <c r="IH401">
        <v>0</v>
      </c>
      <c r="II401">
        <v>10047205.569290699</v>
      </c>
      <c r="IJ401">
        <v>118233694.372954</v>
      </c>
      <c r="IK401">
        <v>0</v>
      </c>
      <c r="IL401">
        <v>0</v>
      </c>
      <c r="IM401">
        <v>0</v>
      </c>
      <c r="IN401">
        <v>210991316.95510399</v>
      </c>
      <c r="IO401">
        <v>2482907581.8320398</v>
      </c>
      <c r="IP401">
        <v>2693898898.7871399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</row>
    <row r="402" spans="2:268" customFormat="1" x14ac:dyDescent="0.25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3"/>
      <c r="N402" s="3"/>
      <c r="O402" s="3"/>
      <c r="P402" s="2"/>
      <c r="Q402" s="2"/>
      <c r="R402" s="2"/>
      <c r="S402" s="2"/>
      <c r="T402" s="2"/>
      <c r="U402" s="2"/>
      <c r="V402" s="3"/>
      <c r="W402" s="3"/>
      <c r="X402" s="3"/>
      <c r="Y402" s="3"/>
      <c r="Z402" s="3"/>
      <c r="AA402" s="3"/>
      <c r="AB402" s="3"/>
      <c r="AC402" s="2"/>
      <c r="AD402" s="2"/>
      <c r="AE402" s="2"/>
      <c r="AF402" s="2"/>
      <c r="AG402" s="2"/>
      <c r="AH402" s="2"/>
      <c r="AI402" s="2"/>
      <c r="AJ402" s="3"/>
      <c r="AK402" s="2"/>
      <c r="AL402" s="2"/>
      <c r="AM402" s="2"/>
      <c r="AN402" s="2"/>
      <c r="AO402" s="3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3"/>
      <c r="BC402" s="3"/>
      <c r="BD402" s="3"/>
      <c r="BE402" s="3"/>
      <c r="BF402" s="3"/>
      <c r="BG402" s="3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2"/>
      <c r="DI402" s="2"/>
      <c r="DJ402" s="3"/>
      <c r="DK402" s="3"/>
      <c r="DL402" s="2"/>
      <c r="DM402" s="2"/>
      <c r="DN402" s="2"/>
      <c r="DO402" s="3"/>
      <c r="DP402" s="3"/>
      <c r="GO402" t="s">
        <v>144</v>
      </c>
      <c r="GP402" t="s">
        <v>501</v>
      </c>
      <c r="GQ402" t="s">
        <v>502</v>
      </c>
      <c r="GR402">
        <v>82</v>
      </c>
      <c r="GS402">
        <v>81</v>
      </c>
      <c r="GT402">
        <v>1</v>
      </c>
      <c r="GU402" t="s">
        <v>457</v>
      </c>
      <c r="GV402">
        <v>210991316.95510399</v>
      </c>
      <c r="GW402">
        <v>2482907581.8320398</v>
      </c>
      <c r="GX402">
        <v>2693898898.7871399</v>
      </c>
      <c r="GY402">
        <v>0</v>
      </c>
      <c r="GZ402">
        <v>2693898898.7871399</v>
      </c>
      <c r="HA402">
        <v>2693898898.7871399</v>
      </c>
      <c r="HB402">
        <v>0</v>
      </c>
      <c r="HC402">
        <v>0</v>
      </c>
      <c r="HD402" t="s">
        <v>137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0.05</v>
      </c>
      <c r="HX402">
        <v>0.97798234361883296</v>
      </c>
      <c r="HY402">
        <v>1</v>
      </c>
      <c r="HZ402">
        <v>300000</v>
      </c>
      <c r="IA402">
        <v>0</v>
      </c>
      <c r="IB402">
        <v>0</v>
      </c>
      <c r="IC402">
        <v>0</v>
      </c>
      <c r="ID402">
        <v>0</v>
      </c>
      <c r="IE402">
        <v>300000</v>
      </c>
      <c r="IF402">
        <v>293394.70308564999</v>
      </c>
      <c r="IG402">
        <v>293394.70308564999</v>
      </c>
      <c r="IH402">
        <v>0</v>
      </c>
      <c r="II402">
        <v>10534896.1126009</v>
      </c>
      <c r="IJ402">
        <v>124145379.091602</v>
      </c>
      <c r="IK402">
        <v>0</v>
      </c>
      <c r="IL402">
        <v>0</v>
      </c>
      <c r="IM402">
        <v>0</v>
      </c>
      <c r="IN402">
        <v>221232818.36461899</v>
      </c>
      <c r="IO402">
        <v>2607052960.9236398</v>
      </c>
      <c r="IP402">
        <v>2828285779.28826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</row>
    <row r="403" spans="2:268" customFormat="1" x14ac:dyDescent="0.25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3"/>
      <c r="N403" s="3"/>
      <c r="O403" s="3"/>
      <c r="P403" s="2"/>
      <c r="Q403" s="2"/>
      <c r="R403" s="2"/>
      <c r="S403" s="2"/>
      <c r="T403" s="2"/>
      <c r="U403" s="2"/>
      <c r="V403" s="3"/>
      <c r="W403" s="3"/>
      <c r="X403" s="3"/>
      <c r="Y403" s="3"/>
      <c r="Z403" s="3"/>
      <c r="AA403" s="3"/>
      <c r="AB403" s="3"/>
      <c r="AC403" s="2"/>
      <c r="AD403" s="2"/>
      <c r="AE403" s="2"/>
      <c r="AF403" s="2"/>
      <c r="AG403" s="2"/>
      <c r="AH403" s="2"/>
      <c r="AI403" s="2"/>
      <c r="AJ403" s="3"/>
      <c r="AK403" s="2"/>
      <c r="AL403" s="2"/>
      <c r="AM403" s="2"/>
      <c r="AN403" s="2"/>
      <c r="AO403" s="3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3"/>
      <c r="BC403" s="3"/>
      <c r="BD403" s="3"/>
      <c r="BE403" s="3"/>
      <c r="BF403" s="3"/>
      <c r="BG403" s="3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2"/>
      <c r="DI403" s="2"/>
      <c r="DJ403" s="3"/>
      <c r="DK403" s="3"/>
      <c r="DL403" s="2"/>
      <c r="DM403" s="2"/>
      <c r="DN403" s="2"/>
      <c r="DO403" s="3"/>
      <c r="DP403" s="3"/>
      <c r="GO403" t="s">
        <v>144</v>
      </c>
      <c r="GP403" t="s">
        <v>501</v>
      </c>
      <c r="GQ403" t="s">
        <v>502</v>
      </c>
      <c r="GR403">
        <v>83</v>
      </c>
      <c r="GS403">
        <v>82</v>
      </c>
      <c r="GT403">
        <v>1</v>
      </c>
      <c r="GU403" t="s">
        <v>457</v>
      </c>
      <c r="GV403">
        <v>221232818.36461899</v>
      </c>
      <c r="GW403">
        <v>2607052960.9236398</v>
      </c>
      <c r="GX403">
        <v>2828285779.28826</v>
      </c>
      <c r="GY403">
        <v>0</v>
      </c>
      <c r="GZ403">
        <v>2828285779.28826</v>
      </c>
      <c r="HA403">
        <v>2828285779.28826</v>
      </c>
      <c r="HB403">
        <v>0</v>
      </c>
      <c r="HC403">
        <v>0</v>
      </c>
      <c r="HD403" t="s">
        <v>137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0.05</v>
      </c>
      <c r="HX403">
        <v>0.97798234361883296</v>
      </c>
      <c r="HY403">
        <v>1</v>
      </c>
      <c r="HZ403">
        <v>300000</v>
      </c>
      <c r="IA403">
        <v>0</v>
      </c>
      <c r="IB403">
        <v>0</v>
      </c>
      <c r="IC403">
        <v>0</v>
      </c>
      <c r="ID403">
        <v>0</v>
      </c>
      <c r="IE403">
        <v>300000</v>
      </c>
      <c r="IF403">
        <v>293394.70308564999</v>
      </c>
      <c r="IG403">
        <v>293394.70308564999</v>
      </c>
      <c r="IH403">
        <v>0</v>
      </c>
      <c r="II403">
        <v>11046971.1830767</v>
      </c>
      <c r="IJ403">
        <v>130352648.04618201</v>
      </c>
      <c r="IK403">
        <v>0</v>
      </c>
      <c r="IL403">
        <v>0</v>
      </c>
      <c r="IM403">
        <v>0</v>
      </c>
      <c r="IN403">
        <v>231986394.84461001</v>
      </c>
      <c r="IO403">
        <v>2737405608.96982</v>
      </c>
      <c r="IP403">
        <v>2969392003.8144302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</row>
    <row r="404" spans="2:268" customFormat="1" x14ac:dyDescent="0.25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3"/>
      <c r="N404" s="3"/>
      <c r="O404" s="3"/>
      <c r="P404" s="2"/>
      <c r="Q404" s="2"/>
      <c r="R404" s="2"/>
      <c r="S404" s="2"/>
      <c r="T404" s="2"/>
      <c r="U404" s="2"/>
      <c r="V404" s="3"/>
      <c r="W404" s="3"/>
      <c r="X404" s="3"/>
      <c r="Y404" s="3"/>
      <c r="Z404" s="3"/>
      <c r="AA404" s="3"/>
      <c r="AB404" s="3"/>
      <c r="AC404" s="2"/>
      <c r="AD404" s="2"/>
      <c r="AE404" s="2"/>
      <c r="AF404" s="2"/>
      <c r="AG404" s="2"/>
      <c r="AH404" s="2"/>
      <c r="AI404" s="2"/>
      <c r="AJ404" s="3"/>
      <c r="AK404" s="2"/>
      <c r="AL404" s="2"/>
      <c r="AM404" s="2"/>
      <c r="AN404" s="2"/>
      <c r="AO404" s="3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3"/>
      <c r="BC404" s="3"/>
      <c r="BD404" s="3"/>
      <c r="BE404" s="3"/>
      <c r="BF404" s="3"/>
      <c r="BG404" s="3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2"/>
      <c r="DI404" s="2"/>
      <c r="DJ404" s="3"/>
      <c r="DK404" s="3"/>
      <c r="DL404" s="2"/>
      <c r="DM404" s="2"/>
      <c r="DN404" s="2"/>
      <c r="DO404" s="3"/>
      <c r="DP404" s="3"/>
      <c r="GO404" t="s">
        <v>144</v>
      </c>
      <c r="GP404" t="s">
        <v>501</v>
      </c>
      <c r="GQ404" t="s">
        <v>502</v>
      </c>
      <c r="GR404">
        <v>84</v>
      </c>
      <c r="GS404">
        <v>83</v>
      </c>
      <c r="GT404">
        <v>1</v>
      </c>
      <c r="GU404" t="s">
        <v>457</v>
      </c>
      <c r="GV404">
        <v>231986394.84461001</v>
      </c>
      <c r="GW404">
        <v>2737405608.96982</v>
      </c>
      <c r="GX404">
        <v>2969392003.8144302</v>
      </c>
      <c r="GY404">
        <v>0</v>
      </c>
      <c r="GZ404">
        <v>2969392003.8144302</v>
      </c>
      <c r="HA404">
        <v>2969392003.8144302</v>
      </c>
      <c r="HB404">
        <v>0</v>
      </c>
      <c r="HC404">
        <v>0</v>
      </c>
      <c r="HD404" t="s">
        <v>137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0.05</v>
      </c>
      <c r="HX404">
        <v>0.97798234361883296</v>
      </c>
      <c r="HY404">
        <v>1</v>
      </c>
      <c r="HZ404">
        <v>300000</v>
      </c>
      <c r="IA404">
        <v>0</v>
      </c>
      <c r="IB404">
        <v>0</v>
      </c>
      <c r="IC404">
        <v>0</v>
      </c>
      <c r="ID404">
        <v>0</v>
      </c>
      <c r="IE404">
        <v>300000</v>
      </c>
      <c r="IF404">
        <v>293394.70308564999</v>
      </c>
      <c r="IG404">
        <v>293394.70308564999</v>
      </c>
      <c r="IH404">
        <v>0</v>
      </c>
      <c r="II404">
        <v>11584650.0070762</v>
      </c>
      <c r="IJ404">
        <v>136870280.44849101</v>
      </c>
      <c r="IK404">
        <v>0</v>
      </c>
      <c r="IL404">
        <v>0</v>
      </c>
      <c r="IM404">
        <v>0</v>
      </c>
      <c r="IN404">
        <v>243277650.148601</v>
      </c>
      <c r="IO404">
        <v>2874275889.4183102</v>
      </c>
      <c r="IP404">
        <v>3117553539.5669098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</row>
    <row r="405" spans="2:268" customFormat="1" x14ac:dyDescent="0.25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3"/>
      <c r="N405" s="3"/>
      <c r="O405" s="3"/>
      <c r="P405" s="2"/>
      <c r="Q405" s="2"/>
      <c r="R405" s="2"/>
      <c r="S405" s="2"/>
      <c r="T405" s="2"/>
      <c r="U405" s="2"/>
      <c r="V405" s="3"/>
      <c r="W405" s="3"/>
      <c r="X405" s="3"/>
      <c r="Y405" s="3"/>
      <c r="Z405" s="3"/>
      <c r="AA405" s="3"/>
      <c r="AB405" s="3"/>
      <c r="AC405" s="2"/>
      <c r="AD405" s="2"/>
      <c r="AE405" s="2"/>
      <c r="AF405" s="2"/>
      <c r="AG405" s="2"/>
      <c r="AH405" s="2"/>
      <c r="AI405" s="2"/>
      <c r="AJ405" s="3"/>
      <c r="AK405" s="2"/>
      <c r="AL405" s="2"/>
      <c r="AM405" s="2"/>
      <c r="AN405" s="2"/>
      <c r="AO405" s="3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3"/>
      <c r="BC405" s="3"/>
      <c r="BD405" s="3"/>
      <c r="BE405" s="3"/>
      <c r="BF405" s="3"/>
      <c r="BG405" s="3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2"/>
      <c r="DI405" s="2"/>
      <c r="DJ405" s="3"/>
      <c r="DK405" s="3"/>
      <c r="DL405" s="2"/>
      <c r="DM405" s="2"/>
      <c r="DN405" s="2"/>
      <c r="DO405" s="3"/>
      <c r="DP405" s="3"/>
      <c r="GO405" t="s">
        <v>144</v>
      </c>
      <c r="GP405" t="s">
        <v>501</v>
      </c>
      <c r="GQ405" t="s">
        <v>502</v>
      </c>
      <c r="GR405">
        <v>85</v>
      </c>
      <c r="GS405">
        <v>84</v>
      </c>
      <c r="GT405">
        <v>1</v>
      </c>
      <c r="GU405" t="s">
        <v>457</v>
      </c>
      <c r="GV405">
        <v>243277650.148601</v>
      </c>
      <c r="GW405">
        <v>2874275889.4183102</v>
      </c>
      <c r="GX405">
        <v>3117553539.5669098</v>
      </c>
      <c r="GY405">
        <v>0</v>
      </c>
      <c r="GZ405">
        <v>3117553539.5669098</v>
      </c>
      <c r="HA405">
        <v>3117553539.5669098</v>
      </c>
      <c r="HB405">
        <v>0</v>
      </c>
      <c r="HC405">
        <v>0</v>
      </c>
      <c r="HD405" t="s">
        <v>137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0.05</v>
      </c>
      <c r="HX405">
        <v>0.97798234361883296</v>
      </c>
      <c r="HY405">
        <v>1</v>
      </c>
      <c r="HZ405">
        <v>300000</v>
      </c>
      <c r="IA405">
        <v>0</v>
      </c>
      <c r="IB405">
        <v>0</v>
      </c>
      <c r="IC405">
        <v>0</v>
      </c>
      <c r="ID405">
        <v>0</v>
      </c>
      <c r="IE405">
        <v>300000</v>
      </c>
      <c r="IF405">
        <v>293394.70308564999</v>
      </c>
      <c r="IG405">
        <v>293394.70308564999</v>
      </c>
      <c r="IH405">
        <v>0</v>
      </c>
      <c r="II405">
        <v>12149212.7722758</v>
      </c>
      <c r="IJ405">
        <v>143713794.470916</v>
      </c>
      <c r="IK405">
        <v>0</v>
      </c>
      <c r="IL405">
        <v>0</v>
      </c>
      <c r="IM405">
        <v>0</v>
      </c>
      <c r="IN405">
        <v>255133468.21779099</v>
      </c>
      <c r="IO405">
        <v>3017989683.8892298</v>
      </c>
      <c r="IP405">
        <v>3273123152.1070199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</row>
    <row r="406" spans="2:268" customFormat="1" x14ac:dyDescent="0.25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3"/>
      <c r="N406" s="3"/>
      <c r="O406" s="3"/>
      <c r="P406" s="2"/>
      <c r="Q406" s="2"/>
      <c r="R406" s="2"/>
      <c r="S406" s="2"/>
      <c r="T406" s="2"/>
      <c r="U406" s="2"/>
      <c r="V406" s="3"/>
      <c r="W406" s="3"/>
      <c r="X406" s="3"/>
      <c r="Y406" s="3"/>
      <c r="Z406" s="3"/>
      <c r="AA406" s="3"/>
      <c r="AB406" s="3"/>
      <c r="AC406" s="2"/>
      <c r="AD406" s="2"/>
      <c r="AE406" s="2"/>
      <c r="AF406" s="2"/>
      <c r="AG406" s="2"/>
      <c r="AH406" s="2"/>
      <c r="AI406" s="2"/>
      <c r="AJ406" s="3"/>
      <c r="AK406" s="2"/>
      <c r="AL406" s="2"/>
      <c r="AM406" s="2"/>
      <c r="AN406" s="2"/>
      <c r="AO406" s="3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3"/>
      <c r="BC406" s="3"/>
      <c r="BD406" s="3"/>
      <c r="BE406" s="3"/>
      <c r="BF406" s="3"/>
      <c r="BG406" s="3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2"/>
      <c r="DI406" s="2"/>
      <c r="DJ406" s="3"/>
      <c r="DK406" s="3"/>
      <c r="DL406" s="2"/>
      <c r="DM406" s="2"/>
      <c r="DN406" s="2"/>
      <c r="DO406" s="3"/>
      <c r="DP406" s="3"/>
      <c r="GO406" t="s">
        <v>144</v>
      </c>
      <c r="GP406" t="s">
        <v>501</v>
      </c>
      <c r="GQ406" t="s">
        <v>502</v>
      </c>
      <c r="GR406">
        <v>86</v>
      </c>
      <c r="GS406">
        <v>85</v>
      </c>
      <c r="GT406">
        <v>1</v>
      </c>
      <c r="GU406" t="s">
        <v>457</v>
      </c>
      <c r="GV406">
        <v>255133468.21779099</v>
      </c>
      <c r="GW406">
        <v>3017989683.8892298</v>
      </c>
      <c r="GX406">
        <v>3273123152.1070199</v>
      </c>
      <c r="GY406">
        <v>0</v>
      </c>
      <c r="GZ406">
        <v>3273123152.1070199</v>
      </c>
      <c r="HA406">
        <v>3273123152.1070199</v>
      </c>
      <c r="HB406">
        <v>0</v>
      </c>
      <c r="HC406">
        <v>0</v>
      </c>
      <c r="HD406" t="s">
        <v>137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0.05</v>
      </c>
      <c r="HX406">
        <v>0.97798234361883296</v>
      </c>
      <c r="HY406">
        <v>1</v>
      </c>
      <c r="HZ406">
        <v>300000</v>
      </c>
      <c r="IA406">
        <v>0</v>
      </c>
      <c r="IB406">
        <v>0</v>
      </c>
      <c r="IC406">
        <v>0</v>
      </c>
      <c r="ID406">
        <v>0</v>
      </c>
      <c r="IE406">
        <v>300000</v>
      </c>
      <c r="IF406">
        <v>293394.70308564999</v>
      </c>
      <c r="IG406">
        <v>293394.70308564999</v>
      </c>
      <c r="IH406">
        <v>0</v>
      </c>
      <c r="II406">
        <v>12742003.6757353</v>
      </c>
      <c r="IJ406">
        <v>150899484.19446099</v>
      </c>
      <c r="IK406">
        <v>0</v>
      </c>
      <c r="IL406">
        <v>0</v>
      </c>
      <c r="IM406">
        <v>0</v>
      </c>
      <c r="IN406">
        <v>267582077.19044101</v>
      </c>
      <c r="IO406">
        <v>3168889168.0836902</v>
      </c>
      <c r="IP406">
        <v>3436471245.2741299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</row>
    <row r="407" spans="2:268" customFormat="1" x14ac:dyDescent="0.25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3"/>
      <c r="N407" s="3"/>
      <c r="O407" s="3"/>
      <c r="P407" s="2"/>
      <c r="Q407" s="2"/>
      <c r="R407" s="2"/>
      <c r="S407" s="2"/>
      <c r="T407" s="2"/>
      <c r="U407" s="2"/>
      <c r="V407" s="3"/>
      <c r="W407" s="3"/>
      <c r="X407" s="3"/>
      <c r="Y407" s="3"/>
      <c r="Z407" s="3"/>
      <c r="AA407" s="3"/>
      <c r="AB407" s="3"/>
      <c r="AC407" s="2"/>
      <c r="AD407" s="2"/>
      <c r="AE407" s="2"/>
      <c r="AF407" s="2"/>
      <c r="AG407" s="2"/>
      <c r="AH407" s="2"/>
      <c r="AI407" s="2"/>
      <c r="AJ407" s="3"/>
      <c r="AK407" s="2"/>
      <c r="AL407" s="2"/>
      <c r="AM407" s="2"/>
      <c r="AN407" s="2"/>
      <c r="AO407" s="3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3"/>
      <c r="BC407" s="3"/>
      <c r="BD407" s="3"/>
      <c r="BE407" s="3"/>
      <c r="BF407" s="3"/>
      <c r="BG407" s="3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2"/>
      <c r="DI407" s="2"/>
      <c r="DJ407" s="3"/>
      <c r="DK407" s="3"/>
      <c r="DL407" s="2"/>
      <c r="DM407" s="2"/>
      <c r="DN407" s="2"/>
      <c r="DO407" s="3"/>
      <c r="DP407" s="3"/>
      <c r="GO407" t="s">
        <v>144</v>
      </c>
      <c r="GP407" t="s">
        <v>501</v>
      </c>
      <c r="GQ407" t="s">
        <v>502</v>
      </c>
      <c r="GR407">
        <v>87</v>
      </c>
      <c r="GS407">
        <v>86</v>
      </c>
      <c r="GT407">
        <v>1</v>
      </c>
      <c r="GU407" t="s">
        <v>457</v>
      </c>
      <c r="GV407">
        <v>267582077.19044101</v>
      </c>
      <c r="GW407">
        <v>3168889168.0836902</v>
      </c>
      <c r="GX407">
        <v>3436471245.2741299</v>
      </c>
      <c r="GY407">
        <v>0</v>
      </c>
      <c r="GZ407">
        <v>3436471245.2741299</v>
      </c>
      <c r="HA407">
        <v>3436471245.2741299</v>
      </c>
      <c r="HB407">
        <v>0</v>
      </c>
      <c r="HC407">
        <v>0</v>
      </c>
      <c r="HD407" t="s">
        <v>137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0.05</v>
      </c>
      <c r="HX407">
        <v>0.97798234361883296</v>
      </c>
      <c r="HY407">
        <v>1</v>
      </c>
      <c r="HZ407">
        <v>300000</v>
      </c>
      <c r="IA407">
        <v>0</v>
      </c>
      <c r="IB407">
        <v>0</v>
      </c>
      <c r="IC407">
        <v>0</v>
      </c>
      <c r="ID407">
        <v>0</v>
      </c>
      <c r="IE407">
        <v>300000</v>
      </c>
      <c r="IF407">
        <v>293394.70308564999</v>
      </c>
      <c r="IG407">
        <v>293394.70308564999</v>
      </c>
      <c r="IH407">
        <v>0</v>
      </c>
      <c r="II407">
        <v>13364434.1243678</v>
      </c>
      <c r="IJ407">
        <v>158444458.40418401</v>
      </c>
      <c r="IK407">
        <v>0</v>
      </c>
      <c r="IL407">
        <v>0</v>
      </c>
      <c r="IM407">
        <v>0</v>
      </c>
      <c r="IN407">
        <v>280653116.61172301</v>
      </c>
      <c r="IO407">
        <v>3327333626.4878702</v>
      </c>
      <c r="IP407">
        <v>3607986743.0995898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</row>
    <row r="408" spans="2:268" customFormat="1" x14ac:dyDescent="0.25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3"/>
      <c r="N408" s="3"/>
      <c r="O408" s="3"/>
      <c r="P408" s="2"/>
      <c r="Q408" s="2"/>
      <c r="R408" s="2"/>
      <c r="S408" s="2"/>
      <c r="T408" s="2"/>
      <c r="U408" s="2"/>
      <c r="V408" s="3"/>
      <c r="W408" s="3"/>
      <c r="X408" s="3"/>
      <c r="Y408" s="3"/>
      <c r="Z408" s="3"/>
      <c r="AA408" s="3"/>
      <c r="AB408" s="3"/>
      <c r="AC408" s="2"/>
      <c r="AD408" s="2"/>
      <c r="AE408" s="2"/>
      <c r="AF408" s="2"/>
      <c r="AG408" s="2"/>
      <c r="AH408" s="2"/>
      <c r="AI408" s="2"/>
      <c r="AJ408" s="3"/>
      <c r="AK408" s="2"/>
      <c r="AL408" s="2"/>
      <c r="AM408" s="2"/>
      <c r="AN408" s="2"/>
      <c r="AO408" s="3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3"/>
      <c r="BC408" s="3"/>
      <c r="BD408" s="3"/>
      <c r="BE408" s="3"/>
      <c r="BF408" s="3"/>
      <c r="BG408" s="3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2"/>
      <c r="DI408" s="2"/>
      <c r="DJ408" s="3"/>
      <c r="DK408" s="3"/>
      <c r="DL408" s="2"/>
      <c r="DM408" s="2"/>
      <c r="DN408" s="2"/>
      <c r="DO408" s="3"/>
      <c r="DP408" s="3"/>
      <c r="GO408" t="s">
        <v>144</v>
      </c>
      <c r="GP408" t="s">
        <v>501</v>
      </c>
      <c r="GQ408" t="s">
        <v>502</v>
      </c>
      <c r="GR408">
        <v>88</v>
      </c>
      <c r="GS408">
        <v>87</v>
      </c>
      <c r="GT408">
        <v>1</v>
      </c>
      <c r="GU408" t="s">
        <v>457</v>
      </c>
      <c r="GV408">
        <v>280653116.61172301</v>
      </c>
      <c r="GW408">
        <v>3327333626.4878702</v>
      </c>
      <c r="GX408">
        <v>3607986743.0995898</v>
      </c>
      <c r="GY408">
        <v>0</v>
      </c>
      <c r="GZ408">
        <v>3607986743.0995898</v>
      </c>
      <c r="HA408">
        <v>3607986743.0995898</v>
      </c>
      <c r="HB408">
        <v>0</v>
      </c>
      <c r="HC408">
        <v>0</v>
      </c>
      <c r="HD408" t="s">
        <v>137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0.05</v>
      </c>
      <c r="HX408">
        <v>0.97798234361883296</v>
      </c>
      <c r="HY408">
        <v>1</v>
      </c>
      <c r="HZ408">
        <v>300000</v>
      </c>
      <c r="IA408">
        <v>0</v>
      </c>
      <c r="IB408">
        <v>0</v>
      </c>
      <c r="IC408">
        <v>0</v>
      </c>
      <c r="ID408">
        <v>0</v>
      </c>
      <c r="IE408">
        <v>300000</v>
      </c>
      <c r="IF408">
        <v>293394.70308564999</v>
      </c>
      <c r="IG408">
        <v>293394.70308564999</v>
      </c>
      <c r="IH408">
        <v>0</v>
      </c>
      <c r="II408">
        <v>14017986.0954319</v>
      </c>
      <c r="IJ408">
        <v>166366681.32439399</v>
      </c>
      <c r="IK408">
        <v>0</v>
      </c>
      <c r="IL408">
        <v>0</v>
      </c>
      <c r="IM408">
        <v>0</v>
      </c>
      <c r="IN408">
        <v>294377708.00406897</v>
      </c>
      <c r="IO408">
        <v>3493700307.8122602</v>
      </c>
      <c r="IP408">
        <v>3788078015.81633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</row>
    <row r="409" spans="2:268" customFormat="1" x14ac:dyDescent="0.25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3"/>
      <c r="N409" s="3"/>
      <c r="O409" s="3"/>
      <c r="P409" s="2"/>
      <c r="Q409" s="2"/>
      <c r="R409" s="2"/>
      <c r="S409" s="2"/>
      <c r="T409" s="2"/>
      <c r="U409" s="2"/>
      <c r="V409" s="3"/>
      <c r="W409" s="3"/>
      <c r="X409" s="3"/>
      <c r="Y409" s="3"/>
      <c r="Z409" s="3"/>
      <c r="AA409" s="3"/>
      <c r="AB409" s="3"/>
      <c r="AC409" s="2"/>
      <c r="AD409" s="2"/>
      <c r="AE409" s="2"/>
      <c r="AF409" s="2"/>
      <c r="AG409" s="2"/>
      <c r="AH409" s="2"/>
      <c r="AI409" s="2"/>
      <c r="AJ409" s="3"/>
      <c r="AK409" s="2"/>
      <c r="AL409" s="2"/>
      <c r="AM409" s="2"/>
      <c r="AN409" s="2"/>
      <c r="AO409" s="3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3"/>
      <c r="BC409" s="3"/>
      <c r="BD409" s="3"/>
      <c r="BE409" s="3"/>
      <c r="BF409" s="3"/>
      <c r="BG409" s="3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2"/>
      <c r="DI409" s="2"/>
      <c r="DJ409" s="3"/>
      <c r="DK409" s="3"/>
      <c r="DL409" s="2"/>
      <c r="DM409" s="2"/>
      <c r="DN409" s="2"/>
      <c r="DO409" s="3"/>
      <c r="DP409" s="3"/>
      <c r="GO409" t="s">
        <v>144</v>
      </c>
      <c r="GP409" t="s">
        <v>501</v>
      </c>
      <c r="GQ409" t="s">
        <v>502</v>
      </c>
      <c r="GR409">
        <v>89</v>
      </c>
      <c r="GS409">
        <v>88</v>
      </c>
      <c r="GT409">
        <v>1</v>
      </c>
      <c r="GU409" t="s">
        <v>457</v>
      </c>
      <c r="GV409">
        <v>294377708.00406897</v>
      </c>
      <c r="GW409">
        <v>3493700307.8122602</v>
      </c>
      <c r="GX409">
        <v>3788078015.81633</v>
      </c>
      <c r="GY409">
        <v>0</v>
      </c>
      <c r="GZ409">
        <v>3788078015.81633</v>
      </c>
      <c r="HA409">
        <v>3788078015.81633</v>
      </c>
      <c r="HB409">
        <v>0</v>
      </c>
      <c r="HC409">
        <v>0</v>
      </c>
      <c r="HD409" t="s">
        <v>137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0.05</v>
      </c>
      <c r="HX409">
        <v>0.97798234361883296</v>
      </c>
      <c r="HY409">
        <v>1</v>
      </c>
      <c r="HZ409">
        <v>300000</v>
      </c>
      <c r="IA409">
        <v>0</v>
      </c>
      <c r="IB409">
        <v>0</v>
      </c>
      <c r="IC409">
        <v>0</v>
      </c>
      <c r="ID409">
        <v>0</v>
      </c>
      <c r="IE409">
        <v>300000</v>
      </c>
      <c r="IF409">
        <v>293394.70308564999</v>
      </c>
      <c r="IG409">
        <v>293394.70308564999</v>
      </c>
      <c r="IH409">
        <v>0</v>
      </c>
      <c r="II409">
        <v>14704215.665049201</v>
      </c>
      <c r="IJ409">
        <v>174685015.39061299</v>
      </c>
      <c r="IK409">
        <v>0</v>
      </c>
      <c r="IL409">
        <v>0</v>
      </c>
      <c r="IM409">
        <v>0</v>
      </c>
      <c r="IN409">
        <v>308788528.96603298</v>
      </c>
      <c r="IO409">
        <v>3668385323.2028799</v>
      </c>
      <c r="IP409">
        <v>3977173852.16891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</row>
    <row r="410" spans="2:268" customFormat="1" x14ac:dyDescent="0.25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3"/>
      <c r="N410" s="3"/>
      <c r="O410" s="3"/>
      <c r="P410" s="2"/>
      <c r="Q410" s="2"/>
      <c r="R410" s="2"/>
      <c r="S410" s="2"/>
      <c r="T410" s="2"/>
      <c r="U410" s="2"/>
      <c r="V410" s="3"/>
      <c r="W410" s="3"/>
      <c r="X410" s="3"/>
      <c r="Y410" s="3"/>
      <c r="Z410" s="3"/>
      <c r="AA410" s="3"/>
      <c r="AB410" s="3"/>
      <c r="AC410" s="2"/>
      <c r="AD410" s="2"/>
      <c r="AE410" s="2"/>
      <c r="AF410" s="2"/>
      <c r="AG410" s="2"/>
      <c r="AH410" s="2"/>
      <c r="AI410" s="2"/>
      <c r="AJ410" s="3"/>
      <c r="AK410" s="2"/>
      <c r="AL410" s="2"/>
      <c r="AM410" s="2"/>
      <c r="AN410" s="2"/>
      <c r="AO410" s="3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3"/>
      <c r="BC410" s="3"/>
      <c r="BD410" s="3"/>
      <c r="BE410" s="3"/>
      <c r="BF410" s="3"/>
      <c r="BG410" s="3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2"/>
      <c r="DI410" s="2"/>
      <c r="DJ410" s="3"/>
      <c r="DK410" s="3"/>
      <c r="DL410" s="2"/>
      <c r="DM410" s="2"/>
      <c r="DN410" s="2"/>
      <c r="DO410" s="3"/>
      <c r="DP410" s="3"/>
      <c r="GO410" t="s">
        <v>144</v>
      </c>
      <c r="GP410" t="s">
        <v>501</v>
      </c>
      <c r="GQ410" t="s">
        <v>502</v>
      </c>
      <c r="GR410">
        <v>90</v>
      </c>
      <c r="GS410">
        <v>89</v>
      </c>
      <c r="GT410">
        <v>1</v>
      </c>
      <c r="GU410" t="s">
        <v>457</v>
      </c>
      <c r="GV410">
        <v>308788528.96603298</v>
      </c>
      <c r="GW410">
        <v>3668385323.2028799</v>
      </c>
      <c r="GX410">
        <v>3977173852.16891</v>
      </c>
      <c r="GY410">
        <v>0</v>
      </c>
      <c r="GZ410">
        <v>3977173852.16891</v>
      </c>
      <c r="HA410">
        <v>3977173852.16891</v>
      </c>
      <c r="HB410">
        <v>0</v>
      </c>
      <c r="HC410">
        <v>0</v>
      </c>
      <c r="HD410" t="s">
        <v>137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0.05</v>
      </c>
      <c r="HX410">
        <v>0.97798234361883296</v>
      </c>
      <c r="HY410">
        <v>1</v>
      </c>
      <c r="HZ410">
        <v>300000</v>
      </c>
      <c r="IA410">
        <v>0</v>
      </c>
      <c r="IB410">
        <v>0</v>
      </c>
      <c r="IC410">
        <v>0</v>
      </c>
      <c r="ID410">
        <v>0</v>
      </c>
      <c r="IE410">
        <v>300000</v>
      </c>
      <c r="IF410">
        <v>293394.70308564999</v>
      </c>
      <c r="IG410">
        <v>293394.70308564999</v>
      </c>
      <c r="IH410">
        <v>0</v>
      </c>
      <c r="II410">
        <v>15424756.713147299</v>
      </c>
      <c r="IJ410">
        <v>183419266.160144</v>
      </c>
      <c r="IK410">
        <v>0</v>
      </c>
      <c r="IL410">
        <v>0</v>
      </c>
      <c r="IM410">
        <v>0</v>
      </c>
      <c r="IN410">
        <v>323919890.97609401</v>
      </c>
      <c r="IO410">
        <v>3851804589.3630199</v>
      </c>
      <c r="IP410">
        <v>4175724480.3391199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</row>
    <row r="411" spans="2:268" customFormat="1" x14ac:dyDescent="0.25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3"/>
      <c r="N411" s="3"/>
      <c r="O411" s="3"/>
      <c r="P411" s="2"/>
      <c r="Q411" s="2"/>
      <c r="R411" s="2"/>
      <c r="S411" s="2"/>
      <c r="T411" s="2"/>
      <c r="U411" s="2"/>
      <c r="V411" s="3"/>
      <c r="W411" s="3"/>
      <c r="X411" s="3"/>
      <c r="Y411" s="3"/>
      <c r="Z411" s="3"/>
      <c r="AA411" s="3"/>
      <c r="AB411" s="3"/>
      <c r="AC411" s="2"/>
      <c r="AD411" s="2"/>
      <c r="AE411" s="2"/>
      <c r="AF411" s="2"/>
      <c r="AG411" s="2"/>
      <c r="AH411" s="2"/>
      <c r="AI411" s="2"/>
      <c r="AJ411" s="3"/>
      <c r="AK411" s="2"/>
      <c r="AL411" s="2"/>
      <c r="AM411" s="2"/>
      <c r="AN411" s="2"/>
      <c r="AO411" s="3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3"/>
      <c r="BC411" s="3"/>
      <c r="BD411" s="3"/>
      <c r="BE411" s="3"/>
      <c r="BF411" s="3"/>
      <c r="BG411" s="3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2"/>
      <c r="DI411" s="2"/>
      <c r="DJ411" s="3"/>
      <c r="DK411" s="3"/>
      <c r="DL411" s="2"/>
      <c r="DM411" s="2"/>
      <c r="DN411" s="2"/>
      <c r="DO411" s="3"/>
      <c r="DP411" s="3"/>
      <c r="GO411" t="s">
        <v>144</v>
      </c>
      <c r="GP411" t="s">
        <v>501</v>
      </c>
      <c r="GQ411" t="s">
        <v>502</v>
      </c>
      <c r="GR411">
        <v>91</v>
      </c>
      <c r="GS411">
        <v>90</v>
      </c>
      <c r="GT411">
        <v>1</v>
      </c>
      <c r="GU411" t="s">
        <v>457</v>
      </c>
      <c r="GV411">
        <v>323919890.97609401</v>
      </c>
      <c r="GW411">
        <v>3851804589.3630199</v>
      </c>
      <c r="GX411">
        <v>4175724480.3391199</v>
      </c>
      <c r="GY411">
        <v>0</v>
      </c>
      <c r="GZ411">
        <v>4175724480.3391199</v>
      </c>
      <c r="HA411">
        <v>4175724480.3391199</v>
      </c>
      <c r="HB411">
        <v>0</v>
      </c>
      <c r="HC411">
        <v>0</v>
      </c>
      <c r="HD411" t="s">
        <v>137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0.05</v>
      </c>
      <c r="HX411">
        <v>0.97798234361883296</v>
      </c>
      <c r="HY411">
        <v>1</v>
      </c>
      <c r="HZ411">
        <v>300000</v>
      </c>
      <c r="IA411">
        <v>0</v>
      </c>
      <c r="IB411">
        <v>0</v>
      </c>
      <c r="IC411">
        <v>0</v>
      </c>
      <c r="ID411">
        <v>0</v>
      </c>
      <c r="IE411">
        <v>300000</v>
      </c>
      <c r="IF411">
        <v>293394.70308564999</v>
      </c>
      <c r="IG411">
        <v>293394.70308564999</v>
      </c>
      <c r="IH411">
        <v>0</v>
      </c>
      <c r="II411">
        <v>16181324.813650399</v>
      </c>
      <c r="IJ411">
        <v>192590229.468151</v>
      </c>
      <c r="IK411">
        <v>0</v>
      </c>
      <c r="IL411">
        <v>0</v>
      </c>
      <c r="IM411">
        <v>0</v>
      </c>
      <c r="IN411">
        <v>339807821.08665901</v>
      </c>
      <c r="IO411">
        <v>4044394818.8311701</v>
      </c>
      <c r="IP411">
        <v>4384202639.9178305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</row>
    <row r="412" spans="2:268" customFormat="1" x14ac:dyDescent="0.25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3"/>
      <c r="N412" s="3"/>
      <c r="O412" s="3"/>
      <c r="P412" s="2"/>
      <c r="Q412" s="2"/>
      <c r="R412" s="2"/>
      <c r="S412" s="2"/>
      <c r="T412" s="2"/>
      <c r="U412" s="2"/>
      <c r="V412" s="3"/>
      <c r="W412" s="3"/>
      <c r="X412" s="3"/>
      <c r="Y412" s="3"/>
      <c r="Z412" s="3"/>
      <c r="AA412" s="3"/>
      <c r="AB412" s="3"/>
      <c r="AC412" s="2"/>
      <c r="AD412" s="2"/>
      <c r="AE412" s="2"/>
      <c r="AF412" s="2"/>
      <c r="AG412" s="2"/>
      <c r="AH412" s="2"/>
      <c r="AI412" s="2"/>
      <c r="AJ412" s="3"/>
      <c r="AK412" s="2"/>
      <c r="AL412" s="2"/>
      <c r="AM412" s="2"/>
      <c r="AN412" s="2"/>
      <c r="AO412" s="3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3"/>
      <c r="BC412" s="3"/>
      <c r="BD412" s="3"/>
      <c r="BE412" s="3"/>
      <c r="BF412" s="3"/>
      <c r="BG412" s="3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2"/>
      <c r="DI412" s="2"/>
      <c r="DJ412" s="3"/>
      <c r="DK412" s="3"/>
      <c r="DL412" s="2"/>
      <c r="DM412" s="2"/>
      <c r="DN412" s="2"/>
      <c r="DO412" s="3"/>
      <c r="DP412" s="3"/>
      <c r="GO412" t="s">
        <v>144</v>
      </c>
      <c r="GP412" t="s">
        <v>501</v>
      </c>
      <c r="GQ412" t="s">
        <v>502</v>
      </c>
      <c r="GR412">
        <v>92</v>
      </c>
      <c r="GS412">
        <v>91</v>
      </c>
      <c r="GT412">
        <v>1</v>
      </c>
      <c r="GU412" t="s">
        <v>457</v>
      </c>
      <c r="GV412">
        <v>339807821.08665901</v>
      </c>
      <c r="GW412">
        <v>4044394818.8311701</v>
      </c>
      <c r="GX412">
        <v>4384202639.9178305</v>
      </c>
      <c r="GY412">
        <v>0</v>
      </c>
      <c r="GZ412">
        <v>4384202639.9178305</v>
      </c>
      <c r="HA412">
        <v>4384202639.9178305</v>
      </c>
      <c r="HB412">
        <v>0</v>
      </c>
      <c r="HC412">
        <v>0</v>
      </c>
      <c r="HD412" t="s">
        <v>137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0.05</v>
      </c>
      <c r="HX412">
        <v>0.97798234361883296</v>
      </c>
      <c r="HY412">
        <v>1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16990391.054333001</v>
      </c>
      <c r="IJ412">
        <v>202219740.94155899</v>
      </c>
      <c r="IK412">
        <v>0</v>
      </c>
      <c r="IL412">
        <v>0</v>
      </c>
      <c r="IM412">
        <v>0</v>
      </c>
      <c r="IN412">
        <v>356798212.14099199</v>
      </c>
      <c r="IO412">
        <v>4246614559.7727299</v>
      </c>
      <c r="IP412">
        <v>4603412771.9137201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</row>
    <row r="413" spans="2:268" customFormat="1" x14ac:dyDescent="0.25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3"/>
      <c r="N413" s="3"/>
      <c r="O413" s="3"/>
      <c r="P413" s="2"/>
      <c r="Q413" s="2"/>
      <c r="R413" s="2"/>
      <c r="S413" s="2"/>
      <c r="T413" s="2"/>
      <c r="U413" s="2"/>
      <c r="V413" s="3"/>
      <c r="W413" s="3"/>
      <c r="X413" s="3"/>
      <c r="Y413" s="3"/>
      <c r="Z413" s="3"/>
      <c r="AA413" s="3"/>
      <c r="AB413" s="3"/>
      <c r="AC413" s="2"/>
      <c r="AD413" s="2"/>
      <c r="AE413" s="2"/>
      <c r="AF413" s="2"/>
      <c r="AG413" s="2"/>
      <c r="AH413" s="2"/>
      <c r="AI413" s="2"/>
      <c r="AJ413" s="3"/>
      <c r="AK413" s="2"/>
      <c r="AL413" s="2"/>
      <c r="AM413" s="2"/>
      <c r="AN413" s="2"/>
      <c r="AO413" s="3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3"/>
      <c r="BC413" s="3"/>
      <c r="BD413" s="3"/>
      <c r="BE413" s="3"/>
      <c r="BF413" s="3"/>
      <c r="BG413" s="3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2"/>
      <c r="DI413" s="2"/>
      <c r="DJ413" s="3"/>
      <c r="DK413" s="3"/>
      <c r="DL413" s="2"/>
      <c r="DM413" s="2"/>
      <c r="DN413" s="2"/>
      <c r="DO413" s="3"/>
      <c r="DP413" s="3"/>
      <c r="GO413" t="s">
        <v>144</v>
      </c>
      <c r="GP413" t="s">
        <v>501</v>
      </c>
      <c r="GQ413" t="s">
        <v>502</v>
      </c>
      <c r="GR413">
        <v>93</v>
      </c>
      <c r="GS413">
        <v>92</v>
      </c>
      <c r="GT413">
        <v>1</v>
      </c>
      <c r="GU413" t="s">
        <v>457</v>
      </c>
      <c r="GV413">
        <v>356798212.14099199</v>
      </c>
      <c r="GW413">
        <v>4246614559.7727299</v>
      </c>
      <c r="GX413">
        <v>4603412771.9137201</v>
      </c>
      <c r="GY413">
        <v>0</v>
      </c>
      <c r="GZ413">
        <v>4603412771.9137201</v>
      </c>
      <c r="HA413">
        <v>4603412771.9137201</v>
      </c>
      <c r="HB413">
        <v>0</v>
      </c>
      <c r="HC413">
        <v>0</v>
      </c>
      <c r="HD413" t="s">
        <v>137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0.05</v>
      </c>
      <c r="HX413">
        <v>0.97798234361883296</v>
      </c>
      <c r="HY413">
        <v>1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17839910.607049599</v>
      </c>
      <c r="IJ413">
        <v>212330727.988637</v>
      </c>
      <c r="IK413">
        <v>0</v>
      </c>
      <c r="IL413">
        <v>0</v>
      </c>
      <c r="IM413">
        <v>0</v>
      </c>
      <c r="IN413">
        <v>374638122.74804199</v>
      </c>
      <c r="IO413">
        <v>4458945287.7613697</v>
      </c>
      <c r="IP413">
        <v>4833583410.5094099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</row>
    <row r="414" spans="2:268" customFormat="1" x14ac:dyDescent="0.25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3"/>
      <c r="N414" s="3"/>
      <c r="O414" s="3"/>
      <c r="P414" s="2"/>
      <c r="Q414" s="2"/>
      <c r="R414" s="2"/>
      <c r="S414" s="2"/>
      <c r="T414" s="2"/>
      <c r="U414" s="2"/>
      <c r="V414" s="3"/>
      <c r="W414" s="3"/>
      <c r="X414" s="3"/>
      <c r="Y414" s="3"/>
      <c r="Z414" s="3"/>
      <c r="AA414" s="3"/>
      <c r="AB414" s="3"/>
      <c r="AC414" s="2"/>
      <c r="AD414" s="2"/>
      <c r="AE414" s="2"/>
      <c r="AF414" s="2"/>
      <c r="AG414" s="2"/>
      <c r="AH414" s="2"/>
      <c r="AI414" s="2"/>
      <c r="AJ414" s="3"/>
      <c r="AK414" s="2"/>
      <c r="AL414" s="2"/>
      <c r="AM414" s="2"/>
      <c r="AN414" s="2"/>
      <c r="AO414" s="3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3"/>
      <c r="BC414" s="3"/>
      <c r="BD414" s="3"/>
      <c r="BE414" s="3"/>
      <c r="BF414" s="3"/>
      <c r="BG414" s="3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2"/>
      <c r="DI414" s="2"/>
      <c r="DJ414" s="3"/>
      <c r="DK414" s="3"/>
      <c r="DL414" s="2"/>
      <c r="DM414" s="2"/>
      <c r="DN414" s="2"/>
      <c r="DO414" s="3"/>
      <c r="DP414" s="3"/>
      <c r="GO414" t="s">
        <v>144</v>
      </c>
      <c r="GP414" t="s">
        <v>501</v>
      </c>
      <c r="GQ414" t="s">
        <v>502</v>
      </c>
      <c r="GR414">
        <v>94</v>
      </c>
      <c r="GS414">
        <v>93</v>
      </c>
      <c r="GT414">
        <v>1</v>
      </c>
      <c r="GU414" t="s">
        <v>457</v>
      </c>
      <c r="GV414">
        <v>374638122.74804199</v>
      </c>
      <c r="GW414">
        <v>4458945287.7613697</v>
      </c>
      <c r="GX414">
        <v>4833583410.5094099</v>
      </c>
      <c r="GY414">
        <v>0</v>
      </c>
      <c r="GZ414">
        <v>4833583410.5094099</v>
      </c>
      <c r="HA414">
        <v>4833583410.5094099</v>
      </c>
      <c r="HB414">
        <v>0</v>
      </c>
      <c r="HC414">
        <v>0</v>
      </c>
      <c r="HD414" t="s">
        <v>137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0.05</v>
      </c>
      <c r="HX414">
        <v>0.97798234361883296</v>
      </c>
      <c r="HY414">
        <v>1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18731906.137402099</v>
      </c>
      <c r="IJ414">
        <v>222947264.38806799</v>
      </c>
      <c r="IK414">
        <v>0</v>
      </c>
      <c r="IL414">
        <v>0</v>
      </c>
      <c r="IM414">
        <v>0</v>
      </c>
      <c r="IN414">
        <v>393370028.88544399</v>
      </c>
      <c r="IO414">
        <v>4681892552.1494398</v>
      </c>
      <c r="IP414">
        <v>5075262581.0348797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</row>
    <row r="415" spans="2:268" customFormat="1" x14ac:dyDescent="0.25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3"/>
      <c r="N415" s="3"/>
      <c r="O415" s="3"/>
      <c r="P415" s="2"/>
      <c r="Q415" s="2"/>
      <c r="R415" s="2"/>
      <c r="S415" s="2"/>
      <c r="T415" s="2"/>
      <c r="U415" s="2"/>
      <c r="V415" s="3"/>
      <c r="W415" s="3"/>
      <c r="X415" s="3"/>
      <c r="Y415" s="3"/>
      <c r="Z415" s="3"/>
      <c r="AA415" s="3"/>
      <c r="AB415" s="3"/>
      <c r="AC415" s="2"/>
      <c r="AD415" s="2"/>
      <c r="AE415" s="2"/>
      <c r="AF415" s="2"/>
      <c r="AG415" s="2"/>
      <c r="AH415" s="2"/>
      <c r="AI415" s="2"/>
      <c r="AJ415" s="3"/>
      <c r="AK415" s="2"/>
      <c r="AL415" s="2"/>
      <c r="AM415" s="2"/>
      <c r="AN415" s="2"/>
      <c r="AO415" s="3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3"/>
      <c r="BC415" s="3"/>
      <c r="BD415" s="3"/>
      <c r="BE415" s="3"/>
      <c r="BF415" s="3"/>
      <c r="BG415" s="3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2"/>
      <c r="DI415" s="2"/>
      <c r="DJ415" s="3"/>
      <c r="DK415" s="3"/>
      <c r="DL415" s="2"/>
      <c r="DM415" s="2"/>
      <c r="DN415" s="2"/>
      <c r="DO415" s="3"/>
      <c r="DP415" s="3"/>
      <c r="GO415" t="s">
        <v>144</v>
      </c>
      <c r="GP415" t="s">
        <v>501</v>
      </c>
      <c r="GQ415" t="s">
        <v>502</v>
      </c>
      <c r="GR415">
        <v>95</v>
      </c>
      <c r="GS415">
        <v>94</v>
      </c>
      <c r="GT415">
        <v>1</v>
      </c>
      <c r="GU415" t="s">
        <v>457</v>
      </c>
      <c r="GV415">
        <v>393370028.88544399</v>
      </c>
      <c r="GW415">
        <v>4681892552.1494398</v>
      </c>
      <c r="GX415">
        <v>5075262581.0348797</v>
      </c>
      <c r="GY415">
        <v>0</v>
      </c>
      <c r="GZ415">
        <v>5075262581.0348797</v>
      </c>
      <c r="HA415">
        <v>5075262581.0348797</v>
      </c>
      <c r="HB415">
        <v>0</v>
      </c>
      <c r="HC415">
        <v>0</v>
      </c>
      <c r="HD415" t="s">
        <v>137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0.05</v>
      </c>
      <c r="HX415">
        <v>0.97798234361883296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19668501.444272202</v>
      </c>
      <c r="IJ415">
        <v>234094627.607472</v>
      </c>
      <c r="IK415">
        <v>0</v>
      </c>
      <c r="IL415">
        <v>0</v>
      </c>
      <c r="IM415">
        <v>0</v>
      </c>
      <c r="IN415">
        <v>413038530.32971603</v>
      </c>
      <c r="IO415">
        <v>4915987179.7569103</v>
      </c>
      <c r="IP415">
        <v>5329025710.0866203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</row>
    <row r="416" spans="2:268" customFormat="1" x14ac:dyDescent="0.25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3"/>
      <c r="N416" s="3"/>
      <c r="O416" s="3"/>
      <c r="P416" s="2"/>
      <c r="Q416" s="2"/>
      <c r="R416" s="2"/>
      <c r="S416" s="2"/>
      <c r="T416" s="2"/>
      <c r="U416" s="2"/>
      <c r="V416" s="3"/>
      <c r="W416" s="3"/>
      <c r="X416" s="3"/>
      <c r="Y416" s="3"/>
      <c r="Z416" s="3"/>
      <c r="AA416" s="3"/>
      <c r="AB416" s="3"/>
      <c r="AC416" s="2"/>
      <c r="AD416" s="2"/>
      <c r="AE416" s="2"/>
      <c r="AF416" s="2"/>
      <c r="AG416" s="2"/>
      <c r="AH416" s="2"/>
      <c r="AI416" s="2"/>
      <c r="AJ416" s="3"/>
      <c r="AK416" s="2"/>
      <c r="AL416" s="2"/>
      <c r="AM416" s="2"/>
      <c r="AN416" s="2"/>
      <c r="AO416" s="3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3"/>
      <c r="BC416" s="3"/>
      <c r="BD416" s="3"/>
      <c r="BE416" s="3"/>
      <c r="BF416" s="3"/>
      <c r="BG416" s="3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2"/>
      <c r="DI416" s="2"/>
      <c r="DJ416" s="3"/>
      <c r="DK416" s="3"/>
      <c r="DL416" s="2"/>
      <c r="DM416" s="2"/>
      <c r="DN416" s="2"/>
      <c r="DO416" s="3"/>
      <c r="DP416" s="3"/>
      <c r="GO416" t="s">
        <v>144</v>
      </c>
      <c r="GP416" t="s">
        <v>501</v>
      </c>
      <c r="GQ416" t="s">
        <v>502</v>
      </c>
      <c r="GR416">
        <v>96</v>
      </c>
      <c r="GS416">
        <v>95</v>
      </c>
      <c r="GT416">
        <v>1</v>
      </c>
      <c r="GU416" t="s">
        <v>457</v>
      </c>
      <c r="GV416">
        <v>413038530.32971603</v>
      </c>
      <c r="GW416">
        <v>4915987179.7569103</v>
      </c>
      <c r="GX416">
        <v>5329025710.0866203</v>
      </c>
      <c r="GY416">
        <v>0</v>
      </c>
      <c r="GZ416">
        <v>5329025710.0866203</v>
      </c>
      <c r="HA416">
        <v>5329025710.0866203</v>
      </c>
      <c r="HB416">
        <v>0</v>
      </c>
      <c r="HC416">
        <v>0</v>
      </c>
      <c r="HD416" t="s">
        <v>137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0.05</v>
      </c>
      <c r="HX416">
        <v>0.97798234361883296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20651926.516485799</v>
      </c>
      <c r="IJ416">
        <v>245799358.987845</v>
      </c>
      <c r="IK416">
        <v>0</v>
      </c>
      <c r="IL416">
        <v>0</v>
      </c>
      <c r="IM416">
        <v>0</v>
      </c>
      <c r="IN416">
        <v>433690456.84620202</v>
      </c>
      <c r="IO416">
        <v>5161786538.74475</v>
      </c>
      <c r="IP416">
        <v>5595476995.5909595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</row>
    <row r="417" spans="2:268" customFormat="1" x14ac:dyDescent="0.25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3"/>
      <c r="N417" s="3"/>
      <c r="O417" s="3"/>
      <c r="P417" s="2"/>
      <c r="Q417" s="2"/>
      <c r="R417" s="2"/>
      <c r="S417" s="2"/>
      <c r="T417" s="2"/>
      <c r="U417" s="2"/>
      <c r="V417" s="3"/>
      <c r="W417" s="3"/>
      <c r="X417" s="3"/>
      <c r="Y417" s="3"/>
      <c r="Z417" s="3"/>
      <c r="AA417" s="3"/>
      <c r="AB417" s="3"/>
      <c r="AC417" s="2"/>
      <c r="AD417" s="2"/>
      <c r="AE417" s="2"/>
      <c r="AF417" s="2"/>
      <c r="AG417" s="2"/>
      <c r="AH417" s="2"/>
      <c r="AI417" s="2"/>
      <c r="AJ417" s="3"/>
      <c r="AK417" s="2"/>
      <c r="AL417" s="2"/>
      <c r="AM417" s="2"/>
      <c r="AN417" s="2"/>
      <c r="AO417" s="3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3"/>
      <c r="BC417" s="3"/>
      <c r="BD417" s="3"/>
      <c r="BE417" s="3"/>
      <c r="BF417" s="3"/>
      <c r="BG417" s="3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2"/>
      <c r="DI417" s="2"/>
      <c r="DJ417" s="3"/>
      <c r="DK417" s="3"/>
      <c r="DL417" s="2"/>
      <c r="DM417" s="2"/>
      <c r="DN417" s="2"/>
      <c r="DO417" s="3"/>
      <c r="DP417" s="3"/>
      <c r="GO417" t="s">
        <v>144</v>
      </c>
      <c r="GP417" t="s">
        <v>501</v>
      </c>
      <c r="GQ417" t="s">
        <v>502</v>
      </c>
      <c r="GR417">
        <v>97</v>
      </c>
      <c r="GS417">
        <v>96</v>
      </c>
      <c r="GT417">
        <v>1</v>
      </c>
      <c r="GU417" t="s">
        <v>457</v>
      </c>
      <c r="GV417">
        <v>433690456.84620202</v>
      </c>
      <c r="GW417">
        <v>5161786538.74475</v>
      </c>
      <c r="GX417">
        <v>5595476995.5909595</v>
      </c>
      <c r="GY417">
        <v>0</v>
      </c>
      <c r="GZ417">
        <v>5595476995.5909595</v>
      </c>
      <c r="HA417">
        <v>5595476995.5909595</v>
      </c>
      <c r="HB417">
        <v>0</v>
      </c>
      <c r="HC417">
        <v>0</v>
      </c>
      <c r="HD417" t="s">
        <v>137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0.05</v>
      </c>
      <c r="HX417">
        <v>0.97798234361883296</v>
      </c>
      <c r="HY417">
        <v>1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21684522.842310101</v>
      </c>
      <c r="IJ417">
        <v>258089326.93723801</v>
      </c>
      <c r="IK417">
        <v>0</v>
      </c>
      <c r="IL417">
        <v>0</v>
      </c>
      <c r="IM417">
        <v>0</v>
      </c>
      <c r="IN417">
        <v>455374979.68851203</v>
      </c>
      <c r="IO417">
        <v>5419875865.6819897</v>
      </c>
      <c r="IP417">
        <v>5875250845.3704996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</row>
    <row r="418" spans="2:268" customFormat="1" x14ac:dyDescent="0.25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3"/>
      <c r="N418" s="3"/>
      <c r="O418" s="3"/>
      <c r="P418" s="2"/>
      <c r="Q418" s="2"/>
      <c r="R418" s="2"/>
      <c r="S418" s="2"/>
      <c r="T418" s="2"/>
      <c r="U418" s="2"/>
      <c r="V418" s="3"/>
      <c r="W418" s="3"/>
      <c r="X418" s="3"/>
      <c r="Y418" s="3"/>
      <c r="Z418" s="3"/>
      <c r="AA418" s="3"/>
      <c r="AB418" s="3"/>
      <c r="AC418" s="2"/>
      <c r="AD418" s="2"/>
      <c r="AE418" s="2"/>
      <c r="AF418" s="2"/>
      <c r="AG418" s="2"/>
      <c r="AH418" s="2"/>
      <c r="AI418" s="2"/>
      <c r="AJ418" s="3"/>
      <c r="AK418" s="2"/>
      <c r="AL418" s="2"/>
      <c r="AM418" s="2"/>
      <c r="AN418" s="2"/>
      <c r="AO418" s="3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3"/>
      <c r="BC418" s="3"/>
      <c r="BD418" s="3"/>
      <c r="BE418" s="3"/>
      <c r="BF418" s="3"/>
      <c r="BG418" s="3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2"/>
      <c r="DI418" s="2"/>
      <c r="DJ418" s="3"/>
      <c r="DK418" s="3"/>
      <c r="DL418" s="2"/>
      <c r="DM418" s="2"/>
      <c r="DN418" s="2"/>
      <c r="DO418" s="3"/>
      <c r="DP418" s="3"/>
      <c r="GO418" t="s">
        <v>144</v>
      </c>
      <c r="GP418" t="s">
        <v>501</v>
      </c>
      <c r="GQ418" t="s">
        <v>502</v>
      </c>
      <c r="GR418">
        <v>98</v>
      </c>
      <c r="GS418">
        <v>97</v>
      </c>
      <c r="GT418">
        <v>1</v>
      </c>
      <c r="GU418" t="s">
        <v>457</v>
      </c>
      <c r="GV418">
        <v>455374979.68851203</v>
      </c>
      <c r="GW418">
        <v>5419875865.6819897</v>
      </c>
      <c r="GX418">
        <v>5875250845.3704996</v>
      </c>
      <c r="GY418">
        <v>0</v>
      </c>
      <c r="GZ418">
        <v>5875250845.3704996</v>
      </c>
      <c r="HA418">
        <v>5875250845.3704996</v>
      </c>
      <c r="HB418">
        <v>0</v>
      </c>
      <c r="HC418">
        <v>0</v>
      </c>
      <c r="HD418" t="s">
        <v>137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0.05</v>
      </c>
      <c r="HX418">
        <v>0.97798234361883296</v>
      </c>
      <c r="HY418">
        <v>1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22768748.984425601</v>
      </c>
      <c r="IJ418">
        <v>270993793.2841</v>
      </c>
      <c r="IK418">
        <v>0</v>
      </c>
      <c r="IL418">
        <v>0</v>
      </c>
      <c r="IM418">
        <v>0</v>
      </c>
      <c r="IN418">
        <v>478143728.67293698</v>
      </c>
      <c r="IO418">
        <v>5690869658.9660902</v>
      </c>
      <c r="IP418">
        <v>6169013387.6390305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</row>
    <row r="419" spans="2:268" customFormat="1" x14ac:dyDescent="0.25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3"/>
      <c r="N419" s="3"/>
      <c r="O419" s="3"/>
      <c r="P419" s="2"/>
      <c r="Q419" s="2"/>
      <c r="R419" s="2"/>
      <c r="S419" s="2"/>
      <c r="T419" s="2"/>
      <c r="U419" s="2"/>
      <c r="V419" s="3"/>
      <c r="W419" s="3"/>
      <c r="X419" s="3"/>
      <c r="Y419" s="3"/>
      <c r="Z419" s="3"/>
      <c r="AA419" s="3"/>
      <c r="AB419" s="3"/>
      <c r="AC419" s="2"/>
      <c r="AD419" s="2"/>
      <c r="AE419" s="2"/>
      <c r="AF419" s="2"/>
      <c r="AG419" s="2"/>
      <c r="AH419" s="2"/>
      <c r="AI419" s="2"/>
      <c r="AJ419" s="3"/>
      <c r="AK419" s="2"/>
      <c r="AL419" s="2"/>
      <c r="AM419" s="2"/>
      <c r="AN419" s="2"/>
      <c r="AO419" s="3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3"/>
      <c r="BC419" s="3"/>
      <c r="BD419" s="3"/>
      <c r="BE419" s="3"/>
      <c r="BF419" s="3"/>
      <c r="BG419" s="3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2"/>
      <c r="DI419" s="2"/>
      <c r="DJ419" s="3"/>
      <c r="DK419" s="3"/>
      <c r="DL419" s="2"/>
      <c r="DM419" s="2"/>
      <c r="DN419" s="2"/>
      <c r="DO419" s="3"/>
      <c r="DP419" s="3"/>
      <c r="GO419" t="s">
        <v>144</v>
      </c>
      <c r="GP419" t="s">
        <v>501</v>
      </c>
      <c r="GQ419" t="s">
        <v>502</v>
      </c>
      <c r="GR419">
        <v>99</v>
      </c>
      <c r="GS419">
        <v>98</v>
      </c>
      <c r="GT419">
        <v>1</v>
      </c>
      <c r="GU419" t="s">
        <v>457</v>
      </c>
      <c r="GV419">
        <v>478143728.67293698</v>
      </c>
      <c r="GW419">
        <v>5690869658.9660902</v>
      </c>
      <c r="GX419">
        <v>6169013387.6390305</v>
      </c>
      <c r="GY419">
        <v>0</v>
      </c>
      <c r="GZ419">
        <v>6169013387.6390305</v>
      </c>
      <c r="HA419">
        <v>6169013387.6390305</v>
      </c>
      <c r="HB419">
        <v>0</v>
      </c>
      <c r="HC419">
        <v>0</v>
      </c>
      <c r="HD419" t="s">
        <v>137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0.05</v>
      </c>
      <c r="HX419">
        <v>0.97798234361883296</v>
      </c>
      <c r="HY419">
        <v>1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23907186.433646899</v>
      </c>
      <c r="IJ419">
        <v>284543482.94830501</v>
      </c>
      <c r="IK419">
        <v>0</v>
      </c>
      <c r="IL419">
        <v>0</v>
      </c>
      <c r="IM419">
        <v>0</v>
      </c>
      <c r="IN419">
        <v>502050915.10658401</v>
      </c>
      <c r="IO419">
        <v>5975413141.9144001</v>
      </c>
      <c r="IP419">
        <v>6477464057.0209799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</row>
    <row r="420" spans="2:268" customFormat="1" x14ac:dyDescent="0.25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3"/>
      <c r="N420" s="3"/>
      <c r="O420" s="3"/>
      <c r="P420" s="2"/>
      <c r="Q420" s="2"/>
      <c r="R420" s="2"/>
      <c r="S420" s="2"/>
      <c r="T420" s="2"/>
      <c r="U420" s="2"/>
      <c r="V420" s="3"/>
      <c r="W420" s="3"/>
      <c r="X420" s="3"/>
      <c r="Y420" s="3"/>
      <c r="Z420" s="3"/>
      <c r="AA420" s="3"/>
      <c r="AB420" s="3"/>
      <c r="AC420" s="2"/>
      <c r="AD420" s="2"/>
      <c r="AE420" s="2"/>
      <c r="AF420" s="2"/>
      <c r="AG420" s="2"/>
      <c r="AH420" s="2"/>
      <c r="AI420" s="2"/>
      <c r="AJ420" s="3"/>
      <c r="AK420" s="2"/>
      <c r="AL420" s="2"/>
      <c r="AM420" s="2"/>
      <c r="AN420" s="2"/>
      <c r="AO420" s="3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3"/>
      <c r="BC420" s="3"/>
      <c r="BD420" s="3"/>
      <c r="BE420" s="3"/>
      <c r="BF420" s="3"/>
      <c r="BG420" s="3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2"/>
      <c r="DI420" s="2"/>
      <c r="DJ420" s="3"/>
      <c r="DK420" s="3"/>
      <c r="DL420" s="2"/>
      <c r="DM420" s="2"/>
      <c r="DN420" s="2"/>
      <c r="DO420" s="3"/>
      <c r="DP420" s="3"/>
      <c r="GO420" t="s">
        <v>144</v>
      </c>
      <c r="GP420" t="s">
        <v>501</v>
      </c>
      <c r="GQ420" t="s">
        <v>502</v>
      </c>
      <c r="GR420">
        <v>100</v>
      </c>
      <c r="GS420">
        <v>99</v>
      </c>
      <c r="GT420">
        <v>1</v>
      </c>
      <c r="GU420" t="s">
        <v>457</v>
      </c>
      <c r="GV420">
        <v>502050915.10658401</v>
      </c>
      <c r="GW420">
        <v>5975413141.9144001</v>
      </c>
      <c r="GX420">
        <v>6477464057.0209799</v>
      </c>
      <c r="GY420">
        <v>0</v>
      </c>
      <c r="GZ420">
        <v>6477464057.0209799</v>
      </c>
      <c r="HA420">
        <v>6477464057.0209799</v>
      </c>
      <c r="HB420">
        <v>0</v>
      </c>
      <c r="HC420">
        <v>0</v>
      </c>
      <c r="HD420" t="s">
        <v>137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0.05</v>
      </c>
      <c r="HX420">
        <v>0.97798234361883296</v>
      </c>
      <c r="HY420">
        <v>1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25102545.755329199</v>
      </c>
      <c r="IJ420">
        <v>298770657.09571999</v>
      </c>
      <c r="IK420">
        <v>0</v>
      </c>
      <c r="IL420">
        <v>0</v>
      </c>
      <c r="IM420">
        <v>0</v>
      </c>
      <c r="IN420">
        <v>527153460.86191303</v>
      </c>
      <c r="IO420">
        <v>6274183799.0101099</v>
      </c>
      <c r="IP420">
        <v>6801337259.8720303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</row>
    <row r="421" spans="2:268" customFormat="1" x14ac:dyDescent="0.25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3"/>
      <c r="N421" s="3"/>
      <c r="O421" s="3"/>
      <c r="P421" s="2"/>
      <c r="Q421" s="2"/>
      <c r="R421" s="2"/>
      <c r="S421" s="2"/>
      <c r="T421" s="2"/>
      <c r="U421" s="2"/>
      <c r="V421" s="3"/>
      <c r="W421" s="3"/>
      <c r="X421" s="3"/>
      <c r="Y421" s="3"/>
      <c r="Z421" s="3"/>
      <c r="AA421" s="3"/>
      <c r="AB421" s="3"/>
      <c r="AC421" s="2"/>
      <c r="AD421" s="2"/>
      <c r="AE421" s="2"/>
      <c r="AF421" s="2"/>
      <c r="AG421" s="2"/>
      <c r="AH421" s="2"/>
      <c r="AI421" s="2"/>
      <c r="AJ421" s="3"/>
      <c r="AK421" s="2"/>
      <c r="AL421" s="2"/>
      <c r="AM421" s="2"/>
      <c r="AN421" s="2"/>
      <c r="AO421" s="3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3"/>
      <c r="BC421" s="3"/>
      <c r="BD421" s="3"/>
      <c r="BE421" s="3"/>
      <c r="BF421" s="3"/>
      <c r="BG421" s="3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2"/>
      <c r="DI421" s="2"/>
      <c r="DJ421" s="3"/>
      <c r="DK421" s="3"/>
      <c r="DL421" s="2"/>
      <c r="DM421" s="2"/>
      <c r="DN421" s="2"/>
      <c r="DO421" s="3"/>
      <c r="DP421" s="3"/>
      <c r="GO421" t="s">
        <v>139</v>
      </c>
      <c r="GP421" t="s">
        <v>135</v>
      </c>
      <c r="GQ421" t="s">
        <v>502</v>
      </c>
      <c r="GR421">
        <v>1</v>
      </c>
      <c r="GS421">
        <v>0</v>
      </c>
      <c r="GT421">
        <v>1</v>
      </c>
      <c r="GU421" t="s">
        <v>136</v>
      </c>
      <c r="GV421">
        <v>0</v>
      </c>
      <c r="GW421">
        <v>0</v>
      </c>
      <c r="GX421">
        <v>0</v>
      </c>
      <c r="GY421">
        <v>1072000</v>
      </c>
      <c r="GZ421">
        <v>0</v>
      </c>
      <c r="HA421">
        <v>101000000</v>
      </c>
      <c r="HB421">
        <v>303000000</v>
      </c>
      <c r="HC421">
        <v>0</v>
      </c>
      <c r="HD421" t="s">
        <v>137</v>
      </c>
      <c r="HE421">
        <v>0</v>
      </c>
      <c r="HF421">
        <v>0</v>
      </c>
      <c r="HG421">
        <v>0</v>
      </c>
      <c r="HH421">
        <v>1072000</v>
      </c>
      <c r="HI421">
        <v>589600</v>
      </c>
      <c r="HJ421">
        <v>482400</v>
      </c>
      <c r="HK421">
        <v>5200000</v>
      </c>
      <c r="HL421">
        <v>104000</v>
      </c>
      <c r="HM421">
        <v>5096000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6272000</v>
      </c>
      <c r="HT421">
        <v>693600</v>
      </c>
      <c r="HU421">
        <v>5578400</v>
      </c>
      <c r="HV421">
        <v>6272000</v>
      </c>
      <c r="HW421">
        <v>0.02</v>
      </c>
      <c r="HX421">
        <v>0.99098093957577105</v>
      </c>
      <c r="HY421">
        <v>1</v>
      </c>
      <c r="HZ421">
        <v>300000</v>
      </c>
      <c r="IA421">
        <v>189879.99999999901</v>
      </c>
      <c r="IB421">
        <v>0</v>
      </c>
      <c r="IC421">
        <v>0</v>
      </c>
      <c r="ID421">
        <v>462579.99999999901</v>
      </c>
      <c r="IE421">
        <v>762579.99999999895</v>
      </c>
      <c r="IF421">
        <v>755702.24490169098</v>
      </c>
      <c r="IG421">
        <v>482400</v>
      </c>
      <c r="IH421">
        <v>273302.24490169098</v>
      </c>
      <c r="II421">
        <v>0</v>
      </c>
      <c r="IJ421">
        <v>96453.955101966203</v>
      </c>
      <c r="IK421">
        <v>0</v>
      </c>
      <c r="IL421">
        <v>0</v>
      </c>
      <c r="IM421">
        <v>0</v>
      </c>
      <c r="IN421">
        <v>0</v>
      </c>
      <c r="IO421">
        <v>4919151.71020028</v>
      </c>
      <c r="IP421">
        <v>4919151.71020028</v>
      </c>
      <c r="IQ421">
        <v>536000</v>
      </c>
      <c r="IR421">
        <v>2600000</v>
      </c>
      <c r="IS421">
        <v>0</v>
      </c>
      <c r="IT421">
        <v>0</v>
      </c>
      <c r="IU421">
        <v>0</v>
      </c>
      <c r="IV421">
        <v>3136000</v>
      </c>
      <c r="IW421">
        <v>268000</v>
      </c>
      <c r="IX421">
        <v>1300000</v>
      </c>
      <c r="IY421">
        <v>0</v>
      </c>
      <c r="IZ421">
        <v>0</v>
      </c>
      <c r="JA421">
        <v>0</v>
      </c>
      <c r="JB421">
        <v>1568000</v>
      </c>
      <c r="JC421">
        <v>90000</v>
      </c>
      <c r="JD421">
        <v>434000</v>
      </c>
      <c r="JE421">
        <v>0</v>
      </c>
      <c r="JF421">
        <v>0</v>
      </c>
      <c r="JG421">
        <v>0</v>
      </c>
      <c r="JH421">
        <v>524000</v>
      </c>
    </row>
    <row r="422" spans="2:268" customFormat="1" x14ac:dyDescent="0.25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3"/>
      <c r="N422" s="3"/>
      <c r="O422" s="3"/>
      <c r="P422" s="2"/>
      <c r="Q422" s="2"/>
      <c r="R422" s="2"/>
      <c r="S422" s="2"/>
      <c r="T422" s="2"/>
      <c r="U422" s="2"/>
      <c r="V422" s="3"/>
      <c r="W422" s="3"/>
      <c r="X422" s="3"/>
      <c r="Y422" s="3"/>
      <c r="Z422" s="3"/>
      <c r="AA422" s="3"/>
      <c r="AB422" s="3"/>
      <c r="AC422" s="2"/>
      <c r="AD422" s="2"/>
      <c r="AE422" s="2"/>
      <c r="AF422" s="2"/>
      <c r="AG422" s="2"/>
      <c r="AH422" s="2"/>
      <c r="AI422" s="2"/>
      <c r="AJ422" s="3"/>
      <c r="AK422" s="2"/>
      <c r="AL422" s="2"/>
      <c r="AM422" s="2"/>
      <c r="AN422" s="2"/>
      <c r="AO422" s="3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3"/>
      <c r="BC422" s="3"/>
      <c r="BD422" s="3"/>
      <c r="BE422" s="3"/>
      <c r="BF422" s="3"/>
      <c r="BG422" s="3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2"/>
      <c r="DI422" s="2"/>
      <c r="DJ422" s="3"/>
      <c r="DK422" s="3"/>
      <c r="DL422" s="2"/>
      <c r="DM422" s="2"/>
      <c r="DN422" s="2"/>
      <c r="DO422" s="3"/>
      <c r="DP422" s="3"/>
      <c r="GO422" t="s">
        <v>139</v>
      </c>
      <c r="GP422" t="s">
        <v>135</v>
      </c>
      <c r="GQ422" t="s">
        <v>502</v>
      </c>
      <c r="GR422">
        <v>2</v>
      </c>
      <c r="GS422">
        <v>1</v>
      </c>
      <c r="GT422">
        <v>1</v>
      </c>
      <c r="GU422" t="s">
        <v>457</v>
      </c>
      <c r="GV422">
        <v>0</v>
      </c>
      <c r="GW422">
        <v>4919151.71020028</v>
      </c>
      <c r="GX422">
        <v>4919151.71020028</v>
      </c>
      <c r="GY422">
        <v>1072000</v>
      </c>
      <c r="GZ422">
        <v>4919151.71020028</v>
      </c>
      <c r="HA422">
        <v>101000000</v>
      </c>
      <c r="HB422">
        <v>303000000</v>
      </c>
      <c r="HC422">
        <v>0</v>
      </c>
      <c r="HD422" t="s">
        <v>137</v>
      </c>
      <c r="HE422">
        <v>0</v>
      </c>
      <c r="HF422">
        <v>0</v>
      </c>
      <c r="HG422">
        <v>0</v>
      </c>
      <c r="HH422">
        <v>1072000</v>
      </c>
      <c r="HI422">
        <v>428800</v>
      </c>
      <c r="HJ422">
        <v>643200</v>
      </c>
      <c r="HK422">
        <v>5200000</v>
      </c>
      <c r="HL422">
        <v>104000</v>
      </c>
      <c r="HM422">
        <v>5096000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6272000</v>
      </c>
      <c r="HT422">
        <v>532800</v>
      </c>
      <c r="HU422">
        <v>5739200</v>
      </c>
      <c r="HV422">
        <v>12544000</v>
      </c>
      <c r="HW422">
        <v>0.02</v>
      </c>
      <c r="HX422">
        <v>0.99098093957577105</v>
      </c>
      <c r="HY422">
        <v>1</v>
      </c>
      <c r="HZ422">
        <v>300000</v>
      </c>
      <c r="IA422">
        <v>80707.912563427104</v>
      </c>
      <c r="IB422">
        <v>0</v>
      </c>
      <c r="IC422">
        <v>0</v>
      </c>
      <c r="ID422">
        <v>353407.912563427</v>
      </c>
      <c r="IE422">
        <v>653407.912563427</v>
      </c>
      <c r="IF422">
        <v>647514.78711834899</v>
      </c>
      <c r="IG422">
        <v>643200</v>
      </c>
      <c r="IH422">
        <v>4314.7871183485304</v>
      </c>
      <c r="II422">
        <v>0</v>
      </c>
      <c r="IJ422">
        <v>200216.738461639</v>
      </c>
      <c r="IK422">
        <v>0</v>
      </c>
      <c r="IL422">
        <v>0</v>
      </c>
      <c r="IM422">
        <v>0</v>
      </c>
      <c r="IN422">
        <v>0</v>
      </c>
      <c r="IO422">
        <v>10211053.6615436</v>
      </c>
      <c r="IP422">
        <v>10211053.6615436</v>
      </c>
      <c r="IQ422">
        <v>536000</v>
      </c>
      <c r="IR422">
        <v>2600000</v>
      </c>
      <c r="IS422">
        <v>0</v>
      </c>
      <c r="IT422">
        <v>0</v>
      </c>
      <c r="IU422">
        <v>0</v>
      </c>
      <c r="IV422">
        <v>3136000</v>
      </c>
      <c r="IW422">
        <v>268000</v>
      </c>
      <c r="IX422">
        <v>1300000</v>
      </c>
      <c r="IY422">
        <v>0</v>
      </c>
      <c r="IZ422">
        <v>0</v>
      </c>
      <c r="JA422">
        <v>0</v>
      </c>
      <c r="JB422">
        <v>1568000</v>
      </c>
      <c r="JC422">
        <v>90000</v>
      </c>
      <c r="JD422">
        <v>434000</v>
      </c>
      <c r="JE422">
        <v>0</v>
      </c>
      <c r="JF422">
        <v>0</v>
      </c>
      <c r="JG422">
        <v>0</v>
      </c>
      <c r="JH422">
        <v>524000</v>
      </c>
    </row>
    <row r="423" spans="2:268" customFormat="1" x14ac:dyDescent="0.25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3"/>
      <c r="N423" s="3"/>
      <c r="O423" s="3"/>
      <c r="P423" s="2"/>
      <c r="Q423" s="2"/>
      <c r="R423" s="2"/>
      <c r="S423" s="2"/>
      <c r="T423" s="2"/>
      <c r="U423" s="2"/>
      <c r="V423" s="3"/>
      <c r="W423" s="3"/>
      <c r="X423" s="3"/>
      <c r="Y423" s="3"/>
      <c r="Z423" s="3"/>
      <c r="AA423" s="3"/>
      <c r="AB423" s="3"/>
      <c r="AC423" s="2"/>
      <c r="AD423" s="2"/>
      <c r="AE423" s="2"/>
      <c r="AF423" s="2"/>
      <c r="AG423" s="2"/>
      <c r="AH423" s="2"/>
      <c r="AI423" s="2"/>
      <c r="AJ423" s="3"/>
      <c r="AK423" s="2"/>
      <c r="AL423" s="2"/>
      <c r="AM423" s="2"/>
      <c r="AN423" s="2"/>
      <c r="AO423" s="3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3"/>
      <c r="BC423" s="3"/>
      <c r="BD423" s="3"/>
      <c r="BE423" s="3"/>
      <c r="BF423" s="3"/>
      <c r="BG423" s="3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2"/>
      <c r="DI423" s="2"/>
      <c r="DJ423" s="3"/>
      <c r="DK423" s="3"/>
      <c r="DL423" s="2"/>
      <c r="DM423" s="2"/>
      <c r="DN423" s="2"/>
      <c r="DO423" s="3"/>
      <c r="DP423" s="3"/>
      <c r="GO423" t="s">
        <v>139</v>
      </c>
      <c r="GP423" t="s">
        <v>135</v>
      </c>
      <c r="GQ423" t="s">
        <v>502</v>
      </c>
      <c r="GR423">
        <v>3</v>
      </c>
      <c r="GS423">
        <v>2</v>
      </c>
      <c r="GT423">
        <v>1</v>
      </c>
      <c r="GU423" t="s">
        <v>457</v>
      </c>
      <c r="GV423">
        <v>0</v>
      </c>
      <c r="GW423">
        <v>10211053.6615436</v>
      </c>
      <c r="GX423">
        <v>10211053.6615436</v>
      </c>
      <c r="GY423">
        <v>1072000</v>
      </c>
      <c r="GZ423">
        <v>10211053.6615436</v>
      </c>
      <c r="HA423">
        <v>101000000</v>
      </c>
      <c r="HB423">
        <v>303000000</v>
      </c>
      <c r="HC423">
        <v>0</v>
      </c>
      <c r="HD423" t="s">
        <v>137</v>
      </c>
      <c r="HE423">
        <v>0</v>
      </c>
      <c r="HF423">
        <v>0</v>
      </c>
      <c r="HG423">
        <v>0</v>
      </c>
      <c r="HH423">
        <v>1072000</v>
      </c>
      <c r="HI423">
        <v>268000</v>
      </c>
      <c r="HJ423">
        <v>804000</v>
      </c>
      <c r="HK423">
        <v>5200000</v>
      </c>
      <c r="HL423">
        <v>104000</v>
      </c>
      <c r="HM423">
        <v>5096000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6272000</v>
      </c>
      <c r="HT423">
        <v>372000</v>
      </c>
      <c r="HU423">
        <v>5900000</v>
      </c>
      <c r="HV423">
        <v>18816000</v>
      </c>
      <c r="HW423">
        <v>0.02</v>
      </c>
      <c r="HX423">
        <v>0.99098093957577105</v>
      </c>
      <c r="HY423">
        <v>1</v>
      </c>
      <c r="HZ423">
        <v>300000</v>
      </c>
      <c r="IA423">
        <v>72631.157070767207</v>
      </c>
      <c r="IB423">
        <v>0</v>
      </c>
      <c r="IC423">
        <v>0</v>
      </c>
      <c r="ID423">
        <v>345331.15707076702</v>
      </c>
      <c r="IE423">
        <v>645331.15707076702</v>
      </c>
      <c r="IF423">
        <v>639510.876371508</v>
      </c>
      <c r="IG423">
        <v>639510.876371508</v>
      </c>
      <c r="IH423">
        <v>0</v>
      </c>
      <c r="II423">
        <v>3289.7824725698301</v>
      </c>
      <c r="IJ423">
        <v>306141.073230871</v>
      </c>
      <c r="IK423">
        <v>0</v>
      </c>
      <c r="IL423">
        <v>0</v>
      </c>
      <c r="IM423">
        <v>0</v>
      </c>
      <c r="IN423">
        <v>167778.906101061</v>
      </c>
      <c r="IO423">
        <v>15613194.7347744</v>
      </c>
      <c r="IP423">
        <v>15780973.6408755</v>
      </c>
      <c r="IQ423">
        <v>536000</v>
      </c>
      <c r="IR423">
        <v>2600000</v>
      </c>
      <c r="IS423">
        <v>0</v>
      </c>
      <c r="IT423">
        <v>0</v>
      </c>
      <c r="IU423">
        <v>0</v>
      </c>
      <c r="IV423">
        <v>3136000</v>
      </c>
      <c r="IW423">
        <v>268000</v>
      </c>
      <c r="IX423">
        <v>1300000</v>
      </c>
      <c r="IY423">
        <v>0</v>
      </c>
      <c r="IZ423">
        <v>0</v>
      </c>
      <c r="JA423">
        <v>0</v>
      </c>
      <c r="JB423">
        <v>1568000</v>
      </c>
      <c r="JC423">
        <v>90000</v>
      </c>
      <c r="JD423">
        <v>434000</v>
      </c>
      <c r="JE423">
        <v>0</v>
      </c>
      <c r="JF423">
        <v>0</v>
      </c>
      <c r="JG423">
        <v>0</v>
      </c>
      <c r="JH423">
        <v>524000</v>
      </c>
    </row>
    <row r="424" spans="2:268" customFormat="1" x14ac:dyDescent="0.25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3"/>
      <c r="N424" s="3"/>
      <c r="O424" s="3"/>
      <c r="P424" s="2"/>
      <c r="Q424" s="2"/>
      <c r="R424" s="2"/>
      <c r="S424" s="2"/>
      <c r="T424" s="2"/>
      <c r="U424" s="2"/>
      <c r="V424" s="3"/>
      <c r="W424" s="3"/>
      <c r="X424" s="3"/>
      <c r="Y424" s="3"/>
      <c r="Z424" s="3"/>
      <c r="AA424" s="3"/>
      <c r="AB424" s="3"/>
      <c r="AC424" s="2"/>
      <c r="AD424" s="2"/>
      <c r="AE424" s="2"/>
      <c r="AF424" s="2"/>
      <c r="AG424" s="2"/>
      <c r="AH424" s="2"/>
      <c r="AI424" s="2"/>
      <c r="AJ424" s="3"/>
      <c r="AK424" s="2"/>
      <c r="AL424" s="2"/>
      <c r="AM424" s="2"/>
      <c r="AN424" s="2"/>
      <c r="AO424" s="3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3"/>
      <c r="BC424" s="3"/>
      <c r="BD424" s="3"/>
      <c r="BE424" s="3"/>
      <c r="BF424" s="3"/>
      <c r="BG424" s="3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2"/>
      <c r="DI424" s="2"/>
      <c r="DJ424" s="3"/>
      <c r="DK424" s="3"/>
      <c r="DL424" s="2"/>
      <c r="DM424" s="2"/>
      <c r="DN424" s="2"/>
      <c r="DO424" s="3"/>
      <c r="DP424" s="3"/>
      <c r="GO424" t="s">
        <v>139</v>
      </c>
      <c r="GP424" t="s">
        <v>135</v>
      </c>
      <c r="GQ424" t="s">
        <v>502</v>
      </c>
      <c r="GR424">
        <v>4</v>
      </c>
      <c r="GS424">
        <v>3</v>
      </c>
      <c r="GT424">
        <v>1</v>
      </c>
      <c r="GU424" t="s">
        <v>457</v>
      </c>
      <c r="GV424">
        <v>167778.906101061</v>
      </c>
      <c r="GW424">
        <v>15613194.7347744</v>
      </c>
      <c r="GX424">
        <v>15780973.6408755</v>
      </c>
      <c r="GY424">
        <v>1072000</v>
      </c>
      <c r="GZ424">
        <v>15613194.7347744</v>
      </c>
      <c r="HA424">
        <v>101000000</v>
      </c>
      <c r="HB424">
        <v>303000000</v>
      </c>
      <c r="HC424">
        <v>0</v>
      </c>
      <c r="HD424" t="s">
        <v>137</v>
      </c>
      <c r="HE424">
        <v>0</v>
      </c>
      <c r="HF424">
        <v>0</v>
      </c>
      <c r="HG424">
        <v>0</v>
      </c>
      <c r="HH424">
        <v>1072000</v>
      </c>
      <c r="HI424">
        <v>214400</v>
      </c>
      <c r="HJ424">
        <v>857600</v>
      </c>
      <c r="HK424">
        <v>5200000</v>
      </c>
      <c r="HL424">
        <v>104000</v>
      </c>
      <c r="HM424">
        <v>5096000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6272000</v>
      </c>
      <c r="HT424">
        <v>318400</v>
      </c>
      <c r="HU424">
        <v>5953600</v>
      </c>
      <c r="HV424">
        <v>25088000</v>
      </c>
      <c r="HW424">
        <v>0.02</v>
      </c>
      <c r="HX424">
        <v>0.99098093957577105</v>
      </c>
      <c r="HY424">
        <v>1</v>
      </c>
      <c r="HZ424">
        <v>300000</v>
      </c>
      <c r="IA424">
        <v>66470.840560117402</v>
      </c>
      <c r="IB424">
        <v>0</v>
      </c>
      <c r="IC424">
        <v>0</v>
      </c>
      <c r="ID424">
        <v>339170.84056011698</v>
      </c>
      <c r="IE424">
        <v>639170.84056011704</v>
      </c>
      <c r="IF424">
        <v>633406.12012770097</v>
      </c>
      <c r="IG424">
        <v>633406.12012770097</v>
      </c>
      <c r="IH424">
        <v>0</v>
      </c>
      <c r="II424">
        <v>7839.4557194672198</v>
      </c>
      <c r="IJ424">
        <v>414183.89469548903</v>
      </c>
      <c r="IK424">
        <v>64320</v>
      </c>
      <c r="IL424">
        <v>0</v>
      </c>
      <c r="IM424">
        <v>64320</v>
      </c>
      <c r="IN424">
        <v>464132.24169282801</v>
      </c>
      <c r="IO424">
        <v>21123378.629469901</v>
      </c>
      <c r="IP424">
        <v>21587510.871162701</v>
      </c>
      <c r="IQ424">
        <v>536000</v>
      </c>
      <c r="IR424">
        <v>2600000</v>
      </c>
      <c r="IS424">
        <v>0</v>
      </c>
      <c r="IT424">
        <v>0</v>
      </c>
      <c r="IU424">
        <v>0</v>
      </c>
      <c r="IV424">
        <v>3136000</v>
      </c>
      <c r="IW424">
        <v>268000</v>
      </c>
      <c r="IX424">
        <v>1300000</v>
      </c>
      <c r="IY424">
        <v>0</v>
      </c>
      <c r="IZ424">
        <v>0</v>
      </c>
      <c r="JA424">
        <v>0</v>
      </c>
      <c r="JB424">
        <v>1568000</v>
      </c>
      <c r="JC424">
        <v>90000</v>
      </c>
      <c r="JD424">
        <v>434000</v>
      </c>
      <c r="JE424">
        <v>0</v>
      </c>
      <c r="JF424">
        <v>0</v>
      </c>
      <c r="JG424">
        <v>0</v>
      </c>
      <c r="JH424">
        <v>524000</v>
      </c>
    </row>
    <row r="425" spans="2:268" customFormat="1" x14ac:dyDescent="0.25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3"/>
      <c r="N425" s="3"/>
      <c r="O425" s="3"/>
      <c r="P425" s="2"/>
      <c r="Q425" s="2"/>
      <c r="R425" s="2"/>
      <c r="S425" s="2"/>
      <c r="T425" s="2"/>
      <c r="U425" s="2"/>
      <c r="V425" s="3"/>
      <c r="W425" s="3"/>
      <c r="X425" s="3"/>
      <c r="Y425" s="3"/>
      <c r="Z425" s="3"/>
      <c r="AA425" s="3"/>
      <c r="AB425" s="3"/>
      <c r="AC425" s="2"/>
      <c r="AD425" s="2"/>
      <c r="AE425" s="2"/>
      <c r="AF425" s="2"/>
      <c r="AG425" s="2"/>
      <c r="AH425" s="2"/>
      <c r="AI425" s="2"/>
      <c r="AJ425" s="3"/>
      <c r="AK425" s="2"/>
      <c r="AL425" s="2"/>
      <c r="AM425" s="2"/>
      <c r="AN425" s="2"/>
      <c r="AO425" s="3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3"/>
      <c r="BC425" s="3"/>
      <c r="BD425" s="3"/>
      <c r="BE425" s="3"/>
      <c r="BF425" s="3"/>
      <c r="BG425" s="3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2"/>
      <c r="DI425" s="2"/>
      <c r="DJ425" s="3"/>
      <c r="DK425" s="3"/>
      <c r="DL425" s="2"/>
      <c r="DM425" s="2"/>
      <c r="DN425" s="2"/>
      <c r="DO425" s="3"/>
      <c r="DP425" s="3"/>
      <c r="GO425" t="s">
        <v>139</v>
      </c>
      <c r="GP425" t="s">
        <v>135</v>
      </c>
      <c r="GQ425" t="s">
        <v>502</v>
      </c>
      <c r="GR425">
        <v>5</v>
      </c>
      <c r="GS425">
        <v>4</v>
      </c>
      <c r="GT425">
        <v>1</v>
      </c>
      <c r="GU425" t="s">
        <v>457</v>
      </c>
      <c r="GV425">
        <v>464132.24169282801</v>
      </c>
      <c r="GW425">
        <v>21123378.629469901</v>
      </c>
      <c r="GX425">
        <v>21587510.871162701</v>
      </c>
      <c r="GY425">
        <v>857600</v>
      </c>
      <c r="GZ425">
        <v>21123378.629469901</v>
      </c>
      <c r="HA425">
        <v>101000000</v>
      </c>
      <c r="HB425">
        <v>303000000</v>
      </c>
      <c r="HC425">
        <v>1000000</v>
      </c>
      <c r="HD425" t="s">
        <v>458</v>
      </c>
      <c r="HE425">
        <v>0</v>
      </c>
      <c r="HF425">
        <v>1000000</v>
      </c>
      <c r="HG425">
        <v>1000000</v>
      </c>
      <c r="HH425">
        <v>1072000</v>
      </c>
      <c r="HI425">
        <v>107200</v>
      </c>
      <c r="HJ425">
        <v>964800</v>
      </c>
      <c r="HK425">
        <v>5200000</v>
      </c>
      <c r="HL425">
        <v>104000</v>
      </c>
      <c r="HM425">
        <v>5096000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6272000</v>
      </c>
      <c r="HT425">
        <v>211200</v>
      </c>
      <c r="HU425">
        <v>6060800</v>
      </c>
      <c r="HV425">
        <v>31360000</v>
      </c>
      <c r="HW425">
        <v>0.02</v>
      </c>
      <c r="HX425">
        <v>0.99098093957577105</v>
      </c>
      <c r="HY425">
        <v>1</v>
      </c>
      <c r="HZ425">
        <v>300000</v>
      </c>
      <c r="IA425">
        <v>61147.616629208504</v>
      </c>
      <c r="IB425">
        <v>0</v>
      </c>
      <c r="IC425">
        <v>0</v>
      </c>
      <c r="ID425">
        <v>333847.61662920797</v>
      </c>
      <c r="IE425">
        <v>633847.61662920797</v>
      </c>
      <c r="IF425">
        <v>628130.906675076</v>
      </c>
      <c r="IG425">
        <v>628130.906675076</v>
      </c>
      <c r="IH425">
        <v>0</v>
      </c>
      <c r="II425">
        <v>16016.026700355</v>
      </c>
      <c r="IJ425">
        <v>504387.57258939801</v>
      </c>
      <c r="IK425">
        <v>0</v>
      </c>
      <c r="IL425">
        <v>0</v>
      </c>
      <c r="IM425">
        <v>0</v>
      </c>
      <c r="IN425">
        <v>816817.36171810701</v>
      </c>
      <c r="IO425">
        <v>25723766.202059299</v>
      </c>
      <c r="IP425">
        <v>26540583.563777398</v>
      </c>
      <c r="IQ425">
        <v>536000</v>
      </c>
      <c r="IR425">
        <v>2600000</v>
      </c>
      <c r="IS425">
        <v>0</v>
      </c>
      <c r="IT425">
        <v>0</v>
      </c>
      <c r="IU425">
        <v>0</v>
      </c>
      <c r="IV425">
        <v>3136000</v>
      </c>
      <c r="IW425">
        <v>268000</v>
      </c>
      <c r="IX425">
        <v>1300000</v>
      </c>
      <c r="IY425">
        <v>0</v>
      </c>
      <c r="IZ425">
        <v>0</v>
      </c>
      <c r="JA425">
        <v>0</v>
      </c>
      <c r="JB425">
        <v>1568000</v>
      </c>
      <c r="JC425">
        <v>90000</v>
      </c>
      <c r="JD425">
        <v>434000</v>
      </c>
      <c r="JE425">
        <v>0</v>
      </c>
      <c r="JF425">
        <v>0</v>
      </c>
      <c r="JG425">
        <v>0</v>
      </c>
      <c r="JH425">
        <v>524000</v>
      </c>
    </row>
    <row r="426" spans="2:268" customFormat="1" x14ac:dyDescent="0.25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3"/>
      <c r="N426" s="3"/>
      <c r="O426" s="3"/>
      <c r="P426" s="2"/>
      <c r="Q426" s="2"/>
      <c r="R426" s="2"/>
      <c r="S426" s="2"/>
      <c r="T426" s="2"/>
      <c r="U426" s="2"/>
      <c r="V426" s="3"/>
      <c r="W426" s="3"/>
      <c r="X426" s="3"/>
      <c r="Y426" s="3"/>
      <c r="Z426" s="3"/>
      <c r="AA426" s="3"/>
      <c r="AB426" s="3"/>
      <c r="AC426" s="2"/>
      <c r="AD426" s="2"/>
      <c r="AE426" s="2"/>
      <c r="AF426" s="2"/>
      <c r="AG426" s="2"/>
      <c r="AH426" s="2"/>
      <c r="AI426" s="2"/>
      <c r="AJ426" s="3"/>
      <c r="AK426" s="2"/>
      <c r="AL426" s="2"/>
      <c r="AM426" s="2"/>
      <c r="AN426" s="2"/>
      <c r="AO426" s="3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3"/>
      <c r="BC426" s="3"/>
      <c r="BD426" s="3"/>
      <c r="BE426" s="3"/>
      <c r="BF426" s="3"/>
      <c r="BG426" s="3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2"/>
      <c r="DI426" s="2"/>
      <c r="DJ426" s="3"/>
      <c r="DK426" s="3"/>
      <c r="DL426" s="2"/>
      <c r="DM426" s="2"/>
      <c r="DN426" s="2"/>
      <c r="DO426" s="3"/>
      <c r="DP426" s="3"/>
      <c r="GO426" t="s">
        <v>139</v>
      </c>
      <c r="GP426" t="s">
        <v>135</v>
      </c>
      <c r="GQ426" t="s">
        <v>502</v>
      </c>
      <c r="GR426">
        <v>6</v>
      </c>
      <c r="GS426">
        <v>5</v>
      </c>
      <c r="GT426">
        <v>1</v>
      </c>
      <c r="GU426" t="s">
        <v>457</v>
      </c>
      <c r="GV426">
        <v>816817.36171810701</v>
      </c>
      <c r="GW426">
        <v>25723766.202059299</v>
      </c>
      <c r="GX426">
        <v>26540583.563777398</v>
      </c>
      <c r="GY426">
        <v>643200</v>
      </c>
      <c r="GZ426">
        <v>25897383.563777398</v>
      </c>
      <c r="HA426">
        <v>101000000</v>
      </c>
      <c r="HB426">
        <v>303000000</v>
      </c>
      <c r="HC426">
        <v>1000000</v>
      </c>
      <c r="HD426" t="s">
        <v>458</v>
      </c>
      <c r="HE426">
        <v>0</v>
      </c>
      <c r="HF426">
        <v>1000000</v>
      </c>
      <c r="HG426">
        <v>1000000</v>
      </c>
      <c r="HH426">
        <v>1072000</v>
      </c>
      <c r="HI426">
        <v>75040</v>
      </c>
      <c r="HJ426">
        <v>996960</v>
      </c>
      <c r="HK426">
        <v>5200000</v>
      </c>
      <c r="HL426">
        <v>104000</v>
      </c>
      <c r="HM426">
        <v>5096000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6272000</v>
      </c>
      <c r="HT426">
        <v>179040</v>
      </c>
      <c r="HU426">
        <v>6092960</v>
      </c>
      <c r="HV426">
        <v>37632000</v>
      </c>
      <c r="HW426">
        <v>0.02</v>
      </c>
      <c r="HX426">
        <v>0.99098093957577105</v>
      </c>
      <c r="HY426">
        <v>1</v>
      </c>
      <c r="HZ426">
        <v>300000</v>
      </c>
      <c r="IA426">
        <v>55844.562327160696</v>
      </c>
      <c r="IB426">
        <v>0</v>
      </c>
      <c r="IC426">
        <v>0</v>
      </c>
      <c r="ID426">
        <v>328544.56232716102</v>
      </c>
      <c r="IE426">
        <v>628544.56232716097</v>
      </c>
      <c r="IF426">
        <v>622875.68094021198</v>
      </c>
      <c r="IG426">
        <v>622875.68094021198</v>
      </c>
      <c r="IH426">
        <v>0</v>
      </c>
      <c r="II426">
        <v>23818.033615557899</v>
      </c>
      <c r="IJ426">
        <v>596395.32404118602</v>
      </c>
      <c r="IK426">
        <v>0</v>
      </c>
      <c r="IL426">
        <v>0</v>
      </c>
      <c r="IM426">
        <v>0</v>
      </c>
      <c r="IN426">
        <v>1214719.7143934499</v>
      </c>
      <c r="IO426">
        <v>30416161.526100501</v>
      </c>
      <c r="IP426">
        <v>31630881.240494002</v>
      </c>
      <c r="IQ426">
        <v>536000</v>
      </c>
      <c r="IR426">
        <v>2600000</v>
      </c>
      <c r="IS426">
        <v>0</v>
      </c>
      <c r="IT426">
        <v>0</v>
      </c>
      <c r="IU426">
        <v>0</v>
      </c>
      <c r="IV426">
        <v>3136000</v>
      </c>
      <c r="IW426">
        <v>268000</v>
      </c>
      <c r="IX426">
        <v>1300000</v>
      </c>
      <c r="IY426">
        <v>0</v>
      </c>
      <c r="IZ426">
        <v>0</v>
      </c>
      <c r="JA426">
        <v>0</v>
      </c>
      <c r="JB426">
        <v>1568000</v>
      </c>
      <c r="JC426">
        <v>90000</v>
      </c>
      <c r="JD426">
        <v>434000</v>
      </c>
      <c r="JE426">
        <v>0</v>
      </c>
      <c r="JF426">
        <v>0</v>
      </c>
      <c r="JG426">
        <v>0</v>
      </c>
      <c r="JH426">
        <v>524000</v>
      </c>
    </row>
    <row r="427" spans="2:268" customFormat="1" x14ac:dyDescent="0.25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3"/>
      <c r="O427" s="3"/>
      <c r="P427" s="2"/>
      <c r="Q427" s="2"/>
      <c r="R427" s="2"/>
      <c r="S427" s="2"/>
      <c r="T427" s="2"/>
      <c r="U427" s="2"/>
      <c r="V427" s="3"/>
      <c r="W427" s="3"/>
      <c r="X427" s="3"/>
      <c r="Y427" s="3"/>
      <c r="Z427" s="3"/>
      <c r="AA427" s="3"/>
      <c r="AB427" s="3"/>
      <c r="AC427" s="2"/>
      <c r="AD427" s="2"/>
      <c r="AE427" s="2"/>
      <c r="AF427" s="2"/>
      <c r="AG427" s="2"/>
      <c r="AH427" s="2"/>
      <c r="AI427" s="2"/>
      <c r="AJ427" s="3"/>
      <c r="AK427" s="2"/>
      <c r="AL427" s="2"/>
      <c r="AM427" s="2"/>
      <c r="AN427" s="2"/>
      <c r="AO427" s="3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3"/>
      <c r="BC427" s="3"/>
      <c r="BD427" s="3"/>
      <c r="BE427" s="3"/>
      <c r="BF427" s="3"/>
      <c r="BG427" s="3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2"/>
      <c r="DI427" s="2"/>
      <c r="DJ427" s="3"/>
      <c r="DK427" s="3"/>
      <c r="DL427" s="2"/>
      <c r="DM427" s="2"/>
      <c r="DN427" s="2"/>
      <c r="DO427" s="3"/>
      <c r="DP427" s="3"/>
      <c r="GO427" t="s">
        <v>139</v>
      </c>
      <c r="GP427" t="s">
        <v>135</v>
      </c>
      <c r="GQ427" t="s">
        <v>502</v>
      </c>
      <c r="GR427">
        <v>7</v>
      </c>
      <c r="GS427">
        <v>6</v>
      </c>
      <c r="GT427">
        <v>1</v>
      </c>
      <c r="GU427" t="s">
        <v>457</v>
      </c>
      <c r="GV427">
        <v>1214719.7143934499</v>
      </c>
      <c r="GW427">
        <v>30416161.526100501</v>
      </c>
      <c r="GX427">
        <v>31630881.240494002</v>
      </c>
      <c r="GY427">
        <v>428800</v>
      </c>
      <c r="GZ427">
        <v>31202081.240494002</v>
      </c>
      <c r="HA427">
        <v>101000000</v>
      </c>
      <c r="HB427">
        <v>303000000</v>
      </c>
      <c r="HC427">
        <v>1000000</v>
      </c>
      <c r="HD427" t="s">
        <v>458</v>
      </c>
      <c r="HE427">
        <v>0</v>
      </c>
      <c r="HF427">
        <v>1000000</v>
      </c>
      <c r="HG427">
        <v>1000000</v>
      </c>
      <c r="HH427">
        <v>1072000</v>
      </c>
      <c r="HI427">
        <v>75040</v>
      </c>
      <c r="HJ427">
        <v>996960</v>
      </c>
      <c r="HK427">
        <v>5200000</v>
      </c>
      <c r="HL427">
        <v>104000</v>
      </c>
      <c r="HM427">
        <v>5096000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6272000</v>
      </c>
      <c r="HT427">
        <v>179040</v>
      </c>
      <c r="HU427">
        <v>6092960</v>
      </c>
      <c r="HV427">
        <v>43904000</v>
      </c>
      <c r="HW427">
        <v>0.02</v>
      </c>
      <c r="HX427">
        <v>0.99098093957577105</v>
      </c>
      <c r="HY427">
        <v>1</v>
      </c>
      <c r="HZ427">
        <v>300000</v>
      </c>
      <c r="IA427">
        <v>50639.456694439999</v>
      </c>
      <c r="IB427">
        <v>0</v>
      </c>
      <c r="IC427">
        <v>0</v>
      </c>
      <c r="ID427">
        <v>323339.45669443998</v>
      </c>
      <c r="IE427">
        <v>623339.45669443998</v>
      </c>
      <c r="IF427">
        <v>617717.52046970697</v>
      </c>
      <c r="IG427">
        <v>617717.52046970697</v>
      </c>
      <c r="IH427">
        <v>0</v>
      </c>
      <c r="II427">
        <v>31879.243878474899</v>
      </c>
      <c r="IJ427">
        <v>690243.23052201001</v>
      </c>
      <c r="IK427">
        <v>0</v>
      </c>
      <c r="IL427">
        <v>0</v>
      </c>
      <c r="IM427">
        <v>0</v>
      </c>
      <c r="IN427">
        <v>1625841.43780222</v>
      </c>
      <c r="IO427">
        <v>35202404.756622501</v>
      </c>
      <c r="IP427">
        <v>36828246.194424704</v>
      </c>
      <c r="IQ427">
        <v>536000</v>
      </c>
      <c r="IR427">
        <v>2600000</v>
      </c>
      <c r="IS427">
        <v>0</v>
      </c>
      <c r="IT427">
        <v>0</v>
      </c>
      <c r="IU427">
        <v>0</v>
      </c>
      <c r="IV427">
        <v>3136000</v>
      </c>
      <c r="IW427">
        <v>268000</v>
      </c>
      <c r="IX427">
        <v>1300000</v>
      </c>
      <c r="IY427">
        <v>0</v>
      </c>
      <c r="IZ427">
        <v>0</v>
      </c>
      <c r="JA427">
        <v>0</v>
      </c>
      <c r="JB427">
        <v>1568000</v>
      </c>
      <c r="JC427">
        <v>90000</v>
      </c>
      <c r="JD427">
        <v>434000</v>
      </c>
      <c r="JE427">
        <v>0</v>
      </c>
      <c r="JF427">
        <v>0</v>
      </c>
      <c r="JG427">
        <v>0</v>
      </c>
      <c r="JH427">
        <v>524000</v>
      </c>
    </row>
    <row r="428" spans="2:268" customFormat="1" x14ac:dyDescent="0.25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3"/>
      <c r="N428" s="3"/>
      <c r="O428" s="3"/>
      <c r="P428" s="2"/>
      <c r="Q428" s="2"/>
      <c r="R428" s="2"/>
      <c r="S428" s="2"/>
      <c r="T428" s="2"/>
      <c r="U428" s="2"/>
      <c r="V428" s="3"/>
      <c r="W428" s="3"/>
      <c r="X428" s="3"/>
      <c r="Y428" s="3"/>
      <c r="Z428" s="3"/>
      <c r="AA428" s="3"/>
      <c r="AB428" s="3"/>
      <c r="AC428" s="2"/>
      <c r="AD428" s="2"/>
      <c r="AE428" s="2"/>
      <c r="AF428" s="2"/>
      <c r="AG428" s="2"/>
      <c r="AH428" s="2"/>
      <c r="AI428" s="2"/>
      <c r="AJ428" s="3"/>
      <c r="AK428" s="2"/>
      <c r="AL428" s="2"/>
      <c r="AM428" s="2"/>
      <c r="AN428" s="2"/>
      <c r="AO428" s="3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3"/>
      <c r="BC428" s="3"/>
      <c r="BD428" s="3"/>
      <c r="BE428" s="3"/>
      <c r="BF428" s="3"/>
      <c r="BG428" s="3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2"/>
      <c r="DI428" s="2"/>
      <c r="DJ428" s="3"/>
      <c r="DK428" s="3"/>
      <c r="DL428" s="2"/>
      <c r="DM428" s="2"/>
      <c r="DN428" s="2"/>
      <c r="DO428" s="3"/>
      <c r="DP428" s="3"/>
      <c r="GO428" t="s">
        <v>139</v>
      </c>
      <c r="GP428" t="s">
        <v>135</v>
      </c>
      <c r="GQ428" t="s">
        <v>502</v>
      </c>
      <c r="GR428">
        <v>8</v>
      </c>
      <c r="GS428">
        <v>7</v>
      </c>
      <c r="GT428">
        <v>1</v>
      </c>
      <c r="GU428" t="s">
        <v>457</v>
      </c>
      <c r="GV428">
        <v>1625841.43780222</v>
      </c>
      <c r="GW428">
        <v>35202404.756622501</v>
      </c>
      <c r="GX428">
        <v>36828246.194424704</v>
      </c>
      <c r="GY428">
        <v>214400</v>
      </c>
      <c r="GZ428">
        <v>36613846.194424704</v>
      </c>
      <c r="HA428">
        <v>101000000</v>
      </c>
      <c r="HB428">
        <v>303000000</v>
      </c>
      <c r="HC428">
        <v>0</v>
      </c>
      <c r="HD428" t="s">
        <v>137</v>
      </c>
      <c r="HE428">
        <v>0</v>
      </c>
      <c r="HF428">
        <v>0</v>
      </c>
      <c r="HG428">
        <v>0</v>
      </c>
      <c r="HH428">
        <v>1072000</v>
      </c>
      <c r="HI428">
        <v>42880</v>
      </c>
      <c r="HJ428">
        <v>1029120</v>
      </c>
      <c r="HK428">
        <v>5200000</v>
      </c>
      <c r="HL428">
        <v>104000</v>
      </c>
      <c r="HM428">
        <v>5096000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6272000</v>
      </c>
      <c r="HT428">
        <v>146880</v>
      </c>
      <c r="HU428">
        <v>6125120</v>
      </c>
      <c r="HV428">
        <v>50176000</v>
      </c>
      <c r="HW428">
        <v>0.02</v>
      </c>
      <c r="HX428">
        <v>0.99098093957577105</v>
      </c>
      <c r="HY428">
        <v>1</v>
      </c>
      <c r="HZ428">
        <v>300000</v>
      </c>
      <c r="IA428">
        <v>45561.9452019577</v>
      </c>
      <c r="IB428">
        <v>0</v>
      </c>
      <c r="IC428">
        <v>0</v>
      </c>
      <c r="ID428">
        <v>318261.94520195801</v>
      </c>
      <c r="IE428">
        <v>618261.94520195795</v>
      </c>
      <c r="IF428">
        <v>612685.80336018</v>
      </c>
      <c r="IG428">
        <v>612685.80336018</v>
      </c>
      <c r="IH428">
        <v>0</v>
      </c>
      <c r="II428">
        <v>40845.512688840798</v>
      </c>
      <c r="IJ428">
        <v>805968.09513244999</v>
      </c>
      <c r="IK428">
        <v>128640</v>
      </c>
      <c r="IL428">
        <v>0</v>
      </c>
      <c r="IM428">
        <v>128640</v>
      </c>
      <c r="IN428">
        <v>2211761.14713088</v>
      </c>
      <c r="IO428">
        <v>41104372.851755001</v>
      </c>
      <c r="IP428">
        <v>43316133.998885803</v>
      </c>
      <c r="IQ428">
        <v>536000</v>
      </c>
      <c r="IR428">
        <v>2600000</v>
      </c>
      <c r="IS428">
        <v>0</v>
      </c>
      <c r="IT428">
        <v>0</v>
      </c>
      <c r="IU428">
        <v>0</v>
      </c>
      <c r="IV428">
        <v>3136000</v>
      </c>
      <c r="IW428">
        <v>268000</v>
      </c>
      <c r="IX428">
        <v>1300000</v>
      </c>
      <c r="IY428">
        <v>0</v>
      </c>
      <c r="IZ428">
        <v>0</v>
      </c>
      <c r="JA428">
        <v>0</v>
      </c>
      <c r="JB428">
        <v>1568000</v>
      </c>
      <c r="JC428">
        <v>90000</v>
      </c>
      <c r="JD428">
        <v>434000</v>
      </c>
      <c r="JE428">
        <v>0</v>
      </c>
      <c r="JF428">
        <v>0</v>
      </c>
      <c r="JG428">
        <v>0</v>
      </c>
      <c r="JH428">
        <v>524000</v>
      </c>
    </row>
    <row r="429" spans="2:268" customFormat="1" x14ac:dyDescent="0.25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3"/>
      <c r="N429" s="3"/>
      <c r="O429" s="3"/>
      <c r="P429" s="2"/>
      <c r="Q429" s="2"/>
      <c r="R429" s="2"/>
      <c r="S429" s="2"/>
      <c r="T429" s="2"/>
      <c r="U429" s="2"/>
      <c r="V429" s="3"/>
      <c r="W429" s="3"/>
      <c r="X429" s="3"/>
      <c r="Y429" s="3"/>
      <c r="Z429" s="3"/>
      <c r="AA429" s="3"/>
      <c r="AB429" s="3"/>
      <c r="AC429" s="2"/>
      <c r="AD429" s="2"/>
      <c r="AE429" s="2"/>
      <c r="AF429" s="2"/>
      <c r="AG429" s="2"/>
      <c r="AH429" s="2"/>
      <c r="AI429" s="2"/>
      <c r="AJ429" s="3"/>
      <c r="AK429" s="2"/>
      <c r="AL429" s="2"/>
      <c r="AM429" s="2"/>
      <c r="AN429" s="2"/>
      <c r="AO429" s="3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3"/>
      <c r="BC429" s="3"/>
      <c r="BD429" s="3"/>
      <c r="BE429" s="3"/>
      <c r="BF429" s="3"/>
      <c r="BG429" s="3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2"/>
      <c r="DI429" s="2"/>
      <c r="DJ429" s="3"/>
      <c r="DK429" s="3"/>
      <c r="DL429" s="2"/>
      <c r="DM429" s="2"/>
      <c r="DN429" s="2"/>
      <c r="DO429" s="3"/>
      <c r="DP429" s="3"/>
      <c r="GO429" t="s">
        <v>139</v>
      </c>
      <c r="GP429" t="s">
        <v>135</v>
      </c>
      <c r="GQ429" t="s">
        <v>502</v>
      </c>
      <c r="GR429">
        <v>9</v>
      </c>
      <c r="GS429">
        <v>8</v>
      </c>
      <c r="GT429">
        <v>1</v>
      </c>
      <c r="GU429" t="s">
        <v>457</v>
      </c>
      <c r="GV429">
        <v>2211761.14713088</v>
      </c>
      <c r="GW429">
        <v>41104372.851755001</v>
      </c>
      <c r="GX429">
        <v>43316133.998885803</v>
      </c>
      <c r="GY429">
        <v>107200</v>
      </c>
      <c r="GZ429">
        <v>43208933.998885803</v>
      </c>
      <c r="HA429">
        <v>101000000</v>
      </c>
      <c r="HB429">
        <v>303000000</v>
      </c>
      <c r="HC429">
        <v>0</v>
      </c>
      <c r="HD429" t="s">
        <v>137</v>
      </c>
      <c r="HE429">
        <v>0</v>
      </c>
      <c r="HF429">
        <v>0</v>
      </c>
      <c r="HG429">
        <v>0</v>
      </c>
      <c r="HH429">
        <v>1072000</v>
      </c>
      <c r="HI429">
        <v>42880</v>
      </c>
      <c r="HJ429">
        <v>1029120</v>
      </c>
      <c r="HK429">
        <v>5200000</v>
      </c>
      <c r="HL429">
        <v>104000</v>
      </c>
      <c r="HM429">
        <v>5096000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6272000</v>
      </c>
      <c r="HT429">
        <v>146880</v>
      </c>
      <c r="HU429">
        <v>6125120</v>
      </c>
      <c r="HV429">
        <v>56448000</v>
      </c>
      <c r="HW429">
        <v>0.02</v>
      </c>
      <c r="HX429">
        <v>0.99098093957577105</v>
      </c>
      <c r="HY429">
        <v>1</v>
      </c>
      <c r="HZ429">
        <v>300000</v>
      </c>
      <c r="IA429">
        <v>40378.706200781897</v>
      </c>
      <c r="IB429">
        <v>0</v>
      </c>
      <c r="IC429">
        <v>0</v>
      </c>
      <c r="ID429">
        <v>313078.70620078198</v>
      </c>
      <c r="IE429">
        <v>613078.70620078198</v>
      </c>
      <c r="IF429">
        <v>607549.31230474904</v>
      </c>
      <c r="IG429">
        <v>607549.31230474904</v>
      </c>
      <c r="IH429">
        <v>0</v>
      </c>
      <c r="II429">
        <v>52666.636696522597</v>
      </c>
      <c r="IJ429">
        <v>924007.45703509904</v>
      </c>
      <c r="IK429">
        <v>0</v>
      </c>
      <c r="IL429">
        <v>0</v>
      </c>
      <c r="IM429">
        <v>0</v>
      </c>
      <c r="IN429">
        <v>2685998.4715226502</v>
      </c>
      <c r="IO429">
        <v>47124380.308790103</v>
      </c>
      <c r="IP429">
        <v>49810378.780312702</v>
      </c>
      <c r="IQ429">
        <v>536000</v>
      </c>
      <c r="IR429">
        <v>2600000</v>
      </c>
      <c r="IS429">
        <v>0</v>
      </c>
      <c r="IT429">
        <v>0</v>
      </c>
      <c r="IU429">
        <v>0</v>
      </c>
      <c r="IV429">
        <v>3136000</v>
      </c>
      <c r="IW429">
        <v>268000</v>
      </c>
      <c r="IX429">
        <v>1300000</v>
      </c>
      <c r="IY429">
        <v>0</v>
      </c>
      <c r="IZ429">
        <v>0</v>
      </c>
      <c r="JA429">
        <v>0</v>
      </c>
      <c r="JB429">
        <v>1568000</v>
      </c>
      <c r="JC429">
        <v>90000</v>
      </c>
      <c r="JD429">
        <v>434000</v>
      </c>
      <c r="JE429">
        <v>0</v>
      </c>
      <c r="JF429">
        <v>0</v>
      </c>
      <c r="JG429">
        <v>0</v>
      </c>
      <c r="JH429">
        <v>524000</v>
      </c>
    </row>
    <row r="430" spans="2:268" customFormat="1" x14ac:dyDescent="0.25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3"/>
      <c r="N430" s="3"/>
      <c r="O430" s="3"/>
      <c r="P430" s="2"/>
      <c r="Q430" s="2"/>
      <c r="R430" s="2"/>
      <c r="S430" s="2"/>
      <c r="T430" s="2"/>
      <c r="U430" s="2"/>
      <c r="V430" s="3"/>
      <c r="W430" s="3"/>
      <c r="X430" s="3"/>
      <c r="Y430" s="3"/>
      <c r="Z430" s="3"/>
      <c r="AA430" s="3"/>
      <c r="AB430" s="3"/>
      <c r="AC430" s="2"/>
      <c r="AD430" s="2"/>
      <c r="AE430" s="2"/>
      <c r="AF430" s="2"/>
      <c r="AG430" s="2"/>
      <c r="AH430" s="2"/>
      <c r="AI430" s="2"/>
      <c r="AJ430" s="3"/>
      <c r="AK430" s="2"/>
      <c r="AL430" s="2"/>
      <c r="AM430" s="2"/>
      <c r="AN430" s="2"/>
      <c r="AO430" s="3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3"/>
      <c r="BC430" s="3"/>
      <c r="BD430" s="3"/>
      <c r="BE430" s="3"/>
      <c r="BF430" s="3"/>
      <c r="BG430" s="3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2"/>
      <c r="DI430" s="2"/>
      <c r="DJ430" s="3"/>
      <c r="DK430" s="3"/>
      <c r="DL430" s="2"/>
      <c r="DM430" s="2"/>
      <c r="DN430" s="2"/>
      <c r="DO430" s="3"/>
      <c r="DP430" s="3"/>
      <c r="GO430" t="s">
        <v>139</v>
      </c>
      <c r="GP430" t="s">
        <v>135</v>
      </c>
      <c r="GQ430" t="s">
        <v>502</v>
      </c>
      <c r="GR430">
        <v>10</v>
      </c>
      <c r="GS430">
        <v>9</v>
      </c>
      <c r="GT430">
        <v>1</v>
      </c>
      <c r="GU430" t="s">
        <v>457</v>
      </c>
      <c r="GV430">
        <v>2685998.4715226502</v>
      </c>
      <c r="GW430">
        <v>47124380.308790103</v>
      </c>
      <c r="GX430">
        <v>49810378.780312702</v>
      </c>
      <c r="GY430">
        <v>0</v>
      </c>
      <c r="GZ430">
        <v>49810378.780312702</v>
      </c>
      <c r="HA430">
        <v>101000000</v>
      </c>
      <c r="HB430">
        <v>303000000</v>
      </c>
      <c r="HC430">
        <v>0</v>
      </c>
      <c r="HD430" t="s">
        <v>137</v>
      </c>
      <c r="HE430">
        <v>0</v>
      </c>
      <c r="HF430">
        <v>0</v>
      </c>
      <c r="HG430">
        <v>0</v>
      </c>
      <c r="HH430">
        <v>1072000</v>
      </c>
      <c r="HI430">
        <v>21440</v>
      </c>
      <c r="HJ430">
        <v>1050560</v>
      </c>
      <c r="HK430">
        <v>5200000</v>
      </c>
      <c r="HL430">
        <v>104000</v>
      </c>
      <c r="HM430">
        <v>5096000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6272000</v>
      </c>
      <c r="HT430">
        <v>125440</v>
      </c>
      <c r="HU430">
        <v>6146560</v>
      </c>
      <c r="HV430">
        <v>62720000</v>
      </c>
      <c r="HW430">
        <v>0.02</v>
      </c>
      <c r="HX430">
        <v>0.99098093957577105</v>
      </c>
      <c r="HY430">
        <v>1</v>
      </c>
      <c r="HZ430">
        <v>300000</v>
      </c>
      <c r="IA430">
        <v>35320.838641582603</v>
      </c>
      <c r="IB430">
        <v>0</v>
      </c>
      <c r="IC430">
        <v>0</v>
      </c>
      <c r="ID430">
        <v>308020.83864158299</v>
      </c>
      <c r="IE430">
        <v>608020.83864158299</v>
      </c>
      <c r="IF430">
        <v>602537.061958684</v>
      </c>
      <c r="IG430">
        <v>602537.061958684</v>
      </c>
      <c r="IH430">
        <v>0</v>
      </c>
      <c r="II430">
        <v>62680.428191279403</v>
      </c>
      <c r="IJ430">
        <v>1044407.6061758</v>
      </c>
      <c r="IK430">
        <v>0</v>
      </c>
      <c r="IL430">
        <v>0</v>
      </c>
      <c r="IM430">
        <v>0</v>
      </c>
      <c r="IN430">
        <v>3196701.8377552498</v>
      </c>
      <c r="IO430">
        <v>53264787.914965898</v>
      </c>
      <c r="IP430">
        <v>56461489.752721101</v>
      </c>
      <c r="IQ430">
        <v>536000</v>
      </c>
      <c r="IR430">
        <v>2600000</v>
      </c>
      <c r="IS430">
        <v>0</v>
      </c>
      <c r="IT430">
        <v>0</v>
      </c>
      <c r="IU430">
        <v>0</v>
      </c>
      <c r="IV430">
        <v>3136000</v>
      </c>
      <c r="IW430">
        <v>268000</v>
      </c>
      <c r="IX430">
        <v>1300000</v>
      </c>
      <c r="IY430">
        <v>0</v>
      </c>
      <c r="IZ430">
        <v>0</v>
      </c>
      <c r="JA430">
        <v>0</v>
      </c>
      <c r="JB430">
        <v>1568000</v>
      </c>
      <c r="JC430">
        <v>90000</v>
      </c>
      <c r="JD430">
        <v>434000</v>
      </c>
      <c r="JE430">
        <v>0</v>
      </c>
      <c r="JF430">
        <v>0</v>
      </c>
      <c r="JG430">
        <v>0</v>
      </c>
      <c r="JH430">
        <v>524000</v>
      </c>
    </row>
    <row r="431" spans="2:268" customFormat="1" x14ac:dyDescent="0.25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3"/>
      <c r="N431" s="3"/>
      <c r="O431" s="3"/>
      <c r="P431" s="2"/>
      <c r="Q431" s="2"/>
      <c r="R431" s="2"/>
      <c r="S431" s="2"/>
      <c r="T431" s="2"/>
      <c r="U431" s="2"/>
      <c r="V431" s="3"/>
      <c r="W431" s="3"/>
      <c r="X431" s="3"/>
      <c r="Y431" s="3"/>
      <c r="Z431" s="3"/>
      <c r="AA431" s="3"/>
      <c r="AB431" s="3"/>
      <c r="AC431" s="2"/>
      <c r="AD431" s="2"/>
      <c r="AE431" s="2"/>
      <c r="AF431" s="2"/>
      <c r="AG431" s="2"/>
      <c r="AH431" s="2"/>
      <c r="AI431" s="2"/>
      <c r="AJ431" s="3"/>
      <c r="AK431" s="2"/>
      <c r="AL431" s="2"/>
      <c r="AM431" s="2"/>
      <c r="AN431" s="2"/>
      <c r="AO431" s="3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3"/>
      <c r="BC431" s="3"/>
      <c r="BD431" s="3"/>
      <c r="BE431" s="3"/>
      <c r="BF431" s="3"/>
      <c r="BG431" s="3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2"/>
      <c r="DI431" s="2"/>
      <c r="DJ431" s="3"/>
      <c r="DK431" s="3"/>
      <c r="DL431" s="2"/>
      <c r="DM431" s="2"/>
      <c r="DN431" s="2"/>
      <c r="DO431" s="3"/>
      <c r="DP431" s="3"/>
      <c r="GO431" t="s">
        <v>139</v>
      </c>
      <c r="GP431" t="s">
        <v>135</v>
      </c>
      <c r="GQ431" t="s">
        <v>502</v>
      </c>
      <c r="GR431">
        <v>11</v>
      </c>
      <c r="GS431">
        <v>10</v>
      </c>
      <c r="GT431">
        <v>1</v>
      </c>
      <c r="GU431" t="s">
        <v>457</v>
      </c>
      <c r="GV431">
        <v>3196701.8377552498</v>
      </c>
      <c r="GW431">
        <v>53264787.914965898</v>
      </c>
      <c r="GX431">
        <v>56461489.752721101</v>
      </c>
      <c r="GY431">
        <v>0</v>
      </c>
      <c r="GZ431">
        <v>56461489.752721101</v>
      </c>
      <c r="HA431">
        <v>101000000</v>
      </c>
      <c r="HB431">
        <v>303000000</v>
      </c>
      <c r="HC431">
        <v>0</v>
      </c>
      <c r="HD431" t="s">
        <v>137</v>
      </c>
      <c r="HE431">
        <v>0</v>
      </c>
      <c r="HF431">
        <v>0</v>
      </c>
      <c r="HG431">
        <v>0</v>
      </c>
      <c r="HH431">
        <v>1072000</v>
      </c>
      <c r="HI431">
        <v>21440</v>
      </c>
      <c r="HJ431">
        <v>1050560</v>
      </c>
      <c r="HK431">
        <v>5200000</v>
      </c>
      <c r="HL431">
        <v>104000</v>
      </c>
      <c r="HM431">
        <v>5096000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6272000</v>
      </c>
      <c r="HT431">
        <v>125440</v>
      </c>
      <c r="HU431">
        <v>6146560</v>
      </c>
      <c r="HV431">
        <v>68992000</v>
      </c>
      <c r="HW431">
        <v>0.02</v>
      </c>
      <c r="HX431">
        <v>0.99098093957577105</v>
      </c>
      <c r="HY431">
        <v>1</v>
      </c>
      <c r="HZ431">
        <v>300000</v>
      </c>
      <c r="IA431">
        <v>30286.186968150301</v>
      </c>
      <c r="IB431">
        <v>0</v>
      </c>
      <c r="IC431">
        <v>0</v>
      </c>
      <c r="ID431">
        <v>302986.18696815002</v>
      </c>
      <c r="IE431">
        <v>602986.18696814997</v>
      </c>
      <c r="IF431">
        <v>597547.81811290898</v>
      </c>
      <c r="IG431">
        <v>597547.81811290898</v>
      </c>
      <c r="IH431">
        <v>0</v>
      </c>
      <c r="II431">
        <v>72994.280392846806</v>
      </c>
      <c r="IJ431">
        <v>1167215.75829932</v>
      </c>
      <c r="IK431">
        <v>0</v>
      </c>
      <c r="IL431">
        <v>0</v>
      </c>
      <c r="IM431">
        <v>0</v>
      </c>
      <c r="IN431">
        <v>3722708.3000351898</v>
      </c>
      <c r="IO431">
        <v>59528003.673265196</v>
      </c>
      <c r="IP431">
        <v>63250711.973300397</v>
      </c>
      <c r="IQ431">
        <v>536000</v>
      </c>
      <c r="IR431">
        <v>2600000</v>
      </c>
      <c r="IS431">
        <v>0</v>
      </c>
      <c r="IT431">
        <v>0</v>
      </c>
      <c r="IU431">
        <v>0</v>
      </c>
      <c r="IV431">
        <v>3136000</v>
      </c>
      <c r="IW431">
        <v>268000</v>
      </c>
      <c r="IX431">
        <v>1300000</v>
      </c>
      <c r="IY431">
        <v>0</v>
      </c>
      <c r="IZ431">
        <v>0</v>
      </c>
      <c r="JA431">
        <v>0</v>
      </c>
      <c r="JB431">
        <v>1568000</v>
      </c>
      <c r="JC431">
        <v>90000</v>
      </c>
      <c r="JD431">
        <v>434000</v>
      </c>
      <c r="JE431">
        <v>0</v>
      </c>
      <c r="JF431">
        <v>0</v>
      </c>
      <c r="JG431">
        <v>0</v>
      </c>
      <c r="JH431">
        <v>524000</v>
      </c>
    </row>
    <row r="432" spans="2:268" customFormat="1" x14ac:dyDescent="0.25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3"/>
      <c r="N432" s="3"/>
      <c r="O432" s="3"/>
      <c r="P432" s="2"/>
      <c r="Q432" s="2"/>
      <c r="R432" s="2"/>
      <c r="S432" s="2"/>
      <c r="T432" s="2"/>
      <c r="U432" s="2"/>
      <c r="V432" s="3"/>
      <c r="W432" s="3"/>
      <c r="X432" s="3"/>
      <c r="Y432" s="3"/>
      <c r="Z432" s="3"/>
      <c r="AA432" s="3"/>
      <c r="AB432" s="3"/>
      <c r="AC432" s="2"/>
      <c r="AD432" s="2"/>
      <c r="AE432" s="2"/>
      <c r="AF432" s="2"/>
      <c r="AG432" s="2"/>
      <c r="AH432" s="2"/>
      <c r="AI432" s="2"/>
      <c r="AJ432" s="3"/>
      <c r="AK432" s="2"/>
      <c r="AL432" s="2"/>
      <c r="AM432" s="2"/>
      <c r="AN432" s="2"/>
      <c r="AO432" s="3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3"/>
      <c r="BC432" s="3"/>
      <c r="BD432" s="3"/>
      <c r="BE432" s="3"/>
      <c r="BF432" s="3"/>
      <c r="BG432" s="3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2"/>
      <c r="DI432" s="2"/>
      <c r="DJ432" s="3"/>
      <c r="DK432" s="3"/>
      <c r="DL432" s="2"/>
      <c r="DM432" s="2"/>
      <c r="DN432" s="2"/>
      <c r="DO432" s="3"/>
      <c r="DP432" s="3"/>
      <c r="GO432" t="s">
        <v>139</v>
      </c>
      <c r="GP432" t="s">
        <v>135</v>
      </c>
      <c r="GQ432" t="s">
        <v>502</v>
      </c>
      <c r="GR432">
        <v>12</v>
      </c>
      <c r="GS432">
        <v>11</v>
      </c>
      <c r="GT432">
        <v>1</v>
      </c>
      <c r="GU432" t="s">
        <v>457</v>
      </c>
      <c r="GV432">
        <v>3722708.3000351898</v>
      </c>
      <c r="GW432">
        <v>59528003.673265196</v>
      </c>
      <c r="GX432">
        <v>63250711.973300397</v>
      </c>
      <c r="GY432">
        <v>0</v>
      </c>
      <c r="GZ432">
        <v>63250711.973300397</v>
      </c>
      <c r="HA432">
        <v>101000000</v>
      </c>
      <c r="HB432">
        <v>303000000</v>
      </c>
      <c r="HC432">
        <v>5000000</v>
      </c>
      <c r="HD432" t="s">
        <v>458</v>
      </c>
      <c r="HE432">
        <v>0</v>
      </c>
      <c r="HF432">
        <v>5000000</v>
      </c>
      <c r="HG432">
        <v>5000000</v>
      </c>
      <c r="HH432">
        <v>1072000</v>
      </c>
      <c r="HI432">
        <v>21440</v>
      </c>
      <c r="HJ432">
        <v>1050560</v>
      </c>
      <c r="HK432">
        <v>5200000</v>
      </c>
      <c r="HL432">
        <v>104000</v>
      </c>
      <c r="HM432">
        <v>5096000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6272000</v>
      </c>
      <c r="HT432">
        <v>125440</v>
      </c>
      <c r="HU432">
        <v>6146560</v>
      </c>
      <c r="HV432">
        <v>75264000</v>
      </c>
      <c r="HW432">
        <v>0.02</v>
      </c>
      <c r="HX432">
        <v>0.99098093957577105</v>
      </c>
      <c r="HY432">
        <v>1</v>
      </c>
      <c r="HZ432">
        <v>300000</v>
      </c>
      <c r="IA432">
        <v>26424.501618691</v>
      </c>
      <c r="IB432">
        <v>0</v>
      </c>
      <c r="IC432">
        <v>0</v>
      </c>
      <c r="ID432">
        <v>299124.50161869102</v>
      </c>
      <c r="IE432">
        <v>599124.50161869102</v>
      </c>
      <c r="IF432">
        <v>593720.96153695602</v>
      </c>
      <c r="IG432">
        <v>593720.96153695602</v>
      </c>
      <c r="IH432">
        <v>0</v>
      </c>
      <c r="II432">
        <v>83590.946769964605</v>
      </c>
      <c r="IJ432">
        <v>1192480.0734653</v>
      </c>
      <c r="IK432">
        <v>192960</v>
      </c>
      <c r="IL432">
        <v>0</v>
      </c>
      <c r="IM432">
        <v>192960</v>
      </c>
      <c r="IN432">
        <v>4456098.2852681996</v>
      </c>
      <c r="IO432">
        <v>60816483.746730499</v>
      </c>
      <c r="IP432">
        <v>65272582.031998701</v>
      </c>
      <c r="IQ432">
        <v>536000</v>
      </c>
      <c r="IR432">
        <v>2600000</v>
      </c>
      <c r="IS432">
        <v>0</v>
      </c>
      <c r="IT432">
        <v>0</v>
      </c>
      <c r="IU432">
        <v>0</v>
      </c>
      <c r="IV432">
        <v>3136000</v>
      </c>
      <c r="IW432">
        <v>268000</v>
      </c>
      <c r="IX432">
        <v>1300000</v>
      </c>
      <c r="IY432">
        <v>0</v>
      </c>
      <c r="IZ432">
        <v>0</v>
      </c>
      <c r="JA432">
        <v>0</v>
      </c>
      <c r="JB432">
        <v>1568000</v>
      </c>
      <c r="JC432">
        <v>90000</v>
      </c>
      <c r="JD432">
        <v>434000</v>
      </c>
      <c r="JE432">
        <v>0</v>
      </c>
      <c r="JF432">
        <v>0</v>
      </c>
      <c r="JG432">
        <v>0</v>
      </c>
      <c r="JH432">
        <v>524000</v>
      </c>
    </row>
    <row r="433" spans="2:268" customFormat="1" x14ac:dyDescent="0.25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3"/>
      <c r="N433" s="3"/>
      <c r="O433" s="3"/>
      <c r="P433" s="2"/>
      <c r="Q433" s="2"/>
      <c r="R433" s="2"/>
      <c r="S433" s="2"/>
      <c r="T433" s="2"/>
      <c r="U433" s="2"/>
      <c r="V433" s="3"/>
      <c r="W433" s="3"/>
      <c r="X433" s="3"/>
      <c r="Y433" s="3"/>
      <c r="Z433" s="3"/>
      <c r="AA433" s="3"/>
      <c r="AB433" s="3"/>
      <c r="AC433" s="2"/>
      <c r="AD433" s="2"/>
      <c r="AE433" s="2"/>
      <c r="AF433" s="2"/>
      <c r="AG433" s="2"/>
      <c r="AH433" s="2"/>
      <c r="AI433" s="2"/>
      <c r="AJ433" s="3"/>
      <c r="AK433" s="2"/>
      <c r="AL433" s="2"/>
      <c r="AM433" s="2"/>
      <c r="AN433" s="2"/>
      <c r="AO433" s="3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3"/>
      <c r="BC433" s="3"/>
      <c r="BD433" s="3"/>
      <c r="BE433" s="3"/>
      <c r="BF433" s="3"/>
      <c r="BG433" s="3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2"/>
      <c r="DI433" s="2"/>
      <c r="DJ433" s="3"/>
      <c r="DK433" s="3"/>
      <c r="DL433" s="2"/>
      <c r="DM433" s="2"/>
      <c r="DN433" s="2"/>
      <c r="DO433" s="3"/>
      <c r="DP433" s="3"/>
      <c r="GO433" t="s">
        <v>139</v>
      </c>
      <c r="GP433" t="s">
        <v>135</v>
      </c>
      <c r="GQ433" t="s">
        <v>502</v>
      </c>
      <c r="GR433">
        <v>13</v>
      </c>
      <c r="GS433">
        <v>12</v>
      </c>
      <c r="GT433">
        <v>1</v>
      </c>
      <c r="GU433" t="s">
        <v>457</v>
      </c>
      <c r="GV433">
        <v>4456098.2852681996</v>
      </c>
      <c r="GW433">
        <v>60816483.746730499</v>
      </c>
      <c r="GX433">
        <v>65272582.031998701</v>
      </c>
      <c r="GY433">
        <v>0</v>
      </c>
      <c r="GZ433">
        <v>65272582.031998701</v>
      </c>
      <c r="HA433">
        <v>101000000</v>
      </c>
      <c r="HB433">
        <v>303000000</v>
      </c>
      <c r="HC433">
        <v>5000000</v>
      </c>
      <c r="HD433" t="s">
        <v>458</v>
      </c>
      <c r="HE433">
        <v>0</v>
      </c>
      <c r="HF433">
        <v>5000000</v>
      </c>
      <c r="HG433">
        <v>5000000</v>
      </c>
      <c r="HH433">
        <v>1072000</v>
      </c>
      <c r="HI433">
        <v>21440</v>
      </c>
      <c r="HJ433">
        <v>1050560</v>
      </c>
      <c r="HK433">
        <v>5200000</v>
      </c>
      <c r="HL433">
        <v>104000</v>
      </c>
      <c r="HM433">
        <v>5096000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6272000</v>
      </c>
      <c r="HT433">
        <v>125440</v>
      </c>
      <c r="HU433">
        <v>6146560</v>
      </c>
      <c r="HV433">
        <v>81536000</v>
      </c>
      <c r="HW433">
        <v>0.02</v>
      </c>
      <c r="HX433">
        <v>0.99098093957577105</v>
      </c>
      <c r="HY433">
        <v>1</v>
      </c>
      <c r="HZ433">
        <v>300000</v>
      </c>
      <c r="IA433">
        <v>26081.0151166412</v>
      </c>
      <c r="IB433">
        <v>0</v>
      </c>
      <c r="IC433">
        <v>0</v>
      </c>
      <c r="ID433">
        <v>298781.01511664101</v>
      </c>
      <c r="IE433">
        <v>598781.01511664095</v>
      </c>
      <c r="IF433">
        <v>593380.57296042296</v>
      </c>
      <c r="IG433">
        <v>593380.57296042296</v>
      </c>
      <c r="IH433">
        <v>0</v>
      </c>
      <c r="II433">
        <v>98265.554246155501</v>
      </c>
      <c r="IJ433">
        <v>1218249.67493461</v>
      </c>
      <c r="IK433">
        <v>0</v>
      </c>
      <c r="IL433">
        <v>0</v>
      </c>
      <c r="IM433">
        <v>0</v>
      </c>
      <c r="IN433">
        <v>5011543.26655393</v>
      </c>
      <c r="IO433">
        <v>62130733.421665102</v>
      </c>
      <c r="IP433">
        <v>67142276.688218996</v>
      </c>
      <c r="IQ433">
        <v>536000</v>
      </c>
      <c r="IR433">
        <v>2600000</v>
      </c>
      <c r="IS433">
        <v>0</v>
      </c>
      <c r="IT433">
        <v>0</v>
      </c>
      <c r="IU433">
        <v>0</v>
      </c>
      <c r="IV433">
        <v>3136000</v>
      </c>
      <c r="IW433">
        <v>268000</v>
      </c>
      <c r="IX433">
        <v>1300000</v>
      </c>
      <c r="IY433">
        <v>0</v>
      </c>
      <c r="IZ433">
        <v>0</v>
      </c>
      <c r="JA433">
        <v>0</v>
      </c>
      <c r="JB433">
        <v>1568000</v>
      </c>
      <c r="JC433">
        <v>90000</v>
      </c>
      <c r="JD433">
        <v>434000</v>
      </c>
      <c r="JE433">
        <v>0</v>
      </c>
      <c r="JF433">
        <v>0</v>
      </c>
      <c r="JG433">
        <v>0</v>
      </c>
      <c r="JH433">
        <v>524000</v>
      </c>
    </row>
    <row r="434" spans="2:268" customFormat="1" x14ac:dyDescent="0.25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3"/>
      <c r="N434" s="3"/>
      <c r="O434" s="3"/>
      <c r="P434" s="2"/>
      <c r="Q434" s="2"/>
      <c r="R434" s="2"/>
      <c r="S434" s="2"/>
      <c r="T434" s="2"/>
      <c r="U434" s="2"/>
      <c r="V434" s="3"/>
      <c r="W434" s="3"/>
      <c r="X434" s="3"/>
      <c r="Y434" s="3"/>
      <c r="Z434" s="3"/>
      <c r="AA434" s="3"/>
      <c r="AB434" s="3"/>
      <c r="AC434" s="2"/>
      <c r="AD434" s="2"/>
      <c r="AE434" s="2"/>
      <c r="AF434" s="2"/>
      <c r="AG434" s="2"/>
      <c r="AH434" s="2"/>
      <c r="AI434" s="2"/>
      <c r="AJ434" s="3"/>
      <c r="AK434" s="2"/>
      <c r="AL434" s="2"/>
      <c r="AM434" s="2"/>
      <c r="AN434" s="2"/>
      <c r="AO434" s="3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3"/>
      <c r="BC434" s="3"/>
      <c r="BD434" s="3"/>
      <c r="BE434" s="3"/>
      <c r="BF434" s="3"/>
      <c r="BG434" s="3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2"/>
      <c r="DI434" s="2"/>
      <c r="DJ434" s="3"/>
      <c r="DK434" s="3"/>
      <c r="DL434" s="2"/>
      <c r="DM434" s="2"/>
      <c r="DN434" s="2"/>
      <c r="DO434" s="3"/>
      <c r="DP434" s="3"/>
      <c r="GO434" t="s">
        <v>139</v>
      </c>
      <c r="GP434" t="s">
        <v>135</v>
      </c>
      <c r="GQ434" t="s">
        <v>502</v>
      </c>
      <c r="GR434">
        <v>14</v>
      </c>
      <c r="GS434">
        <v>13</v>
      </c>
      <c r="GT434">
        <v>1</v>
      </c>
      <c r="GU434" t="s">
        <v>457</v>
      </c>
      <c r="GV434">
        <v>5011543.26655393</v>
      </c>
      <c r="GW434">
        <v>62130733.421665102</v>
      </c>
      <c r="GX434">
        <v>67142276.688218996</v>
      </c>
      <c r="GY434">
        <v>0</v>
      </c>
      <c r="GZ434">
        <v>67142276.688218996</v>
      </c>
      <c r="HA434">
        <v>101000000</v>
      </c>
      <c r="HB434">
        <v>303000000</v>
      </c>
      <c r="HC434">
        <v>5000000</v>
      </c>
      <c r="HD434" t="s">
        <v>458</v>
      </c>
      <c r="HE434">
        <v>0</v>
      </c>
      <c r="HF434">
        <v>5000000</v>
      </c>
      <c r="HG434">
        <v>5000000</v>
      </c>
      <c r="HH434">
        <v>1072000</v>
      </c>
      <c r="HI434">
        <v>21440</v>
      </c>
      <c r="HJ434">
        <v>1050560</v>
      </c>
      <c r="HK434">
        <v>5200000</v>
      </c>
      <c r="HL434">
        <v>104000</v>
      </c>
      <c r="HM434">
        <v>5096000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6272000</v>
      </c>
      <c r="HT434">
        <v>125440</v>
      </c>
      <c r="HU434">
        <v>6146560</v>
      </c>
      <c r="HV434">
        <v>87808000</v>
      </c>
      <c r="HW434">
        <v>0.02</v>
      </c>
      <c r="HX434">
        <v>0.99098093957577105</v>
      </c>
      <c r="HY434">
        <v>1</v>
      </c>
      <c r="HZ434">
        <v>300000</v>
      </c>
      <c r="IA434">
        <v>26070.446950069199</v>
      </c>
      <c r="IB434">
        <v>0</v>
      </c>
      <c r="IC434">
        <v>0</v>
      </c>
      <c r="ID434">
        <v>298770.44695006899</v>
      </c>
      <c r="IE434">
        <v>598770.44695006905</v>
      </c>
      <c r="IF434">
        <v>593370.10010878404</v>
      </c>
      <c r="IG434">
        <v>593370.10010878404</v>
      </c>
      <c r="IH434">
        <v>0</v>
      </c>
      <c r="II434">
        <v>109374.663328903</v>
      </c>
      <c r="IJ434">
        <v>1244534.6684333</v>
      </c>
      <c r="IK434">
        <v>0</v>
      </c>
      <c r="IL434">
        <v>0</v>
      </c>
      <c r="IM434">
        <v>0</v>
      </c>
      <c r="IN434">
        <v>5578107.82977405</v>
      </c>
      <c r="IO434">
        <v>63471268.090098403</v>
      </c>
      <c r="IP434">
        <v>69049375.919872403</v>
      </c>
      <c r="IQ434">
        <v>536000</v>
      </c>
      <c r="IR434">
        <v>2600000</v>
      </c>
      <c r="IS434">
        <v>0</v>
      </c>
      <c r="IT434">
        <v>0</v>
      </c>
      <c r="IU434">
        <v>0</v>
      </c>
      <c r="IV434">
        <v>3136000</v>
      </c>
      <c r="IW434">
        <v>268000</v>
      </c>
      <c r="IX434">
        <v>1300000</v>
      </c>
      <c r="IY434">
        <v>0</v>
      </c>
      <c r="IZ434">
        <v>0</v>
      </c>
      <c r="JA434">
        <v>0</v>
      </c>
      <c r="JB434">
        <v>1568000</v>
      </c>
      <c r="JC434">
        <v>90000</v>
      </c>
      <c r="JD434">
        <v>434000</v>
      </c>
      <c r="JE434">
        <v>0</v>
      </c>
      <c r="JF434">
        <v>0</v>
      </c>
      <c r="JG434">
        <v>0</v>
      </c>
      <c r="JH434">
        <v>524000</v>
      </c>
    </row>
    <row r="435" spans="2:268" customFormat="1" x14ac:dyDescent="0.25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3"/>
      <c r="N435" s="3"/>
      <c r="O435" s="3"/>
      <c r="P435" s="2"/>
      <c r="Q435" s="2"/>
      <c r="R435" s="2"/>
      <c r="S435" s="2"/>
      <c r="T435" s="2"/>
      <c r="U435" s="2"/>
      <c r="V435" s="3"/>
      <c r="W435" s="3"/>
      <c r="X435" s="3"/>
      <c r="Y435" s="3"/>
      <c r="Z435" s="3"/>
      <c r="AA435" s="3"/>
      <c r="AB435" s="3"/>
      <c r="AC435" s="2"/>
      <c r="AD435" s="2"/>
      <c r="AE435" s="2"/>
      <c r="AF435" s="2"/>
      <c r="AG435" s="2"/>
      <c r="AH435" s="2"/>
      <c r="AI435" s="2"/>
      <c r="AJ435" s="3"/>
      <c r="AK435" s="2"/>
      <c r="AL435" s="2"/>
      <c r="AM435" s="2"/>
      <c r="AN435" s="2"/>
      <c r="AO435" s="3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3"/>
      <c r="BC435" s="3"/>
      <c r="BD435" s="3"/>
      <c r="BE435" s="3"/>
      <c r="BF435" s="3"/>
      <c r="BG435" s="3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2"/>
      <c r="DI435" s="2"/>
      <c r="DJ435" s="3"/>
      <c r="DK435" s="3"/>
      <c r="DL435" s="2"/>
      <c r="DM435" s="2"/>
      <c r="DN435" s="2"/>
      <c r="DO435" s="3"/>
      <c r="DP435" s="3"/>
      <c r="GO435" t="s">
        <v>139</v>
      </c>
      <c r="GP435" t="s">
        <v>135</v>
      </c>
      <c r="GQ435" t="s">
        <v>502</v>
      </c>
      <c r="GR435">
        <v>15</v>
      </c>
      <c r="GS435">
        <v>14</v>
      </c>
      <c r="GT435">
        <v>1</v>
      </c>
      <c r="GU435" t="s">
        <v>457</v>
      </c>
      <c r="GV435">
        <v>5578107.82977405</v>
      </c>
      <c r="GW435">
        <v>63471268.090098403</v>
      </c>
      <c r="GX435">
        <v>69049375.919872403</v>
      </c>
      <c r="GY435">
        <v>0</v>
      </c>
      <c r="GZ435">
        <v>69049375.919872403</v>
      </c>
      <c r="HA435">
        <v>101000000</v>
      </c>
      <c r="HB435">
        <v>303000000</v>
      </c>
      <c r="HC435">
        <v>5000000</v>
      </c>
      <c r="HD435" t="s">
        <v>458</v>
      </c>
      <c r="HE435">
        <v>0</v>
      </c>
      <c r="HF435">
        <v>5000000</v>
      </c>
      <c r="HG435">
        <v>5000000</v>
      </c>
      <c r="HH435">
        <v>1072000</v>
      </c>
      <c r="HI435">
        <v>21440</v>
      </c>
      <c r="HJ435">
        <v>1050560</v>
      </c>
      <c r="HK435">
        <v>5200000</v>
      </c>
      <c r="HL435">
        <v>104000</v>
      </c>
      <c r="HM435">
        <v>5096000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6272000</v>
      </c>
      <c r="HT435">
        <v>125440</v>
      </c>
      <c r="HU435">
        <v>6146560</v>
      </c>
      <c r="HV435">
        <v>94080000</v>
      </c>
      <c r="HW435">
        <v>0.02</v>
      </c>
      <c r="HX435">
        <v>0.99098093957577105</v>
      </c>
      <c r="HY435">
        <v>1</v>
      </c>
      <c r="HZ435">
        <v>300000</v>
      </c>
      <c r="IA435">
        <v>26199.511745706001</v>
      </c>
      <c r="IB435">
        <v>0</v>
      </c>
      <c r="IC435">
        <v>0</v>
      </c>
      <c r="ID435">
        <v>298899.51174570603</v>
      </c>
      <c r="IE435">
        <v>598899.51174570597</v>
      </c>
      <c r="IF435">
        <v>593498.00086122996</v>
      </c>
      <c r="IG435">
        <v>593498.00086122996</v>
      </c>
      <c r="IH435">
        <v>0</v>
      </c>
      <c r="II435">
        <v>120703.396578256</v>
      </c>
      <c r="IJ435">
        <v>1271345.3618019701</v>
      </c>
      <c r="IK435">
        <v>0</v>
      </c>
      <c r="IL435">
        <v>0</v>
      </c>
      <c r="IM435">
        <v>0</v>
      </c>
      <c r="IN435">
        <v>6155873.2254910702</v>
      </c>
      <c r="IO435">
        <v>64838613.4519004</v>
      </c>
      <c r="IP435">
        <v>70994486.677391395</v>
      </c>
      <c r="IQ435">
        <v>536000</v>
      </c>
      <c r="IR435">
        <v>2600000</v>
      </c>
      <c r="IS435">
        <v>0</v>
      </c>
      <c r="IT435">
        <v>0</v>
      </c>
      <c r="IU435">
        <v>0</v>
      </c>
      <c r="IV435">
        <v>3136000</v>
      </c>
      <c r="IW435">
        <v>268000</v>
      </c>
      <c r="IX435">
        <v>1300000</v>
      </c>
      <c r="IY435">
        <v>0</v>
      </c>
      <c r="IZ435">
        <v>0</v>
      </c>
      <c r="JA435">
        <v>0</v>
      </c>
      <c r="JB435">
        <v>1568000</v>
      </c>
      <c r="JC435">
        <v>90000</v>
      </c>
      <c r="JD435">
        <v>434000</v>
      </c>
      <c r="JE435">
        <v>0</v>
      </c>
      <c r="JF435">
        <v>0</v>
      </c>
      <c r="JG435">
        <v>0</v>
      </c>
      <c r="JH435">
        <v>524000</v>
      </c>
    </row>
    <row r="436" spans="2:268" customFormat="1" x14ac:dyDescent="0.25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3"/>
      <c r="N436" s="3"/>
      <c r="O436" s="3"/>
      <c r="P436" s="2"/>
      <c r="Q436" s="2"/>
      <c r="R436" s="2"/>
      <c r="S436" s="2"/>
      <c r="T436" s="2"/>
      <c r="U436" s="2"/>
      <c r="V436" s="3"/>
      <c r="W436" s="3"/>
      <c r="X436" s="3"/>
      <c r="Y436" s="3"/>
      <c r="Z436" s="3"/>
      <c r="AA436" s="3"/>
      <c r="AB436" s="3"/>
      <c r="AC436" s="2"/>
      <c r="AD436" s="2"/>
      <c r="AE436" s="2"/>
      <c r="AF436" s="2"/>
      <c r="AG436" s="2"/>
      <c r="AH436" s="2"/>
      <c r="AI436" s="2"/>
      <c r="AJ436" s="3"/>
      <c r="AK436" s="2"/>
      <c r="AL436" s="2"/>
      <c r="AM436" s="2"/>
      <c r="AN436" s="2"/>
      <c r="AO436" s="3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3"/>
      <c r="BC436" s="3"/>
      <c r="BD436" s="3"/>
      <c r="BE436" s="3"/>
      <c r="BF436" s="3"/>
      <c r="BG436" s="3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2"/>
      <c r="DI436" s="2"/>
      <c r="DJ436" s="3"/>
      <c r="DK436" s="3"/>
      <c r="DL436" s="2"/>
      <c r="DM436" s="2"/>
      <c r="DN436" s="2"/>
      <c r="DO436" s="3"/>
      <c r="DP436" s="3"/>
      <c r="GO436" t="s">
        <v>139</v>
      </c>
      <c r="GP436" t="s">
        <v>135</v>
      </c>
      <c r="GQ436" t="s">
        <v>502</v>
      </c>
      <c r="GR436">
        <v>16</v>
      </c>
      <c r="GS436">
        <v>15</v>
      </c>
      <c r="GT436">
        <v>1</v>
      </c>
      <c r="GU436" t="s">
        <v>457</v>
      </c>
      <c r="GV436">
        <v>6155873.2254910702</v>
      </c>
      <c r="GW436">
        <v>64838613.4519004</v>
      </c>
      <c r="GX436">
        <v>70994486.677391395</v>
      </c>
      <c r="GY436">
        <v>0</v>
      </c>
      <c r="GZ436">
        <v>70994486.677391395</v>
      </c>
      <c r="HA436">
        <v>101000000</v>
      </c>
      <c r="HB436">
        <v>303000000</v>
      </c>
      <c r="HC436">
        <v>0</v>
      </c>
      <c r="HD436" t="s">
        <v>137</v>
      </c>
      <c r="HE436">
        <v>0</v>
      </c>
      <c r="HF436">
        <v>0</v>
      </c>
      <c r="HG436">
        <v>0</v>
      </c>
      <c r="HH436">
        <v>1072000</v>
      </c>
      <c r="HI436">
        <v>21440</v>
      </c>
      <c r="HJ436">
        <v>1050560</v>
      </c>
      <c r="HK436">
        <v>5200000</v>
      </c>
      <c r="HL436">
        <v>104000</v>
      </c>
      <c r="HM436">
        <v>5096000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6272000</v>
      </c>
      <c r="HT436">
        <v>125440</v>
      </c>
      <c r="HU436">
        <v>6146560</v>
      </c>
      <c r="HV436">
        <v>100352000</v>
      </c>
      <c r="HW436">
        <v>0.02</v>
      </c>
      <c r="HX436">
        <v>0.99098093957577105</v>
      </c>
      <c r="HY436">
        <v>1</v>
      </c>
      <c r="HZ436">
        <v>300000</v>
      </c>
      <c r="IA436">
        <v>26104.796590670601</v>
      </c>
      <c r="IB436">
        <v>0</v>
      </c>
      <c r="IC436">
        <v>0</v>
      </c>
      <c r="ID436">
        <v>298804.79659067001</v>
      </c>
      <c r="IE436">
        <v>598804.79659067001</v>
      </c>
      <c r="IF436">
        <v>593404.13994790101</v>
      </c>
      <c r="IG436">
        <v>593404.13994790101</v>
      </c>
      <c r="IH436">
        <v>0</v>
      </c>
      <c r="II436">
        <v>132260.58171086301</v>
      </c>
      <c r="IJ436">
        <v>1398692.2690380099</v>
      </c>
      <c r="IK436">
        <v>257280</v>
      </c>
      <c r="IL436">
        <v>0</v>
      </c>
      <c r="IM436">
        <v>257280</v>
      </c>
      <c r="IN436">
        <v>7002569.66725404</v>
      </c>
      <c r="IO436">
        <v>71333305.720938399</v>
      </c>
      <c r="IP436">
        <v>78335875.3881924</v>
      </c>
      <c r="IQ436">
        <v>536000</v>
      </c>
      <c r="IR436">
        <v>2600000</v>
      </c>
      <c r="IS436">
        <v>0</v>
      </c>
      <c r="IT436">
        <v>0</v>
      </c>
      <c r="IU436">
        <v>0</v>
      </c>
      <c r="IV436">
        <v>3136000</v>
      </c>
      <c r="IW436">
        <v>268000</v>
      </c>
      <c r="IX436">
        <v>1300000</v>
      </c>
      <c r="IY436">
        <v>0</v>
      </c>
      <c r="IZ436">
        <v>0</v>
      </c>
      <c r="JA436">
        <v>0</v>
      </c>
      <c r="JB436">
        <v>1568000</v>
      </c>
      <c r="JC436">
        <v>90000</v>
      </c>
      <c r="JD436">
        <v>434000</v>
      </c>
      <c r="JE436">
        <v>0</v>
      </c>
      <c r="JF436">
        <v>0</v>
      </c>
      <c r="JG436">
        <v>0</v>
      </c>
      <c r="JH436">
        <v>524000</v>
      </c>
    </row>
    <row r="437" spans="2:268" customFormat="1" x14ac:dyDescent="0.25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3"/>
      <c r="N437" s="3"/>
      <c r="O437" s="3"/>
      <c r="P437" s="2"/>
      <c r="Q437" s="2"/>
      <c r="R437" s="2"/>
      <c r="S437" s="2"/>
      <c r="T437" s="2"/>
      <c r="U437" s="2"/>
      <c r="V437" s="3"/>
      <c r="W437" s="3"/>
      <c r="X437" s="3"/>
      <c r="Y437" s="3"/>
      <c r="Z437" s="3"/>
      <c r="AA437" s="3"/>
      <c r="AB437" s="3"/>
      <c r="AC437" s="2"/>
      <c r="AD437" s="2"/>
      <c r="AE437" s="2"/>
      <c r="AF437" s="2"/>
      <c r="AG437" s="2"/>
      <c r="AH437" s="2"/>
      <c r="AI437" s="2"/>
      <c r="AJ437" s="3"/>
      <c r="AK437" s="2"/>
      <c r="AL437" s="2"/>
      <c r="AM437" s="2"/>
      <c r="AN437" s="2"/>
      <c r="AO437" s="3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3"/>
      <c r="BC437" s="3"/>
      <c r="BD437" s="3"/>
      <c r="BE437" s="3"/>
      <c r="BF437" s="3"/>
      <c r="BG437" s="3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2"/>
      <c r="DI437" s="2"/>
      <c r="DJ437" s="3"/>
      <c r="DK437" s="3"/>
      <c r="DL437" s="2"/>
      <c r="DM437" s="2"/>
      <c r="DN437" s="2"/>
      <c r="DO437" s="3"/>
      <c r="DP437" s="3"/>
      <c r="GO437" t="s">
        <v>139</v>
      </c>
      <c r="GP437" t="s">
        <v>135</v>
      </c>
      <c r="GQ437" t="s">
        <v>502</v>
      </c>
      <c r="GR437">
        <v>17</v>
      </c>
      <c r="GS437">
        <v>16</v>
      </c>
      <c r="GT437">
        <v>1</v>
      </c>
      <c r="GU437" t="s">
        <v>457</v>
      </c>
      <c r="GV437">
        <v>7002569.66725404</v>
      </c>
      <c r="GW437">
        <v>71333305.720938399</v>
      </c>
      <c r="GX437">
        <v>78335875.3881924</v>
      </c>
      <c r="GY437">
        <v>0</v>
      </c>
      <c r="GZ437">
        <v>78335875.3881924</v>
      </c>
      <c r="HA437">
        <v>101000000</v>
      </c>
      <c r="HB437">
        <v>303000000</v>
      </c>
      <c r="HC437">
        <v>0</v>
      </c>
      <c r="HD437" t="s">
        <v>137</v>
      </c>
      <c r="HE437">
        <v>0</v>
      </c>
      <c r="HF437">
        <v>0</v>
      </c>
      <c r="HG437">
        <v>0</v>
      </c>
      <c r="HH437">
        <v>1072000</v>
      </c>
      <c r="HI437">
        <v>21440</v>
      </c>
      <c r="HJ437">
        <v>1050560</v>
      </c>
      <c r="HK437">
        <v>5200000</v>
      </c>
      <c r="HL437">
        <v>104000</v>
      </c>
      <c r="HM437">
        <v>5096000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6272000</v>
      </c>
      <c r="HT437">
        <v>125440</v>
      </c>
      <c r="HU437">
        <v>6146560</v>
      </c>
      <c r="HV437">
        <v>106624000</v>
      </c>
      <c r="HW437">
        <v>0.02</v>
      </c>
      <c r="HX437">
        <v>0.99098093957577105</v>
      </c>
      <c r="HY437">
        <v>1</v>
      </c>
      <c r="HZ437">
        <v>300000</v>
      </c>
      <c r="IA437">
        <v>20850.994642863701</v>
      </c>
      <c r="IB437">
        <v>0</v>
      </c>
      <c r="IC437">
        <v>0</v>
      </c>
      <c r="ID437">
        <v>293550.99464286398</v>
      </c>
      <c r="IE437">
        <v>593550.99464286398</v>
      </c>
      <c r="IF437">
        <v>588197.72235731897</v>
      </c>
      <c r="IG437">
        <v>588197.72235731897</v>
      </c>
      <c r="IH437">
        <v>0</v>
      </c>
      <c r="II437">
        <v>149298.638897934</v>
      </c>
      <c r="IJ437">
        <v>1528586.11441877</v>
      </c>
      <c r="IK437">
        <v>0</v>
      </c>
      <c r="IL437">
        <v>0</v>
      </c>
      <c r="IM437">
        <v>0</v>
      </c>
      <c r="IN437">
        <v>7614230.5837946497</v>
      </c>
      <c r="IO437">
        <v>77957891.8353571</v>
      </c>
      <c r="IP437">
        <v>85572122.419151798</v>
      </c>
      <c r="IQ437">
        <v>536000</v>
      </c>
      <c r="IR437">
        <v>2600000</v>
      </c>
      <c r="IS437">
        <v>0</v>
      </c>
      <c r="IT437">
        <v>0</v>
      </c>
      <c r="IU437">
        <v>0</v>
      </c>
      <c r="IV437">
        <v>3136000</v>
      </c>
      <c r="IW437">
        <v>268000</v>
      </c>
      <c r="IX437">
        <v>1300000</v>
      </c>
      <c r="IY437">
        <v>0</v>
      </c>
      <c r="IZ437">
        <v>0</v>
      </c>
      <c r="JA437">
        <v>0</v>
      </c>
      <c r="JB437">
        <v>1568000</v>
      </c>
      <c r="JC437">
        <v>90000</v>
      </c>
      <c r="JD437">
        <v>434000</v>
      </c>
      <c r="JE437">
        <v>0</v>
      </c>
      <c r="JF437">
        <v>0</v>
      </c>
      <c r="JG437">
        <v>0</v>
      </c>
      <c r="JH437">
        <v>524000</v>
      </c>
    </row>
    <row r="438" spans="2:268" customFormat="1" x14ac:dyDescent="0.25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3"/>
      <c r="N438" s="3"/>
      <c r="O438" s="3"/>
      <c r="P438" s="2"/>
      <c r="Q438" s="2"/>
      <c r="R438" s="2"/>
      <c r="S438" s="2"/>
      <c r="T438" s="2"/>
      <c r="U438" s="2"/>
      <c r="V438" s="3"/>
      <c r="W438" s="3"/>
      <c r="X438" s="3"/>
      <c r="Y438" s="3"/>
      <c r="Z438" s="3"/>
      <c r="AA438" s="3"/>
      <c r="AB438" s="3"/>
      <c r="AC438" s="2"/>
      <c r="AD438" s="2"/>
      <c r="AE438" s="2"/>
      <c r="AF438" s="2"/>
      <c r="AG438" s="2"/>
      <c r="AH438" s="2"/>
      <c r="AI438" s="2"/>
      <c r="AJ438" s="3"/>
      <c r="AK438" s="2"/>
      <c r="AL438" s="2"/>
      <c r="AM438" s="2"/>
      <c r="AN438" s="2"/>
      <c r="AO438" s="3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3"/>
      <c r="BC438" s="3"/>
      <c r="BD438" s="3"/>
      <c r="BE438" s="3"/>
      <c r="BF438" s="3"/>
      <c r="BG438" s="3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2"/>
      <c r="DI438" s="2"/>
      <c r="DJ438" s="3"/>
      <c r="DK438" s="3"/>
      <c r="DL438" s="2"/>
      <c r="DM438" s="2"/>
      <c r="DN438" s="2"/>
      <c r="DO438" s="3"/>
      <c r="DP438" s="3"/>
      <c r="GO438" t="s">
        <v>139</v>
      </c>
      <c r="GP438" t="s">
        <v>135</v>
      </c>
      <c r="GQ438" t="s">
        <v>502</v>
      </c>
      <c r="GR438">
        <v>18</v>
      </c>
      <c r="GS438">
        <v>17</v>
      </c>
      <c r="GT438">
        <v>1</v>
      </c>
      <c r="GU438" t="s">
        <v>457</v>
      </c>
      <c r="GV438">
        <v>7614230.5837946497</v>
      </c>
      <c r="GW438">
        <v>77957891.8353571</v>
      </c>
      <c r="GX438">
        <v>85572122.419151798</v>
      </c>
      <c r="GY438">
        <v>0</v>
      </c>
      <c r="GZ438">
        <v>85572122.419151798</v>
      </c>
      <c r="HA438">
        <v>101000000</v>
      </c>
      <c r="HB438">
        <v>303000000</v>
      </c>
      <c r="HC438">
        <v>0</v>
      </c>
      <c r="HD438" t="s">
        <v>137</v>
      </c>
      <c r="HE438">
        <v>0</v>
      </c>
      <c r="HF438">
        <v>0</v>
      </c>
      <c r="HG438">
        <v>0</v>
      </c>
      <c r="HH438">
        <v>1072000</v>
      </c>
      <c r="HI438">
        <v>21440</v>
      </c>
      <c r="HJ438">
        <v>1050560</v>
      </c>
      <c r="HK438">
        <v>5200000</v>
      </c>
      <c r="HL438">
        <v>104000</v>
      </c>
      <c r="HM438">
        <v>5096000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6272000</v>
      </c>
      <c r="HT438">
        <v>125440</v>
      </c>
      <c r="HU438">
        <v>6146560</v>
      </c>
      <c r="HV438">
        <v>112896000</v>
      </c>
      <c r="HW438">
        <v>0.02</v>
      </c>
      <c r="HX438">
        <v>0.99098093957577105</v>
      </c>
      <c r="HY438">
        <v>1</v>
      </c>
      <c r="HZ438">
        <v>300000</v>
      </c>
      <c r="IA438">
        <v>14810.7624776137</v>
      </c>
      <c r="IB438">
        <v>0</v>
      </c>
      <c r="IC438">
        <v>0</v>
      </c>
      <c r="ID438">
        <v>287510.76247761399</v>
      </c>
      <c r="IE438">
        <v>587510.76247761399</v>
      </c>
      <c r="IF438">
        <v>582211.96741094301</v>
      </c>
      <c r="IG438">
        <v>582211.96741094301</v>
      </c>
      <c r="IH438">
        <v>0</v>
      </c>
      <c r="II438">
        <v>161651.57232767399</v>
      </c>
      <c r="IJ438">
        <v>1661077.8367071401</v>
      </c>
      <c r="IK438">
        <v>0</v>
      </c>
      <c r="IL438">
        <v>0</v>
      </c>
      <c r="IM438">
        <v>0</v>
      </c>
      <c r="IN438">
        <v>8244230.1887113797</v>
      </c>
      <c r="IO438">
        <v>84714969.672064304</v>
      </c>
      <c r="IP438">
        <v>92959199.860775605</v>
      </c>
      <c r="IQ438">
        <v>536000</v>
      </c>
      <c r="IR438">
        <v>2600000</v>
      </c>
      <c r="IS438">
        <v>0</v>
      </c>
      <c r="IT438">
        <v>0</v>
      </c>
      <c r="IU438">
        <v>0</v>
      </c>
      <c r="IV438">
        <v>3136000</v>
      </c>
      <c r="IW438">
        <v>268000</v>
      </c>
      <c r="IX438">
        <v>1300000</v>
      </c>
      <c r="IY438">
        <v>0</v>
      </c>
      <c r="IZ438">
        <v>0</v>
      </c>
      <c r="JA438">
        <v>0</v>
      </c>
      <c r="JB438">
        <v>1568000</v>
      </c>
      <c r="JC438">
        <v>90000</v>
      </c>
      <c r="JD438">
        <v>434000</v>
      </c>
      <c r="JE438">
        <v>0</v>
      </c>
      <c r="JF438">
        <v>0</v>
      </c>
      <c r="JG438">
        <v>0</v>
      </c>
      <c r="JH438">
        <v>524000</v>
      </c>
    </row>
    <row r="439" spans="2:268" customFormat="1" x14ac:dyDescent="0.25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3"/>
      <c r="N439" s="3"/>
      <c r="O439" s="3"/>
      <c r="P439" s="2"/>
      <c r="Q439" s="2"/>
      <c r="R439" s="2"/>
      <c r="S439" s="2"/>
      <c r="T439" s="2"/>
      <c r="U439" s="2"/>
      <c r="V439" s="3"/>
      <c r="W439" s="3"/>
      <c r="X439" s="3"/>
      <c r="Y439" s="3"/>
      <c r="Z439" s="3"/>
      <c r="AA439" s="3"/>
      <c r="AB439" s="3"/>
      <c r="AC439" s="2"/>
      <c r="AD439" s="2"/>
      <c r="AE439" s="2"/>
      <c r="AF439" s="2"/>
      <c r="AG439" s="2"/>
      <c r="AH439" s="2"/>
      <c r="AI439" s="2"/>
      <c r="AJ439" s="3"/>
      <c r="AK439" s="2"/>
      <c r="AL439" s="2"/>
      <c r="AM439" s="2"/>
      <c r="AN439" s="2"/>
      <c r="AO439" s="3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3"/>
      <c r="BC439" s="3"/>
      <c r="BD439" s="3"/>
      <c r="BE439" s="3"/>
      <c r="BF439" s="3"/>
      <c r="BG439" s="3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2"/>
      <c r="DI439" s="2"/>
      <c r="DJ439" s="3"/>
      <c r="DK439" s="3"/>
      <c r="DL439" s="2"/>
      <c r="DM439" s="2"/>
      <c r="DN439" s="2"/>
      <c r="DO439" s="3"/>
      <c r="DP439" s="3"/>
      <c r="GO439" t="s">
        <v>139</v>
      </c>
      <c r="GP439" t="s">
        <v>135</v>
      </c>
      <c r="GQ439" t="s">
        <v>502</v>
      </c>
      <c r="GR439">
        <v>19</v>
      </c>
      <c r="GS439">
        <v>18</v>
      </c>
      <c r="GT439">
        <v>1</v>
      </c>
      <c r="GU439" t="s">
        <v>457</v>
      </c>
      <c r="GV439">
        <v>8244230.1887113797</v>
      </c>
      <c r="GW439">
        <v>84714969.672064304</v>
      </c>
      <c r="GX439">
        <v>92959199.860775605</v>
      </c>
      <c r="GY439">
        <v>0</v>
      </c>
      <c r="GZ439">
        <v>92959199.860775605</v>
      </c>
      <c r="HA439">
        <v>101000000</v>
      </c>
      <c r="HB439">
        <v>303000000</v>
      </c>
      <c r="HC439">
        <v>0</v>
      </c>
      <c r="HD439" t="s">
        <v>137</v>
      </c>
      <c r="HE439">
        <v>0</v>
      </c>
      <c r="HF439">
        <v>0</v>
      </c>
      <c r="HG439">
        <v>0</v>
      </c>
      <c r="HH439">
        <v>1072000</v>
      </c>
      <c r="HI439">
        <v>21440</v>
      </c>
      <c r="HJ439">
        <v>1050560</v>
      </c>
      <c r="HK439">
        <v>5200000</v>
      </c>
      <c r="HL439">
        <v>104000</v>
      </c>
      <c r="HM439">
        <v>5096000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6272000</v>
      </c>
      <c r="HT439">
        <v>125440</v>
      </c>
      <c r="HU439">
        <v>6146560</v>
      </c>
      <c r="HV439">
        <v>119168000</v>
      </c>
      <c r="HW439">
        <v>0.02</v>
      </c>
      <c r="HX439">
        <v>0.99098093957577105</v>
      </c>
      <c r="HY439">
        <v>1</v>
      </c>
      <c r="HZ439">
        <v>300000</v>
      </c>
      <c r="IA439">
        <v>8040.8001392243496</v>
      </c>
      <c r="IB439">
        <v>0</v>
      </c>
      <c r="IC439">
        <v>0</v>
      </c>
      <c r="ID439">
        <v>280740.80013922398</v>
      </c>
      <c r="IE439">
        <v>580740.80013922404</v>
      </c>
      <c r="IF439">
        <v>575503.06377195404</v>
      </c>
      <c r="IG439">
        <v>575503.06377195404</v>
      </c>
      <c r="IH439">
        <v>0</v>
      </c>
      <c r="II439">
        <v>174385.74249878901</v>
      </c>
      <c r="IJ439">
        <v>1796219.3934412899</v>
      </c>
      <c r="IK439">
        <v>0</v>
      </c>
      <c r="IL439">
        <v>0</v>
      </c>
      <c r="IM439">
        <v>0</v>
      </c>
      <c r="IN439">
        <v>8893672.8674382195</v>
      </c>
      <c r="IO439">
        <v>91607189.065505594</v>
      </c>
      <c r="IP439">
        <v>100500861.932944</v>
      </c>
      <c r="IQ439">
        <v>536000</v>
      </c>
      <c r="IR439">
        <v>2600000</v>
      </c>
      <c r="IS439">
        <v>0</v>
      </c>
      <c r="IT439">
        <v>0</v>
      </c>
      <c r="IU439">
        <v>0</v>
      </c>
      <c r="IV439">
        <v>3136000</v>
      </c>
      <c r="IW439">
        <v>268000</v>
      </c>
      <c r="IX439">
        <v>1300000</v>
      </c>
      <c r="IY439">
        <v>0</v>
      </c>
      <c r="IZ439">
        <v>0</v>
      </c>
      <c r="JA439">
        <v>0</v>
      </c>
      <c r="JB439">
        <v>1568000</v>
      </c>
      <c r="JC439">
        <v>90000</v>
      </c>
      <c r="JD439">
        <v>434000</v>
      </c>
      <c r="JE439">
        <v>0</v>
      </c>
      <c r="JF439">
        <v>0</v>
      </c>
      <c r="JG439">
        <v>0</v>
      </c>
      <c r="JH439">
        <v>524000</v>
      </c>
    </row>
    <row r="440" spans="2:268" customFormat="1" x14ac:dyDescent="0.25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3"/>
      <c r="N440" s="3"/>
      <c r="O440" s="3"/>
      <c r="P440" s="2"/>
      <c r="Q440" s="2"/>
      <c r="R440" s="2"/>
      <c r="S440" s="2"/>
      <c r="T440" s="2"/>
      <c r="U440" s="2"/>
      <c r="V440" s="3"/>
      <c r="W440" s="3"/>
      <c r="X440" s="3"/>
      <c r="Y440" s="3"/>
      <c r="Z440" s="3"/>
      <c r="AA440" s="3"/>
      <c r="AB440" s="3"/>
      <c r="AC440" s="2"/>
      <c r="AD440" s="2"/>
      <c r="AE440" s="2"/>
      <c r="AF440" s="2"/>
      <c r="AG440" s="2"/>
      <c r="AH440" s="2"/>
      <c r="AI440" s="2"/>
      <c r="AJ440" s="3"/>
      <c r="AK440" s="2"/>
      <c r="AL440" s="2"/>
      <c r="AM440" s="2"/>
      <c r="AN440" s="2"/>
      <c r="AO440" s="3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3"/>
      <c r="BC440" s="3"/>
      <c r="BD440" s="3"/>
      <c r="BE440" s="3"/>
      <c r="BF440" s="3"/>
      <c r="BG440" s="3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2"/>
      <c r="DI440" s="2"/>
      <c r="DJ440" s="3"/>
      <c r="DK440" s="3"/>
      <c r="DL440" s="2"/>
      <c r="DM440" s="2"/>
      <c r="DN440" s="2"/>
      <c r="DO440" s="3"/>
      <c r="DP440" s="3"/>
      <c r="GO440" t="s">
        <v>139</v>
      </c>
      <c r="GP440" t="s">
        <v>135</v>
      </c>
      <c r="GQ440" t="s">
        <v>502</v>
      </c>
      <c r="GR440">
        <v>20</v>
      </c>
      <c r="GS440">
        <v>19</v>
      </c>
      <c r="GT440">
        <v>1</v>
      </c>
      <c r="GU440" t="s">
        <v>457</v>
      </c>
      <c r="GV440">
        <v>8893672.8674382195</v>
      </c>
      <c r="GW440">
        <v>91607189.065505594</v>
      </c>
      <c r="GX440">
        <v>100500861.932944</v>
      </c>
      <c r="GY440">
        <v>0</v>
      </c>
      <c r="GZ440">
        <v>100500861.932944</v>
      </c>
      <c r="HA440">
        <v>101000000</v>
      </c>
      <c r="HB440">
        <v>303000000</v>
      </c>
      <c r="HC440">
        <v>10000000</v>
      </c>
      <c r="HD440" t="s">
        <v>458</v>
      </c>
      <c r="HE440">
        <v>0</v>
      </c>
      <c r="HF440">
        <v>10000000</v>
      </c>
      <c r="HG440">
        <v>10000000</v>
      </c>
      <c r="HH440">
        <v>1072000</v>
      </c>
      <c r="HI440">
        <v>21440</v>
      </c>
      <c r="HJ440">
        <v>1050560</v>
      </c>
      <c r="HK440">
        <v>5200000</v>
      </c>
      <c r="HL440">
        <v>104000</v>
      </c>
      <c r="HM440">
        <v>5096000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6272000</v>
      </c>
      <c r="HT440">
        <v>125440</v>
      </c>
      <c r="HU440">
        <v>6146560</v>
      </c>
      <c r="HV440">
        <v>125440000</v>
      </c>
      <c r="HW440">
        <v>0.02</v>
      </c>
      <c r="HX440">
        <v>0.99098093957577105</v>
      </c>
      <c r="HY440">
        <v>1</v>
      </c>
      <c r="HZ440">
        <v>300000</v>
      </c>
      <c r="IA440">
        <v>514.11220906790004</v>
      </c>
      <c r="IB440">
        <v>0</v>
      </c>
      <c r="IC440">
        <v>0</v>
      </c>
      <c r="ID440">
        <v>273214.11220906797</v>
      </c>
      <c r="IE440">
        <v>573214.11220906803</v>
      </c>
      <c r="IF440">
        <v>568044.259495034</v>
      </c>
      <c r="IG440">
        <v>568044.259495034</v>
      </c>
      <c r="IH440">
        <v>0</v>
      </c>
      <c r="II440">
        <v>187523.77215886401</v>
      </c>
      <c r="IJ440">
        <v>1734063.7813101099</v>
      </c>
      <c r="IK440">
        <v>321600</v>
      </c>
      <c r="IL440">
        <v>0</v>
      </c>
      <c r="IM440">
        <v>321600</v>
      </c>
      <c r="IN440">
        <v>9885312.3801020496</v>
      </c>
      <c r="IO440">
        <v>88437252.846815705</v>
      </c>
      <c r="IP440">
        <v>98322565.226917699</v>
      </c>
      <c r="IQ440">
        <v>536000</v>
      </c>
      <c r="IR440">
        <v>2600000</v>
      </c>
      <c r="IS440">
        <v>0</v>
      </c>
      <c r="IT440">
        <v>0</v>
      </c>
      <c r="IU440">
        <v>0</v>
      </c>
      <c r="IV440">
        <v>3136000</v>
      </c>
      <c r="IW440">
        <v>268000</v>
      </c>
      <c r="IX440">
        <v>1300000</v>
      </c>
      <c r="IY440">
        <v>0</v>
      </c>
      <c r="IZ440">
        <v>0</v>
      </c>
      <c r="JA440">
        <v>0</v>
      </c>
      <c r="JB440">
        <v>1568000</v>
      </c>
      <c r="JC440">
        <v>90000</v>
      </c>
      <c r="JD440">
        <v>434000</v>
      </c>
      <c r="JE440">
        <v>0</v>
      </c>
      <c r="JF440">
        <v>0</v>
      </c>
      <c r="JG440">
        <v>0</v>
      </c>
      <c r="JH440">
        <v>524000</v>
      </c>
    </row>
    <row r="441" spans="2:268" customFormat="1" x14ac:dyDescent="0.25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3"/>
      <c r="N441" s="3"/>
      <c r="O441" s="3"/>
      <c r="P441" s="2"/>
      <c r="Q441" s="2"/>
      <c r="R441" s="2"/>
      <c r="S441" s="2"/>
      <c r="T441" s="2"/>
      <c r="U441" s="2"/>
      <c r="V441" s="3"/>
      <c r="W441" s="3"/>
      <c r="X441" s="3"/>
      <c r="Y441" s="3"/>
      <c r="Z441" s="3"/>
      <c r="AA441" s="3"/>
      <c r="AB441" s="3"/>
      <c r="AC441" s="2"/>
      <c r="AD441" s="2"/>
      <c r="AE441" s="2"/>
      <c r="AF441" s="2"/>
      <c r="AG441" s="2"/>
      <c r="AH441" s="2"/>
      <c r="AI441" s="2"/>
      <c r="AJ441" s="3"/>
      <c r="AK441" s="2"/>
      <c r="AL441" s="2"/>
      <c r="AM441" s="2"/>
      <c r="AN441" s="2"/>
      <c r="AO441" s="3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3"/>
      <c r="BC441" s="3"/>
      <c r="BD441" s="3"/>
      <c r="BE441" s="3"/>
      <c r="BF441" s="3"/>
      <c r="BG441" s="3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2"/>
      <c r="DI441" s="2"/>
      <c r="DJ441" s="3"/>
      <c r="DK441" s="3"/>
      <c r="DL441" s="2"/>
      <c r="DM441" s="2"/>
      <c r="DN441" s="2"/>
      <c r="DO441" s="3"/>
      <c r="DP441" s="3"/>
      <c r="GO441" t="s">
        <v>139</v>
      </c>
      <c r="GP441" t="s">
        <v>135</v>
      </c>
      <c r="GQ441" t="s">
        <v>502</v>
      </c>
      <c r="GR441">
        <v>21</v>
      </c>
      <c r="GS441">
        <v>20</v>
      </c>
      <c r="GT441">
        <v>1</v>
      </c>
      <c r="GU441" t="s">
        <v>457</v>
      </c>
      <c r="GV441">
        <v>9885312.3801020496</v>
      </c>
      <c r="GW441">
        <v>88437252.846815705</v>
      </c>
      <c r="GX441">
        <v>98322565.226917699</v>
      </c>
      <c r="GY441">
        <v>0</v>
      </c>
      <c r="GZ441">
        <v>98322565.226917699</v>
      </c>
      <c r="HA441">
        <v>101000000</v>
      </c>
      <c r="HB441">
        <v>303000000</v>
      </c>
      <c r="HC441">
        <v>10000000</v>
      </c>
      <c r="HD441" t="s">
        <v>458</v>
      </c>
      <c r="HE441">
        <v>0</v>
      </c>
      <c r="HF441">
        <v>10000000</v>
      </c>
      <c r="HG441">
        <v>10000000</v>
      </c>
      <c r="HH441">
        <v>1072000</v>
      </c>
      <c r="HI441">
        <v>21440</v>
      </c>
      <c r="HJ441">
        <v>1050560</v>
      </c>
      <c r="HK441">
        <v>5200000</v>
      </c>
      <c r="HL441">
        <v>104000</v>
      </c>
      <c r="HM441">
        <v>5096000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6272000</v>
      </c>
      <c r="HT441">
        <v>125440</v>
      </c>
      <c r="HU441">
        <v>6146560</v>
      </c>
      <c r="HV441">
        <v>131712000</v>
      </c>
      <c r="HW441">
        <v>0.02</v>
      </c>
      <c r="HX441">
        <v>0.99098093957577105</v>
      </c>
      <c r="HY441">
        <v>1</v>
      </c>
      <c r="HZ441">
        <v>300000</v>
      </c>
      <c r="IA441">
        <v>2838.0808594673699</v>
      </c>
      <c r="IB441">
        <v>0</v>
      </c>
      <c r="IC441">
        <v>0</v>
      </c>
      <c r="ID441">
        <v>275538.08085946698</v>
      </c>
      <c r="IE441">
        <v>575538.08085946704</v>
      </c>
      <c r="IF441">
        <v>570347.26813175099</v>
      </c>
      <c r="IG441">
        <v>570347.26813175099</v>
      </c>
      <c r="IH441">
        <v>0</v>
      </c>
      <c r="II441">
        <v>207310.50223940599</v>
      </c>
      <c r="IJ441">
        <v>1670665.0569363099</v>
      </c>
      <c r="IK441">
        <v>0</v>
      </c>
      <c r="IL441">
        <v>0</v>
      </c>
      <c r="IM441">
        <v>0</v>
      </c>
      <c r="IN441">
        <v>10572835.6142097</v>
      </c>
      <c r="IO441">
        <v>85203917.903751999</v>
      </c>
      <c r="IP441">
        <v>95776753.517961696</v>
      </c>
      <c r="IQ441">
        <v>536000</v>
      </c>
      <c r="IR441">
        <v>2600000</v>
      </c>
      <c r="IS441">
        <v>0</v>
      </c>
      <c r="IT441">
        <v>0</v>
      </c>
      <c r="IU441">
        <v>0</v>
      </c>
      <c r="IV441">
        <v>3136000</v>
      </c>
      <c r="IW441">
        <v>268000</v>
      </c>
      <c r="IX441">
        <v>1300000</v>
      </c>
      <c r="IY441">
        <v>0</v>
      </c>
      <c r="IZ441">
        <v>0</v>
      </c>
      <c r="JA441">
        <v>0</v>
      </c>
      <c r="JB441">
        <v>1568000</v>
      </c>
      <c r="JC441">
        <v>90000</v>
      </c>
      <c r="JD441">
        <v>434000</v>
      </c>
      <c r="JE441">
        <v>0</v>
      </c>
      <c r="JF441">
        <v>0</v>
      </c>
      <c r="JG441">
        <v>0</v>
      </c>
      <c r="JH441">
        <v>524000</v>
      </c>
    </row>
    <row r="442" spans="2:268" customFormat="1" x14ac:dyDescent="0.25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3"/>
      <c r="N442" s="3"/>
      <c r="O442" s="3"/>
      <c r="P442" s="2"/>
      <c r="Q442" s="2"/>
      <c r="R442" s="2"/>
      <c r="S442" s="2"/>
      <c r="T442" s="2"/>
      <c r="U442" s="2"/>
      <c r="V442" s="3"/>
      <c r="W442" s="3"/>
      <c r="X442" s="3"/>
      <c r="Y442" s="3"/>
      <c r="Z442" s="3"/>
      <c r="AA442" s="3"/>
      <c r="AB442" s="3"/>
      <c r="AC442" s="2"/>
      <c r="AD442" s="2"/>
      <c r="AE442" s="2"/>
      <c r="AF442" s="2"/>
      <c r="AG442" s="2"/>
      <c r="AH442" s="2"/>
      <c r="AI442" s="2"/>
      <c r="AJ442" s="3"/>
      <c r="AK442" s="2"/>
      <c r="AL442" s="2"/>
      <c r="AM442" s="2"/>
      <c r="AN442" s="2"/>
      <c r="AO442" s="3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3"/>
      <c r="BC442" s="3"/>
      <c r="BD442" s="3"/>
      <c r="BE442" s="3"/>
      <c r="BF442" s="3"/>
      <c r="BG442" s="3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2"/>
      <c r="DI442" s="2"/>
      <c r="DJ442" s="3"/>
      <c r="DK442" s="3"/>
      <c r="DL442" s="2"/>
      <c r="DM442" s="2"/>
      <c r="DN442" s="2"/>
      <c r="DO442" s="3"/>
      <c r="DP442" s="3"/>
      <c r="GO442" t="s">
        <v>139</v>
      </c>
      <c r="GP442" t="s">
        <v>135</v>
      </c>
      <c r="GQ442" t="s">
        <v>502</v>
      </c>
      <c r="GR442">
        <v>22</v>
      </c>
      <c r="GS442">
        <v>21</v>
      </c>
      <c r="GT442">
        <v>1</v>
      </c>
      <c r="GU442" t="s">
        <v>457</v>
      </c>
      <c r="GV442">
        <v>10572835.6142097</v>
      </c>
      <c r="GW442">
        <v>85203917.903751999</v>
      </c>
      <c r="GX442">
        <v>95776753.517961696</v>
      </c>
      <c r="GY442">
        <v>0</v>
      </c>
      <c r="GZ442">
        <v>95776753.517961696</v>
      </c>
      <c r="HA442">
        <v>101000000</v>
      </c>
      <c r="HB442">
        <v>303000000</v>
      </c>
      <c r="HC442">
        <v>10000000</v>
      </c>
      <c r="HD442" t="s">
        <v>458</v>
      </c>
      <c r="HE442">
        <v>0</v>
      </c>
      <c r="HF442">
        <v>10000000</v>
      </c>
      <c r="HG442">
        <v>10000000</v>
      </c>
      <c r="HH442">
        <v>1072000</v>
      </c>
      <c r="HI442">
        <v>21440</v>
      </c>
      <c r="HJ442">
        <v>1050560</v>
      </c>
      <c r="HK442">
        <v>5200000</v>
      </c>
      <c r="HL442">
        <v>104000</v>
      </c>
      <c r="HM442">
        <v>5096000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6272000</v>
      </c>
      <c r="HT442">
        <v>125440</v>
      </c>
      <c r="HU442">
        <v>6146560</v>
      </c>
      <c r="HV442">
        <v>137984000</v>
      </c>
      <c r="HW442">
        <v>0.02</v>
      </c>
      <c r="HX442">
        <v>0.99098093957577105</v>
      </c>
      <c r="HY442">
        <v>1</v>
      </c>
      <c r="HZ442">
        <v>300000</v>
      </c>
      <c r="IA442">
        <v>5641.1062006012298</v>
      </c>
      <c r="IB442">
        <v>0</v>
      </c>
      <c r="IC442">
        <v>0</v>
      </c>
      <c r="ID442">
        <v>278341.10620060097</v>
      </c>
      <c r="IE442">
        <v>578341.10620060097</v>
      </c>
      <c r="IF442">
        <v>573125.01281796303</v>
      </c>
      <c r="IG442">
        <v>573125.01281796303</v>
      </c>
      <c r="IH442">
        <v>0</v>
      </c>
      <c r="II442">
        <v>221005.412027835</v>
      </c>
      <c r="IJ442">
        <v>1605998.3580750399</v>
      </c>
      <c r="IK442">
        <v>0</v>
      </c>
      <c r="IL442">
        <v>0</v>
      </c>
      <c r="IM442">
        <v>0</v>
      </c>
      <c r="IN442">
        <v>11271276.0134196</v>
      </c>
      <c r="IO442">
        <v>81905916.261827007</v>
      </c>
      <c r="IP442">
        <v>93177192.275246605</v>
      </c>
      <c r="IQ442">
        <v>536000</v>
      </c>
      <c r="IR442">
        <v>2600000</v>
      </c>
      <c r="IS442">
        <v>0</v>
      </c>
      <c r="IT442">
        <v>0</v>
      </c>
      <c r="IU442">
        <v>0</v>
      </c>
      <c r="IV442">
        <v>3136000</v>
      </c>
      <c r="IW442">
        <v>268000</v>
      </c>
      <c r="IX442">
        <v>1300000</v>
      </c>
      <c r="IY442">
        <v>0</v>
      </c>
      <c r="IZ442">
        <v>0</v>
      </c>
      <c r="JA442">
        <v>0</v>
      </c>
      <c r="JB442">
        <v>1568000</v>
      </c>
      <c r="JC442">
        <v>90000</v>
      </c>
      <c r="JD442">
        <v>434000</v>
      </c>
      <c r="JE442">
        <v>0</v>
      </c>
      <c r="JF442">
        <v>0</v>
      </c>
      <c r="JG442">
        <v>0</v>
      </c>
      <c r="JH442">
        <v>524000</v>
      </c>
    </row>
    <row r="443" spans="2:268" customFormat="1" x14ac:dyDescent="0.25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3"/>
      <c r="N443" s="3"/>
      <c r="O443" s="3"/>
      <c r="P443" s="2"/>
      <c r="Q443" s="2"/>
      <c r="R443" s="2"/>
      <c r="S443" s="2"/>
      <c r="T443" s="2"/>
      <c r="U443" s="2"/>
      <c r="V443" s="3"/>
      <c r="W443" s="3"/>
      <c r="X443" s="3"/>
      <c r="Y443" s="3"/>
      <c r="Z443" s="3"/>
      <c r="AA443" s="3"/>
      <c r="AB443" s="3"/>
      <c r="AC443" s="2"/>
      <c r="AD443" s="2"/>
      <c r="AE443" s="2"/>
      <c r="AF443" s="2"/>
      <c r="AG443" s="2"/>
      <c r="AH443" s="2"/>
      <c r="AI443" s="2"/>
      <c r="AJ443" s="3"/>
      <c r="AK443" s="2"/>
      <c r="AL443" s="2"/>
      <c r="AM443" s="2"/>
      <c r="AN443" s="2"/>
      <c r="AO443" s="3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3"/>
      <c r="BC443" s="3"/>
      <c r="BD443" s="3"/>
      <c r="BE443" s="3"/>
      <c r="BF443" s="3"/>
      <c r="BG443" s="3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2"/>
      <c r="DI443" s="2"/>
      <c r="DJ443" s="3"/>
      <c r="DK443" s="3"/>
      <c r="DL443" s="2"/>
      <c r="DM443" s="2"/>
      <c r="DN443" s="2"/>
      <c r="DO443" s="3"/>
      <c r="DP443" s="3"/>
      <c r="GO443" t="s">
        <v>139</v>
      </c>
      <c r="GP443" t="s">
        <v>135</v>
      </c>
      <c r="GQ443" t="s">
        <v>502</v>
      </c>
      <c r="GR443">
        <v>23</v>
      </c>
      <c r="GS443">
        <v>22</v>
      </c>
      <c r="GT443">
        <v>1</v>
      </c>
      <c r="GU443" t="s">
        <v>457</v>
      </c>
      <c r="GV443">
        <v>11271276.0134196</v>
      </c>
      <c r="GW443">
        <v>81905916.261827007</v>
      </c>
      <c r="GX443">
        <v>93177192.275246605</v>
      </c>
      <c r="GY443">
        <v>0</v>
      </c>
      <c r="GZ443">
        <v>93177192.275246605</v>
      </c>
      <c r="HA443">
        <v>101000000</v>
      </c>
      <c r="HB443">
        <v>303000000</v>
      </c>
      <c r="HC443">
        <v>10000000</v>
      </c>
      <c r="HD443" t="s">
        <v>458</v>
      </c>
      <c r="HE443">
        <v>0</v>
      </c>
      <c r="HF443">
        <v>10000000</v>
      </c>
      <c r="HG443">
        <v>10000000</v>
      </c>
      <c r="HH443">
        <v>1072000</v>
      </c>
      <c r="HI443">
        <v>21440</v>
      </c>
      <c r="HJ443">
        <v>1050560</v>
      </c>
      <c r="HK443">
        <v>5200000</v>
      </c>
      <c r="HL443">
        <v>104000</v>
      </c>
      <c r="HM443">
        <v>5096000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6272000</v>
      </c>
      <c r="HT443">
        <v>125440</v>
      </c>
      <c r="HU443">
        <v>6146560</v>
      </c>
      <c r="HV443">
        <v>144256000</v>
      </c>
      <c r="HW443">
        <v>0.02</v>
      </c>
      <c r="HX443">
        <v>0.99098093957577105</v>
      </c>
      <c r="HY443">
        <v>1</v>
      </c>
      <c r="HZ443">
        <v>300000</v>
      </c>
      <c r="IA443">
        <v>8605.0884972286694</v>
      </c>
      <c r="IB443">
        <v>0</v>
      </c>
      <c r="IC443">
        <v>0</v>
      </c>
      <c r="ID443">
        <v>281305.08849722898</v>
      </c>
      <c r="IE443">
        <v>581305.08849722904</v>
      </c>
      <c r="IF443">
        <v>576062.26277916098</v>
      </c>
      <c r="IG443">
        <v>576062.26277916098</v>
      </c>
      <c r="IH443">
        <v>0</v>
      </c>
      <c r="II443">
        <v>234915.47501280799</v>
      </c>
      <c r="IJ443">
        <v>1540038.3252365401</v>
      </c>
      <c r="IK443">
        <v>0</v>
      </c>
      <c r="IL443">
        <v>0</v>
      </c>
      <c r="IM443">
        <v>0</v>
      </c>
      <c r="IN443">
        <v>11980689.225653199</v>
      </c>
      <c r="IO443">
        <v>78541954.587063596</v>
      </c>
      <c r="IP443">
        <v>90522643.812716797</v>
      </c>
      <c r="IQ443">
        <v>536000</v>
      </c>
      <c r="IR443">
        <v>2600000</v>
      </c>
      <c r="IS443">
        <v>0</v>
      </c>
      <c r="IT443">
        <v>0</v>
      </c>
      <c r="IU443">
        <v>0</v>
      </c>
      <c r="IV443">
        <v>3136000</v>
      </c>
      <c r="IW443">
        <v>268000</v>
      </c>
      <c r="IX443">
        <v>1300000</v>
      </c>
      <c r="IY443">
        <v>0</v>
      </c>
      <c r="IZ443">
        <v>0</v>
      </c>
      <c r="JA443">
        <v>0</v>
      </c>
      <c r="JB443">
        <v>1568000</v>
      </c>
      <c r="JC443">
        <v>90000</v>
      </c>
      <c r="JD443">
        <v>434000</v>
      </c>
      <c r="JE443">
        <v>0</v>
      </c>
      <c r="JF443">
        <v>0</v>
      </c>
      <c r="JG443">
        <v>0</v>
      </c>
      <c r="JH443">
        <v>524000</v>
      </c>
    </row>
    <row r="444" spans="2:268" customFormat="1" x14ac:dyDescent="0.25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3"/>
      <c r="N444" s="3"/>
      <c r="O444" s="3"/>
      <c r="P444" s="2"/>
      <c r="Q444" s="2"/>
      <c r="R444" s="2"/>
      <c r="S444" s="2"/>
      <c r="T444" s="2"/>
      <c r="U444" s="2"/>
      <c r="V444" s="3"/>
      <c r="W444" s="3"/>
      <c r="X444" s="3"/>
      <c r="Y444" s="3"/>
      <c r="Z444" s="3"/>
      <c r="AA444" s="3"/>
      <c r="AB444" s="3"/>
      <c r="AC444" s="2"/>
      <c r="AD444" s="2"/>
      <c r="AE444" s="2"/>
      <c r="AF444" s="2"/>
      <c r="AG444" s="2"/>
      <c r="AH444" s="2"/>
      <c r="AI444" s="2"/>
      <c r="AJ444" s="3"/>
      <c r="AK444" s="2"/>
      <c r="AL444" s="2"/>
      <c r="AM444" s="2"/>
      <c r="AN444" s="2"/>
      <c r="AO444" s="3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3"/>
      <c r="BC444" s="3"/>
      <c r="BD444" s="3"/>
      <c r="BE444" s="3"/>
      <c r="BF444" s="3"/>
      <c r="BG444" s="3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2"/>
      <c r="DI444" s="2"/>
      <c r="DJ444" s="3"/>
      <c r="DK444" s="3"/>
      <c r="DL444" s="2"/>
      <c r="DM444" s="2"/>
      <c r="DN444" s="2"/>
      <c r="DO444" s="3"/>
      <c r="DP444" s="3"/>
      <c r="GO444" t="s">
        <v>139</v>
      </c>
      <c r="GP444" t="s">
        <v>135</v>
      </c>
      <c r="GQ444" t="s">
        <v>502</v>
      </c>
      <c r="GR444">
        <v>24</v>
      </c>
      <c r="GS444">
        <v>23</v>
      </c>
      <c r="GT444">
        <v>1</v>
      </c>
      <c r="GU444" t="s">
        <v>457</v>
      </c>
      <c r="GV444">
        <v>11980689.225653199</v>
      </c>
      <c r="GW444">
        <v>78541954.587063596</v>
      </c>
      <c r="GX444">
        <v>90522643.812716797</v>
      </c>
      <c r="GY444">
        <v>0</v>
      </c>
      <c r="GZ444">
        <v>90522643.812716797</v>
      </c>
      <c r="HA444">
        <v>101000000</v>
      </c>
      <c r="HB444">
        <v>303000000</v>
      </c>
      <c r="HC444">
        <v>0</v>
      </c>
      <c r="HD444" t="s">
        <v>137</v>
      </c>
      <c r="HE444">
        <v>0</v>
      </c>
      <c r="HF444">
        <v>0</v>
      </c>
      <c r="HG444">
        <v>0</v>
      </c>
      <c r="HH444">
        <v>1072000</v>
      </c>
      <c r="HI444">
        <v>21440</v>
      </c>
      <c r="HJ444">
        <v>1050560</v>
      </c>
      <c r="HK444">
        <v>5200000</v>
      </c>
      <c r="HL444">
        <v>104000</v>
      </c>
      <c r="HM444">
        <v>5096000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6272000</v>
      </c>
      <c r="HT444">
        <v>125440</v>
      </c>
      <c r="HU444">
        <v>6146560</v>
      </c>
      <c r="HV444">
        <v>150528000</v>
      </c>
      <c r="HW444">
        <v>0.02</v>
      </c>
      <c r="HX444">
        <v>0.99098093957577105</v>
      </c>
      <c r="HY444">
        <v>1</v>
      </c>
      <c r="HZ444">
        <v>300000</v>
      </c>
      <c r="IA444">
        <v>11734.638929757301</v>
      </c>
      <c r="IB444">
        <v>0</v>
      </c>
      <c r="IC444">
        <v>0</v>
      </c>
      <c r="ID444">
        <v>284434.638929757</v>
      </c>
      <c r="IE444">
        <v>584434.63892975706</v>
      </c>
      <c r="IF444">
        <v>579163.58760723798</v>
      </c>
      <c r="IG444">
        <v>579163.58760723798</v>
      </c>
      <c r="IH444">
        <v>0</v>
      </c>
      <c r="II444">
        <v>249041.71276092</v>
      </c>
      <c r="IJ444">
        <v>1672759.0917412699</v>
      </c>
      <c r="IK444">
        <v>0</v>
      </c>
      <c r="IL444">
        <v>0</v>
      </c>
      <c r="IM444">
        <v>0</v>
      </c>
      <c r="IN444">
        <v>12701127.350806899</v>
      </c>
      <c r="IO444">
        <v>85310713.6788048</v>
      </c>
      <c r="IP444">
        <v>98011841.029611796</v>
      </c>
      <c r="IQ444">
        <v>536000</v>
      </c>
      <c r="IR444">
        <v>2600000</v>
      </c>
      <c r="IS444">
        <v>0</v>
      </c>
      <c r="IT444">
        <v>0</v>
      </c>
      <c r="IU444">
        <v>0</v>
      </c>
      <c r="IV444">
        <v>3136000</v>
      </c>
      <c r="IW444">
        <v>268000</v>
      </c>
      <c r="IX444">
        <v>1300000</v>
      </c>
      <c r="IY444">
        <v>0</v>
      </c>
      <c r="IZ444">
        <v>0</v>
      </c>
      <c r="JA444">
        <v>0</v>
      </c>
      <c r="JB444">
        <v>1568000</v>
      </c>
      <c r="JC444">
        <v>90000</v>
      </c>
      <c r="JD444">
        <v>434000</v>
      </c>
      <c r="JE444">
        <v>0</v>
      </c>
      <c r="JF444">
        <v>0</v>
      </c>
      <c r="JG444">
        <v>0</v>
      </c>
      <c r="JH444">
        <v>524000</v>
      </c>
    </row>
    <row r="445" spans="2:268" customFormat="1" x14ac:dyDescent="0.25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3"/>
      <c r="N445" s="3"/>
      <c r="O445" s="3"/>
      <c r="P445" s="2"/>
      <c r="Q445" s="2"/>
      <c r="R445" s="2"/>
      <c r="S445" s="2"/>
      <c r="T445" s="2"/>
      <c r="U445" s="2"/>
      <c r="V445" s="3"/>
      <c r="W445" s="3"/>
      <c r="X445" s="3"/>
      <c r="Y445" s="3"/>
      <c r="Z445" s="3"/>
      <c r="AA445" s="3"/>
      <c r="AB445" s="3"/>
      <c r="AC445" s="2"/>
      <c r="AD445" s="2"/>
      <c r="AE445" s="2"/>
      <c r="AF445" s="2"/>
      <c r="AG445" s="2"/>
      <c r="AH445" s="2"/>
      <c r="AI445" s="2"/>
      <c r="AJ445" s="3"/>
      <c r="AK445" s="2"/>
      <c r="AL445" s="2"/>
      <c r="AM445" s="2"/>
      <c r="AN445" s="2"/>
      <c r="AO445" s="3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3"/>
      <c r="BC445" s="3"/>
      <c r="BD445" s="3"/>
      <c r="BE445" s="3"/>
      <c r="BF445" s="3"/>
      <c r="BG445" s="3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2"/>
      <c r="DI445" s="2"/>
      <c r="DJ445" s="3"/>
      <c r="DK445" s="3"/>
      <c r="DL445" s="2"/>
      <c r="DM445" s="2"/>
      <c r="DN445" s="2"/>
      <c r="DO445" s="3"/>
      <c r="DP445" s="3"/>
      <c r="GO445" t="s">
        <v>139</v>
      </c>
      <c r="GP445" t="s">
        <v>135</v>
      </c>
      <c r="GQ445" t="s">
        <v>502</v>
      </c>
      <c r="GR445">
        <v>25</v>
      </c>
      <c r="GS445">
        <v>24</v>
      </c>
      <c r="GT445">
        <v>1</v>
      </c>
      <c r="GU445" t="s">
        <v>457</v>
      </c>
      <c r="GV445">
        <v>12701127.350806899</v>
      </c>
      <c r="GW445">
        <v>85310713.6788048</v>
      </c>
      <c r="GX445">
        <v>98011841.029611796</v>
      </c>
      <c r="GY445">
        <v>0</v>
      </c>
      <c r="GZ445">
        <v>98011841.029611796</v>
      </c>
      <c r="HA445">
        <v>101000000</v>
      </c>
      <c r="HB445">
        <v>303000000</v>
      </c>
      <c r="HC445">
        <v>0</v>
      </c>
      <c r="HD445" t="s">
        <v>137</v>
      </c>
      <c r="HE445">
        <v>0</v>
      </c>
      <c r="HF445">
        <v>0</v>
      </c>
      <c r="HG445">
        <v>0</v>
      </c>
      <c r="HH445">
        <v>1072000</v>
      </c>
      <c r="HI445">
        <v>21440</v>
      </c>
      <c r="HJ445">
        <v>1050560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1072000</v>
      </c>
      <c r="HT445">
        <v>21440</v>
      </c>
      <c r="HU445">
        <v>1050560</v>
      </c>
      <c r="HV445">
        <v>151600000</v>
      </c>
      <c r="HW445">
        <v>0.02</v>
      </c>
      <c r="HX445">
        <v>0.99098093957577105</v>
      </c>
      <c r="HY445">
        <v>1</v>
      </c>
      <c r="HZ445">
        <v>300000</v>
      </c>
      <c r="IA445">
        <v>3436.3828159464301</v>
      </c>
      <c r="IB445">
        <v>0</v>
      </c>
      <c r="IC445">
        <v>0</v>
      </c>
      <c r="ID445">
        <v>276136.38281594601</v>
      </c>
      <c r="IE445">
        <v>576136.38281594601</v>
      </c>
      <c r="IF445">
        <v>570940.17396673304</v>
      </c>
      <c r="IG445">
        <v>570940.17396673304</v>
      </c>
      <c r="IH445">
        <v>0</v>
      </c>
      <c r="II445">
        <v>263614.94353680301</v>
      </c>
      <c r="IJ445">
        <v>1706214.2735760999</v>
      </c>
      <c r="IK445">
        <v>0</v>
      </c>
      <c r="IL445">
        <v>0</v>
      </c>
      <c r="IM445">
        <v>0</v>
      </c>
      <c r="IN445">
        <v>13444362.120377</v>
      </c>
      <c r="IO445">
        <v>87016927.952380896</v>
      </c>
      <c r="IP445">
        <v>100461290.072758</v>
      </c>
      <c r="IQ445">
        <v>536000</v>
      </c>
      <c r="IR445">
        <v>2600000</v>
      </c>
      <c r="IS445">
        <v>0</v>
      </c>
      <c r="IT445">
        <v>0</v>
      </c>
      <c r="IU445">
        <v>0</v>
      </c>
      <c r="IV445">
        <v>3136000</v>
      </c>
      <c r="IW445">
        <v>268000</v>
      </c>
      <c r="IX445">
        <v>1300000</v>
      </c>
      <c r="IY445">
        <v>0</v>
      </c>
      <c r="IZ445">
        <v>0</v>
      </c>
      <c r="JA445">
        <v>0</v>
      </c>
      <c r="JB445">
        <v>1568000</v>
      </c>
      <c r="JC445">
        <v>90000</v>
      </c>
      <c r="JD445">
        <v>434000</v>
      </c>
      <c r="JE445">
        <v>0</v>
      </c>
      <c r="JF445">
        <v>0</v>
      </c>
      <c r="JG445">
        <v>0</v>
      </c>
      <c r="JH445">
        <v>524000</v>
      </c>
    </row>
    <row r="446" spans="2:268" customFormat="1" x14ac:dyDescent="0.25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3"/>
      <c r="N446" s="3"/>
      <c r="O446" s="3"/>
      <c r="P446" s="2"/>
      <c r="Q446" s="2"/>
      <c r="R446" s="2"/>
      <c r="S446" s="2"/>
      <c r="T446" s="2"/>
      <c r="U446" s="2"/>
      <c r="V446" s="3"/>
      <c r="W446" s="3"/>
      <c r="X446" s="3"/>
      <c r="Y446" s="3"/>
      <c r="Z446" s="3"/>
      <c r="AA446" s="3"/>
      <c r="AB446" s="3"/>
      <c r="AC446" s="2"/>
      <c r="AD446" s="2"/>
      <c r="AE446" s="2"/>
      <c r="AF446" s="2"/>
      <c r="AG446" s="2"/>
      <c r="AH446" s="2"/>
      <c r="AI446" s="2"/>
      <c r="AJ446" s="3"/>
      <c r="AK446" s="2"/>
      <c r="AL446" s="2"/>
      <c r="AM446" s="2"/>
      <c r="AN446" s="2"/>
      <c r="AO446" s="3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3"/>
      <c r="BC446" s="3"/>
      <c r="BD446" s="3"/>
      <c r="BE446" s="3"/>
      <c r="BF446" s="3"/>
      <c r="BG446" s="3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2"/>
      <c r="DI446" s="2"/>
      <c r="DJ446" s="3"/>
      <c r="DK446" s="3"/>
      <c r="DL446" s="2"/>
      <c r="DM446" s="2"/>
      <c r="DN446" s="2"/>
      <c r="DO446" s="3"/>
      <c r="DP446" s="3"/>
      <c r="GO446" t="s">
        <v>139</v>
      </c>
      <c r="GP446" t="s">
        <v>135</v>
      </c>
      <c r="GQ446" t="s">
        <v>502</v>
      </c>
      <c r="GR446">
        <v>26</v>
      </c>
      <c r="GS446">
        <v>25</v>
      </c>
      <c r="GT446">
        <v>1</v>
      </c>
      <c r="GU446" t="s">
        <v>457</v>
      </c>
      <c r="GV446">
        <v>13444362.120377</v>
      </c>
      <c r="GW446">
        <v>87016927.952380896</v>
      </c>
      <c r="GX446">
        <v>100461290.072758</v>
      </c>
      <c r="GY446">
        <v>0</v>
      </c>
      <c r="GZ446">
        <v>100461290.072758</v>
      </c>
      <c r="HA446">
        <v>101000000</v>
      </c>
      <c r="HB446">
        <v>303000000</v>
      </c>
      <c r="HC446">
        <v>0</v>
      </c>
      <c r="HD446" t="s">
        <v>137</v>
      </c>
      <c r="HE446">
        <v>0</v>
      </c>
      <c r="HF446">
        <v>0</v>
      </c>
      <c r="HG446">
        <v>0</v>
      </c>
      <c r="HH446">
        <v>1072000</v>
      </c>
      <c r="HI446">
        <v>21440</v>
      </c>
      <c r="HJ446">
        <v>1050560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1072000</v>
      </c>
      <c r="HT446">
        <v>21440</v>
      </c>
      <c r="HU446">
        <v>1050560</v>
      </c>
      <c r="HV446">
        <v>152672000</v>
      </c>
      <c r="HW446">
        <v>0.02</v>
      </c>
      <c r="HX446">
        <v>0.99098093957577105</v>
      </c>
      <c r="HY446">
        <v>1</v>
      </c>
      <c r="HZ446">
        <v>300000</v>
      </c>
      <c r="IA446">
        <v>630.29061487323997</v>
      </c>
      <c r="IB446">
        <v>0</v>
      </c>
      <c r="IC446">
        <v>0</v>
      </c>
      <c r="ID446">
        <v>273330.290614873</v>
      </c>
      <c r="IE446">
        <v>573330.29061487305</v>
      </c>
      <c r="IF446">
        <v>568159.390080777</v>
      </c>
      <c r="IG446">
        <v>568159.390080777</v>
      </c>
      <c r="IH446">
        <v>0</v>
      </c>
      <c r="II446">
        <v>278535.25460592401</v>
      </c>
      <c r="IJ446">
        <v>1740338.55904762</v>
      </c>
      <c r="IK446">
        <v>0</v>
      </c>
      <c r="IL446">
        <v>0</v>
      </c>
      <c r="IM446">
        <v>0</v>
      </c>
      <c r="IN446">
        <v>14205297.984902101</v>
      </c>
      <c r="IO446">
        <v>88757266.511428595</v>
      </c>
      <c r="IP446">
        <v>102962564.49633101</v>
      </c>
      <c r="IQ446">
        <v>536000</v>
      </c>
      <c r="IR446">
        <v>2600000</v>
      </c>
      <c r="IS446">
        <v>0</v>
      </c>
      <c r="IT446">
        <v>0</v>
      </c>
      <c r="IU446">
        <v>0</v>
      </c>
      <c r="IV446">
        <v>3136000</v>
      </c>
      <c r="IW446">
        <v>268000</v>
      </c>
      <c r="IX446">
        <v>1300000</v>
      </c>
      <c r="IY446">
        <v>0</v>
      </c>
      <c r="IZ446">
        <v>0</v>
      </c>
      <c r="JA446">
        <v>0</v>
      </c>
      <c r="JB446">
        <v>1568000</v>
      </c>
      <c r="JC446">
        <v>90000</v>
      </c>
      <c r="JD446">
        <v>434000</v>
      </c>
      <c r="JE446">
        <v>0</v>
      </c>
      <c r="JF446">
        <v>0</v>
      </c>
      <c r="JG446">
        <v>0</v>
      </c>
      <c r="JH446">
        <v>524000</v>
      </c>
    </row>
    <row r="447" spans="2:268" customFormat="1" x14ac:dyDescent="0.25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3"/>
      <c r="N447" s="3"/>
      <c r="O447" s="3"/>
      <c r="P447" s="2"/>
      <c r="Q447" s="2"/>
      <c r="R447" s="2"/>
      <c r="S447" s="2"/>
      <c r="T447" s="2"/>
      <c r="U447" s="2"/>
      <c r="V447" s="3"/>
      <c r="W447" s="3"/>
      <c r="X447" s="3"/>
      <c r="Y447" s="3"/>
      <c r="Z447" s="3"/>
      <c r="AA447" s="3"/>
      <c r="AB447" s="3"/>
      <c r="AC447" s="2"/>
      <c r="AD447" s="2"/>
      <c r="AE447" s="2"/>
      <c r="AF447" s="2"/>
      <c r="AG447" s="2"/>
      <c r="AH447" s="2"/>
      <c r="AI447" s="2"/>
      <c r="AJ447" s="3"/>
      <c r="AK447" s="2"/>
      <c r="AL447" s="2"/>
      <c r="AM447" s="2"/>
      <c r="AN447" s="2"/>
      <c r="AO447" s="3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3"/>
      <c r="BC447" s="3"/>
      <c r="BD447" s="3"/>
      <c r="BE447" s="3"/>
      <c r="BF447" s="3"/>
      <c r="BG447" s="3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2"/>
      <c r="DI447" s="2"/>
      <c r="DJ447" s="3"/>
      <c r="DK447" s="3"/>
      <c r="DL447" s="2"/>
      <c r="DM447" s="2"/>
      <c r="DN447" s="2"/>
      <c r="DO447" s="3"/>
      <c r="DP447" s="3"/>
      <c r="GO447" t="s">
        <v>139</v>
      </c>
      <c r="GP447" t="s">
        <v>135</v>
      </c>
      <c r="GQ447" t="s">
        <v>502</v>
      </c>
      <c r="GR447">
        <v>27</v>
      </c>
      <c r="GS447">
        <v>26</v>
      </c>
      <c r="GT447">
        <v>1</v>
      </c>
      <c r="GU447" t="s">
        <v>457</v>
      </c>
      <c r="GV447">
        <v>14205297.984902101</v>
      </c>
      <c r="GW447">
        <v>88757266.511428595</v>
      </c>
      <c r="GX447">
        <v>102962564.49633101</v>
      </c>
      <c r="GY447">
        <v>0</v>
      </c>
      <c r="GZ447">
        <v>102962564.49633101</v>
      </c>
      <c r="HA447">
        <v>102962564.49633101</v>
      </c>
      <c r="HB447">
        <v>303000000</v>
      </c>
      <c r="HC447">
        <v>0</v>
      </c>
      <c r="HD447" t="s">
        <v>137</v>
      </c>
      <c r="HE447">
        <v>0</v>
      </c>
      <c r="HF447">
        <v>0</v>
      </c>
      <c r="HG447">
        <v>0</v>
      </c>
      <c r="HH447">
        <v>1072000</v>
      </c>
      <c r="HI447">
        <v>21440</v>
      </c>
      <c r="HJ447">
        <v>1050560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1072000</v>
      </c>
      <c r="HT447">
        <v>21440</v>
      </c>
      <c r="HU447">
        <v>1050560</v>
      </c>
      <c r="HV447">
        <v>153744000</v>
      </c>
      <c r="HW447">
        <v>0.02</v>
      </c>
      <c r="HX447">
        <v>0.99098093957577105</v>
      </c>
      <c r="HY447">
        <v>1</v>
      </c>
      <c r="HZ447">
        <v>300000</v>
      </c>
      <c r="IA447">
        <v>0</v>
      </c>
      <c r="IB447">
        <v>0</v>
      </c>
      <c r="IC447">
        <v>0</v>
      </c>
      <c r="ID447">
        <v>272700</v>
      </c>
      <c r="IE447">
        <v>572700</v>
      </c>
      <c r="IF447">
        <v>567534.78409504401</v>
      </c>
      <c r="IG447">
        <v>567534.78409504401</v>
      </c>
      <c r="IH447">
        <v>0</v>
      </c>
      <c r="II447">
        <v>293766.46401614201</v>
      </c>
      <c r="IJ447">
        <v>1775145.3302285699</v>
      </c>
      <c r="IK447">
        <v>0</v>
      </c>
      <c r="IL447">
        <v>0</v>
      </c>
      <c r="IM447">
        <v>0</v>
      </c>
      <c r="IN447">
        <v>14982089.664823201</v>
      </c>
      <c r="IO447">
        <v>90532411.841657102</v>
      </c>
      <c r="IP447">
        <v>105514501.50647999</v>
      </c>
      <c r="IQ447">
        <v>536000</v>
      </c>
      <c r="IR447">
        <v>2600000</v>
      </c>
      <c r="IS447">
        <v>0</v>
      </c>
      <c r="IT447">
        <v>0</v>
      </c>
      <c r="IU447">
        <v>0</v>
      </c>
      <c r="IV447">
        <v>3136000</v>
      </c>
      <c r="IW447">
        <v>268000</v>
      </c>
      <c r="IX447">
        <v>1300000</v>
      </c>
      <c r="IY447">
        <v>0</v>
      </c>
      <c r="IZ447">
        <v>0</v>
      </c>
      <c r="JA447">
        <v>0</v>
      </c>
      <c r="JB447">
        <v>1568000</v>
      </c>
      <c r="JC447">
        <v>90000</v>
      </c>
      <c r="JD447">
        <v>434000</v>
      </c>
      <c r="JE447">
        <v>0</v>
      </c>
      <c r="JF447">
        <v>0</v>
      </c>
      <c r="JG447">
        <v>0</v>
      </c>
      <c r="JH447">
        <v>524000</v>
      </c>
    </row>
    <row r="448" spans="2:268" customFormat="1" x14ac:dyDescent="0.25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3"/>
      <c r="N448" s="3"/>
      <c r="O448" s="3"/>
      <c r="P448" s="2"/>
      <c r="Q448" s="2"/>
      <c r="R448" s="2"/>
      <c r="S448" s="2"/>
      <c r="T448" s="2"/>
      <c r="U448" s="2"/>
      <c r="V448" s="3"/>
      <c r="W448" s="3"/>
      <c r="X448" s="3"/>
      <c r="Y448" s="3"/>
      <c r="Z448" s="3"/>
      <c r="AA448" s="3"/>
      <c r="AB448" s="3"/>
      <c r="AC448" s="2"/>
      <c r="AD448" s="2"/>
      <c r="AE448" s="2"/>
      <c r="AF448" s="2"/>
      <c r="AG448" s="2"/>
      <c r="AH448" s="2"/>
      <c r="AI448" s="2"/>
      <c r="AJ448" s="3"/>
      <c r="AK448" s="2"/>
      <c r="AL448" s="2"/>
      <c r="AM448" s="2"/>
      <c r="AN448" s="2"/>
      <c r="AO448" s="3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3"/>
      <c r="BC448" s="3"/>
      <c r="BD448" s="3"/>
      <c r="BE448" s="3"/>
      <c r="BF448" s="3"/>
      <c r="BG448" s="3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2"/>
      <c r="DI448" s="2"/>
      <c r="DJ448" s="3"/>
      <c r="DK448" s="3"/>
      <c r="DL448" s="2"/>
      <c r="DM448" s="2"/>
      <c r="DN448" s="2"/>
      <c r="DO448" s="3"/>
      <c r="DP448" s="3"/>
      <c r="GO448" t="s">
        <v>139</v>
      </c>
      <c r="GP448" t="s">
        <v>135</v>
      </c>
      <c r="GQ448" t="s">
        <v>502</v>
      </c>
      <c r="GR448">
        <v>28</v>
      </c>
      <c r="GS448">
        <v>27</v>
      </c>
      <c r="GT448">
        <v>1</v>
      </c>
      <c r="GU448" t="s">
        <v>457</v>
      </c>
      <c r="GV448">
        <v>14982089.664823201</v>
      </c>
      <c r="GW448">
        <v>90532411.841657102</v>
      </c>
      <c r="GX448">
        <v>105514501.50647999</v>
      </c>
      <c r="GY448">
        <v>0</v>
      </c>
      <c r="GZ448">
        <v>105514501.50647999</v>
      </c>
      <c r="HA448">
        <v>105514501.50647999</v>
      </c>
      <c r="HB448">
        <v>303000000</v>
      </c>
      <c r="HC448">
        <v>0</v>
      </c>
      <c r="HD448" t="s">
        <v>137</v>
      </c>
      <c r="HE448">
        <v>0</v>
      </c>
      <c r="HF448">
        <v>0</v>
      </c>
      <c r="HG448">
        <v>0</v>
      </c>
      <c r="HH448">
        <v>1072000</v>
      </c>
      <c r="HI448">
        <v>21440</v>
      </c>
      <c r="HJ448">
        <v>1050560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1072000</v>
      </c>
      <c r="HT448">
        <v>21440</v>
      </c>
      <c r="HU448">
        <v>1050560</v>
      </c>
      <c r="HV448">
        <v>154816000</v>
      </c>
      <c r="HW448">
        <v>0.02</v>
      </c>
      <c r="HX448">
        <v>0.99098093957577105</v>
      </c>
      <c r="HY448">
        <v>1</v>
      </c>
      <c r="HZ448">
        <v>300000</v>
      </c>
      <c r="IA448">
        <v>0</v>
      </c>
      <c r="IB448">
        <v>0</v>
      </c>
      <c r="IC448">
        <v>0</v>
      </c>
      <c r="ID448">
        <v>272700</v>
      </c>
      <c r="IE448">
        <v>572700</v>
      </c>
      <c r="IF448">
        <v>567534.78409504401</v>
      </c>
      <c r="IG448">
        <v>567534.78409504401</v>
      </c>
      <c r="IH448">
        <v>0</v>
      </c>
      <c r="II448">
        <v>309302.29761456302</v>
      </c>
      <c r="IJ448">
        <v>1810648.23683314</v>
      </c>
      <c r="IK448">
        <v>0</v>
      </c>
      <c r="IL448">
        <v>0</v>
      </c>
      <c r="IM448">
        <v>0</v>
      </c>
      <c r="IN448">
        <v>15774417.1783427</v>
      </c>
      <c r="IO448">
        <v>92343060.078490302</v>
      </c>
      <c r="IP448">
        <v>108117477.256833</v>
      </c>
      <c r="IQ448">
        <v>536000</v>
      </c>
      <c r="IR448">
        <v>2600000</v>
      </c>
      <c r="IS448">
        <v>0</v>
      </c>
      <c r="IT448">
        <v>0</v>
      </c>
      <c r="IU448">
        <v>0</v>
      </c>
      <c r="IV448">
        <v>3136000</v>
      </c>
      <c r="IW448">
        <v>268000</v>
      </c>
      <c r="IX448">
        <v>1300000</v>
      </c>
      <c r="IY448">
        <v>0</v>
      </c>
      <c r="IZ448">
        <v>0</v>
      </c>
      <c r="JA448">
        <v>0</v>
      </c>
      <c r="JB448">
        <v>1568000</v>
      </c>
      <c r="JC448">
        <v>90000</v>
      </c>
      <c r="JD448">
        <v>434000</v>
      </c>
      <c r="JE448">
        <v>0</v>
      </c>
      <c r="JF448">
        <v>0</v>
      </c>
      <c r="JG448">
        <v>0</v>
      </c>
      <c r="JH448">
        <v>524000</v>
      </c>
    </row>
    <row r="449" spans="2:268" customFormat="1" x14ac:dyDescent="0.25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3"/>
      <c r="N449" s="3"/>
      <c r="O449" s="3"/>
      <c r="P449" s="2"/>
      <c r="Q449" s="2"/>
      <c r="R449" s="2"/>
      <c r="S449" s="2"/>
      <c r="T449" s="2"/>
      <c r="U449" s="2"/>
      <c r="V449" s="3"/>
      <c r="W449" s="3"/>
      <c r="X449" s="3"/>
      <c r="Y449" s="3"/>
      <c r="Z449" s="3"/>
      <c r="AA449" s="3"/>
      <c r="AB449" s="3"/>
      <c r="AC449" s="2"/>
      <c r="AD449" s="2"/>
      <c r="AE449" s="2"/>
      <c r="AF449" s="2"/>
      <c r="AG449" s="2"/>
      <c r="AH449" s="2"/>
      <c r="AI449" s="2"/>
      <c r="AJ449" s="3"/>
      <c r="AK449" s="2"/>
      <c r="AL449" s="2"/>
      <c r="AM449" s="2"/>
      <c r="AN449" s="2"/>
      <c r="AO449" s="3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3"/>
      <c r="BC449" s="3"/>
      <c r="BD449" s="3"/>
      <c r="BE449" s="3"/>
      <c r="BF449" s="3"/>
      <c r="BG449" s="3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2"/>
      <c r="DI449" s="2"/>
      <c r="DJ449" s="3"/>
      <c r="DK449" s="3"/>
      <c r="DL449" s="2"/>
      <c r="DM449" s="2"/>
      <c r="DN449" s="2"/>
      <c r="DO449" s="3"/>
      <c r="DP449" s="3"/>
      <c r="GO449" t="s">
        <v>139</v>
      </c>
      <c r="GP449" t="s">
        <v>135</v>
      </c>
      <c r="GQ449" t="s">
        <v>502</v>
      </c>
      <c r="GR449">
        <v>29</v>
      </c>
      <c r="GS449">
        <v>28</v>
      </c>
      <c r="GT449">
        <v>1</v>
      </c>
      <c r="GU449" t="s">
        <v>457</v>
      </c>
      <c r="GV449">
        <v>15774417.1783427</v>
      </c>
      <c r="GW449">
        <v>92343060.078490302</v>
      </c>
      <c r="GX449">
        <v>108117477.256833</v>
      </c>
      <c r="GY449">
        <v>0</v>
      </c>
      <c r="GZ449">
        <v>108117477.256833</v>
      </c>
      <c r="HA449">
        <v>108117477.256833</v>
      </c>
      <c r="HB449">
        <v>303000000</v>
      </c>
      <c r="HC449">
        <v>0</v>
      </c>
      <c r="HD449" t="s">
        <v>137</v>
      </c>
      <c r="HE449">
        <v>0</v>
      </c>
      <c r="HF449">
        <v>0</v>
      </c>
      <c r="HG449">
        <v>0</v>
      </c>
      <c r="HH449">
        <v>1072000</v>
      </c>
      <c r="HI449">
        <v>21440</v>
      </c>
      <c r="HJ449">
        <v>1050560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1072000</v>
      </c>
      <c r="HT449">
        <v>21440</v>
      </c>
      <c r="HU449">
        <v>1050560</v>
      </c>
      <c r="HV449">
        <v>155888000</v>
      </c>
      <c r="HW449">
        <v>0.02</v>
      </c>
      <c r="HX449">
        <v>0.99098093957577105</v>
      </c>
      <c r="HY449">
        <v>1</v>
      </c>
      <c r="HZ449">
        <v>300000</v>
      </c>
      <c r="IA449">
        <v>0</v>
      </c>
      <c r="IB449">
        <v>0</v>
      </c>
      <c r="IC449">
        <v>0</v>
      </c>
      <c r="ID449">
        <v>272700</v>
      </c>
      <c r="IE449">
        <v>572700</v>
      </c>
      <c r="IF449">
        <v>567534.78409504401</v>
      </c>
      <c r="IG449">
        <v>567534.78409504401</v>
      </c>
      <c r="IH449">
        <v>0</v>
      </c>
      <c r="II449">
        <v>325148.84788495401</v>
      </c>
      <c r="IJ449">
        <v>1846861.20156981</v>
      </c>
      <c r="IK449">
        <v>0</v>
      </c>
      <c r="IL449">
        <v>0</v>
      </c>
      <c r="IM449">
        <v>0</v>
      </c>
      <c r="IN449">
        <v>16582591.2421326</v>
      </c>
      <c r="IO449">
        <v>94189921.280060098</v>
      </c>
      <c r="IP449">
        <v>110772512.522193</v>
      </c>
      <c r="IQ449">
        <v>536000</v>
      </c>
      <c r="IR449">
        <v>2600000</v>
      </c>
      <c r="IS449">
        <v>0</v>
      </c>
      <c r="IT449">
        <v>0</v>
      </c>
      <c r="IU449">
        <v>0</v>
      </c>
      <c r="IV449">
        <v>3136000</v>
      </c>
      <c r="IW449">
        <v>268000</v>
      </c>
      <c r="IX449">
        <v>1300000</v>
      </c>
      <c r="IY449">
        <v>0</v>
      </c>
      <c r="IZ449">
        <v>0</v>
      </c>
      <c r="JA449">
        <v>0</v>
      </c>
      <c r="JB449">
        <v>1568000</v>
      </c>
      <c r="JC449">
        <v>90000</v>
      </c>
      <c r="JD449">
        <v>434000</v>
      </c>
      <c r="JE449">
        <v>0</v>
      </c>
      <c r="JF449">
        <v>0</v>
      </c>
      <c r="JG449">
        <v>0</v>
      </c>
      <c r="JH449">
        <v>524000</v>
      </c>
    </row>
    <row r="450" spans="2:268" customFormat="1" x14ac:dyDescent="0.25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3"/>
      <c r="N450" s="3"/>
      <c r="O450" s="3"/>
      <c r="P450" s="2"/>
      <c r="Q450" s="2"/>
      <c r="R450" s="2"/>
      <c r="S450" s="2"/>
      <c r="T450" s="2"/>
      <c r="U450" s="2"/>
      <c r="V450" s="3"/>
      <c r="W450" s="3"/>
      <c r="X450" s="3"/>
      <c r="Y450" s="3"/>
      <c r="Z450" s="3"/>
      <c r="AA450" s="3"/>
      <c r="AB450" s="3"/>
      <c r="AC450" s="2"/>
      <c r="AD450" s="2"/>
      <c r="AE450" s="2"/>
      <c r="AF450" s="2"/>
      <c r="AG450" s="2"/>
      <c r="AH450" s="2"/>
      <c r="AI450" s="2"/>
      <c r="AJ450" s="3"/>
      <c r="AK450" s="2"/>
      <c r="AL450" s="2"/>
      <c r="AM450" s="2"/>
      <c r="AN450" s="2"/>
      <c r="AO450" s="3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3"/>
      <c r="BC450" s="3"/>
      <c r="BD450" s="3"/>
      <c r="BE450" s="3"/>
      <c r="BF450" s="3"/>
      <c r="BG450" s="3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2"/>
      <c r="DI450" s="2"/>
      <c r="DJ450" s="3"/>
      <c r="DK450" s="3"/>
      <c r="DL450" s="2"/>
      <c r="DM450" s="2"/>
      <c r="DN450" s="2"/>
      <c r="DO450" s="3"/>
      <c r="DP450" s="3"/>
      <c r="GO450" t="s">
        <v>139</v>
      </c>
      <c r="GP450" t="s">
        <v>135</v>
      </c>
      <c r="GQ450" t="s">
        <v>502</v>
      </c>
      <c r="GR450">
        <v>30</v>
      </c>
      <c r="GS450">
        <v>29</v>
      </c>
      <c r="GT450">
        <v>1</v>
      </c>
      <c r="GU450" t="s">
        <v>457</v>
      </c>
      <c r="GV450">
        <v>16582591.2421326</v>
      </c>
      <c r="GW450">
        <v>94189921.280060098</v>
      </c>
      <c r="GX450">
        <v>110772512.522193</v>
      </c>
      <c r="GY450">
        <v>0</v>
      </c>
      <c r="GZ450">
        <v>110772512.522193</v>
      </c>
      <c r="HA450">
        <v>110772512.522193</v>
      </c>
      <c r="HB450">
        <v>303000000</v>
      </c>
      <c r="HC450">
        <v>0</v>
      </c>
      <c r="HD450" t="s">
        <v>137</v>
      </c>
      <c r="HE450">
        <v>0</v>
      </c>
      <c r="HF450">
        <v>0</v>
      </c>
      <c r="HG450">
        <v>0</v>
      </c>
      <c r="HH450">
        <v>1072000</v>
      </c>
      <c r="HI450">
        <v>21440</v>
      </c>
      <c r="HJ450">
        <v>1050560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1072000</v>
      </c>
      <c r="HT450">
        <v>21440</v>
      </c>
      <c r="HU450">
        <v>1050560</v>
      </c>
      <c r="HV450">
        <v>156960000</v>
      </c>
      <c r="HW450">
        <v>0.02</v>
      </c>
      <c r="HX450">
        <v>0.99098093957577105</v>
      </c>
      <c r="HY450">
        <v>1</v>
      </c>
      <c r="HZ450">
        <v>300000</v>
      </c>
      <c r="IA450">
        <v>0</v>
      </c>
      <c r="IB450">
        <v>0</v>
      </c>
      <c r="IC450">
        <v>0</v>
      </c>
      <c r="ID450">
        <v>272700</v>
      </c>
      <c r="IE450">
        <v>572700</v>
      </c>
      <c r="IF450">
        <v>567534.78409504401</v>
      </c>
      <c r="IG450">
        <v>567534.78409504401</v>
      </c>
      <c r="IH450">
        <v>0</v>
      </c>
      <c r="II450">
        <v>341312.32916075201</v>
      </c>
      <c r="IJ450">
        <v>1883798.4256012</v>
      </c>
      <c r="IK450">
        <v>0</v>
      </c>
      <c r="IL450">
        <v>0</v>
      </c>
      <c r="IM450">
        <v>0</v>
      </c>
      <c r="IN450">
        <v>17406928.787198398</v>
      </c>
      <c r="IO450">
        <v>96073719.705661297</v>
      </c>
      <c r="IP450">
        <v>113480648.49286</v>
      </c>
      <c r="IQ450">
        <v>536000</v>
      </c>
      <c r="IR450">
        <v>2600000</v>
      </c>
      <c r="IS450">
        <v>0</v>
      </c>
      <c r="IT450">
        <v>0</v>
      </c>
      <c r="IU450">
        <v>0</v>
      </c>
      <c r="IV450">
        <v>3136000</v>
      </c>
      <c r="IW450">
        <v>268000</v>
      </c>
      <c r="IX450">
        <v>1300000</v>
      </c>
      <c r="IY450">
        <v>0</v>
      </c>
      <c r="IZ450">
        <v>0</v>
      </c>
      <c r="JA450">
        <v>0</v>
      </c>
      <c r="JB450">
        <v>1568000</v>
      </c>
      <c r="JC450">
        <v>90000</v>
      </c>
      <c r="JD450">
        <v>434000</v>
      </c>
      <c r="JE450">
        <v>0</v>
      </c>
      <c r="JF450">
        <v>0</v>
      </c>
      <c r="JG450">
        <v>0</v>
      </c>
      <c r="JH450">
        <v>524000</v>
      </c>
    </row>
    <row r="451" spans="2:268" customFormat="1" x14ac:dyDescent="0.25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3"/>
      <c r="N451" s="3"/>
      <c r="O451" s="3"/>
      <c r="P451" s="2"/>
      <c r="Q451" s="2"/>
      <c r="R451" s="2"/>
      <c r="S451" s="2"/>
      <c r="T451" s="2"/>
      <c r="U451" s="2"/>
      <c r="V451" s="3"/>
      <c r="W451" s="3"/>
      <c r="X451" s="3"/>
      <c r="Y451" s="3"/>
      <c r="Z451" s="3"/>
      <c r="AA451" s="3"/>
      <c r="AB451" s="3"/>
      <c r="AC451" s="2"/>
      <c r="AD451" s="2"/>
      <c r="AE451" s="2"/>
      <c r="AF451" s="2"/>
      <c r="AG451" s="2"/>
      <c r="AH451" s="2"/>
      <c r="AI451" s="2"/>
      <c r="AJ451" s="3"/>
      <c r="AK451" s="2"/>
      <c r="AL451" s="2"/>
      <c r="AM451" s="2"/>
      <c r="AN451" s="2"/>
      <c r="AO451" s="3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3"/>
      <c r="BC451" s="3"/>
      <c r="BD451" s="3"/>
      <c r="BE451" s="3"/>
      <c r="BF451" s="3"/>
      <c r="BG451" s="3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2"/>
      <c r="DI451" s="2"/>
      <c r="DJ451" s="3"/>
      <c r="DK451" s="3"/>
      <c r="DL451" s="2"/>
      <c r="DM451" s="2"/>
      <c r="DN451" s="2"/>
      <c r="DO451" s="3"/>
      <c r="DP451" s="3"/>
      <c r="GO451" t="s">
        <v>139</v>
      </c>
      <c r="GP451" t="s">
        <v>135</v>
      </c>
      <c r="GQ451" t="s">
        <v>502</v>
      </c>
      <c r="GR451">
        <v>31</v>
      </c>
      <c r="GS451">
        <v>30</v>
      </c>
      <c r="GT451">
        <v>1</v>
      </c>
      <c r="GU451" t="s">
        <v>457</v>
      </c>
      <c r="GV451">
        <v>17406928.787198398</v>
      </c>
      <c r="GW451">
        <v>96073719.705661297</v>
      </c>
      <c r="GX451">
        <v>113480648.49286</v>
      </c>
      <c r="GY451">
        <v>0</v>
      </c>
      <c r="GZ451">
        <v>113480648.49286</v>
      </c>
      <c r="HA451">
        <v>113480648.49286</v>
      </c>
      <c r="HB451">
        <v>303000000</v>
      </c>
      <c r="HC451">
        <v>0</v>
      </c>
      <c r="HD451" t="s">
        <v>137</v>
      </c>
      <c r="HE451">
        <v>0</v>
      </c>
      <c r="HF451">
        <v>0</v>
      </c>
      <c r="HG451">
        <v>0</v>
      </c>
      <c r="HH451">
        <v>1072000</v>
      </c>
      <c r="HI451">
        <v>21440</v>
      </c>
      <c r="HJ451">
        <v>1050560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1072000</v>
      </c>
      <c r="HT451">
        <v>21440</v>
      </c>
      <c r="HU451">
        <v>1050560</v>
      </c>
      <c r="HV451">
        <v>158032000</v>
      </c>
      <c r="HW451">
        <v>0.02</v>
      </c>
      <c r="HX451">
        <v>0.99098093957577105</v>
      </c>
      <c r="HY451">
        <v>1</v>
      </c>
      <c r="HZ451">
        <v>300000</v>
      </c>
      <c r="IA451">
        <v>0</v>
      </c>
      <c r="IB451">
        <v>0</v>
      </c>
      <c r="IC451">
        <v>0</v>
      </c>
      <c r="ID451">
        <v>272700</v>
      </c>
      <c r="IE451">
        <v>572700</v>
      </c>
      <c r="IF451">
        <v>567534.78409504401</v>
      </c>
      <c r="IG451">
        <v>567534.78409504401</v>
      </c>
      <c r="IH451">
        <v>0</v>
      </c>
      <c r="II451">
        <v>357799.08006206597</v>
      </c>
      <c r="IJ451">
        <v>1921474.3941132301</v>
      </c>
      <c r="IK451">
        <v>0</v>
      </c>
      <c r="IL451">
        <v>0</v>
      </c>
      <c r="IM451">
        <v>0</v>
      </c>
      <c r="IN451">
        <v>18247753.0831654</v>
      </c>
      <c r="IO451">
        <v>97995194.099774495</v>
      </c>
      <c r="IP451">
        <v>116242947.18294001</v>
      </c>
      <c r="IQ451">
        <v>536000</v>
      </c>
      <c r="IR451">
        <v>2600000</v>
      </c>
      <c r="IS451">
        <v>0</v>
      </c>
      <c r="IT451">
        <v>0</v>
      </c>
      <c r="IU451">
        <v>0</v>
      </c>
      <c r="IV451">
        <v>3136000</v>
      </c>
      <c r="IW451">
        <v>268000</v>
      </c>
      <c r="IX451">
        <v>1300000</v>
      </c>
      <c r="IY451">
        <v>0</v>
      </c>
      <c r="IZ451">
        <v>0</v>
      </c>
      <c r="JA451">
        <v>0</v>
      </c>
      <c r="JB451">
        <v>1568000</v>
      </c>
      <c r="JC451">
        <v>90000</v>
      </c>
      <c r="JD451">
        <v>434000</v>
      </c>
      <c r="JE451">
        <v>0</v>
      </c>
      <c r="JF451">
        <v>0</v>
      </c>
      <c r="JG451">
        <v>0</v>
      </c>
      <c r="JH451">
        <v>524000</v>
      </c>
    </row>
    <row r="452" spans="2:268" customFormat="1" x14ac:dyDescent="0.25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3"/>
      <c r="N452" s="3"/>
      <c r="O452" s="3"/>
      <c r="P452" s="2"/>
      <c r="Q452" s="2"/>
      <c r="R452" s="2"/>
      <c r="S452" s="2"/>
      <c r="T452" s="2"/>
      <c r="U452" s="2"/>
      <c r="V452" s="3"/>
      <c r="W452" s="3"/>
      <c r="X452" s="3"/>
      <c r="Y452" s="3"/>
      <c r="Z452" s="3"/>
      <c r="AA452" s="3"/>
      <c r="AB452" s="3"/>
      <c r="AC452" s="2"/>
      <c r="AD452" s="2"/>
      <c r="AE452" s="2"/>
      <c r="AF452" s="2"/>
      <c r="AG452" s="2"/>
      <c r="AH452" s="2"/>
      <c r="AI452" s="2"/>
      <c r="AJ452" s="3"/>
      <c r="AK452" s="2"/>
      <c r="AL452" s="2"/>
      <c r="AM452" s="2"/>
      <c r="AN452" s="2"/>
      <c r="AO452" s="3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3"/>
      <c r="BC452" s="3"/>
      <c r="BD452" s="3"/>
      <c r="BE452" s="3"/>
      <c r="BF452" s="3"/>
      <c r="BG452" s="3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2"/>
      <c r="DI452" s="2"/>
      <c r="DJ452" s="3"/>
      <c r="DK452" s="3"/>
      <c r="DL452" s="2"/>
      <c r="DM452" s="2"/>
      <c r="DN452" s="2"/>
      <c r="DO452" s="3"/>
      <c r="DP452" s="3"/>
      <c r="GO452" t="s">
        <v>139</v>
      </c>
      <c r="GP452" t="s">
        <v>135</v>
      </c>
      <c r="GQ452" t="s">
        <v>502</v>
      </c>
      <c r="GR452">
        <v>32</v>
      </c>
      <c r="GS452">
        <v>31</v>
      </c>
      <c r="GT452">
        <v>1</v>
      </c>
      <c r="GU452" t="s">
        <v>457</v>
      </c>
      <c r="GV452">
        <v>18247753.0831654</v>
      </c>
      <c r="GW452">
        <v>97995194.099774495</v>
      </c>
      <c r="GX452">
        <v>116242947.18294001</v>
      </c>
      <c r="GY452">
        <v>0</v>
      </c>
      <c r="GZ452">
        <v>116242947.18294001</v>
      </c>
      <c r="HA452">
        <v>116242947.18294001</v>
      </c>
      <c r="HB452">
        <v>303000000</v>
      </c>
      <c r="HC452">
        <v>0</v>
      </c>
      <c r="HD452" t="s">
        <v>137</v>
      </c>
      <c r="HE452">
        <v>0</v>
      </c>
      <c r="HF452">
        <v>0</v>
      </c>
      <c r="HG452">
        <v>0</v>
      </c>
      <c r="HH452">
        <v>1072000</v>
      </c>
      <c r="HI452">
        <v>21440</v>
      </c>
      <c r="HJ452">
        <v>1050560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1072000</v>
      </c>
      <c r="HT452">
        <v>21440</v>
      </c>
      <c r="HU452">
        <v>1050560</v>
      </c>
      <c r="HV452">
        <v>159104000</v>
      </c>
      <c r="HW452">
        <v>0.02</v>
      </c>
      <c r="HX452">
        <v>0.99098093957577105</v>
      </c>
      <c r="HY452">
        <v>1</v>
      </c>
      <c r="HZ452">
        <v>300000</v>
      </c>
      <c r="IA452">
        <v>0</v>
      </c>
      <c r="IB452">
        <v>0</v>
      </c>
      <c r="IC452">
        <v>0</v>
      </c>
      <c r="ID452">
        <v>272700</v>
      </c>
      <c r="IE452">
        <v>572700</v>
      </c>
      <c r="IF452">
        <v>567534.78409504401</v>
      </c>
      <c r="IG452">
        <v>567534.78409504401</v>
      </c>
      <c r="IH452">
        <v>0</v>
      </c>
      <c r="II452">
        <v>374615.56598140701</v>
      </c>
      <c r="IJ452">
        <v>1959903.8819954901</v>
      </c>
      <c r="IK452">
        <v>0</v>
      </c>
      <c r="IL452">
        <v>0</v>
      </c>
      <c r="IM452">
        <v>0</v>
      </c>
      <c r="IN452">
        <v>19105393.865051702</v>
      </c>
      <c r="IO452">
        <v>99955097.981769994</v>
      </c>
      <c r="IP452">
        <v>119060491.84682199</v>
      </c>
      <c r="IQ452">
        <v>536000</v>
      </c>
      <c r="IR452">
        <v>2600000</v>
      </c>
      <c r="IS452">
        <v>0</v>
      </c>
      <c r="IT452">
        <v>0</v>
      </c>
      <c r="IU452">
        <v>0</v>
      </c>
      <c r="IV452">
        <v>3136000</v>
      </c>
      <c r="IW452">
        <v>268000</v>
      </c>
      <c r="IX452">
        <v>1300000</v>
      </c>
      <c r="IY452">
        <v>0</v>
      </c>
      <c r="IZ452">
        <v>0</v>
      </c>
      <c r="JA452">
        <v>0</v>
      </c>
      <c r="JB452">
        <v>1568000</v>
      </c>
      <c r="JC452">
        <v>90000</v>
      </c>
      <c r="JD452">
        <v>434000</v>
      </c>
      <c r="JE452">
        <v>0</v>
      </c>
      <c r="JF452">
        <v>0</v>
      </c>
      <c r="JG452">
        <v>0</v>
      </c>
      <c r="JH452">
        <v>524000</v>
      </c>
    </row>
    <row r="453" spans="2:268" customFormat="1" x14ac:dyDescent="0.25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3"/>
      <c r="N453" s="3"/>
      <c r="O453" s="3"/>
      <c r="P453" s="2"/>
      <c r="Q453" s="2"/>
      <c r="R453" s="2"/>
      <c r="S453" s="2"/>
      <c r="T453" s="2"/>
      <c r="U453" s="2"/>
      <c r="V453" s="3"/>
      <c r="W453" s="3"/>
      <c r="X453" s="3"/>
      <c r="Y453" s="3"/>
      <c r="Z453" s="3"/>
      <c r="AA453" s="3"/>
      <c r="AB453" s="3"/>
      <c r="AC453" s="2"/>
      <c r="AD453" s="2"/>
      <c r="AE453" s="2"/>
      <c r="AF453" s="2"/>
      <c r="AG453" s="2"/>
      <c r="AH453" s="2"/>
      <c r="AI453" s="2"/>
      <c r="AJ453" s="3"/>
      <c r="AK453" s="2"/>
      <c r="AL453" s="2"/>
      <c r="AM453" s="2"/>
      <c r="AN453" s="2"/>
      <c r="AO453" s="3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3"/>
      <c r="BC453" s="3"/>
      <c r="BD453" s="3"/>
      <c r="BE453" s="3"/>
      <c r="BF453" s="3"/>
      <c r="BG453" s="3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2"/>
      <c r="DI453" s="2"/>
      <c r="DJ453" s="3"/>
      <c r="DK453" s="3"/>
      <c r="DL453" s="2"/>
      <c r="DM453" s="2"/>
      <c r="DN453" s="2"/>
      <c r="DO453" s="3"/>
      <c r="DP453" s="3"/>
      <c r="GO453" t="s">
        <v>139</v>
      </c>
      <c r="GP453" t="s">
        <v>135</v>
      </c>
      <c r="GQ453" t="s">
        <v>502</v>
      </c>
      <c r="GR453">
        <v>33</v>
      </c>
      <c r="GS453">
        <v>32</v>
      </c>
      <c r="GT453">
        <v>1</v>
      </c>
      <c r="GU453" t="s">
        <v>457</v>
      </c>
      <c r="GV453">
        <v>19105393.865051702</v>
      </c>
      <c r="GW453">
        <v>99955097.981769994</v>
      </c>
      <c r="GX453">
        <v>119060491.84682199</v>
      </c>
      <c r="GY453">
        <v>0</v>
      </c>
      <c r="GZ453">
        <v>119060491.84682199</v>
      </c>
      <c r="HA453">
        <v>119060491.84682199</v>
      </c>
      <c r="HB453">
        <v>303000000</v>
      </c>
      <c r="HC453">
        <v>0</v>
      </c>
      <c r="HD453" t="s">
        <v>137</v>
      </c>
      <c r="HE453">
        <v>0</v>
      </c>
      <c r="HF453">
        <v>0</v>
      </c>
      <c r="HG453">
        <v>0</v>
      </c>
      <c r="HH453">
        <v>1072000</v>
      </c>
      <c r="HI453">
        <v>21440</v>
      </c>
      <c r="HJ453">
        <v>1050560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1072000</v>
      </c>
      <c r="HT453">
        <v>21440</v>
      </c>
      <c r="HU453">
        <v>1050560</v>
      </c>
      <c r="HV453">
        <v>160176000</v>
      </c>
      <c r="HW453">
        <v>0.02</v>
      </c>
      <c r="HX453">
        <v>0.99098093957577105</v>
      </c>
      <c r="HY453">
        <v>1</v>
      </c>
      <c r="HZ453">
        <v>300000</v>
      </c>
      <c r="IA453">
        <v>0</v>
      </c>
      <c r="IB453">
        <v>0</v>
      </c>
      <c r="IC453">
        <v>0</v>
      </c>
      <c r="ID453">
        <v>272700</v>
      </c>
      <c r="IE453">
        <v>572700</v>
      </c>
      <c r="IF453">
        <v>567534.78409504401</v>
      </c>
      <c r="IG453">
        <v>567534.78409504401</v>
      </c>
      <c r="IH453">
        <v>0</v>
      </c>
      <c r="II453">
        <v>391768.38161913399</v>
      </c>
      <c r="IJ453">
        <v>1999101.9596354</v>
      </c>
      <c r="IK453">
        <v>0</v>
      </c>
      <c r="IL453">
        <v>0</v>
      </c>
      <c r="IM453">
        <v>0</v>
      </c>
      <c r="IN453">
        <v>19980187.462575801</v>
      </c>
      <c r="IO453">
        <v>101954199.941405</v>
      </c>
      <c r="IP453">
        <v>121934387.403981</v>
      </c>
      <c r="IQ453">
        <v>536000</v>
      </c>
      <c r="IR453">
        <v>2600000</v>
      </c>
      <c r="IS453">
        <v>0</v>
      </c>
      <c r="IT453">
        <v>0</v>
      </c>
      <c r="IU453">
        <v>0</v>
      </c>
      <c r="IV453">
        <v>3136000</v>
      </c>
      <c r="IW453">
        <v>268000</v>
      </c>
      <c r="IX453">
        <v>1300000</v>
      </c>
      <c r="IY453">
        <v>0</v>
      </c>
      <c r="IZ453">
        <v>0</v>
      </c>
      <c r="JA453">
        <v>0</v>
      </c>
      <c r="JB453">
        <v>1568000</v>
      </c>
      <c r="JC453">
        <v>90000</v>
      </c>
      <c r="JD453">
        <v>434000</v>
      </c>
      <c r="JE453">
        <v>0</v>
      </c>
      <c r="JF453">
        <v>0</v>
      </c>
      <c r="JG453">
        <v>0</v>
      </c>
      <c r="JH453">
        <v>524000</v>
      </c>
    </row>
    <row r="454" spans="2:268" customFormat="1" x14ac:dyDescent="0.25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3"/>
      <c r="N454" s="3"/>
      <c r="O454" s="3"/>
      <c r="P454" s="2"/>
      <c r="Q454" s="2"/>
      <c r="R454" s="2"/>
      <c r="S454" s="2"/>
      <c r="T454" s="2"/>
      <c r="U454" s="2"/>
      <c r="V454" s="3"/>
      <c r="W454" s="3"/>
      <c r="X454" s="3"/>
      <c r="Y454" s="3"/>
      <c r="Z454" s="3"/>
      <c r="AA454" s="3"/>
      <c r="AB454" s="3"/>
      <c r="AC454" s="2"/>
      <c r="AD454" s="2"/>
      <c r="AE454" s="2"/>
      <c r="AF454" s="2"/>
      <c r="AG454" s="2"/>
      <c r="AH454" s="2"/>
      <c r="AI454" s="2"/>
      <c r="AJ454" s="3"/>
      <c r="AK454" s="2"/>
      <c r="AL454" s="2"/>
      <c r="AM454" s="2"/>
      <c r="AN454" s="2"/>
      <c r="AO454" s="3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3"/>
      <c r="BC454" s="3"/>
      <c r="BD454" s="3"/>
      <c r="BE454" s="3"/>
      <c r="BF454" s="3"/>
      <c r="BG454" s="3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2"/>
      <c r="DI454" s="2"/>
      <c r="DJ454" s="3"/>
      <c r="DK454" s="3"/>
      <c r="DL454" s="2"/>
      <c r="DM454" s="2"/>
      <c r="DN454" s="2"/>
      <c r="DO454" s="3"/>
      <c r="DP454" s="3"/>
      <c r="GO454" t="s">
        <v>139</v>
      </c>
      <c r="GP454" t="s">
        <v>135</v>
      </c>
      <c r="GQ454" t="s">
        <v>502</v>
      </c>
      <c r="GR454">
        <v>34</v>
      </c>
      <c r="GS454">
        <v>33</v>
      </c>
      <c r="GT454">
        <v>1</v>
      </c>
      <c r="GU454" t="s">
        <v>457</v>
      </c>
      <c r="GV454">
        <v>19980187.462575801</v>
      </c>
      <c r="GW454">
        <v>101954199.941405</v>
      </c>
      <c r="GX454">
        <v>121934387.403981</v>
      </c>
      <c r="GY454">
        <v>0</v>
      </c>
      <c r="GZ454">
        <v>121934387.403981</v>
      </c>
      <c r="HA454">
        <v>121934387.403981</v>
      </c>
      <c r="HB454">
        <v>303000000</v>
      </c>
      <c r="HC454">
        <v>0</v>
      </c>
      <c r="HD454" t="s">
        <v>137</v>
      </c>
      <c r="HE454">
        <v>0</v>
      </c>
      <c r="HF454">
        <v>0</v>
      </c>
      <c r="HG454">
        <v>0</v>
      </c>
      <c r="HH454">
        <v>1072000</v>
      </c>
      <c r="HI454">
        <v>21440</v>
      </c>
      <c r="HJ454">
        <v>1050560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1072000</v>
      </c>
      <c r="HT454">
        <v>21440</v>
      </c>
      <c r="HU454">
        <v>1050560</v>
      </c>
      <c r="HV454">
        <v>161248000</v>
      </c>
      <c r="HW454">
        <v>0.02</v>
      </c>
      <c r="HX454">
        <v>0.99098093957577105</v>
      </c>
      <c r="HY454">
        <v>1</v>
      </c>
      <c r="HZ454">
        <v>300000</v>
      </c>
      <c r="IA454">
        <v>0</v>
      </c>
      <c r="IB454">
        <v>0</v>
      </c>
      <c r="IC454">
        <v>0</v>
      </c>
      <c r="ID454">
        <v>272700</v>
      </c>
      <c r="IE454">
        <v>572700</v>
      </c>
      <c r="IF454">
        <v>567534.78409504401</v>
      </c>
      <c r="IG454">
        <v>567534.78409504401</v>
      </c>
      <c r="IH454">
        <v>0</v>
      </c>
      <c r="II454">
        <v>409264.253569616</v>
      </c>
      <c r="IJ454">
        <v>2039083.9988281101</v>
      </c>
      <c r="IK454">
        <v>0</v>
      </c>
      <c r="IL454">
        <v>0</v>
      </c>
      <c r="IM454">
        <v>0</v>
      </c>
      <c r="IN454">
        <v>20872476.932050399</v>
      </c>
      <c r="IO454">
        <v>103993283.94023401</v>
      </c>
      <c r="IP454">
        <v>124865760.872284</v>
      </c>
      <c r="IQ454">
        <v>536000</v>
      </c>
      <c r="IR454">
        <v>2600000</v>
      </c>
      <c r="IS454">
        <v>0</v>
      </c>
      <c r="IT454">
        <v>0</v>
      </c>
      <c r="IU454">
        <v>0</v>
      </c>
      <c r="IV454">
        <v>3136000</v>
      </c>
      <c r="IW454">
        <v>268000</v>
      </c>
      <c r="IX454">
        <v>1300000</v>
      </c>
      <c r="IY454">
        <v>0</v>
      </c>
      <c r="IZ454">
        <v>0</v>
      </c>
      <c r="JA454">
        <v>0</v>
      </c>
      <c r="JB454">
        <v>1568000</v>
      </c>
      <c r="JC454">
        <v>90000</v>
      </c>
      <c r="JD454">
        <v>434000</v>
      </c>
      <c r="JE454">
        <v>0</v>
      </c>
      <c r="JF454">
        <v>0</v>
      </c>
      <c r="JG454">
        <v>0</v>
      </c>
      <c r="JH454">
        <v>524000</v>
      </c>
    </row>
    <row r="455" spans="2:268" customFormat="1" x14ac:dyDescent="0.25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3"/>
      <c r="N455" s="3"/>
      <c r="O455" s="3"/>
      <c r="P455" s="2"/>
      <c r="Q455" s="2"/>
      <c r="R455" s="2"/>
      <c r="S455" s="2"/>
      <c r="T455" s="2"/>
      <c r="U455" s="2"/>
      <c r="V455" s="3"/>
      <c r="W455" s="3"/>
      <c r="X455" s="3"/>
      <c r="Y455" s="3"/>
      <c r="Z455" s="3"/>
      <c r="AA455" s="3"/>
      <c r="AB455" s="3"/>
      <c r="AC455" s="2"/>
      <c r="AD455" s="2"/>
      <c r="AE455" s="2"/>
      <c r="AF455" s="2"/>
      <c r="AG455" s="2"/>
      <c r="AH455" s="2"/>
      <c r="AI455" s="2"/>
      <c r="AJ455" s="3"/>
      <c r="AK455" s="2"/>
      <c r="AL455" s="2"/>
      <c r="AM455" s="2"/>
      <c r="AN455" s="2"/>
      <c r="AO455" s="3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3"/>
      <c r="BC455" s="3"/>
      <c r="BD455" s="3"/>
      <c r="BE455" s="3"/>
      <c r="BF455" s="3"/>
      <c r="BG455" s="3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2"/>
      <c r="DI455" s="2"/>
      <c r="DJ455" s="3"/>
      <c r="DK455" s="3"/>
      <c r="DL455" s="2"/>
      <c r="DM455" s="2"/>
      <c r="DN455" s="2"/>
      <c r="DO455" s="3"/>
      <c r="DP455" s="3"/>
      <c r="GO455" t="s">
        <v>139</v>
      </c>
      <c r="GP455" t="s">
        <v>135</v>
      </c>
      <c r="GQ455" t="s">
        <v>502</v>
      </c>
      <c r="GR455">
        <v>35</v>
      </c>
      <c r="GS455">
        <v>34</v>
      </c>
      <c r="GT455">
        <v>1</v>
      </c>
      <c r="GU455" t="s">
        <v>457</v>
      </c>
      <c r="GV455">
        <v>20872476.932050399</v>
      </c>
      <c r="GW455">
        <v>103993283.94023401</v>
      </c>
      <c r="GX455">
        <v>124865760.872284</v>
      </c>
      <c r="GY455">
        <v>0</v>
      </c>
      <c r="GZ455">
        <v>124865760.872284</v>
      </c>
      <c r="HA455">
        <v>124865760.872284</v>
      </c>
      <c r="HB455">
        <v>303000000</v>
      </c>
      <c r="HC455">
        <v>0</v>
      </c>
      <c r="HD455" t="s">
        <v>137</v>
      </c>
      <c r="HE455">
        <v>0</v>
      </c>
      <c r="HF455">
        <v>0</v>
      </c>
      <c r="HG455">
        <v>0</v>
      </c>
      <c r="HH455">
        <v>1072000</v>
      </c>
      <c r="HI455">
        <v>21440</v>
      </c>
      <c r="HJ455">
        <v>1050560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1072000</v>
      </c>
      <c r="HT455">
        <v>21440</v>
      </c>
      <c r="HU455">
        <v>1050560</v>
      </c>
      <c r="HV455">
        <v>162320000</v>
      </c>
      <c r="HW455">
        <v>0.02</v>
      </c>
      <c r="HX455">
        <v>0.99098093957577105</v>
      </c>
      <c r="HY455">
        <v>1</v>
      </c>
      <c r="HZ455">
        <v>300000</v>
      </c>
      <c r="IA455">
        <v>0</v>
      </c>
      <c r="IB455">
        <v>0</v>
      </c>
      <c r="IC455">
        <v>0</v>
      </c>
      <c r="ID455">
        <v>272700</v>
      </c>
      <c r="IE455">
        <v>572700</v>
      </c>
      <c r="IF455">
        <v>567534.78409504401</v>
      </c>
      <c r="IG455">
        <v>567534.78409504401</v>
      </c>
      <c r="IH455">
        <v>0</v>
      </c>
      <c r="II455">
        <v>427110.04295910703</v>
      </c>
      <c r="IJ455">
        <v>2079865.67880467</v>
      </c>
      <c r="IK455">
        <v>0</v>
      </c>
      <c r="IL455">
        <v>0</v>
      </c>
      <c r="IM455">
        <v>0</v>
      </c>
      <c r="IN455">
        <v>21782612.190914501</v>
      </c>
      <c r="IO455">
        <v>106073149.619038</v>
      </c>
      <c r="IP455">
        <v>127855761.809953</v>
      </c>
      <c r="IQ455">
        <v>536000</v>
      </c>
      <c r="IR455">
        <v>2600000</v>
      </c>
      <c r="IS455">
        <v>0</v>
      </c>
      <c r="IT455">
        <v>0</v>
      </c>
      <c r="IU455">
        <v>0</v>
      </c>
      <c r="IV455">
        <v>3136000</v>
      </c>
      <c r="IW455">
        <v>268000</v>
      </c>
      <c r="IX455">
        <v>1300000</v>
      </c>
      <c r="IY455">
        <v>0</v>
      </c>
      <c r="IZ455">
        <v>0</v>
      </c>
      <c r="JA455">
        <v>0</v>
      </c>
      <c r="JB455">
        <v>1568000</v>
      </c>
      <c r="JC455">
        <v>90000</v>
      </c>
      <c r="JD455">
        <v>434000</v>
      </c>
      <c r="JE455">
        <v>0</v>
      </c>
      <c r="JF455">
        <v>0</v>
      </c>
      <c r="JG455">
        <v>0</v>
      </c>
      <c r="JH455">
        <v>524000</v>
      </c>
    </row>
    <row r="456" spans="2:268" customFormat="1" x14ac:dyDescent="0.25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3"/>
      <c r="N456" s="3"/>
      <c r="O456" s="3"/>
      <c r="P456" s="2"/>
      <c r="Q456" s="2"/>
      <c r="R456" s="2"/>
      <c r="S456" s="2"/>
      <c r="T456" s="2"/>
      <c r="U456" s="2"/>
      <c r="V456" s="3"/>
      <c r="W456" s="3"/>
      <c r="X456" s="3"/>
      <c r="Y456" s="3"/>
      <c r="Z456" s="3"/>
      <c r="AA456" s="3"/>
      <c r="AB456" s="3"/>
      <c r="AC456" s="2"/>
      <c r="AD456" s="2"/>
      <c r="AE456" s="2"/>
      <c r="AF456" s="2"/>
      <c r="AG456" s="2"/>
      <c r="AH456" s="2"/>
      <c r="AI456" s="2"/>
      <c r="AJ456" s="3"/>
      <c r="AK456" s="2"/>
      <c r="AL456" s="2"/>
      <c r="AM456" s="2"/>
      <c r="AN456" s="2"/>
      <c r="AO456" s="3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3"/>
      <c r="BC456" s="3"/>
      <c r="BD456" s="3"/>
      <c r="BE456" s="3"/>
      <c r="BF456" s="3"/>
      <c r="BG456" s="3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2"/>
      <c r="DI456" s="2"/>
      <c r="DJ456" s="3"/>
      <c r="DK456" s="3"/>
      <c r="DL456" s="2"/>
      <c r="DM456" s="2"/>
      <c r="DN456" s="2"/>
      <c r="DO456" s="3"/>
      <c r="DP456" s="3"/>
      <c r="GO456" t="s">
        <v>139</v>
      </c>
      <c r="GP456" t="s">
        <v>135</v>
      </c>
      <c r="GQ456" t="s">
        <v>502</v>
      </c>
      <c r="GR456">
        <v>36</v>
      </c>
      <c r="GS456">
        <v>35</v>
      </c>
      <c r="GT456">
        <v>1</v>
      </c>
      <c r="GU456" t="s">
        <v>457</v>
      </c>
      <c r="GV456">
        <v>21782612.190914501</v>
      </c>
      <c r="GW456">
        <v>106073149.619038</v>
      </c>
      <c r="GX456">
        <v>127855761.809953</v>
      </c>
      <c r="GY456">
        <v>0</v>
      </c>
      <c r="GZ456">
        <v>127855761.809953</v>
      </c>
      <c r="HA456">
        <v>127855761.809953</v>
      </c>
      <c r="HB456">
        <v>303000000</v>
      </c>
      <c r="HC456">
        <v>0</v>
      </c>
      <c r="HD456" t="s">
        <v>137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0.02</v>
      </c>
      <c r="HX456">
        <v>0.99098093957577105</v>
      </c>
      <c r="HY456">
        <v>1</v>
      </c>
      <c r="HZ456">
        <v>300000</v>
      </c>
      <c r="IA456">
        <v>0</v>
      </c>
      <c r="IB456">
        <v>0</v>
      </c>
      <c r="IC456">
        <v>0</v>
      </c>
      <c r="ID456">
        <v>272700</v>
      </c>
      <c r="IE456">
        <v>572700</v>
      </c>
      <c r="IF456">
        <v>567534.78409504401</v>
      </c>
      <c r="IG456">
        <v>567534.78409504401</v>
      </c>
      <c r="IH456">
        <v>0</v>
      </c>
      <c r="II456">
        <v>424301.54813638801</v>
      </c>
      <c r="IJ456">
        <v>2121462.9923807601</v>
      </c>
      <c r="IK456">
        <v>0</v>
      </c>
      <c r="IL456">
        <v>0</v>
      </c>
      <c r="IM456">
        <v>0</v>
      </c>
      <c r="IN456">
        <v>21639378.954955801</v>
      </c>
      <c r="IO456">
        <v>108194612.61141901</v>
      </c>
      <c r="IP456">
        <v>129833991.566375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</row>
    <row r="457" spans="2:268" customFormat="1" x14ac:dyDescent="0.25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3"/>
      <c r="N457" s="3"/>
      <c r="O457" s="3"/>
      <c r="P457" s="2"/>
      <c r="Q457" s="2"/>
      <c r="R457" s="2"/>
      <c r="S457" s="2"/>
      <c r="T457" s="2"/>
      <c r="U457" s="2"/>
      <c r="V457" s="3"/>
      <c r="W457" s="3"/>
      <c r="X457" s="3"/>
      <c r="Y457" s="3"/>
      <c r="Z457" s="3"/>
      <c r="AA457" s="3"/>
      <c r="AB457" s="3"/>
      <c r="AC457" s="2"/>
      <c r="AD457" s="2"/>
      <c r="AE457" s="2"/>
      <c r="AF457" s="2"/>
      <c r="AG457" s="2"/>
      <c r="AH457" s="2"/>
      <c r="AI457" s="2"/>
      <c r="AJ457" s="3"/>
      <c r="AK457" s="2"/>
      <c r="AL457" s="2"/>
      <c r="AM457" s="2"/>
      <c r="AN457" s="2"/>
      <c r="AO457" s="3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3"/>
      <c r="BC457" s="3"/>
      <c r="BD457" s="3"/>
      <c r="BE457" s="3"/>
      <c r="BF457" s="3"/>
      <c r="BG457" s="3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2"/>
      <c r="DI457" s="2"/>
      <c r="DJ457" s="3"/>
      <c r="DK457" s="3"/>
      <c r="DL457" s="2"/>
      <c r="DM457" s="2"/>
      <c r="DN457" s="2"/>
      <c r="DO457" s="3"/>
      <c r="DP457" s="3"/>
      <c r="GO457" t="s">
        <v>139</v>
      </c>
      <c r="GP457" t="s">
        <v>135</v>
      </c>
      <c r="GQ457" t="s">
        <v>502</v>
      </c>
      <c r="GR457">
        <v>37</v>
      </c>
      <c r="GS457">
        <v>36</v>
      </c>
      <c r="GT457">
        <v>1</v>
      </c>
      <c r="GU457" t="s">
        <v>457</v>
      </c>
      <c r="GV457">
        <v>21639378.954955801</v>
      </c>
      <c r="GW457">
        <v>108194612.61141901</v>
      </c>
      <c r="GX457">
        <v>129833991.566375</v>
      </c>
      <c r="GY457">
        <v>0</v>
      </c>
      <c r="GZ457">
        <v>129833991.566375</v>
      </c>
      <c r="HA457">
        <v>129833991.566375</v>
      </c>
      <c r="HB457">
        <v>303000000</v>
      </c>
      <c r="HC457">
        <v>0</v>
      </c>
      <c r="HD457" t="s">
        <v>137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0.02</v>
      </c>
      <c r="HX457">
        <v>0.99098093957577105</v>
      </c>
      <c r="HY457">
        <v>1</v>
      </c>
      <c r="HZ457">
        <v>300000</v>
      </c>
      <c r="IA457">
        <v>0</v>
      </c>
      <c r="IB457">
        <v>0</v>
      </c>
      <c r="IC457">
        <v>0</v>
      </c>
      <c r="ID457">
        <v>272700</v>
      </c>
      <c r="IE457">
        <v>572700</v>
      </c>
      <c r="IF457">
        <v>567534.78409504401</v>
      </c>
      <c r="IG457">
        <v>567534.78409504401</v>
      </c>
      <c r="IH457">
        <v>0</v>
      </c>
      <c r="II457">
        <v>421436.88341721502</v>
      </c>
      <c r="IJ457">
        <v>2163892.2522283802</v>
      </c>
      <c r="IK457">
        <v>0</v>
      </c>
      <c r="IL457">
        <v>0</v>
      </c>
      <c r="IM457">
        <v>0</v>
      </c>
      <c r="IN457">
        <v>21493281.054278001</v>
      </c>
      <c r="IO457">
        <v>110358504.863647</v>
      </c>
      <c r="IP457">
        <v>131851785.917925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</row>
    <row r="458" spans="2:268" customFormat="1" x14ac:dyDescent="0.25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3"/>
      <c r="N458" s="3"/>
      <c r="O458" s="3"/>
      <c r="P458" s="2"/>
      <c r="Q458" s="2"/>
      <c r="R458" s="2"/>
      <c r="S458" s="2"/>
      <c r="T458" s="2"/>
      <c r="U458" s="2"/>
      <c r="V458" s="3"/>
      <c r="W458" s="3"/>
      <c r="X458" s="3"/>
      <c r="Y458" s="3"/>
      <c r="Z458" s="3"/>
      <c r="AA458" s="3"/>
      <c r="AB458" s="3"/>
      <c r="AC458" s="2"/>
      <c r="AD458" s="2"/>
      <c r="AE458" s="2"/>
      <c r="AF458" s="2"/>
      <c r="AG458" s="2"/>
      <c r="AH458" s="2"/>
      <c r="AI458" s="2"/>
      <c r="AJ458" s="3"/>
      <c r="AK458" s="2"/>
      <c r="AL458" s="2"/>
      <c r="AM458" s="2"/>
      <c r="AN458" s="2"/>
      <c r="AO458" s="3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3"/>
      <c r="BC458" s="3"/>
      <c r="BD458" s="3"/>
      <c r="BE458" s="3"/>
      <c r="BF458" s="3"/>
      <c r="BG458" s="3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2"/>
      <c r="DI458" s="2"/>
      <c r="DJ458" s="3"/>
      <c r="DK458" s="3"/>
      <c r="DL458" s="2"/>
      <c r="DM458" s="2"/>
      <c r="DN458" s="2"/>
      <c r="DO458" s="3"/>
      <c r="DP458" s="3"/>
      <c r="GO458" t="s">
        <v>139</v>
      </c>
      <c r="GP458" t="s">
        <v>135</v>
      </c>
      <c r="GQ458" t="s">
        <v>502</v>
      </c>
      <c r="GR458">
        <v>38</v>
      </c>
      <c r="GS458">
        <v>37</v>
      </c>
      <c r="GT458">
        <v>1</v>
      </c>
      <c r="GU458" t="s">
        <v>457</v>
      </c>
      <c r="GV458">
        <v>21493281.054278001</v>
      </c>
      <c r="GW458">
        <v>110358504.863647</v>
      </c>
      <c r="GX458">
        <v>131851785.917925</v>
      </c>
      <c r="GY458">
        <v>0</v>
      </c>
      <c r="GZ458">
        <v>131851785.917925</v>
      </c>
      <c r="HA458">
        <v>131851785.917925</v>
      </c>
      <c r="HB458">
        <v>303000000</v>
      </c>
      <c r="HC458">
        <v>0</v>
      </c>
      <c r="HD458" t="s">
        <v>137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0.02</v>
      </c>
      <c r="HX458">
        <v>0.99098093957577105</v>
      </c>
      <c r="HY458">
        <v>1</v>
      </c>
      <c r="HZ458">
        <v>300000</v>
      </c>
      <c r="IA458">
        <v>0</v>
      </c>
      <c r="IB458">
        <v>0</v>
      </c>
      <c r="IC458">
        <v>0</v>
      </c>
      <c r="ID458">
        <v>272700</v>
      </c>
      <c r="IE458">
        <v>572700</v>
      </c>
      <c r="IF458">
        <v>567534.78409504401</v>
      </c>
      <c r="IG458">
        <v>567534.78409504401</v>
      </c>
      <c r="IH458">
        <v>0</v>
      </c>
      <c r="II458">
        <v>418514.92540365801</v>
      </c>
      <c r="IJ458">
        <v>2207170.0972729502</v>
      </c>
      <c r="IK458">
        <v>0</v>
      </c>
      <c r="IL458">
        <v>0</v>
      </c>
      <c r="IM458">
        <v>0</v>
      </c>
      <c r="IN458">
        <v>21344261.195586599</v>
      </c>
      <c r="IO458">
        <v>112565674.96092001</v>
      </c>
      <c r="IP458">
        <v>133909936.156507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</row>
    <row r="459" spans="2:268" customFormat="1" x14ac:dyDescent="0.25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3"/>
      <c r="N459" s="3"/>
      <c r="O459" s="3"/>
      <c r="P459" s="2"/>
      <c r="Q459" s="2"/>
      <c r="R459" s="2"/>
      <c r="S459" s="2"/>
      <c r="T459" s="2"/>
      <c r="U459" s="2"/>
      <c r="V459" s="3"/>
      <c r="W459" s="3"/>
      <c r="X459" s="3"/>
      <c r="Y459" s="3"/>
      <c r="Z459" s="3"/>
      <c r="AA459" s="3"/>
      <c r="AB459" s="3"/>
      <c r="AC459" s="2"/>
      <c r="AD459" s="2"/>
      <c r="AE459" s="2"/>
      <c r="AF459" s="2"/>
      <c r="AG459" s="2"/>
      <c r="AH459" s="2"/>
      <c r="AI459" s="2"/>
      <c r="AJ459" s="3"/>
      <c r="AK459" s="2"/>
      <c r="AL459" s="2"/>
      <c r="AM459" s="2"/>
      <c r="AN459" s="2"/>
      <c r="AO459" s="3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3"/>
      <c r="BC459" s="3"/>
      <c r="BD459" s="3"/>
      <c r="BE459" s="3"/>
      <c r="BF459" s="3"/>
      <c r="BG459" s="3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2"/>
      <c r="DI459" s="2"/>
      <c r="DJ459" s="3"/>
      <c r="DK459" s="3"/>
      <c r="DL459" s="2"/>
      <c r="DM459" s="2"/>
      <c r="DN459" s="2"/>
      <c r="DO459" s="3"/>
      <c r="DP459" s="3"/>
      <c r="GO459" t="s">
        <v>139</v>
      </c>
      <c r="GP459" t="s">
        <v>135</v>
      </c>
      <c r="GQ459" t="s">
        <v>502</v>
      </c>
      <c r="GR459">
        <v>39</v>
      </c>
      <c r="GS459">
        <v>38</v>
      </c>
      <c r="GT459">
        <v>1</v>
      </c>
      <c r="GU459" t="s">
        <v>457</v>
      </c>
      <c r="GV459">
        <v>21344261.195586599</v>
      </c>
      <c r="GW459">
        <v>112565674.96092001</v>
      </c>
      <c r="GX459">
        <v>133909936.156507</v>
      </c>
      <c r="GY459">
        <v>0</v>
      </c>
      <c r="GZ459">
        <v>133909936.156507</v>
      </c>
      <c r="HA459">
        <v>133909936.156507</v>
      </c>
      <c r="HB459">
        <v>303000000</v>
      </c>
      <c r="HC459">
        <v>0</v>
      </c>
      <c r="HD459" t="s">
        <v>137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0.02</v>
      </c>
      <c r="HX459">
        <v>0.99098093957577105</v>
      </c>
      <c r="HY459">
        <v>1</v>
      </c>
      <c r="HZ459">
        <v>300000</v>
      </c>
      <c r="IA459">
        <v>0</v>
      </c>
      <c r="IB459">
        <v>0</v>
      </c>
      <c r="IC459">
        <v>0</v>
      </c>
      <c r="ID459">
        <v>272700</v>
      </c>
      <c r="IE459">
        <v>572700</v>
      </c>
      <c r="IF459">
        <v>567534.78409504401</v>
      </c>
      <c r="IG459">
        <v>567534.78409504401</v>
      </c>
      <c r="IH459">
        <v>0</v>
      </c>
      <c r="II459">
        <v>415534.52822983102</v>
      </c>
      <c r="IJ459">
        <v>2251313.4992184099</v>
      </c>
      <c r="IK459">
        <v>0</v>
      </c>
      <c r="IL459">
        <v>0</v>
      </c>
      <c r="IM459">
        <v>0</v>
      </c>
      <c r="IN459">
        <v>21192260.939721402</v>
      </c>
      <c r="IO459">
        <v>114816988.46013901</v>
      </c>
      <c r="IP459">
        <v>136009249.39985999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</row>
    <row r="460" spans="2:268" customFormat="1" x14ac:dyDescent="0.25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3"/>
      <c r="N460" s="3"/>
      <c r="O460" s="3"/>
      <c r="P460" s="2"/>
      <c r="Q460" s="2"/>
      <c r="R460" s="2"/>
      <c r="S460" s="2"/>
      <c r="T460" s="2"/>
      <c r="U460" s="2"/>
      <c r="V460" s="3"/>
      <c r="W460" s="3"/>
      <c r="X460" s="3"/>
      <c r="Y460" s="3"/>
      <c r="Z460" s="3"/>
      <c r="AA460" s="3"/>
      <c r="AB460" s="3"/>
      <c r="AC460" s="2"/>
      <c r="AD460" s="2"/>
      <c r="AE460" s="2"/>
      <c r="AF460" s="2"/>
      <c r="AG460" s="2"/>
      <c r="AH460" s="2"/>
      <c r="AI460" s="2"/>
      <c r="AJ460" s="3"/>
      <c r="AK460" s="2"/>
      <c r="AL460" s="2"/>
      <c r="AM460" s="2"/>
      <c r="AN460" s="2"/>
      <c r="AO460" s="3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3"/>
      <c r="BC460" s="3"/>
      <c r="BD460" s="3"/>
      <c r="BE460" s="3"/>
      <c r="BF460" s="3"/>
      <c r="BG460" s="3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2"/>
      <c r="DI460" s="2"/>
      <c r="DJ460" s="3"/>
      <c r="DK460" s="3"/>
      <c r="DL460" s="2"/>
      <c r="DM460" s="2"/>
      <c r="DN460" s="2"/>
      <c r="DO460" s="3"/>
      <c r="DP460" s="3"/>
      <c r="GO460" t="s">
        <v>139</v>
      </c>
      <c r="GP460" t="s">
        <v>135</v>
      </c>
      <c r="GQ460" t="s">
        <v>502</v>
      </c>
      <c r="GR460">
        <v>40</v>
      </c>
      <c r="GS460">
        <v>39</v>
      </c>
      <c r="GT460">
        <v>1</v>
      </c>
      <c r="GU460" t="s">
        <v>457</v>
      </c>
      <c r="GV460">
        <v>21192260.939721402</v>
      </c>
      <c r="GW460">
        <v>114816988.46013901</v>
      </c>
      <c r="GX460">
        <v>136009249.39985999</v>
      </c>
      <c r="GY460">
        <v>0</v>
      </c>
      <c r="GZ460">
        <v>136009249.39985999</v>
      </c>
      <c r="HA460">
        <v>136009249.39985999</v>
      </c>
      <c r="HB460">
        <v>303000000</v>
      </c>
      <c r="HC460">
        <v>0</v>
      </c>
      <c r="HD460" t="s">
        <v>137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0.02</v>
      </c>
      <c r="HX460">
        <v>0.99098093957577105</v>
      </c>
      <c r="HY460">
        <v>1</v>
      </c>
      <c r="HZ460">
        <v>300000</v>
      </c>
      <c r="IA460">
        <v>0</v>
      </c>
      <c r="IB460">
        <v>0</v>
      </c>
      <c r="IC460">
        <v>0</v>
      </c>
      <c r="ID460">
        <v>272700</v>
      </c>
      <c r="IE460">
        <v>572700</v>
      </c>
      <c r="IF460">
        <v>567534.78409504401</v>
      </c>
      <c r="IG460">
        <v>567534.78409504401</v>
      </c>
      <c r="IH460">
        <v>0</v>
      </c>
      <c r="II460">
        <v>412494.52311252599</v>
      </c>
      <c r="IJ460">
        <v>2296339.7692027702</v>
      </c>
      <c r="IK460">
        <v>0</v>
      </c>
      <c r="IL460">
        <v>0</v>
      </c>
      <c r="IM460">
        <v>0</v>
      </c>
      <c r="IN460">
        <v>21037220.678738799</v>
      </c>
      <c r="IO460">
        <v>117113328.229341</v>
      </c>
      <c r="IP460">
        <v>138150548.90808001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</row>
    <row r="461" spans="2:268" customFormat="1" x14ac:dyDescent="0.25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3"/>
      <c r="N461" s="3"/>
      <c r="O461" s="3"/>
      <c r="P461" s="2"/>
      <c r="Q461" s="2"/>
      <c r="R461" s="2"/>
      <c r="S461" s="2"/>
      <c r="T461" s="2"/>
      <c r="U461" s="2"/>
      <c r="V461" s="3"/>
      <c r="W461" s="3"/>
      <c r="X461" s="3"/>
      <c r="Y461" s="3"/>
      <c r="Z461" s="3"/>
      <c r="AA461" s="3"/>
      <c r="AB461" s="3"/>
      <c r="AC461" s="2"/>
      <c r="AD461" s="2"/>
      <c r="AE461" s="2"/>
      <c r="AF461" s="2"/>
      <c r="AG461" s="2"/>
      <c r="AH461" s="2"/>
      <c r="AI461" s="2"/>
      <c r="AJ461" s="3"/>
      <c r="AK461" s="2"/>
      <c r="AL461" s="2"/>
      <c r="AM461" s="2"/>
      <c r="AN461" s="2"/>
      <c r="AO461" s="3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3"/>
      <c r="BC461" s="3"/>
      <c r="BD461" s="3"/>
      <c r="BE461" s="3"/>
      <c r="BF461" s="3"/>
      <c r="BG461" s="3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2"/>
      <c r="DI461" s="2"/>
      <c r="DJ461" s="3"/>
      <c r="DK461" s="3"/>
      <c r="DL461" s="2"/>
      <c r="DM461" s="2"/>
      <c r="DN461" s="2"/>
      <c r="DO461" s="3"/>
      <c r="DP461" s="3"/>
      <c r="GO461" t="s">
        <v>139</v>
      </c>
      <c r="GP461" t="s">
        <v>135</v>
      </c>
      <c r="GQ461" t="s">
        <v>502</v>
      </c>
      <c r="GR461">
        <v>41</v>
      </c>
      <c r="GS461">
        <v>40</v>
      </c>
      <c r="GT461">
        <v>1</v>
      </c>
      <c r="GU461" t="s">
        <v>457</v>
      </c>
      <c r="GV461">
        <v>21037220.678738799</v>
      </c>
      <c r="GW461">
        <v>117113328.229341</v>
      </c>
      <c r="GX461">
        <v>138150548.90808001</v>
      </c>
      <c r="GY461">
        <v>0</v>
      </c>
      <c r="GZ461">
        <v>138150548.90808001</v>
      </c>
      <c r="HA461">
        <v>138150548.90808001</v>
      </c>
      <c r="HB461">
        <v>303000000</v>
      </c>
      <c r="HC461">
        <v>0</v>
      </c>
      <c r="HD461" t="s">
        <v>137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0.02</v>
      </c>
      <c r="HX461">
        <v>0.99098093957577105</v>
      </c>
      <c r="HY461">
        <v>1</v>
      </c>
      <c r="HZ461">
        <v>300000</v>
      </c>
      <c r="IA461">
        <v>0</v>
      </c>
      <c r="IB461">
        <v>0</v>
      </c>
      <c r="IC461">
        <v>0</v>
      </c>
      <c r="ID461">
        <v>272700</v>
      </c>
      <c r="IE461">
        <v>572700</v>
      </c>
      <c r="IF461">
        <v>567534.78409504401</v>
      </c>
      <c r="IG461">
        <v>567534.78409504401</v>
      </c>
      <c r="IH461">
        <v>0</v>
      </c>
      <c r="II461">
        <v>409393.71789287601</v>
      </c>
      <c r="IJ461">
        <v>2342266.5645868299</v>
      </c>
      <c r="IK461">
        <v>0</v>
      </c>
      <c r="IL461">
        <v>0</v>
      </c>
      <c r="IM461">
        <v>0</v>
      </c>
      <c r="IN461">
        <v>20879079.612536699</v>
      </c>
      <c r="IO461">
        <v>119455594.793928</v>
      </c>
      <c r="IP461">
        <v>140334674.40646499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</row>
    <row r="462" spans="2:268" customFormat="1" x14ac:dyDescent="0.25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3"/>
      <c r="N462" s="3"/>
      <c r="O462" s="3"/>
      <c r="P462" s="2"/>
      <c r="Q462" s="2"/>
      <c r="R462" s="2"/>
      <c r="S462" s="2"/>
      <c r="T462" s="2"/>
      <c r="U462" s="2"/>
      <c r="V462" s="3"/>
      <c r="W462" s="3"/>
      <c r="X462" s="3"/>
      <c r="Y462" s="3"/>
      <c r="Z462" s="3"/>
      <c r="AA462" s="3"/>
      <c r="AB462" s="3"/>
      <c r="AC462" s="2"/>
      <c r="AD462" s="2"/>
      <c r="AE462" s="2"/>
      <c r="AF462" s="2"/>
      <c r="AG462" s="2"/>
      <c r="AH462" s="2"/>
      <c r="AI462" s="2"/>
      <c r="AJ462" s="3"/>
      <c r="AK462" s="2"/>
      <c r="AL462" s="2"/>
      <c r="AM462" s="2"/>
      <c r="AN462" s="2"/>
      <c r="AO462" s="3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3"/>
      <c r="BC462" s="3"/>
      <c r="BD462" s="3"/>
      <c r="BE462" s="3"/>
      <c r="BF462" s="3"/>
      <c r="BG462" s="3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2"/>
      <c r="DI462" s="2"/>
      <c r="DJ462" s="3"/>
      <c r="DK462" s="3"/>
      <c r="DL462" s="2"/>
      <c r="DM462" s="2"/>
      <c r="DN462" s="2"/>
      <c r="DO462" s="3"/>
      <c r="DP462" s="3"/>
      <c r="GO462" t="s">
        <v>139</v>
      </c>
      <c r="GP462" t="s">
        <v>135</v>
      </c>
      <c r="GQ462" t="s">
        <v>502</v>
      </c>
      <c r="GR462">
        <v>42</v>
      </c>
      <c r="GS462">
        <v>41</v>
      </c>
      <c r="GT462">
        <v>1</v>
      </c>
      <c r="GU462" t="s">
        <v>457</v>
      </c>
      <c r="GV462">
        <v>20879079.612536699</v>
      </c>
      <c r="GW462">
        <v>119455594.793928</v>
      </c>
      <c r="GX462">
        <v>140334674.40646499</v>
      </c>
      <c r="GY462">
        <v>0</v>
      </c>
      <c r="GZ462">
        <v>140334674.40646499</v>
      </c>
      <c r="HA462">
        <v>140334674.40646499</v>
      </c>
      <c r="HB462">
        <v>303000000</v>
      </c>
      <c r="HC462">
        <v>0</v>
      </c>
      <c r="HD462" t="s">
        <v>137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0.02</v>
      </c>
      <c r="HX462">
        <v>0.99098093957577105</v>
      </c>
      <c r="HY462">
        <v>1</v>
      </c>
      <c r="HZ462">
        <v>300000</v>
      </c>
      <c r="IA462">
        <v>0</v>
      </c>
      <c r="IB462">
        <v>0</v>
      </c>
      <c r="IC462">
        <v>0</v>
      </c>
      <c r="ID462">
        <v>272700</v>
      </c>
      <c r="IE462">
        <v>572700</v>
      </c>
      <c r="IF462">
        <v>567534.78409504401</v>
      </c>
      <c r="IG462">
        <v>567534.78409504401</v>
      </c>
      <c r="IH462">
        <v>0</v>
      </c>
      <c r="II462">
        <v>406230.89656883298</v>
      </c>
      <c r="IJ462">
        <v>2389111.8958785702</v>
      </c>
      <c r="IK462">
        <v>0</v>
      </c>
      <c r="IL462">
        <v>0</v>
      </c>
      <c r="IM462">
        <v>0</v>
      </c>
      <c r="IN462">
        <v>20717775.725010499</v>
      </c>
      <c r="IO462">
        <v>121844706.689807</v>
      </c>
      <c r="IP462">
        <v>142562482.41481701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</row>
    <row r="463" spans="2:268" customFormat="1" x14ac:dyDescent="0.25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3"/>
      <c r="N463" s="3"/>
      <c r="O463" s="3"/>
      <c r="P463" s="2"/>
      <c r="Q463" s="2"/>
      <c r="R463" s="2"/>
      <c r="S463" s="2"/>
      <c r="T463" s="2"/>
      <c r="U463" s="2"/>
      <c r="V463" s="3"/>
      <c r="W463" s="3"/>
      <c r="X463" s="3"/>
      <c r="Y463" s="3"/>
      <c r="Z463" s="3"/>
      <c r="AA463" s="3"/>
      <c r="AB463" s="3"/>
      <c r="AC463" s="2"/>
      <c r="AD463" s="2"/>
      <c r="AE463" s="2"/>
      <c r="AF463" s="2"/>
      <c r="AG463" s="2"/>
      <c r="AH463" s="2"/>
      <c r="AI463" s="2"/>
      <c r="AJ463" s="3"/>
      <c r="AK463" s="2"/>
      <c r="AL463" s="2"/>
      <c r="AM463" s="2"/>
      <c r="AN463" s="2"/>
      <c r="AO463" s="3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3"/>
      <c r="BC463" s="3"/>
      <c r="BD463" s="3"/>
      <c r="BE463" s="3"/>
      <c r="BF463" s="3"/>
      <c r="BG463" s="3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2"/>
      <c r="DI463" s="2"/>
      <c r="DJ463" s="3"/>
      <c r="DK463" s="3"/>
      <c r="DL463" s="2"/>
      <c r="DM463" s="2"/>
      <c r="DN463" s="2"/>
      <c r="DO463" s="3"/>
      <c r="DP463" s="3"/>
      <c r="GO463" t="s">
        <v>139</v>
      </c>
      <c r="GP463" t="s">
        <v>135</v>
      </c>
      <c r="GQ463" t="s">
        <v>502</v>
      </c>
      <c r="GR463">
        <v>43</v>
      </c>
      <c r="GS463">
        <v>42</v>
      </c>
      <c r="GT463">
        <v>1</v>
      </c>
      <c r="GU463" t="s">
        <v>457</v>
      </c>
      <c r="GV463">
        <v>20717775.725010499</v>
      </c>
      <c r="GW463">
        <v>121844706.689807</v>
      </c>
      <c r="GX463">
        <v>142562482.41481701</v>
      </c>
      <c r="GY463">
        <v>0</v>
      </c>
      <c r="GZ463">
        <v>142562482.41481701</v>
      </c>
      <c r="HA463">
        <v>142562482.41481701</v>
      </c>
      <c r="HB463">
        <v>303000000</v>
      </c>
      <c r="HC463">
        <v>0</v>
      </c>
      <c r="HD463" t="s">
        <v>137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0.02</v>
      </c>
      <c r="HX463">
        <v>0.99098093957577105</v>
      </c>
      <c r="HY463">
        <v>1</v>
      </c>
      <c r="HZ463">
        <v>300000</v>
      </c>
      <c r="IA463">
        <v>0</v>
      </c>
      <c r="IB463">
        <v>0</v>
      </c>
      <c r="IC463">
        <v>0</v>
      </c>
      <c r="ID463">
        <v>272700</v>
      </c>
      <c r="IE463">
        <v>572700</v>
      </c>
      <c r="IF463">
        <v>567534.78409504401</v>
      </c>
      <c r="IG463">
        <v>567534.78409504401</v>
      </c>
      <c r="IH463">
        <v>0</v>
      </c>
      <c r="II463">
        <v>403004.81881830801</v>
      </c>
      <c r="IJ463">
        <v>2436894.1337961401</v>
      </c>
      <c r="IK463">
        <v>0</v>
      </c>
      <c r="IL463">
        <v>0</v>
      </c>
      <c r="IM463">
        <v>0</v>
      </c>
      <c r="IN463">
        <v>20553245.759733699</v>
      </c>
      <c r="IO463">
        <v>124281600.823603</v>
      </c>
      <c r="IP463">
        <v>144834846.58333701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</row>
    <row r="464" spans="2:268" customFormat="1" x14ac:dyDescent="0.25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3"/>
      <c r="N464" s="3"/>
      <c r="O464" s="3"/>
      <c r="P464" s="2"/>
      <c r="Q464" s="2"/>
      <c r="R464" s="2"/>
      <c r="S464" s="2"/>
      <c r="T464" s="2"/>
      <c r="U464" s="2"/>
      <c r="V464" s="3"/>
      <c r="W464" s="3"/>
      <c r="X464" s="3"/>
      <c r="Y464" s="3"/>
      <c r="Z464" s="3"/>
      <c r="AA464" s="3"/>
      <c r="AB464" s="3"/>
      <c r="AC464" s="2"/>
      <c r="AD464" s="2"/>
      <c r="AE464" s="2"/>
      <c r="AF464" s="2"/>
      <c r="AG464" s="2"/>
      <c r="AH464" s="2"/>
      <c r="AI464" s="2"/>
      <c r="AJ464" s="3"/>
      <c r="AK464" s="2"/>
      <c r="AL464" s="2"/>
      <c r="AM464" s="2"/>
      <c r="AN464" s="2"/>
      <c r="AO464" s="3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3"/>
      <c r="BC464" s="3"/>
      <c r="BD464" s="3"/>
      <c r="BE464" s="3"/>
      <c r="BF464" s="3"/>
      <c r="BG464" s="3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2"/>
      <c r="DI464" s="2"/>
      <c r="DJ464" s="3"/>
      <c r="DK464" s="3"/>
      <c r="DL464" s="2"/>
      <c r="DM464" s="2"/>
      <c r="DN464" s="2"/>
      <c r="DO464" s="3"/>
      <c r="DP464" s="3"/>
      <c r="GO464" t="s">
        <v>139</v>
      </c>
      <c r="GP464" t="s">
        <v>135</v>
      </c>
      <c r="GQ464" t="s">
        <v>502</v>
      </c>
      <c r="GR464">
        <v>44</v>
      </c>
      <c r="GS464">
        <v>43</v>
      </c>
      <c r="GT464">
        <v>1</v>
      </c>
      <c r="GU464" t="s">
        <v>457</v>
      </c>
      <c r="GV464">
        <v>20553245.759733699</v>
      </c>
      <c r="GW464">
        <v>124281600.823603</v>
      </c>
      <c r="GX464">
        <v>144834846.58333701</v>
      </c>
      <c r="GY464">
        <v>0</v>
      </c>
      <c r="GZ464">
        <v>144834846.58333701</v>
      </c>
      <c r="HA464">
        <v>144834846.58333701</v>
      </c>
      <c r="HB464">
        <v>303000000</v>
      </c>
      <c r="HC464">
        <v>0</v>
      </c>
      <c r="HD464" t="s">
        <v>137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0.02</v>
      </c>
      <c r="HX464">
        <v>0.99098093957577105</v>
      </c>
      <c r="HY464">
        <v>1</v>
      </c>
      <c r="HZ464">
        <v>300000</v>
      </c>
      <c r="IA464">
        <v>0</v>
      </c>
      <c r="IB464">
        <v>0</v>
      </c>
      <c r="IC464">
        <v>0</v>
      </c>
      <c r="ID464">
        <v>272700</v>
      </c>
      <c r="IE464">
        <v>572700</v>
      </c>
      <c r="IF464">
        <v>567534.78409504401</v>
      </c>
      <c r="IG464">
        <v>567534.78409504401</v>
      </c>
      <c r="IH464">
        <v>0</v>
      </c>
      <c r="II464">
        <v>399714.21951277403</v>
      </c>
      <c r="IJ464">
        <v>2485632.0164720598</v>
      </c>
      <c r="IK464">
        <v>0</v>
      </c>
      <c r="IL464">
        <v>0</v>
      </c>
      <c r="IM464">
        <v>0</v>
      </c>
      <c r="IN464">
        <v>20385425.1951515</v>
      </c>
      <c r="IO464">
        <v>126767232.840075</v>
      </c>
      <c r="IP464">
        <v>147152658.03522599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</row>
    <row r="465" spans="2:268" customFormat="1" x14ac:dyDescent="0.25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3"/>
      <c r="N465" s="3"/>
      <c r="O465" s="3"/>
      <c r="P465" s="2"/>
      <c r="Q465" s="2"/>
      <c r="R465" s="2"/>
      <c r="S465" s="2"/>
      <c r="T465" s="2"/>
      <c r="U465" s="2"/>
      <c r="V465" s="3"/>
      <c r="W465" s="3"/>
      <c r="X465" s="3"/>
      <c r="Y465" s="3"/>
      <c r="Z465" s="3"/>
      <c r="AA465" s="3"/>
      <c r="AB465" s="3"/>
      <c r="AC465" s="2"/>
      <c r="AD465" s="2"/>
      <c r="AE465" s="2"/>
      <c r="AF465" s="2"/>
      <c r="AG465" s="2"/>
      <c r="AH465" s="2"/>
      <c r="AI465" s="2"/>
      <c r="AJ465" s="3"/>
      <c r="AK465" s="2"/>
      <c r="AL465" s="2"/>
      <c r="AM465" s="2"/>
      <c r="AN465" s="2"/>
      <c r="AO465" s="3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3"/>
      <c r="BC465" s="3"/>
      <c r="BD465" s="3"/>
      <c r="BE465" s="3"/>
      <c r="BF465" s="3"/>
      <c r="BG465" s="3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2"/>
      <c r="DI465" s="2"/>
      <c r="DJ465" s="3"/>
      <c r="DK465" s="3"/>
      <c r="DL465" s="2"/>
      <c r="DM465" s="2"/>
      <c r="DN465" s="2"/>
      <c r="DO465" s="3"/>
      <c r="DP465" s="3"/>
      <c r="GO465" t="s">
        <v>139</v>
      </c>
      <c r="GP465" t="s">
        <v>135</v>
      </c>
      <c r="GQ465" t="s">
        <v>502</v>
      </c>
      <c r="GR465">
        <v>45</v>
      </c>
      <c r="GS465">
        <v>44</v>
      </c>
      <c r="GT465">
        <v>1</v>
      </c>
      <c r="GU465" t="s">
        <v>457</v>
      </c>
      <c r="GV465">
        <v>20385425.1951515</v>
      </c>
      <c r="GW465">
        <v>126767232.840075</v>
      </c>
      <c r="GX465">
        <v>147152658.03522599</v>
      </c>
      <c r="GY465">
        <v>0</v>
      </c>
      <c r="GZ465">
        <v>147152658.03522599</v>
      </c>
      <c r="HA465">
        <v>147152658.03522599</v>
      </c>
      <c r="HB465">
        <v>303000000</v>
      </c>
      <c r="HC465">
        <v>0</v>
      </c>
      <c r="HD465" t="s">
        <v>137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0.02</v>
      </c>
      <c r="HX465">
        <v>0.99098093957577105</v>
      </c>
      <c r="HY465">
        <v>1</v>
      </c>
      <c r="HZ465">
        <v>300000</v>
      </c>
      <c r="IA465">
        <v>0</v>
      </c>
      <c r="IB465">
        <v>0</v>
      </c>
      <c r="IC465">
        <v>0</v>
      </c>
      <c r="ID465">
        <v>272700</v>
      </c>
      <c r="IE465">
        <v>572700</v>
      </c>
      <c r="IF465">
        <v>567534.78409504401</v>
      </c>
      <c r="IG465">
        <v>567534.78409504401</v>
      </c>
      <c r="IH465">
        <v>0</v>
      </c>
      <c r="II465">
        <v>396357.80822112801</v>
      </c>
      <c r="IJ465">
        <v>2535344.6568014999</v>
      </c>
      <c r="IK465">
        <v>0</v>
      </c>
      <c r="IL465">
        <v>0</v>
      </c>
      <c r="IM465">
        <v>0</v>
      </c>
      <c r="IN465">
        <v>20214248.219277501</v>
      </c>
      <c r="IO465">
        <v>129302577.496877</v>
      </c>
      <c r="IP465">
        <v>149516825.71615401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</row>
    <row r="466" spans="2:268" customFormat="1" x14ac:dyDescent="0.25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3"/>
      <c r="N466" s="3"/>
      <c r="O466" s="3"/>
      <c r="P466" s="2"/>
      <c r="Q466" s="2"/>
      <c r="R466" s="2"/>
      <c r="S466" s="2"/>
      <c r="T466" s="2"/>
      <c r="U466" s="2"/>
      <c r="V466" s="3"/>
      <c r="W466" s="3"/>
      <c r="X466" s="3"/>
      <c r="Y466" s="3"/>
      <c r="Z466" s="3"/>
      <c r="AA466" s="3"/>
      <c r="AB466" s="3"/>
      <c r="AC466" s="2"/>
      <c r="AD466" s="2"/>
      <c r="AE466" s="2"/>
      <c r="AF466" s="2"/>
      <c r="AG466" s="2"/>
      <c r="AH466" s="2"/>
      <c r="AI466" s="2"/>
      <c r="AJ466" s="3"/>
      <c r="AK466" s="2"/>
      <c r="AL466" s="2"/>
      <c r="AM466" s="2"/>
      <c r="AN466" s="2"/>
      <c r="AO466" s="3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3"/>
      <c r="BC466" s="3"/>
      <c r="BD466" s="3"/>
      <c r="BE466" s="3"/>
      <c r="BF466" s="3"/>
      <c r="BG466" s="3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2"/>
      <c r="DI466" s="2"/>
      <c r="DJ466" s="3"/>
      <c r="DK466" s="3"/>
      <c r="DL466" s="2"/>
      <c r="DM466" s="2"/>
      <c r="DN466" s="2"/>
      <c r="DO466" s="3"/>
      <c r="DP466" s="3"/>
      <c r="GO466" t="s">
        <v>139</v>
      </c>
      <c r="GP466" t="s">
        <v>135</v>
      </c>
      <c r="GQ466" t="s">
        <v>502</v>
      </c>
      <c r="GR466">
        <v>46</v>
      </c>
      <c r="GS466">
        <v>45</v>
      </c>
      <c r="GT466">
        <v>1</v>
      </c>
      <c r="GU466" t="s">
        <v>457</v>
      </c>
      <c r="GV466">
        <v>20214248.219277501</v>
      </c>
      <c r="GW466">
        <v>129302577.496877</v>
      </c>
      <c r="GX466">
        <v>149516825.71615401</v>
      </c>
      <c r="GY466">
        <v>0</v>
      </c>
      <c r="GZ466">
        <v>149516825.71615401</v>
      </c>
      <c r="HA466">
        <v>149516825.71615401</v>
      </c>
      <c r="HB466">
        <v>303000000</v>
      </c>
      <c r="HC466">
        <v>0</v>
      </c>
      <c r="HD466" t="s">
        <v>137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0.02</v>
      </c>
      <c r="HX466">
        <v>0.99098093957577105</v>
      </c>
      <c r="HY466">
        <v>1</v>
      </c>
      <c r="HZ466">
        <v>300000</v>
      </c>
      <c r="IA466">
        <v>0</v>
      </c>
      <c r="IB466">
        <v>0</v>
      </c>
      <c r="IC466">
        <v>0</v>
      </c>
      <c r="ID466">
        <v>272700</v>
      </c>
      <c r="IE466">
        <v>572700</v>
      </c>
      <c r="IF466">
        <v>567534.78409504401</v>
      </c>
      <c r="IG466">
        <v>567534.78409504401</v>
      </c>
      <c r="IH466">
        <v>0</v>
      </c>
      <c r="II466">
        <v>392934.26870364998</v>
      </c>
      <c r="IJ466">
        <v>2586051.54993753</v>
      </c>
      <c r="IK466">
        <v>0</v>
      </c>
      <c r="IL466">
        <v>0</v>
      </c>
      <c r="IM466">
        <v>0</v>
      </c>
      <c r="IN466">
        <v>20039647.703886099</v>
      </c>
      <c r="IO466">
        <v>131888629.04681399</v>
      </c>
      <c r="IP466">
        <v>151928276.7507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</row>
    <row r="467" spans="2:268" customFormat="1" x14ac:dyDescent="0.25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3"/>
      <c r="N467" s="3"/>
      <c r="O467" s="3"/>
      <c r="P467" s="2"/>
      <c r="Q467" s="2"/>
      <c r="R467" s="2"/>
      <c r="S467" s="2"/>
      <c r="T467" s="2"/>
      <c r="U467" s="2"/>
      <c r="V467" s="3"/>
      <c r="W467" s="3"/>
      <c r="X467" s="3"/>
      <c r="Y467" s="3"/>
      <c r="Z467" s="3"/>
      <c r="AA467" s="3"/>
      <c r="AB467" s="3"/>
      <c r="AC467" s="2"/>
      <c r="AD467" s="2"/>
      <c r="AE467" s="2"/>
      <c r="AF467" s="2"/>
      <c r="AG467" s="2"/>
      <c r="AH467" s="2"/>
      <c r="AI467" s="2"/>
      <c r="AJ467" s="3"/>
      <c r="AK467" s="2"/>
      <c r="AL467" s="2"/>
      <c r="AM467" s="2"/>
      <c r="AN467" s="2"/>
      <c r="AO467" s="3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3"/>
      <c r="BC467" s="3"/>
      <c r="BD467" s="3"/>
      <c r="BE467" s="3"/>
      <c r="BF467" s="3"/>
      <c r="BG467" s="3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2"/>
      <c r="DI467" s="2"/>
      <c r="DJ467" s="3"/>
      <c r="DK467" s="3"/>
      <c r="DL467" s="2"/>
      <c r="DM467" s="2"/>
      <c r="DN467" s="2"/>
      <c r="DO467" s="3"/>
      <c r="DP467" s="3"/>
      <c r="GO467" t="s">
        <v>139</v>
      </c>
      <c r="GP467" t="s">
        <v>135</v>
      </c>
      <c r="GQ467" t="s">
        <v>502</v>
      </c>
      <c r="GR467">
        <v>47</v>
      </c>
      <c r="GS467">
        <v>46</v>
      </c>
      <c r="GT467">
        <v>1</v>
      </c>
      <c r="GU467" t="s">
        <v>457</v>
      </c>
      <c r="GV467">
        <v>20039647.703886099</v>
      </c>
      <c r="GW467">
        <v>131888629.04681399</v>
      </c>
      <c r="GX467">
        <v>151928276.7507</v>
      </c>
      <c r="GY467">
        <v>0</v>
      </c>
      <c r="GZ467">
        <v>151928276.7507</v>
      </c>
      <c r="HA467">
        <v>151928276.7507</v>
      </c>
      <c r="HB467">
        <v>303000000</v>
      </c>
      <c r="HC467">
        <v>0</v>
      </c>
      <c r="HD467" t="s">
        <v>137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0.02</v>
      </c>
      <c r="HX467">
        <v>0.99098093957577105</v>
      </c>
      <c r="HY467">
        <v>1</v>
      </c>
      <c r="HZ467">
        <v>300000</v>
      </c>
      <c r="IA467">
        <v>0</v>
      </c>
      <c r="IB467">
        <v>0</v>
      </c>
      <c r="IC467">
        <v>0</v>
      </c>
      <c r="ID467">
        <v>272700</v>
      </c>
      <c r="IE467">
        <v>572700</v>
      </c>
      <c r="IF467">
        <v>567534.78409504401</v>
      </c>
      <c r="IG467">
        <v>567534.78409504401</v>
      </c>
      <c r="IH467">
        <v>0</v>
      </c>
      <c r="II467">
        <v>389442.25839582202</v>
      </c>
      <c r="IJ467">
        <v>2637772.5809362801</v>
      </c>
      <c r="IK467">
        <v>0</v>
      </c>
      <c r="IL467">
        <v>0</v>
      </c>
      <c r="IM467">
        <v>0</v>
      </c>
      <c r="IN467">
        <v>19861555.178186901</v>
      </c>
      <c r="IO467">
        <v>134526401.62775001</v>
      </c>
      <c r="IP467">
        <v>154387956.80593699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</row>
    <row r="468" spans="2:268" customFormat="1" x14ac:dyDescent="0.25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3"/>
      <c r="N468" s="3"/>
      <c r="O468" s="3"/>
      <c r="P468" s="2"/>
      <c r="Q468" s="2"/>
      <c r="R468" s="2"/>
      <c r="S468" s="2"/>
      <c r="T468" s="2"/>
      <c r="U468" s="2"/>
      <c r="V468" s="3"/>
      <c r="W468" s="3"/>
      <c r="X468" s="3"/>
      <c r="Y468" s="3"/>
      <c r="Z468" s="3"/>
      <c r="AA468" s="3"/>
      <c r="AB468" s="3"/>
      <c r="AC468" s="2"/>
      <c r="AD468" s="2"/>
      <c r="AE468" s="2"/>
      <c r="AF468" s="2"/>
      <c r="AG468" s="2"/>
      <c r="AH468" s="2"/>
      <c r="AI468" s="2"/>
      <c r="AJ468" s="3"/>
      <c r="AK468" s="2"/>
      <c r="AL468" s="2"/>
      <c r="AM468" s="2"/>
      <c r="AN468" s="2"/>
      <c r="AO468" s="3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3"/>
      <c r="BC468" s="3"/>
      <c r="BD468" s="3"/>
      <c r="BE468" s="3"/>
      <c r="BF468" s="3"/>
      <c r="BG468" s="3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2"/>
      <c r="DI468" s="2"/>
      <c r="DJ468" s="3"/>
      <c r="DK468" s="3"/>
      <c r="DL468" s="2"/>
      <c r="DM468" s="2"/>
      <c r="DN468" s="2"/>
      <c r="DO468" s="3"/>
      <c r="DP468" s="3"/>
      <c r="GO468" t="s">
        <v>139</v>
      </c>
      <c r="GP468" t="s">
        <v>135</v>
      </c>
      <c r="GQ468" t="s">
        <v>502</v>
      </c>
      <c r="GR468">
        <v>48</v>
      </c>
      <c r="GS468">
        <v>47</v>
      </c>
      <c r="GT468">
        <v>1</v>
      </c>
      <c r="GU468" t="s">
        <v>457</v>
      </c>
      <c r="GV468">
        <v>19861555.178186901</v>
      </c>
      <c r="GW468">
        <v>134526401.62775001</v>
      </c>
      <c r="GX468">
        <v>154387956.80593699</v>
      </c>
      <c r="GY468">
        <v>0</v>
      </c>
      <c r="GZ468">
        <v>154387956.80593699</v>
      </c>
      <c r="HA468">
        <v>154387956.80593699</v>
      </c>
      <c r="HB468">
        <v>303000000</v>
      </c>
      <c r="HC468">
        <v>0</v>
      </c>
      <c r="HD468" t="s">
        <v>137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0.02</v>
      </c>
      <c r="HX468">
        <v>0.99098093957577105</v>
      </c>
      <c r="HY468">
        <v>1</v>
      </c>
      <c r="HZ468">
        <v>300000</v>
      </c>
      <c r="IA468">
        <v>0</v>
      </c>
      <c r="IB468">
        <v>0</v>
      </c>
      <c r="IC468">
        <v>0</v>
      </c>
      <c r="ID468">
        <v>272700</v>
      </c>
      <c r="IE468">
        <v>572700</v>
      </c>
      <c r="IF468">
        <v>567534.78409504401</v>
      </c>
      <c r="IG468">
        <v>567534.78409504401</v>
      </c>
      <c r="IH468">
        <v>0</v>
      </c>
      <c r="II468">
        <v>385880.40788183699</v>
      </c>
      <c r="IJ468">
        <v>2690528.0325550102</v>
      </c>
      <c r="IK468">
        <v>0</v>
      </c>
      <c r="IL468">
        <v>0</v>
      </c>
      <c r="IM468">
        <v>0</v>
      </c>
      <c r="IN468">
        <v>19679900.801973701</v>
      </c>
      <c r="IO468">
        <v>137216929.66030499</v>
      </c>
      <c r="IP468">
        <v>156896830.46227899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</row>
    <row r="469" spans="2:268" customFormat="1" x14ac:dyDescent="0.25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3"/>
      <c r="N469" s="3"/>
      <c r="O469" s="3"/>
      <c r="P469" s="2"/>
      <c r="Q469" s="2"/>
      <c r="R469" s="2"/>
      <c r="S469" s="2"/>
      <c r="T469" s="2"/>
      <c r="U469" s="2"/>
      <c r="V469" s="3"/>
      <c r="W469" s="3"/>
      <c r="X469" s="3"/>
      <c r="Y469" s="3"/>
      <c r="Z469" s="3"/>
      <c r="AA469" s="3"/>
      <c r="AB469" s="3"/>
      <c r="AC469" s="2"/>
      <c r="AD469" s="2"/>
      <c r="AE469" s="2"/>
      <c r="AF469" s="2"/>
      <c r="AG469" s="2"/>
      <c r="AH469" s="2"/>
      <c r="AI469" s="2"/>
      <c r="AJ469" s="3"/>
      <c r="AK469" s="2"/>
      <c r="AL469" s="2"/>
      <c r="AM469" s="2"/>
      <c r="AN469" s="2"/>
      <c r="AO469" s="3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3"/>
      <c r="BC469" s="3"/>
      <c r="BD469" s="3"/>
      <c r="BE469" s="3"/>
      <c r="BF469" s="3"/>
      <c r="BG469" s="3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2"/>
      <c r="DI469" s="2"/>
      <c r="DJ469" s="3"/>
      <c r="DK469" s="3"/>
      <c r="DL469" s="2"/>
      <c r="DM469" s="2"/>
      <c r="DN469" s="2"/>
      <c r="DO469" s="3"/>
      <c r="DP469" s="3"/>
      <c r="GO469" t="s">
        <v>139</v>
      </c>
      <c r="GP469" t="s">
        <v>135</v>
      </c>
      <c r="GQ469" t="s">
        <v>502</v>
      </c>
      <c r="GR469">
        <v>49</v>
      </c>
      <c r="GS469">
        <v>48</v>
      </c>
      <c r="GT469">
        <v>1</v>
      </c>
      <c r="GU469" t="s">
        <v>457</v>
      </c>
      <c r="GV469">
        <v>19679900.801973701</v>
      </c>
      <c r="GW469">
        <v>137216929.66030499</v>
      </c>
      <c r="GX469">
        <v>156896830.46227899</v>
      </c>
      <c r="GY469">
        <v>0</v>
      </c>
      <c r="GZ469">
        <v>156896830.46227899</v>
      </c>
      <c r="HA469">
        <v>156896830.46227899</v>
      </c>
      <c r="HB469">
        <v>303000000</v>
      </c>
      <c r="HC469">
        <v>0</v>
      </c>
      <c r="HD469" t="s">
        <v>137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0.02</v>
      </c>
      <c r="HX469">
        <v>0.99098093957577105</v>
      </c>
      <c r="HY469">
        <v>1</v>
      </c>
      <c r="HZ469">
        <v>300000</v>
      </c>
      <c r="IA469">
        <v>0</v>
      </c>
      <c r="IB469">
        <v>0</v>
      </c>
      <c r="IC469">
        <v>0</v>
      </c>
      <c r="ID469">
        <v>272700</v>
      </c>
      <c r="IE469">
        <v>572700</v>
      </c>
      <c r="IF469">
        <v>567534.78409504401</v>
      </c>
      <c r="IG469">
        <v>567534.78409504401</v>
      </c>
      <c r="IH469">
        <v>0</v>
      </c>
      <c r="II469">
        <v>382247.32035757299</v>
      </c>
      <c r="IJ469">
        <v>2744338.5932061099</v>
      </c>
      <c r="IK469">
        <v>0</v>
      </c>
      <c r="IL469">
        <v>0</v>
      </c>
      <c r="IM469">
        <v>0</v>
      </c>
      <c r="IN469">
        <v>19494613.338236202</v>
      </c>
      <c r="IO469">
        <v>139961268.25351101</v>
      </c>
      <c r="IP469">
        <v>159455881.591748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</row>
    <row r="470" spans="2:268" customFormat="1" x14ac:dyDescent="0.25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3"/>
      <c r="N470" s="3"/>
      <c r="O470" s="3"/>
      <c r="P470" s="2"/>
      <c r="Q470" s="2"/>
      <c r="R470" s="2"/>
      <c r="S470" s="2"/>
      <c r="T470" s="2"/>
      <c r="U470" s="2"/>
      <c r="V470" s="3"/>
      <c r="W470" s="3"/>
      <c r="X470" s="3"/>
      <c r="Y470" s="3"/>
      <c r="Z470" s="3"/>
      <c r="AA470" s="3"/>
      <c r="AB470" s="3"/>
      <c r="AC470" s="2"/>
      <c r="AD470" s="2"/>
      <c r="AE470" s="2"/>
      <c r="AF470" s="2"/>
      <c r="AG470" s="2"/>
      <c r="AH470" s="2"/>
      <c r="AI470" s="2"/>
      <c r="AJ470" s="3"/>
      <c r="AK470" s="2"/>
      <c r="AL470" s="2"/>
      <c r="AM470" s="2"/>
      <c r="AN470" s="2"/>
      <c r="AO470" s="3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3"/>
      <c r="BC470" s="3"/>
      <c r="BD470" s="3"/>
      <c r="BE470" s="3"/>
      <c r="BF470" s="3"/>
      <c r="BG470" s="3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2"/>
      <c r="DI470" s="2"/>
      <c r="DJ470" s="3"/>
      <c r="DK470" s="3"/>
      <c r="DL470" s="2"/>
      <c r="DM470" s="2"/>
      <c r="DN470" s="2"/>
      <c r="DO470" s="3"/>
      <c r="DP470" s="3"/>
      <c r="GO470" t="s">
        <v>139</v>
      </c>
      <c r="GP470" t="s">
        <v>135</v>
      </c>
      <c r="GQ470" t="s">
        <v>502</v>
      </c>
      <c r="GR470">
        <v>50</v>
      </c>
      <c r="GS470">
        <v>49</v>
      </c>
      <c r="GT470">
        <v>1</v>
      </c>
      <c r="GU470" t="s">
        <v>457</v>
      </c>
      <c r="GV470">
        <v>19494613.338236202</v>
      </c>
      <c r="GW470">
        <v>139961268.25351101</v>
      </c>
      <c r="GX470">
        <v>159455881.591748</v>
      </c>
      <c r="GY470">
        <v>0</v>
      </c>
      <c r="GZ470">
        <v>159455881.591748</v>
      </c>
      <c r="HA470">
        <v>159455881.591748</v>
      </c>
      <c r="HB470">
        <v>303000000</v>
      </c>
      <c r="HC470">
        <v>0</v>
      </c>
      <c r="HD470" t="s">
        <v>137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0.02</v>
      </c>
      <c r="HX470">
        <v>0.99098093957577105</v>
      </c>
      <c r="HY470">
        <v>1</v>
      </c>
      <c r="HZ470">
        <v>300000</v>
      </c>
      <c r="IA470">
        <v>0</v>
      </c>
      <c r="IB470">
        <v>0</v>
      </c>
      <c r="IC470">
        <v>0</v>
      </c>
      <c r="ID470">
        <v>272700</v>
      </c>
      <c r="IE470">
        <v>572700</v>
      </c>
      <c r="IF470">
        <v>567534.78409504401</v>
      </c>
      <c r="IG470">
        <v>567534.78409504401</v>
      </c>
      <c r="IH470">
        <v>0</v>
      </c>
      <c r="II470">
        <v>378541.57108282403</v>
      </c>
      <c r="IJ470">
        <v>2799225.3650702299</v>
      </c>
      <c r="IK470">
        <v>0</v>
      </c>
      <c r="IL470">
        <v>0</v>
      </c>
      <c r="IM470">
        <v>0</v>
      </c>
      <c r="IN470">
        <v>19305620.125224002</v>
      </c>
      <c r="IO470">
        <v>142760493.61858201</v>
      </c>
      <c r="IP470">
        <v>162066113.743806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</row>
    <row r="471" spans="2:268" customFormat="1" x14ac:dyDescent="0.25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3"/>
      <c r="N471" s="3"/>
      <c r="O471" s="3"/>
      <c r="P471" s="2"/>
      <c r="Q471" s="2"/>
      <c r="R471" s="2"/>
      <c r="S471" s="2"/>
      <c r="T471" s="2"/>
      <c r="U471" s="2"/>
      <c r="V471" s="3"/>
      <c r="W471" s="3"/>
      <c r="X471" s="3"/>
      <c r="Y471" s="3"/>
      <c r="Z471" s="3"/>
      <c r="AA471" s="3"/>
      <c r="AB471" s="3"/>
      <c r="AC471" s="2"/>
      <c r="AD471" s="2"/>
      <c r="AE471" s="2"/>
      <c r="AF471" s="2"/>
      <c r="AG471" s="2"/>
      <c r="AH471" s="2"/>
      <c r="AI471" s="2"/>
      <c r="AJ471" s="3"/>
      <c r="AK471" s="2"/>
      <c r="AL471" s="2"/>
      <c r="AM471" s="2"/>
      <c r="AN471" s="2"/>
      <c r="AO471" s="3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3"/>
      <c r="BC471" s="3"/>
      <c r="BD471" s="3"/>
      <c r="BE471" s="3"/>
      <c r="BF471" s="3"/>
      <c r="BG471" s="3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2"/>
      <c r="DI471" s="2"/>
      <c r="DJ471" s="3"/>
      <c r="DK471" s="3"/>
      <c r="DL471" s="2"/>
      <c r="DM471" s="2"/>
      <c r="DN471" s="2"/>
      <c r="DO471" s="3"/>
      <c r="DP471" s="3"/>
      <c r="GO471" t="s">
        <v>139</v>
      </c>
      <c r="GP471" t="s">
        <v>135</v>
      </c>
      <c r="GQ471" t="s">
        <v>502</v>
      </c>
      <c r="GR471">
        <v>51</v>
      </c>
      <c r="GS471">
        <v>50</v>
      </c>
      <c r="GT471">
        <v>1</v>
      </c>
      <c r="GU471" t="s">
        <v>457</v>
      </c>
      <c r="GV471">
        <v>19305620.125224002</v>
      </c>
      <c r="GW471">
        <v>142760493.61858201</v>
      </c>
      <c r="GX471">
        <v>162066113.743806</v>
      </c>
      <c r="GY471">
        <v>0</v>
      </c>
      <c r="GZ471">
        <v>162066113.743806</v>
      </c>
      <c r="HA471">
        <v>162066113.743806</v>
      </c>
      <c r="HB471">
        <v>303000000</v>
      </c>
      <c r="HC471">
        <v>0</v>
      </c>
      <c r="HD471" t="s">
        <v>137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0.02</v>
      </c>
      <c r="HX471">
        <v>0.99098093957577105</v>
      </c>
      <c r="HY471">
        <v>1</v>
      </c>
      <c r="HZ471">
        <v>300000</v>
      </c>
      <c r="IA471">
        <v>0</v>
      </c>
      <c r="IB471">
        <v>0</v>
      </c>
      <c r="IC471">
        <v>0</v>
      </c>
      <c r="ID471">
        <v>272700</v>
      </c>
      <c r="IE471">
        <v>572700</v>
      </c>
      <c r="IF471">
        <v>567534.78409504401</v>
      </c>
      <c r="IG471">
        <v>567534.78409504401</v>
      </c>
      <c r="IH471">
        <v>0</v>
      </c>
      <c r="II471">
        <v>374761.70682257903</v>
      </c>
      <c r="IJ471">
        <v>2855209.8723716298</v>
      </c>
      <c r="IK471">
        <v>0</v>
      </c>
      <c r="IL471">
        <v>0</v>
      </c>
      <c r="IM471">
        <v>0</v>
      </c>
      <c r="IN471">
        <v>19112847.047951501</v>
      </c>
      <c r="IO471">
        <v>145615703.490953</v>
      </c>
      <c r="IP471">
        <v>164728550.53890499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</row>
    <row r="472" spans="2:268" customFormat="1" x14ac:dyDescent="0.25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3"/>
      <c r="N472" s="3"/>
      <c r="O472" s="3"/>
      <c r="P472" s="2"/>
      <c r="Q472" s="2"/>
      <c r="R472" s="2"/>
      <c r="S472" s="2"/>
      <c r="T472" s="2"/>
      <c r="U472" s="2"/>
      <c r="V472" s="3"/>
      <c r="W472" s="3"/>
      <c r="X472" s="3"/>
      <c r="Y472" s="3"/>
      <c r="Z472" s="3"/>
      <c r="AA472" s="3"/>
      <c r="AB472" s="3"/>
      <c r="AC472" s="2"/>
      <c r="AD472" s="2"/>
      <c r="AE472" s="2"/>
      <c r="AF472" s="2"/>
      <c r="AG472" s="2"/>
      <c r="AH472" s="2"/>
      <c r="AI472" s="2"/>
      <c r="AJ472" s="3"/>
      <c r="AK472" s="2"/>
      <c r="AL472" s="2"/>
      <c r="AM472" s="2"/>
      <c r="AN472" s="2"/>
      <c r="AO472" s="3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3"/>
      <c r="BC472" s="3"/>
      <c r="BD472" s="3"/>
      <c r="BE472" s="3"/>
      <c r="BF472" s="3"/>
      <c r="BG472" s="3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2"/>
      <c r="DI472" s="2"/>
      <c r="DJ472" s="3"/>
      <c r="DK472" s="3"/>
      <c r="DL472" s="2"/>
      <c r="DM472" s="2"/>
      <c r="DN472" s="2"/>
      <c r="DO472" s="3"/>
      <c r="DP472" s="3"/>
      <c r="GO472" t="s">
        <v>139</v>
      </c>
      <c r="GP472" t="s">
        <v>135</v>
      </c>
      <c r="GQ472" t="s">
        <v>502</v>
      </c>
      <c r="GR472">
        <v>52</v>
      </c>
      <c r="GS472">
        <v>51</v>
      </c>
      <c r="GT472">
        <v>1</v>
      </c>
      <c r="GU472" t="s">
        <v>457</v>
      </c>
      <c r="GV472">
        <v>19112847.047951501</v>
      </c>
      <c r="GW472">
        <v>145615703.490953</v>
      </c>
      <c r="GX472">
        <v>164728550.53890499</v>
      </c>
      <c r="GY472">
        <v>0</v>
      </c>
      <c r="GZ472">
        <v>164728550.53890499</v>
      </c>
      <c r="HA472">
        <v>164728550.53890499</v>
      </c>
      <c r="HB472">
        <v>303000000</v>
      </c>
      <c r="HC472">
        <v>0</v>
      </c>
      <c r="HD472" t="s">
        <v>137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0.02</v>
      </c>
      <c r="HX472">
        <v>0.99098093957577105</v>
      </c>
      <c r="HY472">
        <v>1</v>
      </c>
      <c r="HZ472">
        <v>300000</v>
      </c>
      <c r="IA472">
        <v>0</v>
      </c>
      <c r="IB472">
        <v>0</v>
      </c>
      <c r="IC472">
        <v>0</v>
      </c>
      <c r="ID472">
        <v>272700</v>
      </c>
      <c r="IE472">
        <v>572700</v>
      </c>
      <c r="IF472">
        <v>567534.78409504401</v>
      </c>
      <c r="IG472">
        <v>567534.78409504401</v>
      </c>
      <c r="IH472">
        <v>0</v>
      </c>
      <c r="II472">
        <v>370906.24527712999</v>
      </c>
      <c r="IJ472">
        <v>2912314.0698190699</v>
      </c>
      <c r="IK472">
        <v>0</v>
      </c>
      <c r="IL472">
        <v>0</v>
      </c>
      <c r="IM472">
        <v>0</v>
      </c>
      <c r="IN472">
        <v>18916218.5091336</v>
      </c>
      <c r="IO472">
        <v>148528017.560772</v>
      </c>
      <c r="IP472">
        <v>167444236.069906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</row>
    <row r="473" spans="2:268" customFormat="1" x14ac:dyDescent="0.25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3"/>
      <c r="N473" s="3"/>
      <c r="O473" s="3"/>
      <c r="P473" s="2"/>
      <c r="Q473" s="2"/>
      <c r="R473" s="2"/>
      <c r="S473" s="2"/>
      <c r="T473" s="2"/>
      <c r="U473" s="2"/>
      <c r="V473" s="3"/>
      <c r="W473" s="3"/>
      <c r="X473" s="3"/>
      <c r="Y473" s="3"/>
      <c r="Z473" s="3"/>
      <c r="AA473" s="3"/>
      <c r="AB473" s="3"/>
      <c r="AC473" s="2"/>
      <c r="AD473" s="2"/>
      <c r="AE473" s="2"/>
      <c r="AF473" s="2"/>
      <c r="AG473" s="2"/>
      <c r="AH473" s="2"/>
      <c r="AI473" s="2"/>
      <c r="AJ473" s="3"/>
      <c r="AK473" s="2"/>
      <c r="AL473" s="2"/>
      <c r="AM473" s="2"/>
      <c r="AN473" s="2"/>
      <c r="AO473" s="3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3"/>
      <c r="BC473" s="3"/>
      <c r="BD473" s="3"/>
      <c r="BE473" s="3"/>
      <c r="BF473" s="3"/>
      <c r="BG473" s="3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2"/>
      <c r="DI473" s="2"/>
      <c r="DJ473" s="3"/>
      <c r="DK473" s="3"/>
      <c r="DL473" s="2"/>
      <c r="DM473" s="2"/>
      <c r="DN473" s="2"/>
      <c r="DO473" s="3"/>
      <c r="DP473" s="3"/>
      <c r="GO473" t="s">
        <v>139</v>
      </c>
      <c r="GP473" t="s">
        <v>135</v>
      </c>
      <c r="GQ473" t="s">
        <v>502</v>
      </c>
      <c r="GR473">
        <v>53</v>
      </c>
      <c r="GS473">
        <v>52</v>
      </c>
      <c r="GT473">
        <v>1</v>
      </c>
      <c r="GU473" t="s">
        <v>457</v>
      </c>
      <c r="GV473">
        <v>18916218.5091336</v>
      </c>
      <c r="GW473">
        <v>148528017.560772</v>
      </c>
      <c r="GX473">
        <v>167444236.069906</v>
      </c>
      <c r="GY473">
        <v>0</v>
      </c>
      <c r="GZ473">
        <v>167444236.069906</v>
      </c>
      <c r="HA473">
        <v>167444236.069906</v>
      </c>
      <c r="HB473">
        <v>303000000</v>
      </c>
      <c r="HC473">
        <v>0</v>
      </c>
      <c r="HD473" t="s">
        <v>137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0.02</v>
      </c>
      <c r="HX473">
        <v>0.99098093957577105</v>
      </c>
      <c r="HY473">
        <v>1</v>
      </c>
      <c r="HZ473">
        <v>300000</v>
      </c>
      <c r="IA473">
        <v>0</v>
      </c>
      <c r="IB473">
        <v>0</v>
      </c>
      <c r="IC473">
        <v>0</v>
      </c>
      <c r="ID473">
        <v>272700</v>
      </c>
      <c r="IE473">
        <v>572700</v>
      </c>
      <c r="IF473">
        <v>567534.78409504401</v>
      </c>
      <c r="IG473">
        <v>567534.78409504401</v>
      </c>
      <c r="IH473">
        <v>0</v>
      </c>
      <c r="II473">
        <v>366973.67450077197</v>
      </c>
      <c r="IJ473">
        <v>2970560.3512154501</v>
      </c>
      <c r="IK473">
        <v>0</v>
      </c>
      <c r="IL473">
        <v>0</v>
      </c>
      <c r="IM473">
        <v>0</v>
      </c>
      <c r="IN473">
        <v>18715657.3995394</v>
      </c>
      <c r="IO473">
        <v>151498577.91198799</v>
      </c>
      <c r="IP473">
        <v>170214235.31152701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</row>
    <row r="474" spans="2:268" customFormat="1" x14ac:dyDescent="0.25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3"/>
      <c r="N474" s="3"/>
      <c r="O474" s="3"/>
      <c r="P474" s="2"/>
      <c r="Q474" s="2"/>
      <c r="R474" s="2"/>
      <c r="S474" s="2"/>
      <c r="T474" s="2"/>
      <c r="U474" s="2"/>
      <c r="V474" s="3"/>
      <c r="W474" s="3"/>
      <c r="X474" s="3"/>
      <c r="Y474" s="3"/>
      <c r="Z474" s="3"/>
      <c r="AA474" s="3"/>
      <c r="AB474" s="3"/>
      <c r="AC474" s="2"/>
      <c r="AD474" s="2"/>
      <c r="AE474" s="2"/>
      <c r="AF474" s="2"/>
      <c r="AG474" s="2"/>
      <c r="AH474" s="2"/>
      <c r="AI474" s="2"/>
      <c r="AJ474" s="3"/>
      <c r="AK474" s="2"/>
      <c r="AL474" s="2"/>
      <c r="AM474" s="2"/>
      <c r="AN474" s="2"/>
      <c r="AO474" s="3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3"/>
      <c r="BC474" s="3"/>
      <c r="BD474" s="3"/>
      <c r="BE474" s="3"/>
      <c r="BF474" s="3"/>
      <c r="BG474" s="3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2"/>
      <c r="DI474" s="2"/>
      <c r="DJ474" s="3"/>
      <c r="DK474" s="3"/>
      <c r="DL474" s="2"/>
      <c r="DM474" s="2"/>
      <c r="DN474" s="2"/>
      <c r="DO474" s="3"/>
      <c r="DP474" s="3"/>
      <c r="GO474" t="s">
        <v>139</v>
      </c>
      <c r="GP474" t="s">
        <v>135</v>
      </c>
      <c r="GQ474" t="s">
        <v>502</v>
      </c>
      <c r="GR474">
        <v>54</v>
      </c>
      <c r="GS474">
        <v>53</v>
      </c>
      <c r="GT474">
        <v>1</v>
      </c>
      <c r="GU474" t="s">
        <v>457</v>
      </c>
      <c r="GV474">
        <v>18715657.3995394</v>
      </c>
      <c r="GW474">
        <v>151498577.91198799</v>
      </c>
      <c r="GX474">
        <v>170214235.31152701</v>
      </c>
      <c r="GY474">
        <v>0</v>
      </c>
      <c r="GZ474">
        <v>170214235.31152701</v>
      </c>
      <c r="HA474">
        <v>170214235.31152701</v>
      </c>
      <c r="HB474">
        <v>303000000</v>
      </c>
      <c r="HC474">
        <v>0</v>
      </c>
      <c r="HD474" t="s">
        <v>137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0.02</v>
      </c>
      <c r="HX474">
        <v>0.99098093957577105</v>
      </c>
      <c r="HY474">
        <v>1</v>
      </c>
      <c r="HZ474">
        <v>300000</v>
      </c>
      <c r="IA474">
        <v>0</v>
      </c>
      <c r="IB474">
        <v>0</v>
      </c>
      <c r="IC474">
        <v>0</v>
      </c>
      <c r="ID474">
        <v>272700</v>
      </c>
      <c r="IE474">
        <v>572700</v>
      </c>
      <c r="IF474">
        <v>567534.78409504401</v>
      </c>
      <c r="IG474">
        <v>567534.78409504401</v>
      </c>
      <c r="IH474">
        <v>0</v>
      </c>
      <c r="II474">
        <v>362962.45230888599</v>
      </c>
      <c r="IJ474">
        <v>3029971.5582397599</v>
      </c>
      <c r="IK474">
        <v>0</v>
      </c>
      <c r="IL474">
        <v>0</v>
      </c>
      <c r="IM474">
        <v>0</v>
      </c>
      <c r="IN474">
        <v>18511085.067753199</v>
      </c>
      <c r="IO474">
        <v>154528549.47022799</v>
      </c>
      <c r="IP474">
        <v>173039634.537981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</row>
    <row r="475" spans="2:268" customFormat="1" x14ac:dyDescent="0.25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3"/>
      <c r="N475" s="3"/>
      <c r="O475" s="3"/>
      <c r="P475" s="2"/>
      <c r="Q475" s="2"/>
      <c r="R475" s="2"/>
      <c r="S475" s="2"/>
      <c r="T475" s="2"/>
      <c r="U475" s="2"/>
      <c r="V475" s="3"/>
      <c r="W475" s="3"/>
      <c r="X475" s="3"/>
      <c r="Y475" s="3"/>
      <c r="Z475" s="3"/>
      <c r="AA475" s="3"/>
      <c r="AB475" s="3"/>
      <c r="AC475" s="2"/>
      <c r="AD475" s="2"/>
      <c r="AE475" s="2"/>
      <c r="AF475" s="2"/>
      <c r="AG475" s="2"/>
      <c r="AH475" s="2"/>
      <c r="AI475" s="2"/>
      <c r="AJ475" s="3"/>
      <c r="AK475" s="2"/>
      <c r="AL475" s="2"/>
      <c r="AM475" s="2"/>
      <c r="AN475" s="2"/>
      <c r="AO475" s="3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3"/>
      <c r="BC475" s="3"/>
      <c r="BD475" s="3"/>
      <c r="BE475" s="3"/>
      <c r="BF475" s="3"/>
      <c r="BG475" s="3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2"/>
      <c r="DI475" s="2"/>
      <c r="DJ475" s="3"/>
      <c r="DK475" s="3"/>
      <c r="DL475" s="2"/>
      <c r="DM475" s="2"/>
      <c r="DN475" s="2"/>
      <c r="DO475" s="3"/>
      <c r="DP475" s="3"/>
      <c r="GO475" t="s">
        <v>139</v>
      </c>
      <c r="GP475" t="s">
        <v>135</v>
      </c>
      <c r="GQ475" t="s">
        <v>502</v>
      </c>
      <c r="GR475">
        <v>55</v>
      </c>
      <c r="GS475">
        <v>54</v>
      </c>
      <c r="GT475">
        <v>1</v>
      </c>
      <c r="GU475" t="s">
        <v>457</v>
      </c>
      <c r="GV475">
        <v>18511085.067753199</v>
      </c>
      <c r="GW475">
        <v>154528549.47022799</v>
      </c>
      <c r="GX475">
        <v>173039634.537981</v>
      </c>
      <c r="GY475">
        <v>0</v>
      </c>
      <c r="GZ475">
        <v>173039634.537981</v>
      </c>
      <c r="HA475">
        <v>173039634.537981</v>
      </c>
      <c r="HB475">
        <v>303000000</v>
      </c>
      <c r="HC475">
        <v>0</v>
      </c>
      <c r="HD475" t="s">
        <v>137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0.02</v>
      </c>
      <c r="HX475">
        <v>0.99098093957577105</v>
      </c>
      <c r="HY475">
        <v>1</v>
      </c>
      <c r="HZ475">
        <v>300000</v>
      </c>
      <c r="IA475">
        <v>0</v>
      </c>
      <c r="IB475">
        <v>0</v>
      </c>
      <c r="IC475">
        <v>0</v>
      </c>
      <c r="ID475">
        <v>272700</v>
      </c>
      <c r="IE475">
        <v>572700</v>
      </c>
      <c r="IF475">
        <v>567534.78409504401</v>
      </c>
      <c r="IG475">
        <v>567534.78409504401</v>
      </c>
      <c r="IH475">
        <v>0</v>
      </c>
      <c r="II475">
        <v>358871.00567316299</v>
      </c>
      <c r="IJ475">
        <v>3090570.9894045498</v>
      </c>
      <c r="IK475">
        <v>0</v>
      </c>
      <c r="IL475">
        <v>0</v>
      </c>
      <c r="IM475">
        <v>0</v>
      </c>
      <c r="IN475">
        <v>18302421.289331298</v>
      </c>
      <c r="IO475">
        <v>157619120.45963201</v>
      </c>
      <c r="IP475">
        <v>175921541.74896401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</row>
    <row r="476" spans="2:268" customFormat="1" x14ac:dyDescent="0.25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3"/>
      <c r="N476" s="3"/>
      <c r="O476" s="3"/>
      <c r="P476" s="2"/>
      <c r="Q476" s="2"/>
      <c r="R476" s="2"/>
      <c r="S476" s="2"/>
      <c r="T476" s="2"/>
      <c r="U476" s="2"/>
      <c r="V476" s="3"/>
      <c r="W476" s="3"/>
      <c r="X476" s="3"/>
      <c r="Y476" s="3"/>
      <c r="Z476" s="3"/>
      <c r="AA476" s="3"/>
      <c r="AB476" s="3"/>
      <c r="AC476" s="2"/>
      <c r="AD476" s="2"/>
      <c r="AE476" s="2"/>
      <c r="AF476" s="2"/>
      <c r="AG476" s="2"/>
      <c r="AH476" s="2"/>
      <c r="AI476" s="2"/>
      <c r="AJ476" s="3"/>
      <c r="AK476" s="2"/>
      <c r="AL476" s="2"/>
      <c r="AM476" s="2"/>
      <c r="AN476" s="2"/>
      <c r="AO476" s="3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3"/>
      <c r="BC476" s="3"/>
      <c r="BD476" s="3"/>
      <c r="BE476" s="3"/>
      <c r="BF476" s="3"/>
      <c r="BG476" s="3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2"/>
      <c r="DI476" s="2"/>
      <c r="DJ476" s="3"/>
      <c r="DK476" s="3"/>
      <c r="DL476" s="2"/>
      <c r="DM476" s="2"/>
      <c r="DN476" s="2"/>
      <c r="DO476" s="3"/>
      <c r="DP476" s="3"/>
      <c r="GO476" t="s">
        <v>139</v>
      </c>
      <c r="GP476" t="s">
        <v>135</v>
      </c>
      <c r="GQ476" t="s">
        <v>502</v>
      </c>
      <c r="GR476">
        <v>56</v>
      </c>
      <c r="GS476">
        <v>55</v>
      </c>
      <c r="GT476">
        <v>1</v>
      </c>
      <c r="GU476" t="s">
        <v>457</v>
      </c>
      <c r="GV476">
        <v>18302421.289331298</v>
      </c>
      <c r="GW476">
        <v>157619120.45963201</v>
      </c>
      <c r="GX476">
        <v>175921541.74896401</v>
      </c>
      <c r="GY476">
        <v>0</v>
      </c>
      <c r="GZ476">
        <v>175921541.74896401</v>
      </c>
      <c r="HA476">
        <v>175921541.74896401</v>
      </c>
      <c r="HB476">
        <v>303000000</v>
      </c>
      <c r="HC476">
        <v>0</v>
      </c>
      <c r="HD476" t="s">
        <v>137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0.02</v>
      </c>
      <c r="HX476">
        <v>0.99098093957577105</v>
      </c>
      <c r="HY476">
        <v>1</v>
      </c>
      <c r="HZ476">
        <v>300000</v>
      </c>
      <c r="IA476">
        <v>0</v>
      </c>
      <c r="IB476">
        <v>0</v>
      </c>
      <c r="IC476">
        <v>0</v>
      </c>
      <c r="ID476">
        <v>272700</v>
      </c>
      <c r="IE476">
        <v>572700</v>
      </c>
      <c r="IF476">
        <v>567534.78409504401</v>
      </c>
      <c r="IG476">
        <v>567534.78409504401</v>
      </c>
      <c r="IH476">
        <v>0</v>
      </c>
      <c r="II476">
        <v>354697.73010472499</v>
      </c>
      <c r="IJ476">
        <v>3152382.4091926399</v>
      </c>
      <c r="IK476">
        <v>0</v>
      </c>
      <c r="IL476">
        <v>0</v>
      </c>
      <c r="IM476">
        <v>0</v>
      </c>
      <c r="IN476">
        <v>18089584.235341001</v>
      </c>
      <c r="IO476">
        <v>160771502.86882499</v>
      </c>
      <c r="IP476">
        <v>178861087.104166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</row>
    <row r="477" spans="2:268" customFormat="1" x14ac:dyDescent="0.25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3"/>
      <c r="N477" s="3"/>
      <c r="O477" s="3"/>
      <c r="P477" s="2"/>
      <c r="Q477" s="2"/>
      <c r="R477" s="2"/>
      <c r="S477" s="2"/>
      <c r="T477" s="2"/>
      <c r="U477" s="2"/>
      <c r="V477" s="3"/>
      <c r="W477" s="3"/>
      <c r="X477" s="3"/>
      <c r="Y477" s="3"/>
      <c r="Z477" s="3"/>
      <c r="AA477" s="3"/>
      <c r="AB477" s="3"/>
      <c r="AC477" s="2"/>
      <c r="AD477" s="2"/>
      <c r="AE477" s="2"/>
      <c r="AF477" s="2"/>
      <c r="AG477" s="2"/>
      <c r="AH477" s="2"/>
      <c r="AI477" s="2"/>
      <c r="AJ477" s="3"/>
      <c r="AK477" s="2"/>
      <c r="AL477" s="2"/>
      <c r="AM477" s="2"/>
      <c r="AN477" s="2"/>
      <c r="AO477" s="3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3"/>
      <c r="BC477" s="3"/>
      <c r="BD477" s="3"/>
      <c r="BE477" s="3"/>
      <c r="BF477" s="3"/>
      <c r="BG477" s="3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2"/>
      <c r="DI477" s="2"/>
      <c r="DJ477" s="3"/>
      <c r="DK477" s="3"/>
      <c r="DL477" s="2"/>
      <c r="DM477" s="2"/>
      <c r="DN477" s="2"/>
      <c r="DO477" s="3"/>
      <c r="DP477" s="3"/>
      <c r="GO477" t="s">
        <v>139</v>
      </c>
      <c r="GP477" t="s">
        <v>135</v>
      </c>
      <c r="GQ477" t="s">
        <v>502</v>
      </c>
      <c r="GR477">
        <v>57</v>
      </c>
      <c r="GS477">
        <v>56</v>
      </c>
      <c r="GT477">
        <v>1</v>
      </c>
      <c r="GU477" t="s">
        <v>457</v>
      </c>
      <c r="GV477">
        <v>18089584.235341001</v>
      </c>
      <c r="GW477">
        <v>160771502.86882499</v>
      </c>
      <c r="GX477">
        <v>178861087.104166</v>
      </c>
      <c r="GY477">
        <v>0</v>
      </c>
      <c r="GZ477">
        <v>178861087.104166</v>
      </c>
      <c r="HA477">
        <v>178861087.104166</v>
      </c>
      <c r="HB477">
        <v>303000000</v>
      </c>
      <c r="HC477">
        <v>0</v>
      </c>
      <c r="HD477" t="s">
        <v>137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0.02</v>
      </c>
      <c r="HX477">
        <v>0.99098093957577105</v>
      </c>
      <c r="HY477">
        <v>1</v>
      </c>
      <c r="HZ477">
        <v>300000</v>
      </c>
      <c r="IA477">
        <v>0</v>
      </c>
      <c r="IB477">
        <v>0</v>
      </c>
      <c r="IC477">
        <v>0</v>
      </c>
      <c r="ID477">
        <v>272700</v>
      </c>
      <c r="IE477">
        <v>572700</v>
      </c>
      <c r="IF477">
        <v>567534.78409504401</v>
      </c>
      <c r="IG477">
        <v>567534.78409504401</v>
      </c>
      <c r="IH477">
        <v>0</v>
      </c>
      <c r="II477">
        <v>350440.98902491899</v>
      </c>
      <c r="IJ477">
        <v>3215430.0573765002</v>
      </c>
      <c r="IK477">
        <v>0</v>
      </c>
      <c r="IL477">
        <v>0</v>
      </c>
      <c r="IM477">
        <v>0</v>
      </c>
      <c r="IN477">
        <v>17872490.440270901</v>
      </c>
      <c r="IO477">
        <v>163986932.92620099</v>
      </c>
      <c r="IP477">
        <v>181859423.36647201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</row>
    <row r="478" spans="2:268" customFormat="1" x14ac:dyDescent="0.25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3"/>
      <c r="N478" s="3"/>
      <c r="O478" s="3"/>
      <c r="P478" s="2"/>
      <c r="Q478" s="2"/>
      <c r="R478" s="2"/>
      <c r="S478" s="2"/>
      <c r="T478" s="2"/>
      <c r="U478" s="2"/>
      <c r="V478" s="3"/>
      <c r="W478" s="3"/>
      <c r="X478" s="3"/>
      <c r="Y478" s="3"/>
      <c r="Z478" s="3"/>
      <c r="AA478" s="3"/>
      <c r="AB478" s="3"/>
      <c r="AC478" s="2"/>
      <c r="AD478" s="2"/>
      <c r="AE478" s="2"/>
      <c r="AF478" s="2"/>
      <c r="AG478" s="2"/>
      <c r="AH478" s="2"/>
      <c r="AI478" s="2"/>
      <c r="AJ478" s="3"/>
      <c r="AK478" s="2"/>
      <c r="AL478" s="2"/>
      <c r="AM478" s="2"/>
      <c r="AN478" s="2"/>
      <c r="AO478" s="3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3"/>
      <c r="BC478" s="3"/>
      <c r="BD478" s="3"/>
      <c r="BE478" s="3"/>
      <c r="BF478" s="3"/>
      <c r="BG478" s="3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2"/>
      <c r="DI478" s="2"/>
      <c r="DJ478" s="3"/>
      <c r="DK478" s="3"/>
      <c r="DL478" s="2"/>
      <c r="DM478" s="2"/>
      <c r="DN478" s="2"/>
      <c r="DO478" s="3"/>
      <c r="DP478" s="3"/>
      <c r="GO478" t="s">
        <v>139</v>
      </c>
      <c r="GP478" t="s">
        <v>135</v>
      </c>
      <c r="GQ478" t="s">
        <v>502</v>
      </c>
      <c r="GR478">
        <v>58</v>
      </c>
      <c r="GS478">
        <v>57</v>
      </c>
      <c r="GT478">
        <v>1</v>
      </c>
      <c r="GU478" t="s">
        <v>457</v>
      </c>
      <c r="GV478">
        <v>17872490.440270901</v>
      </c>
      <c r="GW478">
        <v>163986932.92620099</v>
      </c>
      <c r="GX478">
        <v>181859423.36647201</v>
      </c>
      <c r="GY478">
        <v>0</v>
      </c>
      <c r="GZ478">
        <v>181859423.36647201</v>
      </c>
      <c r="HA478">
        <v>181859423.36647201</v>
      </c>
      <c r="HB478">
        <v>303000000</v>
      </c>
      <c r="HC478">
        <v>0</v>
      </c>
      <c r="HD478" t="s">
        <v>137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0.02</v>
      </c>
      <c r="HX478">
        <v>0.99098093957577105</v>
      </c>
      <c r="HY478">
        <v>1</v>
      </c>
      <c r="HZ478">
        <v>300000</v>
      </c>
      <c r="IA478">
        <v>0</v>
      </c>
      <c r="IB478">
        <v>0</v>
      </c>
      <c r="IC478">
        <v>0</v>
      </c>
      <c r="ID478">
        <v>272700</v>
      </c>
      <c r="IE478">
        <v>572700</v>
      </c>
      <c r="IF478">
        <v>567534.78409504401</v>
      </c>
      <c r="IG478">
        <v>567534.78409504401</v>
      </c>
      <c r="IH478">
        <v>0</v>
      </c>
      <c r="II478">
        <v>346099.11312351603</v>
      </c>
      <c r="IJ478">
        <v>3279738.6585240299</v>
      </c>
      <c r="IK478">
        <v>0</v>
      </c>
      <c r="IL478">
        <v>0</v>
      </c>
      <c r="IM478">
        <v>0</v>
      </c>
      <c r="IN478">
        <v>17651054.769299299</v>
      </c>
      <c r="IO478">
        <v>167266671.58472499</v>
      </c>
      <c r="IP478">
        <v>184917726.35402501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</row>
    <row r="479" spans="2:268" customFormat="1" x14ac:dyDescent="0.25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3"/>
      <c r="N479" s="3"/>
      <c r="O479" s="3"/>
      <c r="P479" s="2"/>
      <c r="Q479" s="2"/>
      <c r="R479" s="2"/>
      <c r="S479" s="2"/>
      <c r="T479" s="2"/>
      <c r="U479" s="2"/>
      <c r="V479" s="3"/>
      <c r="W479" s="3"/>
      <c r="X479" s="3"/>
      <c r="Y479" s="3"/>
      <c r="Z479" s="3"/>
      <c r="AA479" s="3"/>
      <c r="AB479" s="3"/>
      <c r="AC479" s="2"/>
      <c r="AD479" s="2"/>
      <c r="AE479" s="2"/>
      <c r="AF479" s="2"/>
      <c r="AG479" s="2"/>
      <c r="AH479" s="2"/>
      <c r="AI479" s="2"/>
      <c r="AJ479" s="3"/>
      <c r="AK479" s="2"/>
      <c r="AL479" s="2"/>
      <c r="AM479" s="2"/>
      <c r="AN479" s="2"/>
      <c r="AO479" s="3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3"/>
      <c r="BC479" s="3"/>
      <c r="BD479" s="3"/>
      <c r="BE479" s="3"/>
      <c r="BF479" s="3"/>
      <c r="BG479" s="3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2"/>
      <c r="DI479" s="2"/>
      <c r="DJ479" s="3"/>
      <c r="DK479" s="3"/>
      <c r="DL479" s="2"/>
      <c r="DM479" s="2"/>
      <c r="DN479" s="2"/>
      <c r="DO479" s="3"/>
      <c r="DP479" s="3"/>
      <c r="GO479" t="s">
        <v>139</v>
      </c>
      <c r="GP479" t="s">
        <v>135</v>
      </c>
      <c r="GQ479" t="s">
        <v>502</v>
      </c>
      <c r="GR479">
        <v>59</v>
      </c>
      <c r="GS479">
        <v>58</v>
      </c>
      <c r="GT479">
        <v>1</v>
      </c>
      <c r="GU479" t="s">
        <v>457</v>
      </c>
      <c r="GV479">
        <v>17651054.769299299</v>
      </c>
      <c r="GW479">
        <v>167266671.58472499</v>
      </c>
      <c r="GX479">
        <v>184917726.35402501</v>
      </c>
      <c r="GY479">
        <v>0</v>
      </c>
      <c r="GZ479">
        <v>184917726.35402501</v>
      </c>
      <c r="HA479">
        <v>184917726.35402501</v>
      </c>
      <c r="HB479">
        <v>303000000</v>
      </c>
      <c r="HC479">
        <v>0</v>
      </c>
      <c r="HD479" t="s">
        <v>137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0.02</v>
      </c>
      <c r="HX479">
        <v>0.99098093957577105</v>
      </c>
      <c r="HY479">
        <v>1</v>
      </c>
      <c r="HZ479">
        <v>300000</v>
      </c>
      <c r="IA479">
        <v>0</v>
      </c>
      <c r="IB479">
        <v>0</v>
      </c>
      <c r="IC479">
        <v>0</v>
      </c>
      <c r="ID479">
        <v>272700</v>
      </c>
      <c r="IE479">
        <v>572700</v>
      </c>
      <c r="IF479">
        <v>567534.78409504401</v>
      </c>
      <c r="IG479">
        <v>567534.78409504401</v>
      </c>
      <c r="IH479">
        <v>0</v>
      </c>
      <c r="II479">
        <v>341670.39970408601</v>
      </c>
      <c r="IJ479">
        <v>3345333.4316945099</v>
      </c>
      <c r="IK479">
        <v>0</v>
      </c>
      <c r="IL479">
        <v>0</v>
      </c>
      <c r="IM479">
        <v>0</v>
      </c>
      <c r="IN479">
        <v>17425190.3849084</v>
      </c>
      <c r="IO479">
        <v>170612005.01642001</v>
      </c>
      <c r="IP479">
        <v>188037195.401328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</row>
    <row r="480" spans="2:268" customFormat="1" x14ac:dyDescent="0.25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3"/>
      <c r="N480" s="3"/>
      <c r="O480" s="3"/>
      <c r="P480" s="2"/>
      <c r="Q480" s="2"/>
      <c r="R480" s="2"/>
      <c r="S480" s="2"/>
      <c r="T480" s="2"/>
      <c r="U480" s="2"/>
      <c r="V480" s="3"/>
      <c r="W480" s="3"/>
      <c r="X480" s="3"/>
      <c r="Y480" s="3"/>
      <c r="Z480" s="3"/>
      <c r="AA480" s="3"/>
      <c r="AB480" s="3"/>
      <c r="AC480" s="2"/>
      <c r="AD480" s="2"/>
      <c r="AE480" s="2"/>
      <c r="AF480" s="2"/>
      <c r="AG480" s="2"/>
      <c r="AH480" s="2"/>
      <c r="AI480" s="2"/>
      <c r="AJ480" s="3"/>
      <c r="AK480" s="2"/>
      <c r="AL480" s="2"/>
      <c r="AM480" s="2"/>
      <c r="AN480" s="2"/>
      <c r="AO480" s="3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3"/>
      <c r="BC480" s="3"/>
      <c r="BD480" s="3"/>
      <c r="BE480" s="3"/>
      <c r="BF480" s="3"/>
      <c r="BG480" s="3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2"/>
      <c r="DI480" s="2"/>
      <c r="DJ480" s="3"/>
      <c r="DK480" s="3"/>
      <c r="DL480" s="2"/>
      <c r="DM480" s="2"/>
      <c r="DN480" s="2"/>
      <c r="DO480" s="3"/>
      <c r="DP480" s="3"/>
      <c r="GO480" t="s">
        <v>139</v>
      </c>
      <c r="GP480" t="s">
        <v>135</v>
      </c>
      <c r="GQ480" t="s">
        <v>502</v>
      </c>
      <c r="GR480">
        <v>60</v>
      </c>
      <c r="GS480">
        <v>59</v>
      </c>
      <c r="GT480">
        <v>1</v>
      </c>
      <c r="GU480" t="s">
        <v>457</v>
      </c>
      <c r="GV480">
        <v>17425190.3849084</v>
      </c>
      <c r="GW480">
        <v>170612005.01642001</v>
      </c>
      <c r="GX480">
        <v>188037195.401328</v>
      </c>
      <c r="GY480">
        <v>0</v>
      </c>
      <c r="GZ480">
        <v>188037195.401328</v>
      </c>
      <c r="HA480">
        <v>188037195.401328</v>
      </c>
      <c r="HB480">
        <v>303000000</v>
      </c>
      <c r="HC480">
        <v>0</v>
      </c>
      <c r="HD480" t="s">
        <v>137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0.02</v>
      </c>
      <c r="HX480">
        <v>0.99098093957577105</v>
      </c>
      <c r="HY480">
        <v>1</v>
      </c>
      <c r="HZ480">
        <v>300000</v>
      </c>
      <c r="IA480">
        <v>0</v>
      </c>
      <c r="IB480">
        <v>0</v>
      </c>
      <c r="IC480">
        <v>0</v>
      </c>
      <c r="ID480">
        <v>272700</v>
      </c>
      <c r="IE480">
        <v>572700</v>
      </c>
      <c r="IF480">
        <v>567534.78409504401</v>
      </c>
      <c r="IG480">
        <v>567534.78409504401</v>
      </c>
      <c r="IH480">
        <v>0</v>
      </c>
      <c r="II480">
        <v>337153.11201626703</v>
      </c>
      <c r="IJ480">
        <v>3412240.1003283998</v>
      </c>
      <c r="IK480">
        <v>0</v>
      </c>
      <c r="IL480">
        <v>0</v>
      </c>
      <c r="IM480">
        <v>0</v>
      </c>
      <c r="IN480">
        <v>17194808.712829601</v>
      </c>
      <c r="IO480">
        <v>174024245.11674801</v>
      </c>
      <c r="IP480">
        <v>191219053.82957801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</row>
    <row r="481" spans="2:268" customFormat="1" x14ac:dyDescent="0.25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3"/>
      <c r="N481" s="3"/>
      <c r="O481" s="3"/>
      <c r="P481" s="2"/>
      <c r="Q481" s="2"/>
      <c r="R481" s="2"/>
      <c r="S481" s="2"/>
      <c r="T481" s="2"/>
      <c r="U481" s="2"/>
      <c r="V481" s="3"/>
      <c r="W481" s="3"/>
      <c r="X481" s="3"/>
      <c r="Y481" s="3"/>
      <c r="Z481" s="3"/>
      <c r="AA481" s="3"/>
      <c r="AB481" s="3"/>
      <c r="AC481" s="2"/>
      <c r="AD481" s="2"/>
      <c r="AE481" s="2"/>
      <c r="AF481" s="2"/>
      <c r="AG481" s="2"/>
      <c r="AH481" s="2"/>
      <c r="AI481" s="2"/>
      <c r="AJ481" s="3"/>
      <c r="AK481" s="2"/>
      <c r="AL481" s="2"/>
      <c r="AM481" s="2"/>
      <c r="AN481" s="2"/>
      <c r="AO481" s="3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3"/>
      <c r="BC481" s="3"/>
      <c r="BD481" s="3"/>
      <c r="BE481" s="3"/>
      <c r="BF481" s="3"/>
      <c r="BG481" s="3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2"/>
      <c r="DI481" s="2"/>
      <c r="DJ481" s="3"/>
      <c r="DK481" s="3"/>
      <c r="DL481" s="2"/>
      <c r="DM481" s="2"/>
      <c r="DN481" s="2"/>
      <c r="DO481" s="3"/>
      <c r="DP481" s="3"/>
      <c r="GO481" t="s">
        <v>139</v>
      </c>
      <c r="GP481" t="s">
        <v>135</v>
      </c>
      <c r="GQ481" t="s">
        <v>502</v>
      </c>
      <c r="GR481">
        <v>61</v>
      </c>
      <c r="GS481">
        <v>60</v>
      </c>
      <c r="GT481">
        <v>1</v>
      </c>
      <c r="GU481" t="s">
        <v>457</v>
      </c>
      <c r="GV481">
        <v>17194808.712829601</v>
      </c>
      <c r="GW481">
        <v>174024245.11674801</v>
      </c>
      <c r="GX481">
        <v>191219053.82957801</v>
      </c>
      <c r="GY481">
        <v>0</v>
      </c>
      <c r="GZ481">
        <v>191219053.82957801</v>
      </c>
      <c r="HA481">
        <v>191219053.82957801</v>
      </c>
      <c r="HB481">
        <v>303000000</v>
      </c>
      <c r="HC481">
        <v>0</v>
      </c>
      <c r="HD481" t="s">
        <v>137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0.02</v>
      </c>
      <c r="HX481">
        <v>0.99098093957577105</v>
      </c>
      <c r="HY481">
        <v>1</v>
      </c>
      <c r="HZ481">
        <v>300000</v>
      </c>
      <c r="IA481">
        <v>0</v>
      </c>
      <c r="IB481">
        <v>0</v>
      </c>
      <c r="IC481">
        <v>0</v>
      </c>
      <c r="ID481">
        <v>272700</v>
      </c>
      <c r="IE481">
        <v>572700</v>
      </c>
      <c r="IF481">
        <v>567534.78409504401</v>
      </c>
      <c r="IG481">
        <v>567534.78409504401</v>
      </c>
      <c r="IH481">
        <v>0</v>
      </c>
      <c r="II481">
        <v>332545.47857469099</v>
      </c>
      <c r="IJ481">
        <v>3480484.90233497</v>
      </c>
      <c r="IK481">
        <v>0</v>
      </c>
      <c r="IL481">
        <v>0</v>
      </c>
      <c r="IM481">
        <v>0</v>
      </c>
      <c r="IN481">
        <v>16959819.407309201</v>
      </c>
      <c r="IO481">
        <v>177504730.01908299</v>
      </c>
      <c r="IP481">
        <v>194464549.42639199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</row>
    <row r="482" spans="2:268" customFormat="1" x14ac:dyDescent="0.25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3"/>
      <c r="N482" s="3"/>
      <c r="O482" s="3"/>
      <c r="P482" s="2"/>
      <c r="Q482" s="2"/>
      <c r="R482" s="2"/>
      <c r="S482" s="2"/>
      <c r="T482" s="2"/>
      <c r="U482" s="2"/>
      <c r="V482" s="3"/>
      <c r="W482" s="3"/>
      <c r="X482" s="3"/>
      <c r="Y482" s="3"/>
      <c r="Z482" s="3"/>
      <c r="AA482" s="3"/>
      <c r="AB482" s="3"/>
      <c r="AC482" s="2"/>
      <c r="AD482" s="2"/>
      <c r="AE482" s="2"/>
      <c r="AF482" s="2"/>
      <c r="AG482" s="2"/>
      <c r="AH482" s="2"/>
      <c r="AI482" s="2"/>
      <c r="AJ482" s="3"/>
      <c r="AK482" s="2"/>
      <c r="AL482" s="2"/>
      <c r="AM482" s="2"/>
      <c r="AN482" s="2"/>
      <c r="AO482" s="3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3"/>
      <c r="BC482" s="3"/>
      <c r="BD482" s="3"/>
      <c r="BE482" s="3"/>
      <c r="BF482" s="3"/>
      <c r="BG482" s="3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2"/>
      <c r="DI482" s="2"/>
      <c r="DJ482" s="3"/>
      <c r="DK482" s="3"/>
      <c r="DL482" s="2"/>
      <c r="DM482" s="2"/>
      <c r="DN482" s="2"/>
      <c r="DO482" s="3"/>
      <c r="DP482" s="3"/>
      <c r="GO482" t="s">
        <v>139</v>
      </c>
      <c r="GP482" t="s">
        <v>135</v>
      </c>
      <c r="GQ482" t="s">
        <v>502</v>
      </c>
      <c r="GR482">
        <v>62</v>
      </c>
      <c r="GS482">
        <v>61</v>
      </c>
      <c r="GT482">
        <v>1</v>
      </c>
      <c r="GU482" t="s">
        <v>457</v>
      </c>
      <c r="GV482">
        <v>16959819.407309201</v>
      </c>
      <c r="GW482">
        <v>177504730.01908299</v>
      </c>
      <c r="GX482">
        <v>194464549.42639199</v>
      </c>
      <c r="GY482">
        <v>0</v>
      </c>
      <c r="GZ482">
        <v>194464549.42639199</v>
      </c>
      <c r="HA482">
        <v>194464549.42639199</v>
      </c>
      <c r="HB482">
        <v>303000000</v>
      </c>
      <c r="HC482">
        <v>0</v>
      </c>
      <c r="HD482" t="s">
        <v>137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0.02</v>
      </c>
      <c r="HX482">
        <v>0.99098093957577105</v>
      </c>
      <c r="HY482">
        <v>1</v>
      </c>
      <c r="HZ482">
        <v>300000</v>
      </c>
      <c r="IA482">
        <v>0</v>
      </c>
      <c r="IB482">
        <v>0</v>
      </c>
      <c r="IC482">
        <v>0</v>
      </c>
      <c r="ID482">
        <v>272700</v>
      </c>
      <c r="IE482">
        <v>572700</v>
      </c>
      <c r="IF482">
        <v>567534.78409504401</v>
      </c>
      <c r="IG482">
        <v>567534.78409504401</v>
      </c>
      <c r="IH482">
        <v>0</v>
      </c>
      <c r="II482">
        <v>327845.69246428402</v>
      </c>
      <c r="IJ482">
        <v>3550094.6003816598</v>
      </c>
      <c r="IK482">
        <v>0</v>
      </c>
      <c r="IL482">
        <v>0</v>
      </c>
      <c r="IM482">
        <v>0</v>
      </c>
      <c r="IN482">
        <v>16720130.3156785</v>
      </c>
      <c r="IO482">
        <v>181054824.61946499</v>
      </c>
      <c r="IP482">
        <v>197774954.93514299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</row>
    <row r="483" spans="2:268" customFormat="1" x14ac:dyDescent="0.25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3"/>
      <c r="N483" s="3"/>
      <c r="O483" s="3"/>
      <c r="P483" s="2"/>
      <c r="Q483" s="2"/>
      <c r="R483" s="2"/>
      <c r="S483" s="2"/>
      <c r="T483" s="2"/>
      <c r="U483" s="2"/>
      <c r="V483" s="3"/>
      <c r="W483" s="3"/>
      <c r="X483" s="3"/>
      <c r="Y483" s="3"/>
      <c r="Z483" s="3"/>
      <c r="AA483" s="3"/>
      <c r="AB483" s="3"/>
      <c r="AC483" s="2"/>
      <c r="AD483" s="2"/>
      <c r="AE483" s="2"/>
      <c r="AF483" s="2"/>
      <c r="AG483" s="2"/>
      <c r="AH483" s="2"/>
      <c r="AI483" s="2"/>
      <c r="AJ483" s="3"/>
      <c r="AK483" s="2"/>
      <c r="AL483" s="2"/>
      <c r="AM483" s="2"/>
      <c r="AN483" s="2"/>
      <c r="AO483" s="3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3"/>
      <c r="BC483" s="3"/>
      <c r="BD483" s="3"/>
      <c r="BE483" s="3"/>
      <c r="BF483" s="3"/>
      <c r="BG483" s="3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2"/>
      <c r="DI483" s="2"/>
      <c r="DJ483" s="3"/>
      <c r="DK483" s="3"/>
      <c r="DL483" s="2"/>
      <c r="DM483" s="2"/>
      <c r="DN483" s="2"/>
      <c r="DO483" s="3"/>
      <c r="DP483" s="3"/>
      <c r="GO483" t="s">
        <v>139</v>
      </c>
      <c r="GP483" t="s">
        <v>135</v>
      </c>
      <c r="GQ483" t="s">
        <v>502</v>
      </c>
      <c r="GR483">
        <v>63</v>
      </c>
      <c r="GS483">
        <v>62</v>
      </c>
      <c r="GT483">
        <v>1</v>
      </c>
      <c r="GU483" t="s">
        <v>457</v>
      </c>
      <c r="GV483">
        <v>16720130.3156785</v>
      </c>
      <c r="GW483">
        <v>181054824.61946499</v>
      </c>
      <c r="GX483">
        <v>197774954.93514299</v>
      </c>
      <c r="GY483">
        <v>0</v>
      </c>
      <c r="GZ483">
        <v>197774954.93514299</v>
      </c>
      <c r="HA483">
        <v>197774954.93514299</v>
      </c>
      <c r="HB483">
        <v>303000000</v>
      </c>
      <c r="HC483">
        <v>0</v>
      </c>
      <c r="HD483" t="s">
        <v>137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0.02</v>
      </c>
      <c r="HX483">
        <v>0.99098093957577105</v>
      </c>
      <c r="HY483">
        <v>1</v>
      </c>
      <c r="HZ483">
        <v>300000</v>
      </c>
      <c r="IA483">
        <v>0</v>
      </c>
      <c r="IB483">
        <v>0</v>
      </c>
      <c r="IC483">
        <v>0</v>
      </c>
      <c r="ID483">
        <v>272700</v>
      </c>
      <c r="IE483">
        <v>572700</v>
      </c>
      <c r="IF483">
        <v>567534.78409504401</v>
      </c>
      <c r="IG483">
        <v>567534.78409504401</v>
      </c>
      <c r="IH483">
        <v>0</v>
      </c>
      <c r="II483">
        <v>323051.91063166899</v>
      </c>
      <c r="IJ483">
        <v>3621096.4923892999</v>
      </c>
      <c r="IK483">
        <v>0</v>
      </c>
      <c r="IL483">
        <v>0</v>
      </c>
      <c r="IM483">
        <v>0</v>
      </c>
      <c r="IN483">
        <v>16475647.4422151</v>
      </c>
      <c r="IO483">
        <v>184675921.11185399</v>
      </c>
      <c r="IP483">
        <v>201151568.55406901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</row>
    <row r="484" spans="2:268" customFormat="1" x14ac:dyDescent="0.25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3"/>
      <c r="N484" s="3"/>
      <c r="O484" s="3"/>
      <c r="P484" s="2"/>
      <c r="Q484" s="2"/>
      <c r="R484" s="2"/>
      <c r="S484" s="2"/>
      <c r="T484" s="2"/>
      <c r="U484" s="2"/>
      <c r="V484" s="3"/>
      <c r="W484" s="3"/>
      <c r="X484" s="3"/>
      <c r="Y484" s="3"/>
      <c r="Z484" s="3"/>
      <c r="AA484" s="3"/>
      <c r="AB484" s="3"/>
      <c r="AC484" s="2"/>
      <c r="AD484" s="2"/>
      <c r="AE484" s="2"/>
      <c r="AF484" s="2"/>
      <c r="AG484" s="2"/>
      <c r="AH484" s="2"/>
      <c r="AI484" s="2"/>
      <c r="AJ484" s="3"/>
      <c r="AK484" s="2"/>
      <c r="AL484" s="2"/>
      <c r="AM484" s="2"/>
      <c r="AN484" s="2"/>
      <c r="AO484" s="3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3"/>
      <c r="BC484" s="3"/>
      <c r="BD484" s="3"/>
      <c r="BE484" s="3"/>
      <c r="BF484" s="3"/>
      <c r="BG484" s="3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2"/>
      <c r="DI484" s="2"/>
      <c r="DJ484" s="3"/>
      <c r="DK484" s="3"/>
      <c r="DL484" s="2"/>
      <c r="DM484" s="2"/>
      <c r="DN484" s="2"/>
      <c r="DO484" s="3"/>
      <c r="DP484" s="3"/>
      <c r="GO484" t="s">
        <v>139</v>
      </c>
      <c r="GP484" t="s">
        <v>135</v>
      </c>
      <c r="GQ484" t="s">
        <v>502</v>
      </c>
      <c r="GR484">
        <v>64</v>
      </c>
      <c r="GS484">
        <v>63</v>
      </c>
      <c r="GT484">
        <v>1</v>
      </c>
      <c r="GU484" t="s">
        <v>457</v>
      </c>
      <c r="GV484">
        <v>16475647.4422151</v>
      </c>
      <c r="GW484">
        <v>184675921.11185399</v>
      </c>
      <c r="GX484">
        <v>201151568.55406901</v>
      </c>
      <c r="GY484">
        <v>0</v>
      </c>
      <c r="GZ484">
        <v>201151568.55406901</v>
      </c>
      <c r="HA484">
        <v>201151568.55406901</v>
      </c>
      <c r="HB484">
        <v>303000000</v>
      </c>
      <c r="HC484">
        <v>0</v>
      </c>
      <c r="HD484" t="s">
        <v>137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0.02</v>
      </c>
      <c r="HX484">
        <v>0.99098093957577105</v>
      </c>
      <c r="HY484">
        <v>1</v>
      </c>
      <c r="HZ484">
        <v>300000</v>
      </c>
      <c r="IA484">
        <v>0</v>
      </c>
      <c r="IB484">
        <v>0</v>
      </c>
      <c r="IC484">
        <v>0</v>
      </c>
      <c r="ID484">
        <v>272700</v>
      </c>
      <c r="IE484">
        <v>572700</v>
      </c>
      <c r="IF484">
        <v>567534.78409504401</v>
      </c>
      <c r="IG484">
        <v>567534.78409504401</v>
      </c>
      <c r="IH484">
        <v>0</v>
      </c>
      <c r="II484">
        <v>318162.25316240097</v>
      </c>
      <c r="IJ484">
        <v>3693518.4222370801</v>
      </c>
      <c r="IK484">
        <v>0</v>
      </c>
      <c r="IL484">
        <v>0</v>
      </c>
      <c r="IM484">
        <v>0</v>
      </c>
      <c r="IN484">
        <v>16226274.9112825</v>
      </c>
      <c r="IO484">
        <v>188369439.534091</v>
      </c>
      <c r="IP484">
        <v>204595714.44537401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</row>
    <row r="485" spans="2:268" customFormat="1" x14ac:dyDescent="0.25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3"/>
      <c r="N485" s="3"/>
      <c r="O485" s="3"/>
      <c r="P485" s="2"/>
      <c r="Q485" s="2"/>
      <c r="R485" s="2"/>
      <c r="S485" s="2"/>
      <c r="T485" s="2"/>
      <c r="U485" s="2"/>
      <c r="V485" s="3"/>
      <c r="W485" s="3"/>
      <c r="X485" s="3"/>
      <c r="Y485" s="3"/>
      <c r="Z485" s="3"/>
      <c r="AA485" s="3"/>
      <c r="AB485" s="3"/>
      <c r="AC485" s="2"/>
      <c r="AD485" s="2"/>
      <c r="AE485" s="2"/>
      <c r="AF485" s="2"/>
      <c r="AG485" s="2"/>
      <c r="AH485" s="2"/>
      <c r="AI485" s="2"/>
      <c r="AJ485" s="3"/>
      <c r="AK485" s="2"/>
      <c r="AL485" s="2"/>
      <c r="AM485" s="2"/>
      <c r="AN485" s="2"/>
      <c r="AO485" s="3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3"/>
      <c r="BC485" s="3"/>
      <c r="BD485" s="3"/>
      <c r="BE485" s="3"/>
      <c r="BF485" s="3"/>
      <c r="BG485" s="3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2"/>
      <c r="DI485" s="2"/>
      <c r="DJ485" s="3"/>
      <c r="DK485" s="3"/>
      <c r="DL485" s="2"/>
      <c r="DM485" s="2"/>
      <c r="DN485" s="2"/>
      <c r="DO485" s="3"/>
      <c r="DP485" s="3"/>
      <c r="GO485" t="s">
        <v>139</v>
      </c>
      <c r="GP485" t="s">
        <v>135</v>
      </c>
      <c r="GQ485" t="s">
        <v>502</v>
      </c>
      <c r="GR485">
        <v>65</v>
      </c>
      <c r="GS485">
        <v>64</v>
      </c>
      <c r="GT485">
        <v>1</v>
      </c>
      <c r="GU485" t="s">
        <v>457</v>
      </c>
      <c r="GV485">
        <v>16226274.9112825</v>
      </c>
      <c r="GW485">
        <v>188369439.534091</v>
      </c>
      <c r="GX485">
        <v>204595714.44537401</v>
      </c>
      <c r="GY485">
        <v>0</v>
      </c>
      <c r="GZ485">
        <v>204595714.44537401</v>
      </c>
      <c r="HA485">
        <v>204595714.44537401</v>
      </c>
      <c r="HB485">
        <v>303000000</v>
      </c>
      <c r="HC485">
        <v>0</v>
      </c>
      <c r="HD485" t="s">
        <v>137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0.02</v>
      </c>
      <c r="HX485">
        <v>0.99098093957577105</v>
      </c>
      <c r="HY485">
        <v>1</v>
      </c>
      <c r="HZ485">
        <v>300000</v>
      </c>
      <c r="IA485">
        <v>0</v>
      </c>
      <c r="IB485">
        <v>0</v>
      </c>
      <c r="IC485">
        <v>0</v>
      </c>
      <c r="ID485">
        <v>272700</v>
      </c>
      <c r="IE485">
        <v>572700</v>
      </c>
      <c r="IF485">
        <v>567534.78409504401</v>
      </c>
      <c r="IG485">
        <v>567534.78409504401</v>
      </c>
      <c r="IH485">
        <v>0</v>
      </c>
      <c r="II485">
        <v>313174.80254374899</v>
      </c>
      <c r="IJ485">
        <v>3767388.7906818301</v>
      </c>
      <c r="IK485">
        <v>0</v>
      </c>
      <c r="IL485">
        <v>0</v>
      </c>
      <c r="IM485">
        <v>0</v>
      </c>
      <c r="IN485">
        <v>15971914.9297312</v>
      </c>
      <c r="IO485">
        <v>192136828.32477301</v>
      </c>
      <c r="IP485">
        <v>208108743.254504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</row>
    <row r="486" spans="2:268" customFormat="1" x14ac:dyDescent="0.25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3"/>
      <c r="N486" s="3"/>
      <c r="O486" s="3"/>
      <c r="P486" s="2"/>
      <c r="Q486" s="2"/>
      <c r="R486" s="2"/>
      <c r="S486" s="2"/>
      <c r="T486" s="2"/>
      <c r="U486" s="2"/>
      <c r="V486" s="3"/>
      <c r="W486" s="3"/>
      <c r="X486" s="3"/>
      <c r="Y486" s="3"/>
      <c r="Z486" s="3"/>
      <c r="AA486" s="3"/>
      <c r="AB486" s="3"/>
      <c r="AC486" s="2"/>
      <c r="AD486" s="2"/>
      <c r="AE486" s="2"/>
      <c r="AF486" s="2"/>
      <c r="AG486" s="2"/>
      <c r="AH486" s="2"/>
      <c r="AI486" s="2"/>
      <c r="AJ486" s="3"/>
      <c r="AK486" s="2"/>
      <c r="AL486" s="2"/>
      <c r="AM486" s="2"/>
      <c r="AN486" s="2"/>
      <c r="AO486" s="3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3"/>
      <c r="BC486" s="3"/>
      <c r="BD486" s="3"/>
      <c r="BE486" s="3"/>
      <c r="BF486" s="3"/>
      <c r="BG486" s="3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2"/>
      <c r="DI486" s="2"/>
      <c r="DJ486" s="3"/>
      <c r="DK486" s="3"/>
      <c r="DL486" s="2"/>
      <c r="DM486" s="2"/>
      <c r="DN486" s="2"/>
      <c r="DO486" s="3"/>
      <c r="DP486" s="3"/>
      <c r="GO486" t="s">
        <v>139</v>
      </c>
      <c r="GP486" t="s">
        <v>135</v>
      </c>
      <c r="GQ486" t="s">
        <v>502</v>
      </c>
      <c r="GR486">
        <v>66</v>
      </c>
      <c r="GS486">
        <v>65</v>
      </c>
      <c r="GT486">
        <v>1</v>
      </c>
      <c r="GU486" t="s">
        <v>457</v>
      </c>
      <c r="GV486">
        <v>15971914.9297312</v>
      </c>
      <c r="GW486">
        <v>192136828.32477301</v>
      </c>
      <c r="GX486">
        <v>208108743.254504</v>
      </c>
      <c r="GY486">
        <v>0</v>
      </c>
      <c r="GZ486">
        <v>208108743.254504</v>
      </c>
      <c r="HA486">
        <v>208108743.254504</v>
      </c>
      <c r="HB486">
        <v>303000000</v>
      </c>
      <c r="HC486">
        <v>0</v>
      </c>
      <c r="HD486" t="s">
        <v>137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0.02</v>
      </c>
      <c r="HX486">
        <v>0.99098093957577105</v>
      </c>
      <c r="HY486">
        <v>1</v>
      </c>
      <c r="HZ486">
        <v>300000</v>
      </c>
      <c r="IA486">
        <v>0</v>
      </c>
      <c r="IB486">
        <v>0</v>
      </c>
      <c r="IC486">
        <v>0</v>
      </c>
      <c r="ID486">
        <v>272700</v>
      </c>
      <c r="IE486">
        <v>572700</v>
      </c>
      <c r="IF486">
        <v>567534.78409504401</v>
      </c>
      <c r="IG486">
        <v>567534.78409504401</v>
      </c>
      <c r="IH486">
        <v>0</v>
      </c>
      <c r="II486">
        <v>308087.60291272303</v>
      </c>
      <c r="IJ486">
        <v>3842736.56649546</v>
      </c>
      <c r="IK486">
        <v>0</v>
      </c>
      <c r="IL486">
        <v>0</v>
      </c>
      <c r="IM486">
        <v>0</v>
      </c>
      <c r="IN486">
        <v>15712467.748548901</v>
      </c>
      <c r="IO486">
        <v>195979564.891269</v>
      </c>
      <c r="IP486">
        <v>211692032.639817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</row>
    <row r="487" spans="2:268" customFormat="1" x14ac:dyDescent="0.25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3"/>
      <c r="N487" s="3"/>
      <c r="O487" s="3"/>
      <c r="P487" s="2"/>
      <c r="Q487" s="2"/>
      <c r="R487" s="2"/>
      <c r="S487" s="2"/>
      <c r="T487" s="2"/>
      <c r="U487" s="2"/>
      <c r="V487" s="3"/>
      <c r="W487" s="3"/>
      <c r="X487" s="3"/>
      <c r="Y487" s="3"/>
      <c r="Z487" s="3"/>
      <c r="AA487" s="3"/>
      <c r="AB487" s="3"/>
      <c r="AC487" s="2"/>
      <c r="AD487" s="2"/>
      <c r="AE487" s="2"/>
      <c r="AF487" s="2"/>
      <c r="AG487" s="2"/>
      <c r="AH487" s="2"/>
      <c r="AI487" s="2"/>
      <c r="AJ487" s="3"/>
      <c r="AK487" s="2"/>
      <c r="AL487" s="2"/>
      <c r="AM487" s="2"/>
      <c r="AN487" s="2"/>
      <c r="AO487" s="3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3"/>
      <c r="BC487" s="3"/>
      <c r="BD487" s="3"/>
      <c r="BE487" s="3"/>
      <c r="BF487" s="3"/>
      <c r="BG487" s="3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2"/>
      <c r="DI487" s="2"/>
      <c r="DJ487" s="3"/>
      <c r="DK487" s="3"/>
      <c r="DL487" s="2"/>
      <c r="DM487" s="2"/>
      <c r="DN487" s="2"/>
      <c r="DO487" s="3"/>
      <c r="DP487" s="3"/>
      <c r="GO487" t="s">
        <v>139</v>
      </c>
      <c r="GP487" t="s">
        <v>135</v>
      </c>
      <c r="GQ487" t="s">
        <v>502</v>
      </c>
      <c r="GR487">
        <v>67</v>
      </c>
      <c r="GS487">
        <v>66</v>
      </c>
      <c r="GT487">
        <v>1</v>
      </c>
      <c r="GU487" t="s">
        <v>457</v>
      </c>
      <c r="GV487">
        <v>15712467.748548901</v>
      </c>
      <c r="GW487">
        <v>195979564.891269</v>
      </c>
      <c r="GX487">
        <v>211692032.639817</v>
      </c>
      <c r="GY487">
        <v>0</v>
      </c>
      <c r="GZ487">
        <v>211692032.639817</v>
      </c>
      <c r="HA487">
        <v>211692032.639817</v>
      </c>
      <c r="HB487">
        <v>0</v>
      </c>
      <c r="HC487">
        <v>0</v>
      </c>
      <c r="HD487" t="s">
        <v>137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0.02</v>
      </c>
      <c r="HX487">
        <v>0.99098093957577105</v>
      </c>
      <c r="HY487">
        <v>1</v>
      </c>
      <c r="HZ487">
        <v>300000</v>
      </c>
      <c r="IA487">
        <v>0</v>
      </c>
      <c r="IB487">
        <v>0</v>
      </c>
      <c r="IC487">
        <v>0</v>
      </c>
      <c r="ID487">
        <v>0</v>
      </c>
      <c r="IE487">
        <v>300000</v>
      </c>
      <c r="IF487">
        <v>297294.28187273099</v>
      </c>
      <c r="IG487">
        <v>297294.28187273099</v>
      </c>
      <c r="IH487">
        <v>0</v>
      </c>
      <c r="II487">
        <v>308303.46933352202</v>
      </c>
      <c r="IJ487">
        <v>3919591.29782537</v>
      </c>
      <c r="IK487">
        <v>0</v>
      </c>
      <c r="IL487">
        <v>0</v>
      </c>
      <c r="IM487">
        <v>0</v>
      </c>
      <c r="IN487">
        <v>15723476.936009601</v>
      </c>
      <c r="IO487">
        <v>199899156.18909401</v>
      </c>
      <c r="IP487">
        <v>215622633.12510401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</row>
    <row r="488" spans="2:268" customFormat="1" x14ac:dyDescent="0.25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3"/>
      <c r="N488" s="3"/>
      <c r="O488" s="3"/>
      <c r="P488" s="2"/>
      <c r="Q488" s="2"/>
      <c r="R488" s="2"/>
      <c r="S488" s="2"/>
      <c r="T488" s="2"/>
      <c r="U488" s="2"/>
      <c r="V488" s="3"/>
      <c r="W488" s="3"/>
      <c r="X488" s="3"/>
      <c r="Y488" s="3"/>
      <c r="Z488" s="3"/>
      <c r="AA488" s="3"/>
      <c r="AB488" s="3"/>
      <c r="AC488" s="2"/>
      <c r="AD488" s="2"/>
      <c r="AE488" s="2"/>
      <c r="AF488" s="2"/>
      <c r="AG488" s="2"/>
      <c r="AH488" s="2"/>
      <c r="AI488" s="2"/>
      <c r="AJ488" s="3"/>
      <c r="AK488" s="2"/>
      <c r="AL488" s="2"/>
      <c r="AM488" s="2"/>
      <c r="AN488" s="2"/>
      <c r="AO488" s="3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3"/>
      <c r="BC488" s="3"/>
      <c r="BD488" s="3"/>
      <c r="BE488" s="3"/>
      <c r="BF488" s="3"/>
      <c r="BG488" s="3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2"/>
      <c r="DI488" s="2"/>
      <c r="DJ488" s="3"/>
      <c r="DK488" s="3"/>
      <c r="DL488" s="2"/>
      <c r="DM488" s="2"/>
      <c r="DN488" s="2"/>
      <c r="DO488" s="3"/>
      <c r="DP488" s="3"/>
      <c r="GO488" t="s">
        <v>139</v>
      </c>
      <c r="GP488" t="s">
        <v>135</v>
      </c>
      <c r="GQ488" t="s">
        <v>502</v>
      </c>
      <c r="GR488">
        <v>68</v>
      </c>
      <c r="GS488">
        <v>67</v>
      </c>
      <c r="GT488">
        <v>1</v>
      </c>
      <c r="GU488" t="s">
        <v>457</v>
      </c>
      <c r="GV488">
        <v>15723476.936009601</v>
      </c>
      <c r="GW488">
        <v>199899156.18909401</v>
      </c>
      <c r="GX488">
        <v>215622633.12510401</v>
      </c>
      <c r="GY488">
        <v>0</v>
      </c>
      <c r="GZ488">
        <v>215622633.12510401</v>
      </c>
      <c r="HA488">
        <v>215622633.12510401</v>
      </c>
      <c r="HB488">
        <v>0</v>
      </c>
      <c r="HC488">
        <v>0</v>
      </c>
      <c r="HD488" t="s">
        <v>137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0.02</v>
      </c>
      <c r="HX488">
        <v>0.99098093957577105</v>
      </c>
      <c r="HY488">
        <v>1</v>
      </c>
      <c r="HZ488">
        <v>300000</v>
      </c>
      <c r="IA488">
        <v>0</v>
      </c>
      <c r="IB488">
        <v>0</v>
      </c>
      <c r="IC488">
        <v>0</v>
      </c>
      <c r="ID488">
        <v>0</v>
      </c>
      <c r="IE488">
        <v>300000</v>
      </c>
      <c r="IF488">
        <v>297294.28187273099</v>
      </c>
      <c r="IG488">
        <v>297294.28187273099</v>
      </c>
      <c r="IH488">
        <v>0</v>
      </c>
      <c r="II488">
        <v>308523.65308273799</v>
      </c>
      <c r="IJ488">
        <v>3997983.1237818799</v>
      </c>
      <c r="IK488">
        <v>0</v>
      </c>
      <c r="IL488">
        <v>0</v>
      </c>
      <c r="IM488">
        <v>0</v>
      </c>
      <c r="IN488">
        <v>15734706.307219701</v>
      </c>
      <c r="IO488">
        <v>203897139.31287599</v>
      </c>
      <c r="IP488">
        <v>219631845.62009501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</row>
    <row r="489" spans="2:268" customFormat="1" x14ac:dyDescent="0.25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3"/>
      <c r="N489" s="3"/>
      <c r="O489" s="3"/>
      <c r="P489" s="2"/>
      <c r="Q489" s="2"/>
      <c r="R489" s="2"/>
      <c r="S489" s="2"/>
      <c r="T489" s="2"/>
      <c r="U489" s="2"/>
      <c r="V489" s="3"/>
      <c r="W489" s="3"/>
      <c r="X489" s="3"/>
      <c r="Y489" s="3"/>
      <c r="Z489" s="3"/>
      <c r="AA489" s="3"/>
      <c r="AB489" s="3"/>
      <c r="AC489" s="2"/>
      <c r="AD489" s="2"/>
      <c r="AE489" s="2"/>
      <c r="AF489" s="2"/>
      <c r="AG489" s="2"/>
      <c r="AH489" s="2"/>
      <c r="AI489" s="2"/>
      <c r="AJ489" s="3"/>
      <c r="AK489" s="2"/>
      <c r="AL489" s="2"/>
      <c r="AM489" s="2"/>
      <c r="AN489" s="2"/>
      <c r="AO489" s="3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3"/>
      <c r="BC489" s="3"/>
      <c r="BD489" s="3"/>
      <c r="BE489" s="3"/>
      <c r="BF489" s="3"/>
      <c r="BG489" s="3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2"/>
      <c r="DI489" s="2"/>
      <c r="DJ489" s="3"/>
      <c r="DK489" s="3"/>
      <c r="DL489" s="2"/>
      <c r="DM489" s="2"/>
      <c r="DN489" s="2"/>
      <c r="DO489" s="3"/>
      <c r="DP489" s="3"/>
      <c r="GO489" t="s">
        <v>139</v>
      </c>
      <c r="GP489" t="s">
        <v>135</v>
      </c>
      <c r="GQ489" t="s">
        <v>502</v>
      </c>
      <c r="GR489">
        <v>69</v>
      </c>
      <c r="GS489">
        <v>68</v>
      </c>
      <c r="GT489">
        <v>1</v>
      </c>
      <c r="GU489" t="s">
        <v>457</v>
      </c>
      <c r="GV489">
        <v>15734706.307219701</v>
      </c>
      <c r="GW489">
        <v>203897139.31287599</v>
      </c>
      <c r="GX489">
        <v>219631845.62009501</v>
      </c>
      <c r="GY489">
        <v>0</v>
      </c>
      <c r="GZ489">
        <v>219631845.62009501</v>
      </c>
      <c r="HA489">
        <v>219631845.62009501</v>
      </c>
      <c r="HB489">
        <v>0</v>
      </c>
      <c r="HC489">
        <v>0</v>
      </c>
      <c r="HD489" t="s">
        <v>137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0.02</v>
      </c>
      <c r="HX489">
        <v>0.99098093957577105</v>
      </c>
      <c r="HY489">
        <v>1</v>
      </c>
      <c r="HZ489">
        <v>300000</v>
      </c>
      <c r="IA489">
        <v>0</v>
      </c>
      <c r="IB489">
        <v>0</v>
      </c>
      <c r="IC489">
        <v>0</v>
      </c>
      <c r="ID489">
        <v>0</v>
      </c>
      <c r="IE489">
        <v>300000</v>
      </c>
      <c r="IF489">
        <v>297294.28187273099</v>
      </c>
      <c r="IG489">
        <v>297294.28187273099</v>
      </c>
      <c r="IH489">
        <v>0</v>
      </c>
      <c r="II489">
        <v>308748.24050693802</v>
      </c>
      <c r="IJ489">
        <v>4077942.7862575199</v>
      </c>
      <c r="IK489">
        <v>0</v>
      </c>
      <c r="IL489">
        <v>0</v>
      </c>
      <c r="IM489">
        <v>0</v>
      </c>
      <c r="IN489">
        <v>15746160.2658539</v>
      </c>
      <c r="IO489">
        <v>207975082.09913301</v>
      </c>
      <c r="IP489">
        <v>223721242.36498699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</row>
    <row r="490" spans="2:268" customFormat="1" x14ac:dyDescent="0.25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3"/>
      <c r="N490" s="3"/>
      <c r="O490" s="3"/>
      <c r="P490" s="2"/>
      <c r="Q490" s="2"/>
      <c r="R490" s="2"/>
      <c r="S490" s="2"/>
      <c r="T490" s="2"/>
      <c r="U490" s="2"/>
      <c r="V490" s="3"/>
      <c r="W490" s="3"/>
      <c r="X490" s="3"/>
      <c r="Y490" s="3"/>
      <c r="Z490" s="3"/>
      <c r="AA490" s="3"/>
      <c r="AB490" s="3"/>
      <c r="AC490" s="2"/>
      <c r="AD490" s="2"/>
      <c r="AE490" s="2"/>
      <c r="AF490" s="2"/>
      <c r="AG490" s="2"/>
      <c r="AH490" s="2"/>
      <c r="AI490" s="2"/>
      <c r="AJ490" s="3"/>
      <c r="AK490" s="2"/>
      <c r="AL490" s="2"/>
      <c r="AM490" s="2"/>
      <c r="AN490" s="2"/>
      <c r="AO490" s="3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3"/>
      <c r="BC490" s="3"/>
      <c r="BD490" s="3"/>
      <c r="BE490" s="3"/>
      <c r="BF490" s="3"/>
      <c r="BG490" s="3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2"/>
      <c r="DI490" s="2"/>
      <c r="DJ490" s="3"/>
      <c r="DK490" s="3"/>
      <c r="DL490" s="2"/>
      <c r="DM490" s="2"/>
      <c r="DN490" s="2"/>
      <c r="DO490" s="3"/>
      <c r="DP490" s="3"/>
      <c r="GO490" t="s">
        <v>139</v>
      </c>
      <c r="GP490" t="s">
        <v>135</v>
      </c>
      <c r="GQ490" t="s">
        <v>502</v>
      </c>
      <c r="GR490">
        <v>70</v>
      </c>
      <c r="GS490">
        <v>69</v>
      </c>
      <c r="GT490">
        <v>1</v>
      </c>
      <c r="GU490" t="s">
        <v>457</v>
      </c>
      <c r="GV490">
        <v>15746160.2658539</v>
      </c>
      <c r="GW490">
        <v>207975082.09913301</v>
      </c>
      <c r="GX490">
        <v>223721242.36498699</v>
      </c>
      <c r="GY490">
        <v>0</v>
      </c>
      <c r="GZ490">
        <v>223721242.36498699</v>
      </c>
      <c r="HA490">
        <v>223721242.36498699</v>
      </c>
      <c r="HB490">
        <v>0</v>
      </c>
      <c r="HC490">
        <v>0</v>
      </c>
      <c r="HD490" t="s">
        <v>137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0.02</v>
      </c>
      <c r="HX490">
        <v>0.99098093957577105</v>
      </c>
      <c r="HY490">
        <v>1</v>
      </c>
      <c r="HZ490">
        <v>300000</v>
      </c>
      <c r="IA490">
        <v>0</v>
      </c>
      <c r="IB490">
        <v>0</v>
      </c>
      <c r="IC490">
        <v>0</v>
      </c>
      <c r="ID490">
        <v>0</v>
      </c>
      <c r="IE490">
        <v>300000</v>
      </c>
      <c r="IF490">
        <v>297294.28187273099</v>
      </c>
      <c r="IG490">
        <v>297294.28187273099</v>
      </c>
      <c r="IH490">
        <v>0</v>
      </c>
      <c r="II490">
        <v>308977.319679623</v>
      </c>
      <c r="IJ490">
        <v>4159501.6419826699</v>
      </c>
      <c r="IK490">
        <v>0</v>
      </c>
      <c r="IL490">
        <v>0</v>
      </c>
      <c r="IM490">
        <v>0</v>
      </c>
      <c r="IN490">
        <v>15757843.303660801</v>
      </c>
      <c r="IO490">
        <v>212134583.74111599</v>
      </c>
      <c r="IP490">
        <v>227892427.04477701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</row>
    <row r="491" spans="2:268" customFormat="1" x14ac:dyDescent="0.25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3"/>
      <c r="N491" s="3"/>
      <c r="O491" s="3"/>
      <c r="P491" s="2"/>
      <c r="Q491" s="2"/>
      <c r="R491" s="2"/>
      <c r="S491" s="2"/>
      <c r="T491" s="2"/>
      <c r="U491" s="2"/>
      <c r="V491" s="3"/>
      <c r="W491" s="3"/>
      <c r="X491" s="3"/>
      <c r="Y491" s="3"/>
      <c r="Z491" s="3"/>
      <c r="AA491" s="3"/>
      <c r="AB491" s="3"/>
      <c r="AC491" s="2"/>
      <c r="AD491" s="2"/>
      <c r="AE491" s="2"/>
      <c r="AF491" s="2"/>
      <c r="AG491" s="2"/>
      <c r="AH491" s="2"/>
      <c r="AI491" s="2"/>
      <c r="AJ491" s="3"/>
      <c r="AK491" s="2"/>
      <c r="AL491" s="2"/>
      <c r="AM491" s="2"/>
      <c r="AN491" s="2"/>
      <c r="AO491" s="3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3"/>
      <c r="BC491" s="3"/>
      <c r="BD491" s="3"/>
      <c r="BE491" s="3"/>
      <c r="BF491" s="3"/>
      <c r="BG491" s="3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2"/>
      <c r="DI491" s="2"/>
      <c r="DJ491" s="3"/>
      <c r="DK491" s="3"/>
      <c r="DL491" s="2"/>
      <c r="DM491" s="2"/>
      <c r="DN491" s="2"/>
      <c r="DO491" s="3"/>
      <c r="DP491" s="3"/>
      <c r="GO491" t="s">
        <v>139</v>
      </c>
      <c r="GP491" t="s">
        <v>135</v>
      </c>
      <c r="GQ491" t="s">
        <v>502</v>
      </c>
      <c r="GR491">
        <v>71</v>
      </c>
      <c r="GS491">
        <v>70</v>
      </c>
      <c r="GT491">
        <v>1</v>
      </c>
      <c r="GU491" t="s">
        <v>457</v>
      </c>
      <c r="GV491">
        <v>15757843.303660801</v>
      </c>
      <c r="GW491">
        <v>212134583.74111599</v>
      </c>
      <c r="GX491">
        <v>227892427.04477701</v>
      </c>
      <c r="GY491">
        <v>0</v>
      </c>
      <c r="GZ491">
        <v>227892427.04477701</v>
      </c>
      <c r="HA491">
        <v>227892427.04477701</v>
      </c>
      <c r="HB491">
        <v>0</v>
      </c>
      <c r="HC491">
        <v>0</v>
      </c>
      <c r="HD491" t="s">
        <v>137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0.02</v>
      </c>
      <c r="HX491">
        <v>0.99098093957577105</v>
      </c>
      <c r="HY491">
        <v>1</v>
      </c>
      <c r="HZ491">
        <v>300000</v>
      </c>
      <c r="IA491">
        <v>0</v>
      </c>
      <c r="IB491">
        <v>0</v>
      </c>
      <c r="IC491">
        <v>0</v>
      </c>
      <c r="ID491">
        <v>0</v>
      </c>
      <c r="IE491">
        <v>300000</v>
      </c>
      <c r="IF491">
        <v>297294.28187273099</v>
      </c>
      <c r="IG491">
        <v>297294.28187273099</v>
      </c>
      <c r="IH491">
        <v>0</v>
      </c>
      <c r="II491">
        <v>309210.98043575999</v>
      </c>
      <c r="IJ491">
        <v>4242691.6748223202</v>
      </c>
      <c r="IK491">
        <v>0</v>
      </c>
      <c r="IL491">
        <v>0</v>
      </c>
      <c r="IM491">
        <v>0</v>
      </c>
      <c r="IN491">
        <v>15769760.002223801</v>
      </c>
      <c r="IO491">
        <v>216377275.41593799</v>
      </c>
      <c r="IP491">
        <v>232147035.41816199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</row>
    <row r="492" spans="2:268" customFormat="1" x14ac:dyDescent="0.25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3"/>
      <c r="N492" s="3"/>
      <c r="O492" s="3"/>
      <c r="P492" s="2"/>
      <c r="Q492" s="2"/>
      <c r="R492" s="2"/>
      <c r="S492" s="2"/>
      <c r="T492" s="2"/>
      <c r="U492" s="2"/>
      <c r="V492" s="3"/>
      <c r="W492" s="3"/>
      <c r="X492" s="3"/>
      <c r="Y492" s="3"/>
      <c r="Z492" s="3"/>
      <c r="AA492" s="3"/>
      <c r="AB492" s="3"/>
      <c r="AC492" s="2"/>
      <c r="AD492" s="2"/>
      <c r="AE492" s="2"/>
      <c r="AF492" s="2"/>
      <c r="AG492" s="2"/>
      <c r="AH492" s="2"/>
      <c r="AI492" s="2"/>
      <c r="AJ492" s="3"/>
      <c r="AK492" s="2"/>
      <c r="AL492" s="2"/>
      <c r="AM492" s="2"/>
      <c r="AN492" s="2"/>
      <c r="AO492" s="3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3"/>
      <c r="BC492" s="3"/>
      <c r="BD492" s="3"/>
      <c r="BE492" s="3"/>
      <c r="BF492" s="3"/>
      <c r="BG492" s="3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2"/>
      <c r="DI492" s="2"/>
      <c r="DJ492" s="3"/>
      <c r="DK492" s="3"/>
      <c r="DL492" s="2"/>
      <c r="DM492" s="2"/>
      <c r="DN492" s="2"/>
      <c r="DO492" s="3"/>
      <c r="DP492" s="3"/>
      <c r="GO492" t="s">
        <v>139</v>
      </c>
      <c r="GP492" t="s">
        <v>135</v>
      </c>
      <c r="GQ492" t="s">
        <v>502</v>
      </c>
      <c r="GR492">
        <v>72</v>
      </c>
      <c r="GS492">
        <v>71</v>
      </c>
      <c r="GT492">
        <v>1</v>
      </c>
      <c r="GU492" t="s">
        <v>457</v>
      </c>
      <c r="GV492">
        <v>15769760.002223801</v>
      </c>
      <c r="GW492">
        <v>216377275.41593799</v>
      </c>
      <c r="GX492">
        <v>232147035.41816199</v>
      </c>
      <c r="GY492">
        <v>0</v>
      </c>
      <c r="GZ492">
        <v>232147035.41816199</v>
      </c>
      <c r="HA492">
        <v>232147035.41816199</v>
      </c>
      <c r="HB492">
        <v>0</v>
      </c>
      <c r="HC492">
        <v>0</v>
      </c>
      <c r="HD492" t="s">
        <v>137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0.02</v>
      </c>
      <c r="HX492">
        <v>0.99098093957577105</v>
      </c>
      <c r="HY492">
        <v>1</v>
      </c>
      <c r="HZ492">
        <v>300000</v>
      </c>
      <c r="IA492">
        <v>0</v>
      </c>
      <c r="IB492">
        <v>0</v>
      </c>
      <c r="IC492">
        <v>0</v>
      </c>
      <c r="ID492">
        <v>0</v>
      </c>
      <c r="IE492">
        <v>300000</v>
      </c>
      <c r="IF492">
        <v>297294.28187273099</v>
      </c>
      <c r="IG492">
        <v>297294.28187273099</v>
      </c>
      <c r="IH492">
        <v>0</v>
      </c>
      <c r="II492">
        <v>309449.31440702098</v>
      </c>
      <c r="IJ492">
        <v>4327545.5083187697</v>
      </c>
      <c r="IK492">
        <v>0</v>
      </c>
      <c r="IL492">
        <v>0</v>
      </c>
      <c r="IM492">
        <v>0</v>
      </c>
      <c r="IN492">
        <v>15781915.0347581</v>
      </c>
      <c r="IO492">
        <v>220704820.92425701</v>
      </c>
      <c r="IP492">
        <v>236486735.95901501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</row>
    <row r="493" spans="2:268" customFormat="1" x14ac:dyDescent="0.25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3"/>
      <c r="N493" s="3"/>
      <c r="O493" s="3"/>
      <c r="P493" s="2"/>
      <c r="Q493" s="2"/>
      <c r="R493" s="2"/>
      <c r="S493" s="2"/>
      <c r="T493" s="2"/>
      <c r="U493" s="2"/>
      <c r="V493" s="3"/>
      <c r="W493" s="3"/>
      <c r="X493" s="3"/>
      <c r="Y493" s="3"/>
      <c r="Z493" s="3"/>
      <c r="AA493" s="3"/>
      <c r="AB493" s="3"/>
      <c r="AC493" s="2"/>
      <c r="AD493" s="2"/>
      <c r="AE493" s="2"/>
      <c r="AF493" s="2"/>
      <c r="AG493" s="2"/>
      <c r="AH493" s="2"/>
      <c r="AI493" s="2"/>
      <c r="AJ493" s="3"/>
      <c r="AK493" s="2"/>
      <c r="AL493" s="2"/>
      <c r="AM493" s="2"/>
      <c r="AN493" s="2"/>
      <c r="AO493" s="3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3"/>
      <c r="BC493" s="3"/>
      <c r="BD493" s="3"/>
      <c r="BE493" s="3"/>
      <c r="BF493" s="3"/>
      <c r="BG493" s="3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2"/>
      <c r="DI493" s="2"/>
      <c r="DJ493" s="3"/>
      <c r="DK493" s="3"/>
      <c r="DL493" s="2"/>
      <c r="DM493" s="2"/>
      <c r="DN493" s="2"/>
      <c r="DO493" s="3"/>
      <c r="DP493" s="3"/>
      <c r="GO493" t="s">
        <v>139</v>
      </c>
      <c r="GP493" t="s">
        <v>135</v>
      </c>
      <c r="GQ493" t="s">
        <v>502</v>
      </c>
      <c r="GR493">
        <v>73</v>
      </c>
      <c r="GS493">
        <v>72</v>
      </c>
      <c r="GT493">
        <v>1</v>
      </c>
      <c r="GU493" t="s">
        <v>457</v>
      </c>
      <c r="GV493">
        <v>15781915.0347581</v>
      </c>
      <c r="GW493">
        <v>220704820.92425701</v>
      </c>
      <c r="GX493">
        <v>236486735.95901501</v>
      </c>
      <c r="GY493">
        <v>0</v>
      </c>
      <c r="GZ493">
        <v>236486735.95901501</v>
      </c>
      <c r="HA493">
        <v>236486735.95901501</v>
      </c>
      <c r="HB493">
        <v>0</v>
      </c>
      <c r="HC493">
        <v>0</v>
      </c>
      <c r="HD493" t="s">
        <v>137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0.02</v>
      </c>
      <c r="HX493">
        <v>0.99098093957577105</v>
      </c>
      <c r="HY493">
        <v>1</v>
      </c>
      <c r="HZ493">
        <v>300000</v>
      </c>
      <c r="IA493">
        <v>0</v>
      </c>
      <c r="IB493">
        <v>0</v>
      </c>
      <c r="IC493">
        <v>0</v>
      </c>
      <c r="ID493">
        <v>0</v>
      </c>
      <c r="IE493">
        <v>300000</v>
      </c>
      <c r="IF493">
        <v>297294.28187273099</v>
      </c>
      <c r="IG493">
        <v>297294.28187273099</v>
      </c>
      <c r="IH493">
        <v>0</v>
      </c>
      <c r="II493">
        <v>309692.415057707</v>
      </c>
      <c r="IJ493">
        <v>4414096.4184851404</v>
      </c>
      <c r="IK493">
        <v>0</v>
      </c>
      <c r="IL493">
        <v>0</v>
      </c>
      <c r="IM493">
        <v>0</v>
      </c>
      <c r="IN493">
        <v>15794313.167943001</v>
      </c>
      <c r="IO493">
        <v>225118917.342742</v>
      </c>
      <c r="IP493">
        <v>240913230.510685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</row>
    <row r="494" spans="2:268" customFormat="1" x14ac:dyDescent="0.25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3"/>
      <c r="N494" s="3"/>
      <c r="O494" s="3"/>
      <c r="P494" s="2"/>
      <c r="Q494" s="2"/>
      <c r="R494" s="2"/>
      <c r="S494" s="2"/>
      <c r="T494" s="2"/>
      <c r="U494" s="2"/>
      <c r="V494" s="3"/>
      <c r="W494" s="3"/>
      <c r="X494" s="3"/>
      <c r="Y494" s="3"/>
      <c r="Z494" s="3"/>
      <c r="AA494" s="3"/>
      <c r="AB494" s="3"/>
      <c r="AC494" s="2"/>
      <c r="AD494" s="2"/>
      <c r="AE494" s="2"/>
      <c r="AF494" s="2"/>
      <c r="AG494" s="2"/>
      <c r="AH494" s="2"/>
      <c r="AI494" s="2"/>
      <c r="AJ494" s="3"/>
      <c r="AK494" s="2"/>
      <c r="AL494" s="2"/>
      <c r="AM494" s="2"/>
      <c r="AN494" s="2"/>
      <c r="AO494" s="3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3"/>
      <c r="BC494" s="3"/>
      <c r="BD494" s="3"/>
      <c r="BE494" s="3"/>
      <c r="BF494" s="3"/>
      <c r="BG494" s="3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2"/>
      <c r="DI494" s="2"/>
      <c r="DJ494" s="3"/>
      <c r="DK494" s="3"/>
      <c r="DL494" s="2"/>
      <c r="DM494" s="2"/>
      <c r="DN494" s="2"/>
      <c r="DO494" s="3"/>
      <c r="DP494" s="3"/>
      <c r="GO494" t="s">
        <v>139</v>
      </c>
      <c r="GP494" t="s">
        <v>135</v>
      </c>
      <c r="GQ494" t="s">
        <v>502</v>
      </c>
      <c r="GR494">
        <v>74</v>
      </c>
      <c r="GS494">
        <v>73</v>
      </c>
      <c r="GT494">
        <v>1</v>
      </c>
      <c r="GU494" t="s">
        <v>457</v>
      </c>
      <c r="GV494">
        <v>15794313.167943001</v>
      </c>
      <c r="GW494">
        <v>225118917.342742</v>
      </c>
      <c r="GX494">
        <v>240913230.510685</v>
      </c>
      <c r="GY494">
        <v>0</v>
      </c>
      <c r="GZ494">
        <v>240913230.510685</v>
      </c>
      <c r="HA494">
        <v>240913230.510685</v>
      </c>
      <c r="HB494">
        <v>0</v>
      </c>
      <c r="HC494">
        <v>0</v>
      </c>
      <c r="HD494" t="s">
        <v>137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0.02</v>
      </c>
      <c r="HX494">
        <v>0.99098093957577105</v>
      </c>
      <c r="HY494">
        <v>1</v>
      </c>
      <c r="HZ494">
        <v>300000</v>
      </c>
      <c r="IA494">
        <v>0</v>
      </c>
      <c r="IB494">
        <v>0</v>
      </c>
      <c r="IC494">
        <v>0</v>
      </c>
      <c r="ID494">
        <v>0</v>
      </c>
      <c r="IE494">
        <v>300000</v>
      </c>
      <c r="IF494">
        <v>297294.28187273099</v>
      </c>
      <c r="IG494">
        <v>297294.28187273099</v>
      </c>
      <c r="IH494">
        <v>0</v>
      </c>
      <c r="II494">
        <v>309940.377721406</v>
      </c>
      <c r="IJ494">
        <v>4502378.3468548497</v>
      </c>
      <c r="IK494">
        <v>0</v>
      </c>
      <c r="IL494">
        <v>0</v>
      </c>
      <c r="IM494">
        <v>0</v>
      </c>
      <c r="IN494">
        <v>15806959.263791701</v>
      </c>
      <c r="IO494">
        <v>229621295.68959701</v>
      </c>
      <c r="IP494">
        <v>245428254.95338899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</row>
    <row r="495" spans="2:268" customFormat="1" x14ac:dyDescent="0.25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3"/>
      <c r="N495" s="3"/>
      <c r="O495" s="3"/>
      <c r="P495" s="2"/>
      <c r="Q495" s="2"/>
      <c r="R495" s="2"/>
      <c r="S495" s="2"/>
      <c r="T495" s="2"/>
      <c r="U495" s="2"/>
      <c r="V495" s="3"/>
      <c r="W495" s="3"/>
      <c r="X495" s="3"/>
      <c r="Y495" s="3"/>
      <c r="Z495" s="3"/>
      <c r="AA495" s="3"/>
      <c r="AB495" s="3"/>
      <c r="AC495" s="2"/>
      <c r="AD495" s="2"/>
      <c r="AE495" s="2"/>
      <c r="AF495" s="2"/>
      <c r="AG495" s="2"/>
      <c r="AH495" s="2"/>
      <c r="AI495" s="2"/>
      <c r="AJ495" s="3"/>
      <c r="AK495" s="2"/>
      <c r="AL495" s="2"/>
      <c r="AM495" s="2"/>
      <c r="AN495" s="2"/>
      <c r="AO495" s="3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3"/>
      <c r="BC495" s="3"/>
      <c r="BD495" s="3"/>
      <c r="BE495" s="3"/>
      <c r="BF495" s="3"/>
      <c r="BG495" s="3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2"/>
      <c r="DI495" s="2"/>
      <c r="DJ495" s="3"/>
      <c r="DK495" s="3"/>
      <c r="DL495" s="2"/>
      <c r="DM495" s="2"/>
      <c r="DN495" s="2"/>
      <c r="DO495" s="3"/>
      <c r="DP495" s="3"/>
      <c r="GO495" t="s">
        <v>139</v>
      </c>
      <c r="GP495" t="s">
        <v>135</v>
      </c>
      <c r="GQ495" t="s">
        <v>502</v>
      </c>
      <c r="GR495">
        <v>75</v>
      </c>
      <c r="GS495">
        <v>74</v>
      </c>
      <c r="GT495">
        <v>1</v>
      </c>
      <c r="GU495" t="s">
        <v>457</v>
      </c>
      <c r="GV495">
        <v>15806959.263791701</v>
      </c>
      <c r="GW495">
        <v>229621295.68959701</v>
      </c>
      <c r="GX495">
        <v>245428254.95338899</v>
      </c>
      <c r="GY495">
        <v>0</v>
      </c>
      <c r="GZ495">
        <v>245428254.95338899</v>
      </c>
      <c r="HA495">
        <v>245428254.95338899</v>
      </c>
      <c r="HB495">
        <v>0</v>
      </c>
      <c r="HC495">
        <v>0</v>
      </c>
      <c r="HD495" t="s">
        <v>137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0.02</v>
      </c>
      <c r="HX495">
        <v>0.99098093957577105</v>
      </c>
      <c r="HY495">
        <v>1</v>
      </c>
      <c r="HZ495">
        <v>300000</v>
      </c>
      <c r="IA495">
        <v>0</v>
      </c>
      <c r="IB495">
        <v>0</v>
      </c>
      <c r="IC495">
        <v>0</v>
      </c>
      <c r="ID495">
        <v>0</v>
      </c>
      <c r="IE495">
        <v>300000</v>
      </c>
      <c r="IF495">
        <v>297294.28187273099</v>
      </c>
      <c r="IG495">
        <v>297294.28187273099</v>
      </c>
      <c r="IH495">
        <v>0</v>
      </c>
      <c r="II495">
        <v>310193.29963838001</v>
      </c>
      <c r="IJ495">
        <v>4592425.9137919396</v>
      </c>
      <c r="IK495">
        <v>0</v>
      </c>
      <c r="IL495">
        <v>0</v>
      </c>
      <c r="IM495">
        <v>0</v>
      </c>
      <c r="IN495">
        <v>15819858.2815574</v>
      </c>
      <c r="IO495">
        <v>234213721.60338899</v>
      </c>
      <c r="IP495">
        <v>250033579.88494599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</row>
    <row r="496" spans="2:268" customFormat="1" x14ac:dyDescent="0.25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3"/>
      <c r="N496" s="3"/>
      <c r="O496" s="3"/>
      <c r="P496" s="2"/>
      <c r="Q496" s="2"/>
      <c r="R496" s="2"/>
      <c r="S496" s="2"/>
      <c r="T496" s="2"/>
      <c r="U496" s="2"/>
      <c r="V496" s="3"/>
      <c r="W496" s="3"/>
      <c r="X496" s="3"/>
      <c r="Y496" s="3"/>
      <c r="Z496" s="3"/>
      <c r="AA496" s="3"/>
      <c r="AB496" s="3"/>
      <c r="AC496" s="2"/>
      <c r="AD496" s="2"/>
      <c r="AE496" s="2"/>
      <c r="AF496" s="2"/>
      <c r="AG496" s="2"/>
      <c r="AH496" s="2"/>
      <c r="AI496" s="2"/>
      <c r="AJ496" s="3"/>
      <c r="AK496" s="2"/>
      <c r="AL496" s="2"/>
      <c r="AM496" s="2"/>
      <c r="AN496" s="2"/>
      <c r="AO496" s="3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3"/>
      <c r="BC496" s="3"/>
      <c r="BD496" s="3"/>
      <c r="BE496" s="3"/>
      <c r="BF496" s="3"/>
      <c r="BG496" s="3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2"/>
      <c r="DI496" s="2"/>
      <c r="DJ496" s="3"/>
      <c r="DK496" s="3"/>
      <c r="DL496" s="2"/>
      <c r="DM496" s="2"/>
      <c r="DN496" s="2"/>
      <c r="DO496" s="3"/>
      <c r="DP496" s="3"/>
      <c r="GO496" t="s">
        <v>139</v>
      </c>
      <c r="GP496" t="s">
        <v>135</v>
      </c>
      <c r="GQ496" t="s">
        <v>502</v>
      </c>
      <c r="GR496">
        <v>76</v>
      </c>
      <c r="GS496">
        <v>75</v>
      </c>
      <c r="GT496">
        <v>1</v>
      </c>
      <c r="GU496" t="s">
        <v>457</v>
      </c>
      <c r="GV496">
        <v>15819858.2815574</v>
      </c>
      <c r="GW496">
        <v>234213721.60338899</v>
      </c>
      <c r="GX496">
        <v>250033579.88494599</v>
      </c>
      <c r="GY496">
        <v>0</v>
      </c>
      <c r="GZ496">
        <v>250033579.88494599</v>
      </c>
      <c r="HA496">
        <v>250033579.88494599</v>
      </c>
      <c r="HB496">
        <v>0</v>
      </c>
      <c r="HC496">
        <v>0</v>
      </c>
      <c r="HD496" t="s">
        <v>137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0.02</v>
      </c>
      <c r="HX496">
        <v>0.99098093957577105</v>
      </c>
      <c r="HY496">
        <v>1</v>
      </c>
      <c r="HZ496">
        <v>300000</v>
      </c>
      <c r="IA496">
        <v>0</v>
      </c>
      <c r="IB496">
        <v>0</v>
      </c>
      <c r="IC496">
        <v>0</v>
      </c>
      <c r="ID496">
        <v>0</v>
      </c>
      <c r="IE496">
        <v>300000</v>
      </c>
      <c r="IF496">
        <v>297294.28187273099</v>
      </c>
      <c r="IG496">
        <v>297294.28187273099</v>
      </c>
      <c r="IH496">
        <v>0</v>
      </c>
      <c r="II496">
        <v>310451.279993693</v>
      </c>
      <c r="IJ496">
        <v>4684274.4320677798</v>
      </c>
      <c r="IK496">
        <v>0</v>
      </c>
      <c r="IL496">
        <v>0</v>
      </c>
      <c r="IM496">
        <v>0</v>
      </c>
      <c r="IN496">
        <v>15833015.2796783</v>
      </c>
      <c r="IO496">
        <v>238897996.03545699</v>
      </c>
      <c r="IP496">
        <v>254731011.315135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</row>
    <row r="497" spans="2:268" customFormat="1" x14ac:dyDescent="0.25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3"/>
      <c r="N497" s="3"/>
      <c r="O497" s="3"/>
      <c r="P497" s="2"/>
      <c r="Q497" s="2"/>
      <c r="R497" s="2"/>
      <c r="S497" s="2"/>
      <c r="T497" s="2"/>
      <c r="U497" s="2"/>
      <c r="V497" s="3"/>
      <c r="W497" s="3"/>
      <c r="X497" s="3"/>
      <c r="Y497" s="3"/>
      <c r="Z497" s="3"/>
      <c r="AA497" s="3"/>
      <c r="AB497" s="3"/>
      <c r="AC497" s="2"/>
      <c r="AD497" s="2"/>
      <c r="AE497" s="2"/>
      <c r="AF497" s="2"/>
      <c r="AG497" s="2"/>
      <c r="AH497" s="2"/>
      <c r="AI497" s="2"/>
      <c r="AJ497" s="3"/>
      <c r="AK497" s="2"/>
      <c r="AL497" s="2"/>
      <c r="AM497" s="2"/>
      <c r="AN497" s="2"/>
      <c r="AO497" s="3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3"/>
      <c r="BC497" s="3"/>
      <c r="BD497" s="3"/>
      <c r="BE497" s="3"/>
      <c r="BF497" s="3"/>
      <c r="BG497" s="3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2"/>
      <c r="DI497" s="2"/>
      <c r="DJ497" s="3"/>
      <c r="DK497" s="3"/>
      <c r="DL497" s="2"/>
      <c r="DM497" s="2"/>
      <c r="DN497" s="2"/>
      <c r="DO497" s="3"/>
      <c r="DP497" s="3"/>
      <c r="GO497" t="s">
        <v>139</v>
      </c>
      <c r="GP497" t="s">
        <v>135</v>
      </c>
      <c r="GQ497" t="s">
        <v>502</v>
      </c>
      <c r="GR497">
        <v>77</v>
      </c>
      <c r="GS497">
        <v>76</v>
      </c>
      <c r="GT497">
        <v>1</v>
      </c>
      <c r="GU497" t="s">
        <v>457</v>
      </c>
      <c r="GV497">
        <v>15833015.2796783</v>
      </c>
      <c r="GW497">
        <v>238897996.03545699</v>
      </c>
      <c r="GX497">
        <v>254731011.315135</v>
      </c>
      <c r="GY497">
        <v>0</v>
      </c>
      <c r="GZ497">
        <v>254731011.315135</v>
      </c>
      <c r="HA497">
        <v>254731011.315135</v>
      </c>
      <c r="HB497">
        <v>0</v>
      </c>
      <c r="HC497">
        <v>0</v>
      </c>
      <c r="HD497" t="s">
        <v>137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0.02</v>
      </c>
      <c r="HX497">
        <v>0.99098093957577105</v>
      </c>
      <c r="HY497">
        <v>1</v>
      </c>
      <c r="HZ497">
        <v>300000</v>
      </c>
      <c r="IA497">
        <v>0</v>
      </c>
      <c r="IB497">
        <v>0</v>
      </c>
      <c r="IC497">
        <v>0</v>
      </c>
      <c r="ID497">
        <v>0</v>
      </c>
      <c r="IE497">
        <v>300000</v>
      </c>
      <c r="IF497">
        <v>297294.28187273099</v>
      </c>
      <c r="IG497">
        <v>297294.28187273099</v>
      </c>
      <c r="IH497">
        <v>0</v>
      </c>
      <c r="II497">
        <v>310714.41995611199</v>
      </c>
      <c r="IJ497">
        <v>4777959.9207091397</v>
      </c>
      <c r="IK497">
        <v>0</v>
      </c>
      <c r="IL497">
        <v>0</v>
      </c>
      <c r="IM497">
        <v>0</v>
      </c>
      <c r="IN497">
        <v>15846435.4177617</v>
      </c>
      <c r="IO497">
        <v>243675955.956166</v>
      </c>
      <c r="IP497">
        <v>259522391.37392801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</row>
    <row r="498" spans="2:268" customFormat="1" x14ac:dyDescent="0.25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3"/>
      <c r="N498" s="3"/>
      <c r="O498" s="3"/>
      <c r="P498" s="2"/>
      <c r="Q498" s="2"/>
      <c r="R498" s="2"/>
      <c r="S498" s="2"/>
      <c r="T498" s="2"/>
      <c r="U498" s="2"/>
      <c r="V498" s="3"/>
      <c r="W498" s="3"/>
      <c r="X498" s="3"/>
      <c r="Y498" s="3"/>
      <c r="Z498" s="3"/>
      <c r="AA498" s="3"/>
      <c r="AB498" s="3"/>
      <c r="AC498" s="2"/>
      <c r="AD498" s="2"/>
      <c r="AE498" s="2"/>
      <c r="AF498" s="2"/>
      <c r="AG498" s="2"/>
      <c r="AH498" s="2"/>
      <c r="AI498" s="2"/>
      <c r="AJ498" s="3"/>
      <c r="AK498" s="2"/>
      <c r="AL498" s="2"/>
      <c r="AM498" s="2"/>
      <c r="AN498" s="2"/>
      <c r="AO498" s="3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3"/>
      <c r="BC498" s="3"/>
      <c r="BD498" s="3"/>
      <c r="BE498" s="3"/>
      <c r="BF498" s="3"/>
      <c r="BG498" s="3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2"/>
      <c r="DI498" s="2"/>
      <c r="DJ498" s="3"/>
      <c r="DK498" s="3"/>
      <c r="DL498" s="2"/>
      <c r="DM498" s="2"/>
      <c r="DN498" s="2"/>
      <c r="DO498" s="3"/>
      <c r="DP498" s="3"/>
      <c r="GO498" t="s">
        <v>139</v>
      </c>
      <c r="GP498" t="s">
        <v>135</v>
      </c>
      <c r="GQ498" t="s">
        <v>502</v>
      </c>
      <c r="GR498">
        <v>78</v>
      </c>
      <c r="GS498">
        <v>77</v>
      </c>
      <c r="GT498">
        <v>1</v>
      </c>
      <c r="GU498" t="s">
        <v>457</v>
      </c>
      <c r="GV498">
        <v>15846435.4177617</v>
      </c>
      <c r="GW498">
        <v>243675955.956166</v>
      </c>
      <c r="GX498">
        <v>259522391.37392801</v>
      </c>
      <c r="GY498">
        <v>0</v>
      </c>
      <c r="GZ498">
        <v>259522391.37392801</v>
      </c>
      <c r="HA498">
        <v>259522391.37392801</v>
      </c>
      <c r="HB498">
        <v>0</v>
      </c>
      <c r="HC498">
        <v>0</v>
      </c>
      <c r="HD498" t="s">
        <v>137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0.02</v>
      </c>
      <c r="HX498">
        <v>0.99098093957577105</v>
      </c>
      <c r="HY498">
        <v>1</v>
      </c>
      <c r="HZ498">
        <v>300000</v>
      </c>
      <c r="IA498">
        <v>0</v>
      </c>
      <c r="IB498">
        <v>0</v>
      </c>
      <c r="IC498">
        <v>0</v>
      </c>
      <c r="ID498">
        <v>0</v>
      </c>
      <c r="IE498">
        <v>300000</v>
      </c>
      <c r="IF498">
        <v>297294.28187273099</v>
      </c>
      <c r="IG498">
        <v>297294.28187273099</v>
      </c>
      <c r="IH498">
        <v>0</v>
      </c>
      <c r="II498">
        <v>310982.82271778001</v>
      </c>
      <c r="IJ498">
        <v>4873519.1191233201</v>
      </c>
      <c r="IK498">
        <v>0</v>
      </c>
      <c r="IL498">
        <v>0</v>
      </c>
      <c r="IM498">
        <v>0</v>
      </c>
      <c r="IN498">
        <v>15860123.9586068</v>
      </c>
      <c r="IO498">
        <v>248549475.07528901</v>
      </c>
      <c r="IP498">
        <v>264409599.033896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</row>
    <row r="499" spans="2:268" customFormat="1" x14ac:dyDescent="0.25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3"/>
      <c r="N499" s="3"/>
      <c r="O499" s="3"/>
      <c r="P499" s="2"/>
      <c r="Q499" s="2"/>
      <c r="R499" s="2"/>
      <c r="S499" s="2"/>
      <c r="T499" s="2"/>
      <c r="U499" s="2"/>
      <c r="V499" s="3"/>
      <c r="W499" s="3"/>
      <c r="X499" s="3"/>
      <c r="Y499" s="3"/>
      <c r="Z499" s="3"/>
      <c r="AA499" s="3"/>
      <c r="AB499" s="3"/>
      <c r="AC499" s="2"/>
      <c r="AD499" s="2"/>
      <c r="AE499" s="2"/>
      <c r="AF499" s="2"/>
      <c r="AG499" s="2"/>
      <c r="AH499" s="2"/>
      <c r="AI499" s="2"/>
      <c r="AJ499" s="3"/>
      <c r="AK499" s="2"/>
      <c r="AL499" s="2"/>
      <c r="AM499" s="2"/>
      <c r="AN499" s="2"/>
      <c r="AO499" s="3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3"/>
      <c r="BC499" s="3"/>
      <c r="BD499" s="3"/>
      <c r="BE499" s="3"/>
      <c r="BF499" s="3"/>
      <c r="BG499" s="3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2"/>
      <c r="DI499" s="2"/>
      <c r="DJ499" s="3"/>
      <c r="DK499" s="3"/>
      <c r="DL499" s="2"/>
      <c r="DM499" s="2"/>
      <c r="DN499" s="2"/>
      <c r="DO499" s="3"/>
      <c r="DP499" s="3"/>
      <c r="GO499" t="s">
        <v>139</v>
      </c>
      <c r="GP499" t="s">
        <v>135</v>
      </c>
      <c r="GQ499" t="s">
        <v>502</v>
      </c>
      <c r="GR499">
        <v>79</v>
      </c>
      <c r="GS499">
        <v>78</v>
      </c>
      <c r="GT499">
        <v>1</v>
      </c>
      <c r="GU499" t="s">
        <v>457</v>
      </c>
      <c r="GV499">
        <v>15860123.9586068</v>
      </c>
      <c r="GW499">
        <v>248549475.07528901</v>
      </c>
      <c r="GX499">
        <v>264409599.033896</v>
      </c>
      <c r="GY499">
        <v>0</v>
      </c>
      <c r="GZ499">
        <v>264409599.033896</v>
      </c>
      <c r="HA499">
        <v>264409599.033896</v>
      </c>
      <c r="HB499">
        <v>0</v>
      </c>
      <c r="HC499">
        <v>0</v>
      </c>
      <c r="HD499" t="s">
        <v>137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0.02</v>
      </c>
      <c r="HX499">
        <v>0.99098093957577105</v>
      </c>
      <c r="HY499">
        <v>1</v>
      </c>
      <c r="HZ499">
        <v>300000</v>
      </c>
      <c r="IA499">
        <v>0</v>
      </c>
      <c r="IB499">
        <v>0</v>
      </c>
      <c r="IC499">
        <v>0</v>
      </c>
      <c r="ID499">
        <v>0</v>
      </c>
      <c r="IE499">
        <v>300000</v>
      </c>
      <c r="IF499">
        <v>297294.28187273099</v>
      </c>
      <c r="IG499">
        <v>297294.28187273099</v>
      </c>
      <c r="IH499">
        <v>0</v>
      </c>
      <c r="II499">
        <v>311256.59353468101</v>
      </c>
      <c r="IJ499">
        <v>4970989.50150578</v>
      </c>
      <c r="IK499">
        <v>0</v>
      </c>
      <c r="IL499">
        <v>0</v>
      </c>
      <c r="IM499">
        <v>0</v>
      </c>
      <c r="IN499">
        <v>15874086.270268699</v>
      </c>
      <c r="IO499">
        <v>253520464.57679501</v>
      </c>
      <c r="IP499">
        <v>269394550.84706402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</row>
    <row r="500" spans="2:268" customFormat="1" x14ac:dyDescent="0.25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3"/>
      <c r="N500" s="3"/>
      <c r="O500" s="3"/>
      <c r="P500" s="2"/>
      <c r="Q500" s="2"/>
      <c r="R500" s="2"/>
      <c r="S500" s="2"/>
      <c r="T500" s="2"/>
      <c r="U500" s="2"/>
      <c r="V500" s="3"/>
      <c r="W500" s="3"/>
      <c r="X500" s="3"/>
      <c r="Y500" s="3"/>
      <c r="Z500" s="3"/>
      <c r="AA500" s="3"/>
      <c r="AB500" s="3"/>
      <c r="AC500" s="2"/>
      <c r="AD500" s="2"/>
      <c r="AE500" s="2"/>
      <c r="AF500" s="2"/>
      <c r="AG500" s="2"/>
      <c r="AH500" s="2"/>
      <c r="AI500" s="2"/>
      <c r="AJ500" s="3"/>
      <c r="AK500" s="2"/>
      <c r="AL500" s="2"/>
      <c r="AM500" s="2"/>
      <c r="AN500" s="2"/>
      <c r="AO500" s="3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3"/>
      <c r="BC500" s="3"/>
      <c r="BD500" s="3"/>
      <c r="BE500" s="3"/>
      <c r="BF500" s="3"/>
      <c r="BG500" s="3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2"/>
      <c r="DI500" s="2"/>
      <c r="DJ500" s="3"/>
      <c r="DK500" s="3"/>
      <c r="DL500" s="2"/>
      <c r="DM500" s="2"/>
      <c r="DN500" s="2"/>
      <c r="DO500" s="3"/>
      <c r="DP500" s="3"/>
      <c r="GO500" t="s">
        <v>139</v>
      </c>
      <c r="GP500" t="s">
        <v>135</v>
      </c>
      <c r="GQ500" t="s">
        <v>502</v>
      </c>
      <c r="GR500">
        <v>80</v>
      </c>
      <c r="GS500">
        <v>79</v>
      </c>
      <c r="GT500">
        <v>1</v>
      </c>
      <c r="GU500" t="s">
        <v>457</v>
      </c>
      <c r="GV500">
        <v>15874086.270268699</v>
      </c>
      <c r="GW500">
        <v>253520464.57679501</v>
      </c>
      <c r="GX500">
        <v>269394550.84706402</v>
      </c>
      <c r="GY500">
        <v>0</v>
      </c>
      <c r="GZ500">
        <v>269394550.84706402</v>
      </c>
      <c r="HA500">
        <v>269394550.84706402</v>
      </c>
      <c r="HB500">
        <v>0</v>
      </c>
      <c r="HC500">
        <v>0</v>
      </c>
      <c r="HD500" t="s">
        <v>137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0.02</v>
      </c>
      <c r="HX500">
        <v>0.99098093957577105</v>
      </c>
      <c r="HY500">
        <v>1</v>
      </c>
      <c r="HZ500">
        <v>300000</v>
      </c>
      <c r="IA500">
        <v>0</v>
      </c>
      <c r="IB500">
        <v>0</v>
      </c>
      <c r="IC500">
        <v>0</v>
      </c>
      <c r="ID500">
        <v>0</v>
      </c>
      <c r="IE500">
        <v>300000</v>
      </c>
      <c r="IF500">
        <v>297294.28187273099</v>
      </c>
      <c r="IG500">
        <v>297294.28187273099</v>
      </c>
      <c r="IH500">
        <v>0</v>
      </c>
      <c r="II500">
        <v>311535.83976792003</v>
      </c>
      <c r="IJ500">
        <v>5070409.2915359</v>
      </c>
      <c r="IK500">
        <v>0</v>
      </c>
      <c r="IL500">
        <v>0</v>
      </c>
      <c r="IM500">
        <v>0</v>
      </c>
      <c r="IN500">
        <v>15888327.828163899</v>
      </c>
      <c r="IO500">
        <v>258590873.86833099</v>
      </c>
      <c r="IP500">
        <v>274479201.696495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</row>
    <row r="501" spans="2:268" customFormat="1" x14ac:dyDescent="0.25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3"/>
      <c r="N501" s="3"/>
      <c r="O501" s="3"/>
      <c r="P501" s="2"/>
      <c r="Q501" s="2"/>
      <c r="R501" s="2"/>
      <c r="S501" s="2"/>
      <c r="T501" s="2"/>
      <c r="U501" s="2"/>
      <c r="V501" s="3"/>
      <c r="W501" s="3"/>
      <c r="X501" s="3"/>
      <c r="Y501" s="3"/>
      <c r="Z501" s="3"/>
      <c r="AA501" s="3"/>
      <c r="AB501" s="3"/>
      <c r="AC501" s="2"/>
      <c r="AD501" s="2"/>
      <c r="AE501" s="2"/>
      <c r="AF501" s="2"/>
      <c r="AG501" s="2"/>
      <c r="AH501" s="2"/>
      <c r="AI501" s="2"/>
      <c r="AJ501" s="3"/>
      <c r="AK501" s="2"/>
      <c r="AL501" s="2"/>
      <c r="AM501" s="2"/>
      <c r="AN501" s="2"/>
      <c r="AO501" s="3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3"/>
      <c r="BC501" s="3"/>
      <c r="BD501" s="3"/>
      <c r="BE501" s="3"/>
      <c r="BF501" s="3"/>
      <c r="BG501" s="3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2"/>
      <c r="DI501" s="2"/>
      <c r="DJ501" s="3"/>
      <c r="DK501" s="3"/>
      <c r="DL501" s="2"/>
      <c r="DM501" s="2"/>
      <c r="DN501" s="2"/>
      <c r="DO501" s="3"/>
      <c r="DP501" s="3"/>
      <c r="GO501" t="s">
        <v>139</v>
      </c>
      <c r="GP501" t="s">
        <v>135</v>
      </c>
      <c r="GQ501" t="s">
        <v>502</v>
      </c>
      <c r="GR501">
        <v>81</v>
      </c>
      <c r="GS501">
        <v>80</v>
      </c>
      <c r="GT501">
        <v>1</v>
      </c>
      <c r="GU501" t="s">
        <v>457</v>
      </c>
      <c r="GV501">
        <v>15888327.828163899</v>
      </c>
      <c r="GW501">
        <v>258590873.86833099</v>
      </c>
      <c r="GX501">
        <v>274479201.696495</v>
      </c>
      <c r="GY501">
        <v>0</v>
      </c>
      <c r="GZ501">
        <v>274479201.696495</v>
      </c>
      <c r="HA501">
        <v>274479201.696495</v>
      </c>
      <c r="HB501">
        <v>0</v>
      </c>
      <c r="HC501">
        <v>0</v>
      </c>
      <c r="HD501" t="s">
        <v>137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0.02</v>
      </c>
      <c r="HX501">
        <v>0.99098093957577105</v>
      </c>
      <c r="HY501">
        <v>1</v>
      </c>
      <c r="HZ501">
        <v>300000</v>
      </c>
      <c r="IA501">
        <v>0</v>
      </c>
      <c r="IB501">
        <v>0</v>
      </c>
      <c r="IC501">
        <v>0</v>
      </c>
      <c r="ID501">
        <v>0</v>
      </c>
      <c r="IE501">
        <v>300000</v>
      </c>
      <c r="IF501">
        <v>297294.28187273099</v>
      </c>
      <c r="IG501">
        <v>297294.28187273099</v>
      </c>
      <c r="IH501">
        <v>0</v>
      </c>
      <c r="II501">
        <v>311820.67092582298</v>
      </c>
      <c r="IJ501">
        <v>5171817.4773666197</v>
      </c>
      <c r="IK501">
        <v>0</v>
      </c>
      <c r="IL501">
        <v>0</v>
      </c>
      <c r="IM501">
        <v>0</v>
      </c>
      <c r="IN501">
        <v>15902854.217217</v>
      </c>
      <c r="IO501">
        <v>263762691.345698</v>
      </c>
      <c r="IP501">
        <v>279665545.56291503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</row>
    <row r="502" spans="2:268" customFormat="1" x14ac:dyDescent="0.25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3"/>
      <c r="N502" s="3"/>
      <c r="O502" s="3"/>
      <c r="P502" s="2"/>
      <c r="Q502" s="2"/>
      <c r="R502" s="2"/>
      <c r="S502" s="2"/>
      <c r="T502" s="2"/>
      <c r="U502" s="2"/>
      <c r="V502" s="3"/>
      <c r="W502" s="3"/>
      <c r="X502" s="3"/>
      <c r="Y502" s="3"/>
      <c r="Z502" s="3"/>
      <c r="AA502" s="3"/>
      <c r="AB502" s="3"/>
      <c r="AC502" s="2"/>
      <c r="AD502" s="2"/>
      <c r="AE502" s="2"/>
      <c r="AF502" s="2"/>
      <c r="AG502" s="2"/>
      <c r="AH502" s="2"/>
      <c r="AI502" s="2"/>
      <c r="AJ502" s="3"/>
      <c r="AK502" s="2"/>
      <c r="AL502" s="2"/>
      <c r="AM502" s="2"/>
      <c r="AN502" s="2"/>
      <c r="AO502" s="3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3"/>
      <c r="BC502" s="3"/>
      <c r="BD502" s="3"/>
      <c r="BE502" s="3"/>
      <c r="BF502" s="3"/>
      <c r="BG502" s="3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2"/>
      <c r="DI502" s="2"/>
      <c r="DJ502" s="3"/>
      <c r="DK502" s="3"/>
      <c r="DL502" s="2"/>
      <c r="DM502" s="2"/>
      <c r="DN502" s="2"/>
      <c r="DO502" s="3"/>
      <c r="DP502" s="3"/>
      <c r="GO502" t="s">
        <v>139</v>
      </c>
      <c r="GP502" t="s">
        <v>135</v>
      </c>
      <c r="GQ502" t="s">
        <v>502</v>
      </c>
      <c r="GR502">
        <v>82</v>
      </c>
      <c r="GS502">
        <v>81</v>
      </c>
      <c r="GT502">
        <v>1</v>
      </c>
      <c r="GU502" t="s">
        <v>457</v>
      </c>
      <c r="GV502">
        <v>15902854.217217</v>
      </c>
      <c r="GW502">
        <v>263762691.345698</v>
      </c>
      <c r="GX502">
        <v>279665545.56291503</v>
      </c>
      <c r="GY502">
        <v>0</v>
      </c>
      <c r="GZ502">
        <v>279665545.56291503</v>
      </c>
      <c r="HA502">
        <v>279665545.56291503</v>
      </c>
      <c r="HB502">
        <v>0</v>
      </c>
      <c r="HC502">
        <v>0</v>
      </c>
      <c r="HD502" t="s">
        <v>137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0.02</v>
      </c>
      <c r="HX502">
        <v>0.99098093957577105</v>
      </c>
      <c r="HY502">
        <v>1</v>
      </c>
      <c r="HZ502">
        <v>300000</v>
      </c>
      <c r="IA502">
        <v>0</v>
      </c>
      <c r="IB502">
        <v>0</v>
      </c>
      <c r="IC502">
        <v>0</v>
      </c>
      <c r="ID502">
        <v>0</v>
      </c>
      <c r="IE502">
        <v>300000</v>
      </c>
      <c r="IF502">
        <v>297294.28187273099</v>
      </c>
      <c r="IG502">
        <v>297294.28187273099</v>
      </c>
      <c r="IH502">
        <v>0</v>
      </c>
      <c r="II502">
        <v>312111.19870688498</v>
      </c>
      <c r="IJ502">
        <v>5275253.82691395</v>
      </c>
      <c r="IK502">
        <v>0</v>
      </c>
      <c r="IL502">
        <v>0</v>
      </c>
      <c r="IM502">
        <v>0</v>
      </c>
      <c r="IN502">
        <v>15917671.1340512</v>
      </c>
      <c r="IO502">
        <v>269037945.17261201</v>
      </c>
      <c r="IP502">
        <v>284955616.30666298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</row>
    <row r="503" spans="2:268" customFormat="1" x14ac:dyDescent="0.25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3"/>
      <c r="N503" s="3"/>
      <c r="O503" s="3"/>
      <c r="P503" s="2"/>
      <c r="Q503" s="2"/>
      <c r="R503" s="2"/>
      <c r="S503" s="2"/>
      <c r="T503" s="2"/>
      <c r="U503" s="2"/>
      <c r="V503" s="3"/>
      <c r="W503" s="3"/>
      <c r="X503" s="3"/>
      <c r="Y503" s="3"/>
      <c r="Z503" s="3"/>
      <c r="AA503" s="3"/>
      <c r="AB503" s="3"/>
      <c r="AC503" s="2"/>
      <c r="AD503" s="2"/>
      <c r="AE503" s="2"/>
      <c r="AF503" s="2"/>
      <c r="AG503" s="2"/>
      <c r="AH503" s="2"/>
      <c r="AI503" s="2"/>
      <c r="AJ503" s="3"/>
      <c r="AK503" s="2"/>
      <c r="AL503" s="2"/>
      <c r="AM503" s="2"/>
      <c r="AN503" s="2"/>
      <c r="AO503" s="3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3"/>
      <c r="BC503" s="3"/>
      <c r="BD503" s="3"/>
      <c r="BE503" s="3"/>
      <c r="BF503" s="3"/>
      <c r="BG503" s="3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2"/>
      <c r="DI503" s="2"/>
      <c r="DJ503" s="3"/>
      <c r="DK503" s="3"/>
      <c r="DL503" s="2"/>
      <c r="DM503" s="2"/>
      <c r="DN503" s="2"/>
      <c r="DO503" s="3"/>
      <c r="DP503" s="3"/>
      <c r="GO503" t="s">
        <v>139</v>
      </c>
      <c r="GP503" t="s">
        <v>135</v>
      </c>
      <c r="GQ503" t="s">
        <v>502</v>
      </c>
      <c r="GR503">
        <v>83</v>
      </c>
      <c r="GS503">
        <v>82</v>
      </c>
      <c r="GT503">
        <v>1</v>
      </c>
      <c r="GU503" t="s">
        <v>457</v>
      </c>
      <c r="GV503">
        <v>15917671.1340512</v>
      </c>
      <c r="GW503">
        <v>269037945.17261201</v>
      </c>
      <c r="GX503">
        <v>284955616.30666298</v>
      </c>
      <c r="GY503">
        <v>0</v>
      </c>
      <c r="GZ503">
        <v>284955616.30666298</v>
      </c>
      <c r="HA503">
        <v>284955616.30666298</v>
      </c>
      <c r="HB503">
        <v>0</v>
      </c>
      <c r="HC503">
        <v>0</v>
      </c>
      <c r="HD503" t="s">
        <v>137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0.02</v>
      </c>
      <c r="HX503">
        <v>0.99098093957577105</v>
      </c>
      <c r="HY503">
        <v>1</v>
      </c>
      <c r="HZ503">
        <v>300000</v>
      </c>
      <c r="IA503">
        <v>0</v>
      </c>
      <c r="IB503">
        <v>0</v>
      </c>
      <c r="IC503">
        <v>0</v>
      </c>
      <c r="ID503">
        <v>0</v>
      </c>
      <c r="IE503">
        <v>300000</v>
      </c>
      <c r="IF503">
        <v>297294.28187273099</v>
      </c>
      <c r="IG503">
        <v>297294.28187273099</v>
      </c>
      <c r="IH503">
        <v>0</v>
      </c>
      <c r="II503">
        <v>312407.53704356798</v>
      </c>
      <c r="IJ503">
        <v>5380758.9034522297</v>
      </c>
      <c r="IK503">
        <v>0</v>
      </c>
      <c r="IL503">
        <v>0</v>
      </c>
      <c r="IM503">
        <v>0</v>
      </c>
      <c r="IN503">
        <v>15932784.389222</v>
      </c>
      <c r="IO503">
        <v>274418704.07606399</v>
      </c>
      <c r="IP503">
        <v>290351488.46528602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</row>
    <row r="504" spans="2:268" customFormat="1" x14ac:dyDescent="0.25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3"/>
      <c r="N504" s="3"/>
      <c r="O504" s="3"/>
      <c r="P504" s="2"/>
      <c r="Q504" s="2"/>
      <c r="R504" s="2"/>
      <c r="S504" s="2"/>
      <c r="T504" s="2"/>
      <c r="U504" s="2"/>
      <c r="V504" s="3"/>
      <c r="W504" s="3"/>
      <c r="X504" s="3"/>
      <c r="Y504" s="3"/>
      <c r="Z504" s="3"/>
      <c r="AA504" s="3"/>
      <c r="AB504" s="3"/>
      <c r="AC504" s="2"/>
      <c r="AD504" s="2"/>
      <c r="AE504" s="2"/>
      <c r="AF504" s="2"/>
      <c r="AG504" s="2"/>
      <c r="AH504" s="2"/>
      <c r="AI504" s="2"/>
      <c r="AJ504" s="3"/>
      <c r="AK504" s="2"/>
      <c r="AL504" s="2"/>
      <c r="AM504" s="2"/>
      <c r="AN504" s="2"/>
      <c r="AO504" s="3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3"/>
      <c r="BC504" s="3"/>
      <c r="BD504" s="3"/>
      <c r="BE504" s="3"/>
      <c r="BF504" s="3"/>
      <c r="BG504" s="3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2"/>
      <c r="DI504" s="2"/>
      <c r="DJ504" s="3"/>
      <c r="DK504" s="3"/>
      <c r="DL504" s="2"/>
      <c r="DM504" s="2"/>
      <c r="DN504" s="2"/>
      <c r="DO504" s="3"/>
      <c r="DP504" s="3"/>
      <c r="GO504" t="s">
        <v>139</v>
      </c>
      <c r="GP504" t="s">
        <v>135</v>
      </c>
      <c r="GQ504" t="s">
        <v>502</v>
      </c>
      <c r="GR504">
        <v>84</v>
      </c>
      <c r="GS504">
        <v>83</v>
      </c>
      <c r="GT504">
        <v>1</v>
      </c>
      <c r="GU504" t="s">
        <v>457</v>
      </c>
      <c r="GV504">
        <v>15932784.389222</v>
      </c>
      <c r="GW504">
        <v>274418704.07606399</v>
      </c>
      <c r="GX504">
        <v>290351488.46528602</v>
      </c>
      <c r="GY504">
        <v>0</v>
      </c>
      <c r="GZ504">
        <v>290351488.46528602</v>
      </c>
      <c r="HA504">
        <v>290351488.46528602</v>
      </c>
      <c r="HB504">
        <v>0</v>
      </c>
      <c r="HC504">
        <v>0</v>
      </c>
      <c r="HD504" t="s">
        <v>137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0.02</v>
      </c>
      <c r="HX504">
        <v>0.99098093957577105</v>
      </c>
      <c r="HY504">
        <v>1</v>
      </c>
      <c r="HZ504">
        <v>300000</v>
      </c>
      <c r="IA504">
        <v>0</v>
      </c>
      <c r="IB504">
        <v>0</v>
      </c>
      <c r="IC504">
        <v>0</v>
      </c>
      <c r="ID504">
        <v>0</v>
      </c>
      <c r="IE504">
        <v>300000</v>
      </c>
      <c r="IF504">
        <v>297294.28187273099</v>
      </c>
      <c r="IG504">
        <v>297294.28187273099</v>
      </c>
      <c r="IH504">
        <v>0</v>
      </c>
      <c r="II504">
        <v>312709.80214698502</v>
      </c>
      <c r="IJ504">
        <v>5488374.0815212801</v>
      </c>
      <c r="IK504">
        <v>0</v>
      </c>
      <c r="IL504">
        <v>0</v>
      </c>
      <c r="IM504">
        <v>0</v>
      </c>
      <c r="IN504">
        <v>15948199.909496199</v>
      </c>
      <c r="IO504">
        <v>279907078.15758502</v>
      </c>
      <c r="IP504">
        <v>295855278.06708097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</row>
    <row r="505" spans="2:268" customFormat="1" x14ac:dyDescent="0.25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3"/>
      <c r="N505" s="3"/>
      <c r="O505" s="3"/>
      <c r="P505" s="2"/>
      <c r="Q505" s="2"/>
      <c r="R505" s="2"/>
      <c r="S505" s="2"/>
      <c r="T505" s="2"/>
      <c r="U505" s="2"/>
      <c r="V505" s="3"/>
      <c r="W505" s="3"/>
      <c r="X505" s="3"/>
      <c r="Y505" s="3"/>
      <c r="Z505" s="3"/>
      <c r="AA505" s="3"/>
      <c r="AB505" s="3"/>
      <c r="AC505" s="2"/>
      <c r="AD505" s="2"/>
      <c r="AE505" s="2"/>
      <c r="AF505" s="2"/>
      <c r="AG505" s="2"/>
      <c r="AH505" s="2"/>
      <c r="AI505" s="2"/>
      <c r="AJ505" s="3"/>
      <c r="AK505" s="2"/>
      <c r="AL505" s="2"/>
      <c r="AM505" s="2"/>
      <c r="AN505" s="2"/>
      <c r="AO505" s="3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3"/>
      <c r="BC505" s="3"/>
      <c r="BD505" s="3"/>
      <c r="BE505" s="3"/>
      <c r="BF505" s="3"/>
      <c r="BG505" s="3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2"/>
      <c r="DI505" s="2"/>
      <c r="DJ505" s="3"/>
      <c r="DK505" s="3"/>
      <c r="DL505" s="2"/>
      <c r="DM505" s="2"/>
      <c r="DN505" s="2"/>
      <c r="DO505" s="3"/>
      <c r="DP505" s="3"/>
      <c r="GO505" t="s">
        <v>139</v>
      </c>
      <c r="GP505" t="s">
        <v>135</v>
      </c>
      <c r="GQ505" t="s">
        <v>502</v>
      </c>
      <c r="GR505">
        <v>85</v>
      </c>
      <c r="GS505">
        <v>84</v>
      </c>
      <c r="GT505">
        <v>1</v>
      </c>
      <c r="GU505" t="s">
        <v>457</v>
      </c>
      <c r="GV505">
        <v>15948199.909496199</v>
      </c>
      <c r="GW505">
        <v>279907078.15758502</v>
      </c>
      <c r="GX505">
        <v>295855278.06708097</v>
      </c>
      <c r="GY505">
        <v>0</v>
      </c>
      <c r="GZ505">
        <v>295855278.06708097</v>
      </c>
      <c r="HA505">
        <v>295855278.06708097</v>
      </c>
      <c r="HB505">
        <v>0</v>
      </c>
      <c r="HC505">
        <v>0</v>
      </c>
      <c r="HD505" t="s">
        <v>137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0.02</v>
      </c>
      <c r="HX505">
        <v>0.99098093957577105</v>
      </c>
      <c r="HY505">
        <v>1</v>
      </c>
      <c r="HZ505">
        <v>300000</v>
      </c>
      <c r="IA505">
        <v>0</v>
      </c>
      <c r="IB505">
        <v>0</v>
      </c>
      <c r="IC505">
        <v>0</v>
      </c>
      <c r="ID505">
        <v>0</v>
      </c>
      <c r="IE505">
        <v>300000</v>
      </c>
      <c r="IF505">
        <v>297294.28187273099</v>
      </c>
      <c r="IG505">
        <v>297294.28187273099</v>
      </c>
      <c r="IH505">
        <v>0</v>
      </c>
      <c r="II505">
        <v>313018.11255247</v>
      </c>
      <c r="IJ505">
        <v>5598141.5631517004</v>
      </c>
      <c r="IK505">
        <v>0</v>
      </c>
      <c r="IL505">
        <v>0</v>
      </c>
      <c r="IM505">
        <v>0</v>
      </c>
      <c r="IN505">
        <v>15963923.740176</v>
      </c>
      <c r="IO505">
        <v>285505219.72073698</v>
      </c>
      <c r="IP505">
        <v>301469143.460913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</row>
    <row r="506" spans="2:268" customFormat="1" x14ac:dyDescent="0.25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3"/>
      <c r="N506" s="3"/>
      <c r="O506" s="3"/>
      <c r="P506" s="2"/>
      <c r="Q506" s="2"/>
      <c r="R506" s="2"/>
      <c r="S506" s="2"/>
      <c r="T506" s="2"/>
      <c r="U506" s="2"/>
      <c r="V506" s="3"/>
      <c r="W506" s="3"/>
      <c r="X506" s="3"/>
      <c r="Y506" s="3"/>
      <c r="Z506" s="3"/>
      <c r="AA506" s="3"/>
      <c r="AB506" s="3"/>
      <c r="AC506" s="2"/>
      <c r="AD506" s="2"/>
      <c r="AE506" s="2"/>
      <c r="AF506" s="2"/>
      <c r="AG506" s="2"/>
      <c r="AH506" s="2"/>
      <c r="AI506" s="2"/>
      <c r="AJ506" s="3"/>
      <c r="AK506" s="2"/>
      <c r="AL506" s="2"/>
      <c r="AM506" s="2"/>
      <c r="AN506" s="2"/>
      <c r="AO506" s="3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3"/>
      <c r="BC506" s="3"/>
      <c r="BD506" s="3"/>
      <c r="BE506" s="3"/>
      <c r="BF506" s="3"/>
      <c r="BG506" s="3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2"/>
      <c r="DI506" s="2"/>
      <c r="DJ506" s="3"/>
      <c r="DK506" s="3"/>
      <c r="DL506" s="2"/>
      <c r="DM506" s="2"/>
      <c r="DN506" s="2"/>
      <c r="DO506" s="3"/>
      <c r="DP506" s="3"/>
      <c r="GO506" t="s">
        <v>139</v>
      </c>
      <c r="GP506" t="s">
        <v>135</v>
      </c>
      <c r="GQ506" t="s">
        <v>502</v>
      </c>
      <c r="GR506">
        <v>86</v>
      </c>
      <c r="GS506">
        <v>85</v>
      </c>
      <c r="GT506">
        <v>1</v>
      </c>
      <c r="GU506" t="s">
        <v>457</v>
      </c>
      <c r="GV506">
        <v>15963923.740176</v>
      </c>
      <c r="GW506">
        <v>285505219.72073698</v>
      </c>
      <c r="GX506">
        <v>301469143.460913</v>
      </c>
      <c r="GY506">
        <v>0</v>
      </c>
      <c r="GZ506">
        <v>301469143.460913</v>
      </c>
      <c r="HA506">
        <v>301469143.460913</v>
      </c>
      <c r="HB506">
        <v>0</v>
      </c>
      <c r="HC506">
        <v>0</v>
      </c>
      <c r="HD506" t="s">
        <v>137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0.02</v>
      </c>
      <c r="HX506">
        <v>0.99098093957577105</v>
      </c>
      <c r="HY506">
        <v>1</v>
      </c>
      <c r="HZ506">
        <v>300000</v>
      </c>
      <c r="IA506">
        <v>0</v>
      </c>
      <c r="IB506">
        <v>0</v>
      </c>
      <c r="IC506">
        <v>0</v>
      </c>
      <c r="ID506">
        <v>0</v>
      </c>
      <c r="IE506">
        <v>300000</v>
      </c>
      <c r="IF506">
        <v>297294.28187273099</v>
      </c>
      <c r="IG506">
        <v>297294.28187273099</v>
      </c>
      <c r="IH506">
        <v>0</v>
      </c>
      <c r="II506">
        <v>313332.58916606498</v>
      </c>
      <c r="IJ506">
        <v>5710104.3944147397</v>
      </c>
      <c r="IK506">
        <v>0</v>
      </c>
      <c r="IL506">
        <v>0</v>
      </c>
      <c r="IM506">
        <v>0</v>
      </c>
      <c r="IN506">
        <v>15979962.047469299</v>
      </c>
      <c r="IO506">
        <v>291215324.11515099</v>
      </c>
      <c r="IP506">
        <v>307195286.16262102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</row>
    <row r="507" spans="2:268" customFormat="1" x14ac:dyDescent="0.25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3"/>
      <c r="N507" s="3"/>
      <c r="O507" s="3"/>
      <c r="P507" s="2"/>
      <c r="Q507" s="2"/>
      <c r="R507" s="2"/>
      <c r="S507" s="2"/>
      <c r="T507" s="2"/>
      <c r="U507" s="2"/>
      <c r="V507" s="3"/>
      <c r="W507" s="3"/>
      <c r="X507" s="3"/>
      <c r="Y507" s="3"/>
      <c r="Z507" s="3"/>
      <c r="AA507" s="3"/>
      <c r="AB507" s="3"/>
      <c r="AC507" s="2"/>
      <c r="AD507" s="2"/>
      <c r="AE507" s="2"/>
      <c r="AF507" s="2"/>
      <c r="AG507" s="2"/>
      <c r="AH507" s="2"/>
      <c r="AI507" s="2"/>
      <c r="AJ507" s="3"/>
      <c r="AK507" s="2"/>
      <c r="AL507" s="2"/>
      <c r="AM507" s="2"/>
      <c r="AN507" s="2"/>
      <c r="AO507" s="3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3"/>
      <c r="BC507" s="3"/>
      <c r="BD507" s="3"/>
      <c r="BE507" s="3"/>
      <c r="BF507" s="3"/>
      <c r="BG507" s="3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2"/>
      <c r="DI507" s="2"/>
      <c r="DJ507" s="3"/>
      <c r="DK507" s="3"/>
      <c r="DL507" s="2"/>
      <c r="DM507" s="2"/>
      <c r="DN507" s="2"/>
      <c r="DO507" s="3"/>
      <c r="DP507" s="3"/>
      <c r="GO507" t="s">
        <v>139</v>
      </c>
      <c r="GP507" t="s">
        <v>135</v>
      </c>
      <c r="GQ507" t="s">
        <v>502</v>
      </c>
      <c r="GR507">
        <v>87</v>
      </c>
      <c r="GS507">
        <v>86</v>
      </c>
      <c r="GT507">
        <v>1</v>
      </c>
      <c r="GU507" t="s">
        <v>457</v>
      </c>
      <c r="GV507">
        <v>15979962.047469299</v>
      </c>
      <c r="GW507">
        <v>291215324.11515099</v>
      </c>
      <c r="GX507">
        <v>307195286.16262102</v>
      </c>
      <c r="GY507">
        <v>0</v>
      </c>
      <c r="GZ507">
        <v>307195286.16262102</v>
      </c>
      <c r="HA507">
        <v>307195286.16262102</v>
      </c>
      <c r="HB507">
        <v>0</v>
      </c>
      <c r="HC507">
        <v>0</v>
      </c>
      <c r="HD507" t="s">
        <v>137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0.02</v>
      </c>
      <c r="HX507">
        <v>0.99098093957577105</v>
      </c>
      <c r="HY507">
        <v>1</v>
      </c>
      <c r="HZ507">
        <v>300000</v>
      </c>
      <c r="IA507">
        <v>0</v>
      </c>
      <c r="IB507">
        <v>0</v>
      </c>
      <c r="IC507">
        <v>0</v>
      </c>
      <c r="ID507">
        <v>0</v>
      </c>
      <c r="IE507">
        <v>300000</v>
      </c>
      <c r="IF507">
        <v>297294.28187273099</v>
      </c>
      <c r="IG507">
        <v>297294.28187273099</v>
      </c>
      <c r="IH507">
        <v>0</v>
      </c>
      <c r="II507">
        <v>313653.35531193198</v>
      </c>
      <c r="IJ507">
        <v>5824306.4823030299</v>
      </c>
      <c r="IK507">
        <v>0</v>
      </c>
      <c r="IL507">
        <v>0</v>
      </c>
      <c r="IM507">
        <v>0</v>
      </c>
      <c r="IN507">
        <v>15996321.120908501</v>
      </c>
      <c r="IO507">
        <v>297039630.59745401</v>
      </c>
      <c r="IP507">
        <v>313035951.71836299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</row>
    <row r="508" spans="2:268" customFormat="1" x14ac:dyDescent="0.25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3"/>
      <c r="N508" s="3"/>
      <c r="O508" s="3"/>
      <c r="P508" s="2"/>
      <c r="Q508" s="2"/>
      <c r="R508" s="2"/>
      <c r="S508" s="2"/>
      <c r="T508" s="2"/>
      <c r="U508" s="2"/>
      <c r="V508" s="3"/>
      <c r="W508" s="3"/>
      <c r="X508" s="3"/>
      <c r="Y508" s="3"/>
      <c r="Z508" s="3"/>
      <c r="AA508" s="3"/>
      <c r="AB508" s="3"/>
      <c r="AC508" s="2"/>
      <c r="AD508" s="2"/>
      <c r="AE508" s="2"/>
      <c r="AF508" s="2"/>
      <c r="AG508" s="2"/>
      <c r="AH508" s="2"/>
      <c r="AI508" s="2"/>
      <c r="AJ508" s="3"/>
      <c r="AK508" s="2"/>
      <c r="AL508" s="2"/>
      <c r="AM508" s="2"/>
      <c r="AN508" s="2"/>
      <c r="AO508" s="3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3"/>
      <c r="BC508" s="3"/>
      <c r="BD508" s="3"/>
      <c r="BE508" s="3"/>
      <c r="BF508" s="3"/>
      <c r="BG508" s="3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2"/>
      <c r="DI508" s="2"/>
      <c r="DJ508" s="3"/>
      <c r="DK508" s="3"/>
      <c r="DL508" s="2"/>
      <c r="DM508" s="2"/>
      <c r="DN508" s="2"/>
      <c r="DO508" s="3"/>
      <c r="DP508" s="3"/>
      <c r="GO508" t="s">
        <v>139</v>
      </c>
      <c r="GP508" t="s">
        <v>135</v>
      </c>
      <c r="GQ508" t="s">
        <v>502</v>
      </c>
      <c r="GR508">
        <v>88</v>
      </c>
      <c r="GS508">
        <v>87</v>
      </c>
      <c r="GT508">
        <v>1</v>
      </c>
      <c r="GU508" t="s">
        <v>457</v>
      </c>
      <c r="GV508">
        <v>15996321.120908501</v>
      </c>
      <c r="GW508">
        <v>297039630.59745401</v>
      </c>
      <c r="GX508">
        <v>313035951.71836299</v>
      </c>
      <c r="GY508">
        <v>0</v>
      </c>
      <c r="GZ508">
        <v>313035951.71836299</v>
      </c>
      <c r="HA508">
        <v>313035951.71836299</v>
      </c>
      <c r="HB508">
        <v>0</v>
      </c>
      <c r="HC508">
        <v>0</v>
      </c>
      <c r="HD508" t="s">
        <v>137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0.02</v>
      </c>
      <c r="HX508">
        <v>0.99098093957577105</v>
      </c>
      <c r="HY508">
        <v>1</v>
      </c>
      <c r="HZ508">
        <v>300000</v>
      </c>
      <c r="IA508">
        <v>0</v>
      </c>
      <c r="IB508">
        <v>0</v>
      </c>
      <c r="IC508">
        <v>0</v>
      </c>
      <c r="ID508">
        <v>0</v>
      </c>
      <c r="IE508">
        <v>300000</v>
      </c>
      <c r="IF508">
        <v>297294.28187273099</v>
      </c>
      <c r="IG508">
        <v>297294.28187273099</v>
      </c>
      <c r="IH508">
        <v>0</v>
      </c>
      <c r="II508">
        <v>313980.53678071598</v>
      </c>
      <c r="IJ508">
        <v>5940792.6119490899</v>
      </c>
      <c r="IK508">
        <v>0</v>
      </c>
      <c r="IL508">
        <v>0</v>
      </c>
      <c r="IM508">
        <v>0</v>
      </c>
      <c r="IN508">
        <v>16013007.3758165</v>
      </c>
      <c r="IO508">
        <v>302980423.20940399</v>
      </c>
      <c r="IP508">
        <v>318993430.58521998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</row>
    <row r="509" spans="2:268" customFormat="1" x14ac:dyDescent="0.25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3"/>
      <c r="N509" s="3"/>
      <c r="O509" s="3"/>
      <c r="P509" s="2"/>
      <c r="Q509" s="2"/>
      <c r="R509" s="2"/>
      <c r="S509" s="2"/>
      <c r="T509" s="2"/>
      <c r="U509" s="2"/>
      <c r="V509" s="3"/>
      <c r="W509" s="3"/>
      <c r="X509" s="3"/>
      <c r="Y509" s="3"/>
      <c r="Z509" s="3"/>
      <c r="AA509" s="3"/>
      <c r="AB509" s="3"/>
      <c r="AC509" s="2"/>
      <c r="AD509" s="2"/>
      <c r="AE509" s="2"/>
      <c r="AF509" s="2"/>
      <c r="AG509" s="2"/>
      <c r="AH509" s="2"/>
      <c r="AI509" s="2"/>
      <c r="AJ509" s="3"/>
      <c r="AK509" s="2"/>
      <c r="AL509" s="2"/>
      <c r="AM509" s="2"/>
      <c r="AN509" s="2"/>
      <c r="AO509" s="3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3"/>
      <c r="BC509" s="3"/>
      <c r="BD509" s="3"/>
      <c r="BE509" s="3"/>
      <c r="BF509" s="3"/>
      <c r="BG509" s="3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2"/>
      <c r="DI509" s="2"/>
      <c r="DJ509" s="3"/>
      <c r="DK509" s="3"/>
      <c r="DL509" s="2"/>
      <c r="DM509" s="2"/>
      <c r="DN509" s="2"/>
      <c r="DO509" s="3"/>
      <c r="DP509" s="3"/>
      <c r="GO509" t="s">
        <v>139</v>
      </c>
      <c r="GP509" t="s">
        <v>135</v>
      </c>
      <c r="GQ509" t="s">
        <v>502</v>
      </c>
      <c r="GR509">
        <v>89</v>
      </c>
      <c r="GS509">
        <v>88</v>
      </c>
      <c r="GT509">
        <v>1</v>
      </c>
      <c r="GU509" t="s">
        <v>457</v>
      </c>
      <c r="GV509">
        <v>16013007.3758165</v>
      </c>
      <c r="GW509">
        <v>302980423.20940399</v>
      </c>
      <c r="GX509">
        <v>318993430.58521998</v>
      </c>
      <c r="GY509">
        <v>0</v>
      </c>
      <c r="GZ509">
        <v>318993430.58521998</v>
      </c>
      <c r="HA509">
        <v>318993430.58521998</v>
      </c>
      <c r="HB509">
        <v>0</v>
      </c>
      <c r="HC509">
        <v>0</v>
      </c>
      <c r="HD509" t="s">
        <v>137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0.02</v>
      </c>
      <c r="HX509">
        <v>0.99098093957577105</v>
      </c>
      <c r="HY509">
        <v>1</v>
      </c>
      <c r="HZ509">
        <v>300000</v>
      </c>
      <c r="IA509">
        <v>0</v>
      </c>
      <c r="IB509">
        <v>0</v>
      </c>
      <c r="IC509">
        <v>0</v>
      </c>
      <c r="ID509">
        <v>0</v>
      </c>
      <c r="IE509">
        <v>300000</v>
      </c>
      <c r="IF509">
        <v>297294.28187273099</v>
      </c>
      <c r="IG509">
        <v>297294.28187273099</v>
      </c>
      <c r="IH509">
        <v>0</v>
      </c>
      <c r="II509">
        <v>314314.26187887503</v>
      </c>
      <c r="IJ509">
        <v>6059608.46418807</v>
      </c>
      <c r="IK509">
        <v>0</v>
      </c>
      <c r="IL509">
        <v>0</v>
      </c>
      <c r="IM509">
        <v>0</v>
      </c>
      <c r="IN509">
        <v>16030027.3558226</v>
      </c>
      <c r="IO509">
        <v>309040031.67359197</v>
      </c>
      <c r="IP509">
        <v>325070059.029414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</row>
    <row r="510" spans="2:268" customFormat="1" x14ac:dyDescent="0.25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3"/>
      <c r="N510" s="3"/>
      <c r="O510" s="3"/>
      <c r="P510" s="2"/>
      <c r="Q510" s="2"/>
      <c r="R510" s="2"/>
      <c r="S510" s="2"/>
      <c r="T510" s="2"/>
      <c r="U510" s="2"/>
      <c r="V510" s="3"/>
      <c r="W510" s="3"/>
      <c r="X510" s="3"/>
      <c r="Y510" s="3"/>
      <c r="Z510" s="3"/>
      <c r="AA510" s="3"/>
      <c r="AB510" s="3"/>
      <c r="AC510" s="2"/>
      <c r="AD510" s="2"/>
      <c r="AE510" s="2"/>
      <c r="AF510" s="2"/>
      <c r="AG510" s="2"/>
      <c r="AH510" s="2"/>
      <c r="AI510" s="2"/>
      <c r="AJ510" s="3"/>
      <c r="AK510" s="2"/>
      <c r="AL510" s="2"/>
      <c r="AM510" s="2"/>
      <c r="AN510" s="2"/>
      <c r="AO510" s="3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3"/>
      <c r="BC510" s="3"/>
      <c r="BD510" s="3"/>
      <c r="BE510" s="3"/>
      <c r="BF510" s="3"/>
      <c r="BG510" s="3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2"/>
      <c r="DI510" s="2"/>
      <c r="DJ510" s="3"/>
      <c r="DK510" s="3"/>
      <c r="DL510" s="2"/>
      <c r="DM510" s="2"/>
      <c r="DN510" s="2"/>
      <c r="DO510" s="3"/>
      <c r="DP510" s="3"/>
      <c r="GO510" t="s">
        <v>139</v>
      </c>
      <c r="GP510" t="s">
        <v>135</v>
      </c>
      <c r="GQ510" t="s">
        <v>502</v>
      </c>
      <c r="GR510">
        <v>90</v>
      </c>
      <c r="GS510">
        <v>89</v>
      </c>
      <c r="GT510">
        <v>1</v>
      </c>
      <c r="GU510" t="s">
        <v>457</v>
      </c>
      <c r="GV510">
        <v>16030027.3558226</v>
      </c>
      <c r="GW510">
        <v>309040031.67359197</v>
      </c>
      <c r="GX510">
        <v>325070059.029414</v>
      </c>
      <c r="GY510">
        <v>0</v>
      </c>
      <c r="GZ510">
        <v>325070059.029414</v>
      </c>
      <c r="HA510">
        <v>325070059.029414</v>
      </c>
      <c r="HB510">
        <v>0</v>
      </c>
      <c r="HC510">
        <v>0</v>
      </c>
      <c r="HD510" t="s">
        <v>137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0.02</v>
      </c>
      <c r="HX510">
        <v>0.99098093957577105</v>
      </c>
      <c r="HY510">
        <v>1</v>
      </c>
      <c r="HZ510">
        <v>300000</v>
      </c>
      <c r="IA510">
        <v>0</v>
      </c>
      <c r="IB510">
        <v>0</v>
      </c>
      <c r="IC510">
        <v>0</v>
      </c>
      <c r="ID510">
        <v>0</v>
      </c>
      <c r="IE510">
        <v>300000</v>
      </c>
      <c r="IF510">
        <v>297294.28187273099</v>
      </c>
      <c r="IG510">
        <v>297294.28187273099</v>
      </c>
      <c r="IH510">
        <v>0</v>
      </c>
      <c r="II510">
        <v>314654.66147899802</v>
      </c>
      <c r="IJ510">
        <v>6180800.6334718298</v>
      </c>
      <c r="IK510">
        <v>0</v>
      </c>
      <c r="IL510">
        <v>0</v>
      </c>
      <c r="IM510">
        <v>0</v>
      </c>
      <c r="IN510">
        <v>16047387.7354289</v>
      </c>
      <c r="IO510">
        <v>315220832.307064</v>
      </c>
      <c r="IP510">
        <v>331268220.04249197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</row>
    <row r="511" spans="2:268" customFormat="1" x14ac:dyDescent="0.25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3"/>
      <c r="N511" s="3"/>
      <c r="O511" s="3"/>
      <c r="P511" s="2"/>
      <c r="Q511" s="2"/>
      <c r="R511" s="2"/>
      <c r="S511" s="2"/>
      <c r="T511" s="2"/>
      <c r="U511" s="2"/>
      <c r="V511" s="3"/>
      <c r="W511" s="3"/>
      <c r="X511" s="3"/>
      <c r="Y511" s="3"/>
      <c r="Z511" s="3"/>
      <c r="AA511" s="3"/>
      <c r="AB511" s="3"/>
      <c r="AC511" s="2"/>
      <c r="AD511" s="2"/>
      <c r="AE511" s="2"/>
      <c r="AF511" s="2"/>
      <c r="AG511" s="2"/>
      <c r="AH511" s="2"/>
      <c r="AI511" s="2"/>
      <c r="AJ511" s="3"/>
      <c r="AK511" s="2"/>
      <c r="AL511" s="2"/>
      <c r="AM511" s="2"/>
      <c r="AN511" s="2"/>
      <c r="AO511" s="3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3"/>
      <c r="BC511" s="3"/>
      <c r="BD511" s="3"/>
      <c r="BE511" s="3"/>
      <c r="BF511" s="3"/>
      <c r="BG511" s="3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2"/>
      <c r="DI511" s="2"/>
      <c r="DJ511" s="3"/>
      <c r="DK511" s="3"/>
      <c r="DL511" s="2"/>
      <c r="DM511" s="2"/>
      <c r="DN511" s="2"/>
      <c r="DO511" s="3"/>
      <c r="DP511" s="3"/>
      <c r="GO511" t="s">
        <v>139</v>
      </c>
      <c r="GP511" t="s">
        <v>135</v>
      </c>
      <c r="GQ511" t="s">
        <v>502</v>
      </c>
      <c r="GR511">
        <v>91</v>
      </c>
      <c r="GS511">
        <v>90</v>
      </c>
      <c r="GT511">
        <v>1</v>
      </c>
      <c r="GU511" t="s">
        <v>457</v>
      </c>
      <c r="GV511">
        <v>16047387.7354289</v>
      </c>
      <c r="GW511">
        <v>315220832.307064</v>
      </c>
      <c r="GX511">
        <v>331268220.04249197</v>
      </c>
      <c r="GY511">
        <v>0</v>
      </c>
      <c r="GZ511">
        <v>331268220.04249197</v>
      </c>
      <c r="HA511">
        <v>331268220.04249197</v>
      </c>
      <c r="HB511">
        <v>0</v>
      </c>
      <c r="HC511">
        <v>0</v>
      </c>
      <c r="HD511" t="s">
        <v>137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0.02</v>
      </c>
      <c r="HX511">
        <v>0.99098093957577105</v>
      </c>
      <c r="HY511">
        <v>1</v>
      </c>
      <c r="HZ511">
        <v>300000</v>
      </c>
      <c r="IA511">
        <v>0</v>
      </c>
      <c r="IB511">
        <v>0</v>
      </c>
      <c r="IC511">
        <v>0</v>
      </c>
      <c r="ID511">
        <v>0</v>
      </c>
      <c r="IE511">
        <v>300000</v>
      </c>
      <c r="IF511">
        <v>297294.28187273099</v>
      </c>
      <c r="IG511">
        <v>297294.28187273099</v>
      </c>
      <c r="IH511">
        <v>0</v>
      </c>
      <c r="II511">
        <v>315001.86907112401</v>
      </c>
      <c r="IJ511">
        <v>6304416.6461412702</v>
      </c>
      <c r="IK511">
        <v>0</v>
      </c>
      <c r="IL511">
        <v>0</v>
      </c>
      <c r="IM511">
        <v>0</v>
      </c>
      <c r="IN511">
        <v>16065095.3226273</v>
      </c>
      <c r="IO511">
        <v>321525248.95320499</v>
      </c>
      <c r="IP511">
        <v>337590344.275832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</row>
    <row r="512" spans="2:268" customFormat="1" x14ac:dyDescent="0.25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3"/>
      <c r="N512" s="3"/>
      <c r="O512" s="3"/>
      <c r="P512" s="2"/>
      <c r="Q512" s="2"/>
      <c r="R512" s="2"/>
      <c r="S512" s="2"/>
      <c r="T512" s="2"/>
      <c r="U512" s="2"/>
      <c r="V512" s="3"/>
      <c r="W512" s="3"/>
      <c r="X512" s="3"/>
      <c r="Y512" s="3"/>
      <c r="Z512" s="3"/>
      <c r="AA512" s="3"/>
      <c r="AB512" s="3"/>
      <c r="AC512" s="2"/>
      <c r="AD512" s="2"/>
      <c r="AE512" s="2"/>
      <c r="AF512" s="2"/>
      <c r="AG512" s="2"/>
      <c r="AH512" s="2"/>
      <c r="AI512" s="2"/>
      <c r="AJ512" s="3"/>
      <c r="AK512" s="2"/>
      <c r="AL512" s="2"/>
      <c r="AM512" s="2"/>
      <c r="AN512" s="2"/>
      <c r="AO512" s="3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3"/>
      <c r="BC512" s="3"/>
      <c r="BD512" s="3"/>
      <c r="BE512" s="3"/>
      <c r="BF512" s="3"/>
      <c r="BG512" s="3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2"/>
      <c r="DI512" s="2"/>
      <c r="DJ512" s="3"/>
      <c r="DK512" s="3"/>
      <c r="DL512" s="2"/>
      <c r="DM512" s="2"/>
      <c r="DN512" s="2"/>
      <c r="DO512" s="3"/>
      <c r="DP512" s="3"/>
      <c r="GO512" t="s">
        <v>139</v>
      </c>
      <c r="GP512" t="s">
        <v>135</v>
      </c>
      <c r="GQ512" t="s">
        <v>502</v>
      </c>
      <c r="GR512">
        <v>92</v>
      </c>
      <c r="GS512">
        <v>91</v>
      </c>
      <c r="GT512">
        <v>1</v>
      </c>
      <c r="GU512" t="s">
        <v>457</v>
      </c>
      <c r="GV512">
        <v>16065095.3226273</v>
      </c>
      <c r="GW512">
        <v>321525248.95320499</v>
      </c>
      <c r="GX512">
        <v>337590344.275832</v>
      </c>
      <c r="GY512">
        <v>0</v>
      </c>
      <c r="GZ512">
        <v>337590344.275832</v>
      </c>
      <c r="HA512">
        <v>337590344.275832</v>
      </c>
      <c r="HB512">
        <v>0</v>
      </c>
      <c r="HC512">
        <v>0</v>
      </c>
      <c r="HD512" t="s">
        <v>137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0.02</v>
      </c>
      <c r="HX512">
        <v>0.99098093957577105</v>
      </c>
      <c r="HY512">
        <v>1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321301.90645254601</v>
      </c>
      <c r="IJ512">
        <v>6430504.9790641004</v>
      </c>
      <c r="IK512">
        <v>0</v>
      </c>
      <c r="IL512">
        <v>0</v>
      </c>
      <c r="IM512">
        <v>0</v>
      </c>
      <c r="IN512">
        <v>16386397.2290799</v>
      </c>
      <c r="IO512">
        <v>327955753.93226898</v>
      </c>
      <c r="IP512">
        <v>344342151.161349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</row>
    <row r="513" spans="2:268" customFormat="1" x14ac:dyDescent="0.25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3"/>
      <c r="N513" s="3"/>
      <c r="O513" s="3"/>
      <c r="P513" s="2"/>
      <c r="Q513" s="2"/>
      <c r="R513" s="2"/>
      <c r="S513" s="2"/>
      <c r="T513" s="2"/>
      <c r="U513" s="2"/>
      <c r="V513" s="3"/>
      <c r="W513" s="3"/>
      <c r="X513" s="3"/>
      <c r="Y513" s="3"/>
      <c r="Z513" s="3"/>
      <c r="AA513" s="3"/>
      <c r="AB513" s="3"/>
      <c r="AC513" s="2"/>
      <c r="AD513" s="2"/>
      <c r="AE513" s="2"/>
      <c r="AF513" s="2"/>
      <c r="AG513" s="2"/>
      <c r="AH513" s="2"/>
      <c r="AI513" s="2"/>
      <c r="AJ513" s="3"/>
      <c r="AK513" s="2"/>
      <c r="AL513" s="2"/>
      <c r="AM513" s="2"/>
      <c r="AN513" s="2"/>
      <c r="AO513" s="3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3"/>
      <c r="BC513" s="3"/>
      <c r="BD513" s="3"/>
      <c r="BE513" s="3"/>
      <c r="BF513" s="3"/>
      <c r="BG513" s="3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2"/>
      <c r="DI513" s="2"/>
      <c r="DJ513" s="3"/>
      <c r="DK513" s="3"/>
      <c r="DL513" s="2"/>
      <c r="DM513" s="2"/>
      <c r="DN513" s="2"/>
      <c r="DO513" s="3"/>
      <c r="DP513" s="3"/>
      <c r="GO513" t="s">
        <v>139</v>
      </c>
      <c r="GP513" t="s">
        <v>135</v>
      </c>
      <c r="GQ513" t="s">
        <v>502</v>
      </c>
      <c r="GR513">
        <v>93</v>
      </c>
      <c r="GS513">
        <v>92</v>
      </c>
      <c r="GT513">
        <v>1</v>
      </c>
      <c r="GU513" t="s">
        <v>457</v>
      </c>
      <c r="GV513">
        <v>16386397.2290799</v>
      </c>
      <c r="GW513">
        <v>327955753.93226898</v>
      </c>
      <c r="GX513">
        <v>344342151.161349</v>
      </c>
      <c r="GY513">
        <v>0</v>
      </c>
      <c r="GZ513">
        <v>344342151.161349</v>
      </c>
      <c r="HA513">
        <v>344342151.161349</v>
      </c>
      <c r="HB513">
        <v>0</v>
      </c>
      <c r="HC513">
        <v>0</v>
      </c>
      <c r="HD513" t="s">
        <v>137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0.02</v>
      </c>
      <c r="HX513">
        <v>0.99098093957577105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327727.944581597</v>
      </c>
      <c r="IJ513">
        <v>6559115.0786453802</v>
      </c>
      <c r="IK513">
        <v>0</v>
      </c>
      <c r="IL513">
        <v>0</v>
      </c>
      <c r="IM513">
        <v>0</v>
      </c>
      <c r="IN513">
        <v>16714125.1736614</v>
      </c>
      <c r="IO513">
        <v>334514869.01091403</v>
      </c>
      <c r="IP513">
        <v>351228994.18457597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</row>
    <row r="514" spans="2:268" customFormat="1" x14ac:dyDescent="0.25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3"/>
      <c r="N514" s="3"/>
      <c r="O514" s="3"/>
      <c r="P514" s="2"/>
      <c r="Q514" s="2"/>
      <c r="R514" s="2"/>
      <c r="S514" s="2"/>
      <c r="T514" s="2"/>
      <c r="U514" s="2"/>
      <c r="V514" s="3"/>
      <c r="W514" s="3"/>
      <c r="X514" s="3"/>
      <c r="Y514" s="3"/>
      <c r="Z514" s="3"/>
      <c r="AA514" s="3"/>
      <c r="AB514" s="3"/>
      <c r="AC514" s="2"/>
      <c r="AD514" s="2"/>
      <c r="AE514" s="2"/>
      <c r="AF514" s="2"/>
      <c r="AG514" s="2"/>
      <c r="AH514" s="2"/>
      <c r="AI514" s="2"/>
      <c r="AJ514" s="3"/>
      <c r="AK514" s="2"/>
      <c r="AL514" s="2"/>
      <c r="AM514" s="2"/>
      <c r="AN514" s="2"/>
      <c r="AO514" s="3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3"/>
      <c r="BC514" s="3"/>
      <c r="BD514" s="3"/>
      <c r="BE514" s="3"/>
      <c r="BF514" s="3"/>
      <c r="BG514" s="3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2"/>
      <c r="DI514" s="2"/>
      <c r="DJ514" s="3"/>
      <c r="DK514" s="3"/>
      <c r="DL514" s="2"/>
      <c r="DM514" s="2"/>
      <c r="DN514" s="2"/>
      <c r="DO514" s="3"/>
      <c r="DP514" s="3"/>
      <c r="GO514" t="s">
        <v>139</v>
      </c>
      <c r="GP514" t="s">
        <v>135</v>
      </c>
      <c r="GQ514" t="s">
        <v>502</v>
      </c>
      <c r="GR514">
        <v>94</v>
      </c>
      <c r="GS514">
        <v>93</v>
      </c>
      <c r="GT514">
        <v>1</v>
      </c>
      <c r="GU514" t="s">
        <v>457</v>
      </c>
      <c r="GV514">
        <v>16714125.1736614</v>
      </c>
      <c r="GW514">
        <v>334514869.01091403</v>
      </c>
      <c r="GX514">
        <v>351228994.18457597</v>
      </c>
      <c r="GY514">
        <v>0</v>
      </c>
      <c r="GZ514">
        <v>351228994.18457597</v>
      </c>
      <c r="HA514">
        <v>351228994.18457597</v>
      </c>
      <c r="HB514">
        <v>0</v>
      </c>
      <c r="HC514">
        <v>0</v>
      </c>
      <c r="HD514" t="s">
        <v>137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0.02</v>
      </c>
      <c r="HX514">
        <v>0.99098093957577105</v>
      </c>
      <c r="HY514">
        <v>1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334282.50347322901</v>
      </c>
      <c r="IJ514">
        <v>6690297.3802182898</v>
      </c>
      <c r="IK514">
        <v>0</v>
      </c>
      <c r="IL514">
        <v>0</v>
      </c>
      <c r="IM514">
        <v>0</v>
      </c>
      <c r="IN514">
        <v>17048407.6771347</v>
      </c>
      <c r="IO514">
        <v>341205166.39113301</v>
      </c>
      <c r="IP514">
        <v>358253574.06826699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</row>
    <row r="515" spans="2:268" customFormat="1" x14ac:dyDescent="0.25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3"/>
      <c r="N515" s="3"/>
      <c r="O515" s="3"/>
      <c r="P515" s="2"/>
      <c r="Q515" s="2"/>
      <c r="R515" s="2"/>
      <c r="S515" s="2"/>
      <c r="T515" s="2"/>
      <c r="U515" s="2"/>
      <c r="V515" s="3"/>
      <c r="W515" s="3"/>
      <c r="X515" s="3"/>
      <c r="Y515" s="3"/>
      <c r="Z515" s="3"/>
      <c r="AA515" s="3"/>
      <c r="AB515" s="3"/>
      <c r="AC515" s="2"/>
      <c r="AD515" s="2"/>
      <c r="AE515" s="2"/>
      <c r="AF515" s="2"/>
      <c r="AG515" s="2"/>
      <c r="AH515" s="2"/>
      <c r="AI515" s="2"/>
      <c r="AJ515" s="3"/>
      <c r="AK515" s="2"/>
      <c r="AL515" s="2"/>
      <c r="AM515" s="2"/>
      <c r="AN515" s="2"/>
      <c r="AO515" s="3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3"/>
      <c r="BC515" s="3"/>
      <c r="BD515" s="3"/>
      <c r="BE515" s="3"/>
      <c r="BF515" s="3"/>
      <c r="BG515" s="3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2"/>
      <c r="DI515" s="2"/>
      <c r="DJ515" s="3"/>
      <c r="DK515" s="3"/>
      <c r="DL515" s="2"/>
      <c r="DM515" s="2"/>
      <c r="DN515" s="2"/>
      <c r="DO515" s="3"/>
      <c r="DP515" s="3"/>
      <c r="GO515" t="s">
        <v>139</v>
      </c>
      <c r="GP515" t="s">
        <v>135</v>
      </c>
      <c r="GQ515" t="s">
        <v>502</v>
      </c>
      <c r="GR515">
        <v>95</v>
      </c>
      <c r="GS515">
        <v>94</v>
      </c>
      <c r="GT515">
        <v>1</v>
      </c>
      <c r="GU515" t="s">
        <v>457</v>
      </c>
      <c r="GV515">
        <v>17048407.6771347</v>
      </c>
      <c r="GW515">
        <v>341205166.39113301</v>
      </c>
      <c r="GX515">
        <v>358253574.06826699</v>
      </c>
      <c r="GY515">
        <v>0</v>
      </c>
      <c r="GZ515">
        <v>358253574.06826699</v>
      </c>
      <c r="HA515">
        <v>358253574.06826699</v>
      </c>
      <c r="HB515">
        <v>0</v>
      </c>
      <c r="HC515">
        <v>0</v>
      </c>
      <c r="HD515" t="s">
        <v>137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0.02</v>
      </c>
      <c r="HX515">
        <v>0.99098093957577105</v>
      </c>
      <c r="HY515">
        <v>1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340968.153542694</v>
      </c>
      <c r="IJ515">
        <v>6824103.3278226499</v>
      </c>
      <c r="IK515">
        <v>0</v>
      </c>
      <c r="IL515">
        <v>0</v>
      </c>
      <c r="IM515">
        <v>0</v>
      </c>
      <c r="IN515">
        <v>17389375.830677401</v>
      </c>
      <c r="IO515">
        <v>348029269.71895498</v>
      </c>
      <c r="IP515">
        <v>365418645.54963303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</row>
    <row r="516" spans="2:268" customFormat="1" x14ac:dyDescent="0.25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3"/>
      <c r="N516" s="3"/>
      <c r="O516" s="3"/>
      <c r="P516" s="2"/>
      <c r="Q516" s="2"/>
      <c r="R516" s="2"/>
      <c r="S516" s="2"/>
      <c r="T516" s="2"/>
      <c r="U516" s="2"/>
      <c r="V516" s="3"/>
      <c r="W516" s="3"/>
      <c r="X516" s="3"/>
      <c r="Y516" s="3"/>
      <c r="Z516" s="3"/>
      <c r="AA516" s="3"/>
      <c r="AB516" s="3"/>
      <c r="AC516" s="2"/>
      <c r="AD516" s="2"/>
      <c r="AE516" s="2"/>
      <c r="AF516" s="2"/>
      <c r="AG516" s="2"/>
      <c r="AH516" s="2"/>
      <c r="AI516" s="2"/>
      <c r="AJ516" s="3"/>
      <c r="AK516" s="2"/>
      <c r="AL516" s="2"/>
      <c r="AM516" s="2"/>
      <c r="AN516" s="2"/>
      <c r="AO516" s="3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3"/>
      <c r="BC516" s="3"/>
      <c r="BD516" s="3"/>
      <c r="BE516" s="3"/>
      <c r="BF516" s="3"/>
      <c r="BG516" s="3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2"/>
      <c r="DI516" s="2"/>
      <c r="DJ516" s="3"/>
      <c r="DK516" s="3"/>
      <c r="DL516" s="2"/>
      <c r="DM516" s="2"/>
      <c r="DN516" s="2"/>
      <c r="DO516" s="3"/>
      <c r="DP516" s="3"/>
      <c r="GO516" t="s">
        <v>139</v>
      </c>
      <c r="GP516" t="s">
        <v>135</v>
      </c>
      <c r="GQ516" t="s">
        <v>502</v>
      </c>
      <c r="GR516">
        <v>96</v>
      </c>
      <c r="GS516">
        <v>95</v>
      </c>
      <c r="GT516">
        <v>1</v>
      </c>
      <c r="GU516" t="s">
        <v>457</v>
      </c>
      <c r="GV516">
        <v>17389375.830677401</v>
      </c>
      <c r="GW516">
        <v>348029269.71895498</v>
      </c>
      <c r="GX516">
        <v>365418645.54963303</v>
      </c>
      <c r="GY516">
        <v>0</v>
      </c>
      <c r="GZ516">
        <v>365418645.54963303</v>
      </c>
      <c r="HA516">
        <v>365418645.54963303</v>
      </c>
      <c r="HB516">
        <v>0</v>
      </c>
      <c r="HC516">
        <v>0</v>
      </c>
      <c r="HD516" t="s">
        <v>137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0.02</v>
      </c>
      <c r="HX516">
        <v>0.99098093957577105</v>
      </c>
      <c r="HY516">
        <v>1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347787.51661354699</v>
      </c>
      <c r="IJ516">
        <v>6960585.3943790998</v>
      </c>
      <c r="IK516">
        <v>0</v>
      </c>
      <c r="IL516">
        <v>0</v>
      </c>
      <c r="IM516">
        <v>0</v>
      </c>
      <c r="IN516">
        <v>17737163.3472909</v>
      </c>
      <c r="IO516">
        <v>354989855.113334</v>
      </c>
      <c r="IP516">
        <v>372727018.46062499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</row>
    <row r="517" spans="2:268" customFormat="1" x14ac:dyDescent="0.25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3"/>
      <c r="N517" s="3"/>
      <c r="O517" s="3"/>
      <c r="P517" s="2"/>
      <c r="Q517" s="2"/>
      <c r="R517" s="2"/>
      <c r="S517" s="2"/>
      <c r="T517" s="2"/>
      <c r="U517" s="2"/>
      <c r="V517" s="3"/>
      <c r="W517" s="3"/>
      <c r="X517" s="3"/>
      <c r="Y517" s="3"/>
      <c r="Z517" s="3"/>
      <c r="AA517" s="3"/>
      <c r="AB517" s="3"/>
      <c r="AC517" s="2"/>
      <c r="AD517" s="2"/>
      <c r="AE517" s="2"/>
      <c r="AF517" s="2"/>
      <c r="AG517" s="2"/>
      <c r="AH517" s="2"/>
      <c r="AI517" s="2"/>
      <c r="AJ517" s="3"/>
      <c r="AK517" s="2"/>
      <c r="AL517" s="2"/>
      <c r="AM517" s="2"/>
      <c r="AN517" s="2"/>
      <c r="AO517" s="3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3"/>
      <c r="BC517" s="3"/>
      <c r="BD517" s="3"/>
      <c r="BE517" s="3"/>
      <c r="BF517" s="3"/>
      <c r="BG517" s="3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2"/>
      <c r="DI517" s="2"/>
      <c r="DJ517" s="3"/>
      <c r="DK517" s="3"/>
      <c r="DL517" s="2"/>
      <c r="DM517" s="2"/>
      <c r="DN517" s="2"/>
      <c r="DO517" s="3"/>
      <c r="DP517" s="3"/>
      <c r="GO517" t="s">
        <v>139</v>
      </c>
      <c r="GP517" t="s">
        <v>135</v>
      </c>
      <c r="GQ517" t="s">
        <v>502</v>
      </c>
      <c r="GR517">
        <v>97</v>
      </c>
      <c r="GS517">
        <v>96</v>
      </c>
      <c r="GT517">
        <v>1</v>
      </c>
      <c r="GU517" t="s">
        <v>457</v>
      </c>
      <c r="GV517">
        <v>17737163.3472909</v>
      </c>
      <c r="GW517">
        <v>354989855.113334</v>
      </c>
      <c r="GX517">
        <v>372727018.46062499</v>
      </c>
      <c r="GY517">
        <v>0</v>
      </c>
      <c r="GZ517">
        <v>372727018.46062499</v>
      </c>
      <c r="HA517">
        <v>372727018.46062499</v>
      </c>
      <c r="HB517">
        <v>0</v>
      </c>
      <c r="HC517">
        <v>0</v>
      </c>
      <c r="HD517" t="s">
        <v>137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0.02</v>
      </c>
      <c r="HX517">
        <v>0.99098093957577105</v>
      </c>
      <c r="HY517">
        <v>1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354743.26694581797</v>
      </c>
      <c r="IJ517">
        <v>7099797.1022666898</v>
      </c>
      <c r="IK517">
        <v>0</v>
      </c>
      <c r="IL517">
        <v>0</v>
      </c>
      <c r="IM517">
        <v>0</v>
      </c>
      <c r="IN517">
        <v>18091906.614236701</v>
      </c>
      <c r="IO517">
        <v>362089652.21560103</v>
      </c>
      <c r="IP517">
        <v>380181558.82983798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</row>
    <row r="518" spans="2:268" customFormat="1" x14ac:dyDescent="0.25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3"/>
      <c r="N518" s="3"/>
      <c r="O518" s="3"/>
      <c r="P518" s="2"/>
      <c r="Q518" s="2"/>
      <c r="R518" s="2"/>
      <c r="S518" s="2"/>
      <c r="T518" s="2"/>
      <c r="U518" s="2"/>
      <c r="V518" s="3"/>
      <c r="W518" s="3"/>
      <c r="X518" s="3"/>
      <c r="Y518" s="3"/>
      <c r="Z518" s="3"/>
      <c r="AA518" s="3"/>
      <c r="AB518" s="3"/>
      <c r="AC518" s="2"/>
      <c r="AD518" s="2"/>
      <c r="AE518" s="2"/>
      <c r="AF518" s="2"/>
      <c r="AG518" s="2"/>
      <c r="AH518" s="2"/>
      <c r="AI518" s="2"/>
      <c r="AJ518" s="3"/>
      <c r="AK518" s="2"/>
      <c r="AL518" s="2"/>
      <c r="AM518" s="2"/>
      <c r="AN518" s="2"/>
      <c r="AO518" s="3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3"/>
      <c r="BC518" s="3"/>
      <c r="BD518" s="3"/>
      <c r="BE518" s="3"/>
      <c r="BF518" s="3"/>
      <c r="BG518" s="3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2"/>
      <c r="DI518" s="2"/>
      <c r="DJ518" s="3"/>
      <c r="DK518" s="3"/>
      <c r="DL518" s="2"/>
      <c r="DM518" s="2"/>
      <c r="DN518" s="2"/>
      <c r="DO518" s="3"/>
      <c r="DP518" s="3"/>
      <c r="GO518" t="s">
        <v>139</v>
      </c>
      <c r="GP518" t="s">
        <v>135</v>
      </c>
      <c r="GQ518" t="s">
        <v>502</v>
      </c>
      <c r="GR518">
        <v>98</v>
      </c>
      <c r="GS518">
        <v>97</v>
      </c>
      <c r="GT518">
        <v>1</v>
      </c>
      <c r="GU518" t="s">
        <v>457</v>
      </c>
      <c r="GV518">
        <v>18091906.614236701</v>
      </c>
      <c r="GW518">
        <v>362089652.21560103</v>
      </c>
      <c r="GX518">
        <v>380181558.82983798</v>
      </c>
      <c r="GY518">
        <v>0</v>
      </c>
      <c r="GZ518">
        <v>380181558.82983798</v>
      </c>
      <c r="HA518">
        <v>380181558.82983798</v>
      </c>
      <c r="HB518">
        <v>0</v>
      </c>
      <c r="HC518">
        <v>0</v>
      </c>
      <c r="HD518" t="s">
        <v>137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0.02</v>
      </c>
      <c r="HX518">
        <v>0.99098093957577105</v>
      </c>
      <c r="HY518">
        <v>1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361838.13228473498</v>
      </c>
      <c r="IJ518">
        <v>7241793.0443120198</v>
      </c>
      <c r="IK518">
        <v>0</v>
      </c>
      <c r="IL518">
        <v>0</v>
      </c>
      <c r="IM518">
        <v>0</v>
      </c>
      <c r="IN518">
        <v>18453744.746521499</v>
      </c>
      <c r="IO518">
        <v>369331445.25991303</v>
      </c>
      <c r="IP518">
        <v>387785190.00643402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</row>
    <row r="519" spans="2:268" customFormat="1" x14ac:dyDescent="0.25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3"/>
      <c r="N519" s="3"/>
      <c r="O519" s="3"/>
      <c r="P519" s="2"/>
      <c r="Q519" s="2"/>
      <c r="R519" s="2"/>
      <c r="S519" s="2"/>
      <c r="T519" s="2"/>
      <c r="U519" s="2"/>
      <c r="V519" s="3"/>
      <c r="W519" s="3"/>
      <c r="X519" s="3"/>
      <c r="Y519" s="3"/>
      <c r="Z519" s="3"/>
      <c r="AA519" s="3"/>
      <c r="AB519" s="3"/>
      <c r="AC519" s="2"/>
      <c r="AD519" s="2"/>
      <c r="AE519" s="2"/>
      <c r="AF519" s="2"/>
      <c r="AG519" s="2"/>
      <c r="AH519" s="2"/>
      <c r="AI519" s="2"/>
      <c r="AJ519" s="3"/>
      <c r="AK519" s="2"/>
      <c r="AL519" s="2"/>
      <c r="AM519" s="2"/>
      <c r="AN519" s="2"/>
      <c r="AO519" s="3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3"/>
      <c r="BC519" s="3"/>
      <c r="BD519" s="3"/>
      <c r="BE519" s="3"/>
      <c r="BF519" s="3"/>
      <c r="BG519" s="3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2"/>
      <c r="DI519" s="2"/>
      <c r="DJ519" s="3"/>
      <c r="DK519" s="3"/>
      <c r="DL519" s="2"/>
      <c r="DM519" s="2"/>
      <c r="DN519" s="2"/>
      <c r="DO519" s="3"/>
      <c r="DP519" s="3"/>
      <c r="GO519" t="s">
        <v>139</v>
      </c>
      <c r="GP519" t="s">
        <v>135</v>
      </c>
      <c r="GQ519" t="s">
        <v>502</v>
      </c>
      <c r="GR519">
        <v>99</v>
      </c>
      <c r="GS519">
        <v>98</v>
      </c>
      <c r="GT519">
        <v>1</v>
      </c>
      <c r="GU519" t="s">
        <v>457</v>
      </c>
      <c r="GV519">
        <v>18453744.746521499</v>
      </c>
      <c r="GW519">
        <v>369331445.25991303</v>
      </c>
      <c r="GX519">
        <v>387785190.00643402</v>
      </c>
      <c r="GY519">
        <v>0</v>
      </c>
      <c r="GZ519">
        <v>387785190.00643402</v>
      </c>
      <c r="HA519">
        <v>387785190.00643402</v>
      </c>
      <c r="HB519">
        <v>0</v>
      </c>
      <c r="HC519">
        <v>0</v>
      </c>
      <c r="HD519" t="s">
        <v>137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0.02</v>
      </c>
      <c r="HX519">
        <v>0.99098093957577105</v>
      </c>
      <c r="HY519">
        <v>1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369074.894930429</v>
      </c>
      <c r="IJ519">
        <v>7386628.9051982602</v>
      </c>
      <c r="IK519">
        <v>0</v>
      </c>
      <c r="IL519">
        <v>0</v>
      </c>
      <c r="IM519">
        <v>0</v>
      </c>
      <c r="IN519">
        <v>18822819.641451899</v>
      </c>
      <c r="IO519">
        <v>376718074.16511101</v>
      </c>
      <c r="IP519">
        <v>395540893.80656302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</row>
    <row r="520" spans="2:268" customFormat="1" x14ac:dyDescent="0.25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3"/>
      <c r="N520" s="3"/>
      <c r="O520" s="3"/>
      <c r="P520" s="2"/>
      <c r="Q520" s="2"/>
      <c r="R520" s="2"/>
      <c r="S520" s="2"/>
      <c r="T520" s="2"/>
      <c r="U520" s="2"/>
      <c r="V520" s="3"/>
      <c r="W520" s="3"/>
      <c r="X520" s="3"/>
      <c r="Y520" s="3"/>
      <c r="Z520" s="3"/>
      <c r="AA520" s="3"/>
      <c r="AB520" s="3"/>
      <c r="AC520" s="2"/>
      <c r="AD520" s="2"/>
      <c r="AE520" s="2"/>
      <c r="AF520" s="2"/>
      <c r="AG520" s="2"/>
      <c r="AH520" s="2"/>
      <c r="AI520" s="2"/>
      <c r="AJ520" s="3"/>
      <c r="AK520" s="2"/>
      <c r="AL520" s="2"/>
      <c r="AM520" s="2"/>
      <c r="AN520" s="2"/>
      <c r="AO520" s="3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3"/>
      <c r="BC520" s="3"/>
      <c r="BD520" s="3"/>
      <c r="BE520" s="3"/>
      <c r="BF520" s="3"/>
      <c r="BG520" s="3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2"/>
      <c r="DI520" s="2"/>
      <c r="DJ520" s="3"/>
      <c r="DK520" s="3"/>
      <c r="DL520" s="2"/>
      <c r="DM520" s="2"/>
      <c r="DN520" s="2"/>
      <c r="DO520" s="3"/>
      <c r="DP520" s="3"/>
      <c r="GO520" t="s">
        <v>139</v>
      </c>
      <c r="GP520" t="s">
        <v>135</v>
      </c>
      <c r="GQ520" t="s">
        <v>502</v>
      </c>
      <c r="GR520">
        <v>100</v>
      </c>
      <c r="GS520">
        <v>99</v>
      </c>
      <c r="GT520">
        <v>1</v>
      </c>
      <c r="GU520" t="s">
        <v>457</v>
      </c>
      <c r="GV520">
        <v>18822819.641451899</v>
      </c>
      <c r="GW520">
        <v>376718074.16511101</v>
      </c>
      <c r="GX520">
        <v>395540893.80656302</v>
      </c>
      <c r="GY520">
        <v>0</v>
      </c>
      <c r="GZ520">
        <v>395540893.80656302</v>
      </c>
      <c r="HA520">
        <v>395540893.80656302</v>
      </c>
      <c r="HB520">
        <v>0</v>
      </c>
      <c r="HC520">
        <v>0</v>
      </c>
      <c r="HD520" t="s">
        <v>137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0.02</v>
      </c>
      <c r="HX520">
        <v>0.99098093957577105</v>
      </c>
      <c r="HY520">
        <v>1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376456.39282903803</v>
      </c>
      <c r="IJ520">
        <v>7534361.48330223</v>
      </c>
      <c r="IK520">
        <v>0</v>
      </c>
      <c r="IL520">
        <v>0</v>
      </c>
      <c r="IM520">
        <v>0</v>
      </c>
      <c r="IN520">
        <v>19199276.0342809</v>
      </c>
      <c r="IO520">
        <v>384252435.648413</v>
      </c>
      <c r="IP520">
        <v>403451711.68269402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</row>
    <row r="521" spans="2:268" customFormat="1" x14ac:dyDescent="0.25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3"/>
      <c r="N521" s="3"/>
      <c r="O521" s="3"/>
      <c r="P521" s="2"/>
      <c r="Q521" s="2"/>
      <c r="R521" s="2"/>
      <c r="S521" s="2"/>
      <c r="T521" s="2"/>
      <c r="U521" s="2"/>
      <c r="V521" s="3"/>
      <c r="W521" s="3"/>
      <c r="X521" s="3"/>
      <c r="Y521" s="3"/>
      <c r="Z521" s="3"/>
      <c r="AA521" s="3"/>
      <c r="AB521" s="3"/>
      <c r="AC521" s="2"/>
      <c r="AD521" s="2"/>
      <c r="AE521" s="2"/>
      <c r="AF521" s="2"/>
      <c r="AG521" s="2"/>
      <c r="AH521" s="2"/>
      <c r="AI521" s="2"/>
      <c r="AJ521" s="3"/>
      <c r="AK521" s="2"/>
      <c r="AL521" s="2"/>
      <c r="AM521" s="2"/>
      <c r="AN521" s="2"/>
      <c r="AO521" s="3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3"/>
      <c r="BC521" s="3"/>
      <c r="BD521" s="3"/>
      <c r="BE521" s="3"/>
      <c r="BF521" s="3"/>
      <c r="BG521" s="3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2"/>
      <c r="DI521" s="2"/>
      <c r="DJ521" s="3"/>
      <c r="DK521" s="3"/>
      <c r="DL521" s="2"/>
      <c r="DM521" s="2"/>
      <c r="DN521" s="2"/>
      <c r="DO521" s="3"/>
      <c r="DP521" s="3"/>
      <c r="GO521" t="s">
        <v>139</v>
      </c>
      <c r="GP521" t="s">
        <v>501</v>
      </c>
      <c r="GQ521" t="s">
        <v>502</v>
      </c>
      <c r="GR521">
        <v>1</v>
      </c>
      <c r="GS521">
        <v>0</v>
      </c>
      <c r="GT521">
        <v>1</v>
      </c>
      <c r="GU521" t="s">
        <v>136</v>
      </c>
      <c r="GV521">
        <v>0</v>
      </c>
      <c r="GW521">
        <v>0</v>
      </c>
      <c r="GX521">
        <v>0</v>
      </c>
      <c r="GY521">
        <v>1072000</v>
      </c>
      <c r="GZ521">
        <v>0</v>
      </c>
      <c r="HA521">
        <v>101000000</v>
      </c>
      <c r="HB521">
        <v>303000000</v>
      </c>
      <c r="HC521">
        <v>0</v>
      </c>
      <c r="HD521" t="s">
        <v>137</v>
      </c>
      <c r="HE521">
        <v>0</v>
      </c>
      <c r="HF521">
        <v>0</v>
      </c>
      <c r="HG521">
        <v>0</v>
      </c>
      <c r="HH521">
        <v>1072000</v>
      </c>
      <c r="HI521">
        <v>589600</v>
      </c>
      <c r="HJ521">
        <v>482400</v>
      </c>
      <c r="HK521">
        <v>5200000</v>
      </c>
      <c r="HL521">
        <v>104000</v>
      </c>
      <c r="HM521">
        <v>5096000</v>
      </c>
      <c r="HN521">
        <v>0</v>
      </c>
      <c r="HO521">
        <v>207000</v>
      </c>
      <c r="HP521">
        <v>207000</v>
      </c>
      <c r="HQ521">
        <v>4140</v>
      </c>
      <c r="HR521">
        <v>202860</v>
      </c>
      <c r="HS521">
        <v>6479000</v>
      </c>
      <c r="HT521">
        <v>697740</v>
      </c>
      <c r="HU521">
        <v>5781260</v>
      </c>
      <c r="HV521">
        <v>6479000</v>
      </c>
      <c r="HW521">
        <v>0.02</v>
      </c>
      <c r="HX521">
        <v>0.99098093957577105</v>
      </c>
      <c r="HY521">
        <v>1</v>
      </c>
      <c r="HZ521">
        <v>300000</v>
      </c>
      <c r="IA521">
        <v>189879.99999999901</v>
      </c>
      <c r="IB521">
        <v>142409.99999999901</v>
      </c>
      <c r="IC521">
        <v>202000</v>
      </c>
      <c r="ID521">
        <v>806989.99999999802</v>
      </c>
      <c r="IE521">
        <v>1106990</v>
      </c>
      <c r="IF521">
        <v>1097005.9903009799</v>
      </c>
      <c r="IG521">
        <v>482400</v>
      </c>
      <c r="IH521">
        <v>614605.99030098098</v>
      </c>
      <c r="II521">
        <v>0</v>
      </c>
      <c r="IJ521">
        <v>93685.080193980393</v>
      </c>
      <c r="IK521">
        <v>0</v>
      </c>
      <c r="IL521">
        <v>0</v>
      </c>
      <c r="IM521">
        <v>0</v>
      </c>
      <c r="IN521">
        <v>0</v>
      </c>
      <c r="IO521">
        <v>4777939.0898930002</v>
      </c>
      <c r="IP521">
        <v>4777939.0898930002</v>
      </c>
      <c r="IQ521">
        <v>536000</v>
      </c>
      <c r="IR521">
        <v>2600000</v>
      </c>
      <c r="IS521">
        <v>0</v>
      </c>
      <c r="IT521">
        <v>104000</v>
      </c>
      <c r="IU521">
        <v>104000</v>
      </c>
      <c r="IV521">
        <v>3240000</v>
      </c>
      <c r="IW521">
        <v>268000</v>
      </c>
      <c r="IX521">
        <v>1300000</v>
      </c>
      <c r="IY521">
        <v>0</v>
      </c>
      <c r="IZ521">
        <v>52000</v>
      </c>
      <c r="JA521">
        <v>52000</v>
      </c>
      <c r="JB521">
        <v>1620000</v>
      </c>
      <c r="JC521">
        <v>90000</v>
      </c>
      <c r="JD521">
        <v>434000</v>
      </c>
      <c r="JE521">
        <v>0</v>
      </c>
      <c r="JF521">
        <v>18000</v>
      </c>
      <c r="JG521">
        <v>18000</v>
      </c>
      <c r="JH521">
        <v>542000</v>
      </c>
    </row>
    <row r="522" spans="2:268" customFormat="1" x14ac:dyDescent="0.25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3"/>
      <c r="N522" s="3"/>
      <c r="O522" s="3"/>
      <c r="P522" s="2"/>
      <c r="Q522" s="2"/>
      <c r="R522" s="2"/>
      <c r="S522" s="2"/>
      <c r="T522" s="2"/>
      <c r="U522" s="2"/>
      <c r="V522" s="3"/>
      <c r="W522" s="3"/>
      <c r="X522" s="3"/>
      <c r="Y522" s="3"/>
      <c r="Z522" s="3"/>
      <c r="AA522" s="3"/>
      <c r="AB522" s="3"/>
      <c r="AC522" s="2"/>
      <c r="AD522" s="2"/>
      <c r="AE522" s="2"/>
      <c r="AF522" s="2"/>
      <c r="AG522" s="2"/>
      <c r="AH522" s="2"/>
      <c r="AI522" s="2"/>
      <c r="AJ522" s="3"/>
      <c r="AK522" s="2"/>
      <c r="AL522" s="2"/>
      <c r="AM522" s="2"/>
      <c r="AN522" s="2"/>
      <c r="AO522" s="3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3"/>
      <c r="BC522" s="3"/>
      <c r="BD522" s="3"/>
      <c r="BE522" s="3"/>
      <c r="BF522" s="3"/>
      <c r="BG522" s="3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2"/>
      <c r="DI522" s="2"/>
      <c r="DJ522" s="3"/>
      <c r="DK522" s="3"/>
      <c r="DL522" s="2"/>
      <c r="DM522" s="2"/>
      <c r="DN522" s="2"/>
      <c r="DO522" s="3"/>
      <c r="DP522" s="3"/>
      <c r="GO522" t="s">
        <v>139</v>
      </c>
      <c r="GP522" t="s">
        <v>501</v>
      </c>
      <c r="GQ522" t="s">
        <v>502</v>
      </c>
      <c r="GR522">
        <v>2</v>
      </c>
      <c r="GS522">
        <v>1</v>
      </c>
      <c r="GT522">
        <v>1</v>
      </c>
      <c r="GU522" t="s">
        <v>457</v>
      </c>
      <c r="GV522">
        <v>0</v>
      </c>
      <c r="GW522">
        <v>4777939.0898930002</v>
      </c>
      <c r="GX522">
        <v>4777939.0898930002</v>
      </c>
      <c r="GY522">
        <v>1072000</v>
      </c>
      <c r="GZ522">
        <v>4777939.0898930002</v>
      </c>
      <c r="HA522">
        <v>101000000</v>
      </c>
      <c r="HB522">
        <v>303000000</v>
      </c>
      <c r="HC522">
        <v>0</v>
      </c>
      <c r="HD522" t="s">
        <v>137</v>
      </c>
      <c r="HE522">
        <v>0</v>
      </c>
      <c r="HF522">
        <v>0</v>
      </c>
      <c r="HG522">
        <v>0</v>
      </c>
      <c r="HH522">
        <v>1072000</v>
      </c>
      <c r="HI522">
        <v>428800</v>
      </c>
      <c r="HJ522">
        <v>643200</v>
      </c>
      <c r="HK522">
        <v>5200000</v>
      </c>
      <c r="HL522">
        <v>104000</v>
      </c>
      <c r="HM522">
        <v>5096000</v>
      </c>
      <c r="HN522">
        <v>0</v>
      </c>
      <c r="HO522">
        <v>207000</v>
      </c>
      <c r="HP522">
        <v>207000</v>
      </c>
      <c r="HQ522">
        <v>4140</v>
      </c>
      <c r="HR522">
        <v>202860</v>
      </c>
      <c r="HS522">
        <v>6479000</v>
      </c>
      <c r="HT522">
        <v>536940</v>
      </c>
      <c r="HU522">
        <v>5942060</v>
      </c>
      <c r="HV522">
        <v>12958000</v>
      </c>
      <c r="HW522">
        <v>0.02</v>
      </c>
      <c r="HX522">
        <v>0.99098093957577105</v>
      </c>
      <c r="HY522">
        <v>1</v>
      </c>
      <c r="HZ522">
        <v>300000</v>
      </c>
      <c r="IA522">
        <v>80826.531164485306</v>
      </c>
      <c r="IB522">
        <v>60619.898373363903</v>
      </c>
      <c r="IC522">
        <v>192444.121820214</v>
      </c>
      <c r="ID522">
        <v>606590.55135806301</v>
      </c>
      <c r="IE522">
        <v>906590.55135806301</v>
      </c>
      <c r="IF522">
        <v>898413.95639533002</v>
      </c>
      <c r="IG522">
        <v>643200</v>
      </c>
      <c r="IH522">
        <v>255213.95639532999</v>
      </c>
      <c r="II522">
        <v>0</v>
      </c>
      <c r="IJ522">
        <v>196431.702669953</v>
      </c>
      <c r="IK522">
        <v>0</v>
      </c>
      <c r="IL522">
        <v>0</v>
      </c>
      <c r="IM522">
        <v>0</v>
      </c>
      <c r="IN522">
        <v>0</v>
      </c>
      <c r="IO522">
        <v>10018016.8361676</v>
      </c>
      <c r="IP522">
        <v>10018016.8361676</v>
      </c>
      <c r="IQ522">
        <v>536000</v>
      </c>
      <c r="IR522">
        <v>2600000</v>
      </c>
      <c r="IS522">
        <v>0</v>
      </c>
      <c r="IT522">
        <v>104000</v>
      </c>
      <c r="IU522">
        <v>104000</v>
      </c>
      <c r="IV522">
        <v>3240000</v>
      </c>
      <c r="IW522">
        <v>268000</v>
      </c>
      <c r="IX522">
        <v>1300000</v>
      </c>
      <c r="IY522">
        <v>0</v>
      </c>
      <c r="IZ522">
        <v>52000</v>
      </c>
      <c r="JA522">
        <v>52000</v>
      </c>
      <c r="JB522">
        <v>1620000</v>
      </c>
      <c r="JC522">
        <v>90000</v>
      </c>
      <c r="JD522">
        <v>434000</v>
      </c>
      <c r="JE522">
        <v>0</v>
      </c>
      <c r="JF522">
        <v>18000</v>
      </c>
      <c r="JG522">
        <v>18000</v>
      </c>
      <c r="JH522">
        <v>542000</v>
      </c>
    </row>
    <row r="523" spans="2:268" customFormat="1" x14ac:dyDescent="0.25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3"/>
      <c r="N523" s="3"/>
      <c r="O523" s="3"/>
      <c r="P523" s="2"/>
      <c r="Q523" s="2"/>
      <c r="R523" s="2"/>
      <c r="S523" s="2"/>
      <c r="T523" s="2"/>
      <c r="U523" s="2"/>
      <c r="V523" s="3"/>
      <c r="W523" s="3"/>
      <c r="X523" s="3"/>
      <c r="Y523" s="3"/>
      <c r="Z523" s="3"/>
      <c r="AA523" s="3"/>
      <c r="AB523" s="3"/>
      <c r="AC523" s="2"/>
      <c r="AD523" s="2"/>
      <c r="AE523" s="2"/>
      <c r="AF523" s="2"/>
      <c r="AG523" s="2"/>
      <c r="AH523" s="2"/>
      <c r="AI523" s="2"/>
      <c r="AJ523" s="3"/>
      <c r="AK523" s="2"/>
      <c r="AL523" s="2"/>
      <c r="AM523" s="2"/>
      <c r="AN523" s="2"/>
      <c r="AO523" s="3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3"/>
      <c r="BC523" s="3"/>
      <c r="BD523" s="3"/>
      <c r="BE523" s="3"/>
      <c r="BF523" s="3"/>
      <c r="BG523" s="3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2"/>
      <c r="DI523" s="2"/>
      <c r="DJ523" s="3"/>
      <c r="DK523" s="3"/>
      <c r="DL523" s="2"/>
      <c r="DM523" s="2"/>
      <c r="DN523" s="2"/>
      <c r="DO523" s="3"/>
      <c r="DP523" s="3"/>
      <c r="GO523" t="s">
        <v>139</v>
      </c>
      <c r="GP523" t="s">
        <v>501</v>
      </c>
      <c r="GQ523" t="s">
        <v>502</v>
      </c>
      <c r="GR523">
        <v>3</v>
      </c>
      <c r="GS523">
        <v>2</v>
      </c>
      <c r="GT523">
        <v>1</v>
      </c>
      <c r="GU523" t="s">
        <v>457</v>
      </c>
      <c r="GV523">
        <v>0</v>
      </c>
      <c r="GW523">
        <v>10018016.8361676</v>
      </c>
      <c r="GX523">
        <v>10018016.8361676</v>
      </c>
      <c r="GY523">
        <v>1072000</v>
      </c>
      <c r="GZ523">
        <v>10018016.8361676</v>
      </c>
      <c r="HA523">
        <v>101000000</v>
      </c>
      <c r="HB523">
        <v>303000000</v>
      </c>
      <c r="HC523">
        <v>0</v>
      </c>
      <c r="HD523" t="s">
        <v>137</v>
      </c>
      <c r="HE523">
        <v>0</v>
      </c>
      <c r="HF523">
        <v>0</v>
      </c>
      <c r="HG523">
        <v>0</v>
      </c>
      <c r="HH523">
        <v>1072000</v>
      </c>
      <c r="HI523">
        <v>268000</v>
      </c>
      <c r="HJ523">
        <v>804000</v>
      </c>
      <c r="HK523">
        <v>5200000</v>
      </c>
      <c r="HL523">
        <v>104000</v>
      </c>
      <c r="HM523">
        <v>5096000</v>
      </c>
      <c r="HN523">
        <v>0</v>
      </c>
      <c r="HO523">
        <v>207000</v>
      </c>
      <c r="HP523">
        <v>207000</v>
      </c>
      <c r="HQ523">
        <v>4140</v>
      </c>
      <c r="HR523">
        <v>202860</v>
      </c>
      <c r="HS523">
        <v>6479000</v>
      </c>
      <c r="HT523">
        <v>376140</v>
      </c>
      <c r="HU523">
        <v>6102860</v>
      </c>
      <c r="HV523">
        <v>19437000</v>
      </c>
      <c r="HW523">
        <v>0.02</v>
      </c>
      <c r="HX523">
        <v>0.99098093957577105</v>
      </c>
      <c r="HY523">
        <v>1</v>
      </c>
      <c r="HZ523">
        <v>300000</v>
      </c>
      <c r="IA523">
        <v>72785.586531067995</v>
      </c>
      <c r="IB523">
        <v>54589.189898301003</v>
      </c>
      <c r="IC523">
        <v>181963.966327665</v>
      </c>
      <c r="ID523">
        <v>582038.74275703402</v>
      </c>
      <c r="IE523">
        <v>882038.74275703402</v>
      </c>
      <c r="IF523">
        <v>874083.58203959698</v>
      </c>
      <c r="IG523">
        <v>804000</v>
      </c>
      <c r="IH523">
        <v>70083.582039597401</v>
      </c>
      <c r="II523">
        <v>0</v>
      </c>
      <c r="IJ523">
        <v>304935.86508256098</v>
      </c>
      <c r="IK523">
        <v>0</v>
      </c>
      <c r="IL523">
        <v>0</v>
      </c>
      <c r="IM523">
        <v>0</v>
      </c>
      <c r="IN523">
        <v>0</v>
      </c>
      <c r="IO523">
        <v>15551729.119210601</v>
      </c>
      <c r="IP523">
        <v>15551729.119210601</v>
      </c>
      <c r="IQ523">
        <v>536000</v>
      </c>
      <c r="IR523">
        <v>2600000</v>
      </c>
      <c r="IS523">
        <v>0</v>
      </c>
      <c r="IT523">
        <v>104000</v>
      </c>
      <c r="IU523">
        <v>104000</v>
      </c>
      <c r="IV523">
        <v>3240000</v>
      </c>
      <c r="IW523">
        <v>268000</v>
      </c>
      <c r="IX523">
        <v>1300000</v>
      </c>
      <c r="IY523">
        <v>0</v>
      </c>
      <c r="IZ523">
        <v>52000</v>
      </c>
      <c r="JA523">
        <v>52000</v>
      </c>
      <c r="JB523">
        <v>1620000</v>
      </c>
      <c r="JC523">
        <v>90000</v>
      </c>
      <c r="JD523">
        <v>434000</v>
      </c>
      <c r="JE523">
        <v>0</v>
      </c>
      <c r="JF523">
        <v>18000</v>
      </c>
      <c r="JG523">
        <v>18000</v>
      </c>
      <c r="JH523">
        <v>542000</v>
      </c>
    </row>
    <row r="524" spans="2:268" customFormat="1" x14ac:dyDescent="0.25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3"/>
      <c r="N524" s="3"/>
      <c r="O524" s="3"/>
      <c r="P524" s="2"/>
      <c r="Q524" s="2"/>
      <c r="R524" s="2"/>
      <c r="S524" s="2"/>
      <c r="T524" s="2"/>
      <c r="U524" s="2"/>
      <c r="V524" s="3"/>
      <c r="W524" s="3"/>
      <c r="X524" s="3"/>
      <c r="Y524" s="3"/>
      <c r="Z524" s="3"/>
      <c r="AA524" s="3"/>
      <c r="AB524" s="3"/>
      <c r="AC524" s="2"/>
      <c r="AD524" s="2"/>
      <c r="AE524" s="2"/>
      <c r="AF524" s="2"/>
      <c r="AG524" s="2"/>
      <c r="AH524" s="2"/>
      <c r="AI524" s="2"/>
      <c r="AJ524" s="3"/>
      <c r="AK524" s="2"/>
      <c r="AL524" s="2"/>
      <c r="AM524" s="2"/>
      <c r="AN524" s="2"/>
      <c r="AO524" s="3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3"/>
      <c r="BC524" s="3"/>
      <c r="BD524" s="3"/>
      <c r="BE524" s="3"/>
      <c r="BF524" s="3"/>
      <c r="BG524" s="3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2"/>
      <c r="DI524" s="2"/>
      <c r="DJ524" s="3"/>
      <c r="DK524" s="3"/>
      <c r="DL524" s="2"/>
      <c r="DM524" s="2"/>
      <c r="DN524" s="2"/>
      <c r="DO524" s="3"/>
      <c r="DP524" s="3"/>
      <c r="GO524" t="s">
        <v>139</v>
      </c>
      <c r="GP524" t="s">
        <v>501</v>
      </c>
      <c r="GQ524" t="s">
        <v>502</v>
      </c>
      <c r="GR524">
        <v>4</v>
      </c>
      <c r="GS524">
        <v>3</v>
      </c>
      <c r="GT524">
        <v>1</v>
      </c>
      <c r="GU524" t="s">
        <v>457</v>
      </c>
      <c r="GV524">
        <v>0</v>
      </c>
      <c r="GW524">
        <v>15551729.119210601</v>
      </c>
      <c r="GX524">
        <v>15551729.119210601</v>
      </c>
      <c r="GY524">
        <v>1072000</v>
      </c>
      <c r="GZ524">
        <v>15551729.119210601</v>
      </c>
      <c r="HA524">
        <v>101000000</v>
      </c>
      <c r="HB524">
        <v>303000000</v>
      </c>
      <c r="HC524">
        <v>0</v>
      </c>
      <c r="HD524" t="s">
        <v>137</v>
      </c>
      <c r="HE524">
        <v>0</v>
      </c>
      <c r="HF524">
        <v>0</v>
      </c>
      <c r="HG524">
        <v>0</v>
      </c>
      <c r="HH524">
        <v>1072000</v>
      </c>
      <c r="HI524">
        <v>214400</v>
      </c>
      <c r="HJ524">
        <v>857600</v>
      </c>
      <c r="HK524">
        <v>5200000</v>
      </c>
      <c r="HL524">
        <v>104000</v>
      </c>
      <c r="HM524">
        <v>5096000</v>
      </c>
      <c r="HN524">
        <v>0</v>
      </c>
      <c r="HO524">
        <v>207000</v>
      </c>
      <c r="HP524">
        <v>207000</v>
      </c>
      <c r="HQ524">
        <v>4140</v>
      </c>
      <c r="HR524">
        <v>202860</v>
      </c>
      <c r="HS524">
        <v>6479000</v>
      </c>
      <c r="HT524">
        <v>322540</v>
      </c>
      <c r="HU524">
        <v>6156460</v>
      </c>
      <c r="HV524">
        <v>25916000</v>
      </c>
      <c r="HW524">
        <v>0.02</v>
      </c>
      <c r="HX524">
        <v>0.99098093957577105</v>
      </c>
      <c r="HY524">
        <v>1</v>
      </c>
      <c r="HZ524">
        <v>300000</v>
      </c>
      <c r="IA524">
        <v>66649.651287015993</v>
      </c>
      <c r="IB524">
        <v>49987.238465262002</v>
      </c>
      <c r="IC524">
        <v>170896.54176157899</v>
      </c>
      <c r="ID524">
        <v>560233.43151385698</v>
      </c>
      <c r="IE524">
        <v>860233.43151385698</v>
      </c>
      <c r="IF524">
        <v>852474.93421609199</v>
      </c>
      <c r="IG524">
        <v>852474.93421609199</v>
      </c>
      <c r="IH524">
        <v>0</v>
      </c>
      <c r="II524">
        <v>102.501315678162</v>
      </c>
      <c r="IJ524">
        <v>417011.78238421201</v>
      </c>
      <c r="IK524">
        <v>64320</v>
      </c>
      <c r="IL524">
        <v>0</v>
      </c>
      <c r="IM524">
        <v>64320</v>
      </c>
      <c r="IN524">
        <v>69547.567099586304</v>
      </c>
      <c r="IO524">
        <v>21267600.901594799</v>
      </c>
      <c r="IP524">
        <v>21337148.4686944</v>
      </c>
      <c r="IQ524">
        <v>536000</v>
      </c>
      <c r="IR524">
        <v>2600000</v>
      </c>
      <c r="IS524">
        <v>0</v>
      </c>
      <c r="IT524">
        <v>104000</v>
      </c>
      <c r="IU524">
        <v>104000</v>
      </c>
      <c r="IV524">
        <v>3240000</v>
      </c>
      <c r="IW524">
        <v>268000</v>
      </c>
      <c r="IX524">
        <v>1300000</v>
      </c>
      <c r="IY524">
        <v>0</v>
      </c>
      <c r="IZ524">
        <v>52000</v>
      </c>
      <c r="JA524">
        <v>52000</v>
      </c>
      <c r="JB524">
        <v>1620000</v>
      </c>
      <c r="JC524">
        <v>90000</v>
      </c>
      <c r="JD524">
        <v>434000</v>
      </c>
      <c r="JE524">
        <v>0</v>
      </c>
      <c r="JF524">
        <v>18000</v>
      </c>
      <c r="JG524">
        <v>18000</v>
      </c>
      <c r="JH524">
        <v>542000</v>
      </c>
    </row>
    <row r="525" spans="2:268" customFormat="1" x14ac:dyDescent="0.25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3"/>
      <c r="N525" s="3"/>
      <c r="O525" s="3"/>
      <c r="P525" s="2"/>
      <c r="Q525" s="2"/>
      <c r="R525" s="2"/>
      <c r="S525" s="2"/>
      <c r="T525" s="2"/>
      <c r="U525" s="2"/>
      <c r="V525" s="3"/>
      <c r="W525" s="3"/>
      <c r="X525" s="3"/>
      <c r="Y525" s="3"/>
      <c r="Z525" s="3"/>
      <c r="AA525" s="3"/>
      <c r="AB525" s="3"/>
      <c r="AC525" s="2"/>
      <c r="AD525" s="2"/>
      <c r="AE525" s="2"/>
      <c r="AF525" s="2"/>
      <c r="AG525" s="2"/>
      <c r="AH525" s="2"/>
      <c r="AI525" s="2"/>
      <c r="AJ525" s="3"/>
      <c r="AK525" s="2"/>
      <c r="AL525" s="2"/>
      <c r="AM525" s="2"/>
      <c r="AN525" s="2"/>
      <c r="AO525" s="3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3"/>
      <c r="BC525" s="3"/>
      <c r="BD525" s="3"/>
      <c r="BE525" s="3"/>
      <c r="BF525" s="3"/>
      <c r="BG525" s="3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2"/>
      <c r="DI525" s="2"/>
      <c r="DJ525" s="3"/>
      <c r="DK525" s="3"/>
      <c r="DL525" s="2"/>
      <c r="DM525" s="2"/>
      <c r="DN525" s="2"/>
      <c r="DO525" s="3"/>
      <c r="DP525" s="3"/>
      <c r="GO525" t="s">
        <v>139</v>
      </c>
      <c r="GP525" t="s">
        <v>501</v>
      </c>
      <c r="GQ525" t="s">
        <v>502</v>
      </c>
      <c r="GR525">
        <v>5</v>
      </c>
      <c r="GS525">
        <v>4</v>
      </c>
      <c r="GT525">
        <v>1</v>
      </c>
      <c r="GU525" t="s">
        <v>457</v>
      </c>
      <c r="GV525">
        <v>69547.567099586304</v>
      </c>
      <c r="GW525">
        <v>21267600.901594799</v>
      </c>
      <c r="GX525">
        <v>21337148.4686944</v>
      </c>
      <c r="GY525">
        <v>857600</v>
      </c>
      <c r="GZ525">
        <v>21267600.901594799</v>
      </c>
      <c r="HA525">
        <v>101000000</v>
      </c>
      <c r="HB525">
        <v>303000000</v>
      </c>
      <c r="HC525">
        <v>1000000</v>
      </c>
      <c r="HD525" t="s">
        <v>458</v>
      </c>
      <c r="HE525">
        <v>0</v>
      </c>
      <c r="HF525">
        <v>1000000</v>
      </c>
      <c r="HG525">
        <v>1000000</v>
      </c>
      <c r="HH525">
        <v>1072000</v>
      </c>
      <c r="HI525">
        <v>107200</v>
      </c>
      <c r="HJ525">
        <v>964800</v>
      </c>
      <c r="HK525">
        <v>5200000</v>
      </c>
      <c r="HL525">
        <v>104000</v>
      </c>
      <c r="HM525">
        <v>5096000</v>
      </c>
      <c r="HN525">
        <v>0</v>
      </c>
      <c r="HO525">
        <v>207000</v>
      </c>
      <c r="HP525">
        <v>207000</v>
      </c>
      <c r="HQ525">
        <v>4140</v>
      </c>
      <c r="HR525">
        <v>202860</v>
      </c>
      <c r="HS525">
        <v>6479000</v>
      </c>
      <c r="HT525">
        <v>215340</v>
      </c>
      <c r="HU525">
        <v>6263660</v>
      </c>
      <c r="HV525">
        <v>32395000</v>
      </c>
      <c r="HW525">
        <v>0.02</v>
      </c>
      <c r="HX525">
        <v>0.99098093957577105</v>
      </c>
      <c r="HY525">
        <v>1</v>
      </c>
      <c r="HZ525">
        <v>300000</v>
      </c>
      <c r="IA525">
        <v>61340.395679109097</v>
      </c>
      <c r="IB525">
        <v>46005.296759331897</v>
      </c>
      <c r="IC525">
        <v>159325.70306261099</v>
      </c>
      <c r="ID525">
        <v>539371.39550105203</v>
      </c>
      <c r="IE525">
        <v>839371.39550105203</v>
      </c>
      <c r="IF525">
        <v>831801.05416665901</v>
      </c>
      <c r="IG525">
        <v>831801.05416665901</v>
      </c>
      <c r="IH525">
        <v>0</v>
      </c>
      <c r="II525">
        <v>4050.93025865854</v>
      </c>
      <c r="IJ525">
        <v>511329.21803189599</v>
      </c>
      <c r="IK525">
        <v>0</v>
      </c>
      <c r="IL525">
        <v>0</v>
      </c>
      <c r="IM525">
        <v>0</v>
      </c>
      <c r="IN525">
        <v>206597.443191586</v>
      </c>
      <c r="IO525">
        <v>26077790.119626701</v>
      </c>
      <c r="IP525">
        <v>26284387.5628183</v>
      </c>
      <c r="IQ525">
        <v>536000</v>
      </c>
      <c r="IR525">
        <v>2600000</v>
      </c>
      <c r="IS525">
        <v>0</v>
      </c>
      <c r="IT525">
        <v>104000</v>
      </c>
      <c r="IU525">
        <v>104000</v>
      </c>
      <c r="IV525">
        <v>3240000</v>
      </c>
      <c r="IW525">
        <v>268000</v>
      </c>
      <c r="IX525">
        <v>1300000</v>
      </c>
      <c r="IY525">
        <v>0</v>
      </c>
      <c r="IZ525">
        <v>52000</v>
      </c>
      <c r="JA525">
        <v>52000</v>
      </c>
      <c r="JB525">
        <v>1620000</v>
      </c>
      <c r="JC525">
        <v>90000</v>
      </c>
      <c r="JD525">
        <v>434000</v>
      </c>
      <c r="JE525">
        <v>0</v>
      </c>
      <c r="JF525">
        <v>18000</v>
      </c>
      <c r="JG525">
        <v>18000</v>
      </c>
      <c r="JH525">
        <v>542000</v>
      </c>
    </row>
    <row r="526" spans="2:268" customFormat="1" x14ac:dyDescent="0.25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3"/>
      <c r="N526" s="3"/>
      <c r="O526" s="3"/>
      <c r="P526" s="2"/>
      <c r="Q526" s="2"/>
      <c r="R526" s="2"/>
      <c r="S526" s="2"/>
      <c r="T526" s="2"/>
      <c r="U526" s="2"/>
      <c r="V526" s="3"/>
      <c r="W526" s="3"/>
      <c r="X526" s="3"/>
      <c r="Y526" s="3"/>
      <c r="Z526" s="3"/>
      <c r="AA526" s="3"/>
      <c r="AB526" s="3"/>
      <c r="AC526" s="2"/>
      <c r="AD526" s="2"/>
      <c r="AE526" s="2"/>
      <c r="AF526" s="2"/>
      <c r="AG526" s="2"/>
      <c r="AH526" s="2"/>
      <c r="AI526" s="2"/>
      <c r="AJ526" s="3"/>
      <c r="AK526" s="2"/>
      <c r="AL526" s="2"/>
      <c r="AM526" s="2"/>
      <c r="AN526" s="2"/>
      <c r="AO526" s="3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3"/>
      <c r="BC526" s="3"/>
      <c r="BD526" s="3"/>
      <c r="BE526" s="3"/>
      <c r="BF526" s="3"/>
      <c r="BG526" s="3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2"/>
      <c r="DI526" s="2"/>
      <c r="DJ526" s="3"/>
      <c r="DK526" s="3"/>
      <c r="DL526" s="2"/>
      <c r="DM526" s="2"/>
      <c r="DN526" s="2"/>
      <c r="DO526" s="3"/>
      <c r="DP526" s="3"/>
      <c r="GO526" t="s">
        <v>139</v>
      </c>
      <c r="GP526" t="s">
        <v>501</v>
      </c>
      <c r="GQ526" t="s">
        <v>502</v>
      </c>
      <c r="GR526">
        <v>6</v>
      </c>
      <c r="GS526">
        <v>5</v>
      </c>
      <c r="GT526">
        <v>1</v>
      </c>
      <c r="GU526" t="s">
        <v>457</v>
      </c>
      <c r="GV526">
        <v>206597.443191586</v>
      </c>
      <c r="GW526">
        <v>26077790.119626701</v>
      </c>
      <c r="GX526">
        <v>26284387.5628183</v>
      </c>
      <c r="GY526">
        <v>643200</v>
      </c>
      <c r="GZ526">
        <v>26077790.119626701</v>
      </c>
      <c r="HA526">
        <v>101000000</v>
      </c>
      <c r="HB526">
        <v>303000000</v>
      </c>
      <c r="HC526">
        <v>1000000</v>
      </c>
      <c r="HD526" t="s">
        <v>458</v>
      </c>
      <c r="HE526">
        <v>0</v>
      </c>
      <c r="HF526">
        <v>1000000</v>
      </c>
      <c r="HG526">
        <v>1000000</v>
      </c>
      <c r="HH526">
        <v>1072000</v>
      </c>
      <c r="HI526">
        <v>75040</v>
      </c>
      <c r="HJ526">
        <v>996960</v>
      </c>
      <c r="HK526">
        <v>5200000</v>
      </c>
      <c r="HL526">
        <v>104000</v>
      </c>
      <c r="HM526">
        <v>5096000</v>
      </c>
      <c r="HN526">
        <v>0</v>
      </c>
      <c r="HO526">
        <v>207000</v>
      </c>
      <c r="HP526">
        <v>207000</v>
      </c>
      <c r="HQ526">
        <v>4140</v>
      </c>
      <c r="HR526">
        <v>202860</v>
      </c>
      <c r="HS526">
        <v>6479000</v>
      </c>
      <c r="HT526">
        <v>183180</v>
      </c>
      <c r="HU526">
        <v>6295820</v>
      </c>
      <c r="HV526">
        <v>38874000</v>
      </c>
      <c r="HW526">
        <v>0.02</v>
      </c>
      <c r="HX526">
        <v>0.99098093957577105</v>
      </c>
      <c r="HY526">
        <v>1</v>
      </c>
      <c r="HZ526">
        <v>300000</v>
      </c>
      <c r="IA526">
        <v>56036.709327880097</v>
      </c>
      <c r="IB526">
        <v>42027.531995910103</v>
      </c>
      <c r="IC526">
        <v>149431.22487436299</v>
      </c>
      <c r="ID526">
        <v>520195.46619815403</v>
      </c>
      <c r="IE526">
        <v>820195.46619815403</v>
      </c>
      <c r="IF526">
        <v>812798.07372883405</v>
      </c>
      <c r="IG526">
        <v>812798.07372883405</v>
      </c>
      <c r="IH526">
        <v>0</v>
      </c>
      <c r="II526">
        <v>7815.1873892550402</v>
      </c>
      <c r="IJ526">
        <v>607533.00239253405</v>
      </c>
      <c r="IK526">
        <v>0</v>
      </c>
      <c r="IL526">
        <v>0</v>
      </c>
      <c r="IM526">
        <v>0</v>
      </c>
      <c r="IN526">
        <v>398574.55685200699</v>
      </c>
      <c r="IO526">
        <v>30984183.122019202</v>
      </c>
      <c r="IP526">
        <v>31382757.678871199</v>
      </c>
      <c r="IQ526">
        <v>536000</v>
      </c>
      <c r="IR526">
        <v>2600000</v>
      </c>
      <c r="IS526">
        <v>0</v>
      </c>
      <c r="IT526">
        <v>104000</v>
      </c>
      <c r="IU526">
        <v>104000</v>
      </c>
      <c r="IV526">
        <v>3240000</v>
      </c>
      <c r="IW526">
        <v>268000</v>
      </c>
      <c r="IX526">
        <v>1300000</v>
      </c>
      <c r="IY526">
        <v>0</v>
      </c>
      <c r="IZ526">
        <v>52000</v>
      </c>
      <c r="JA526">
        <v>52000</v>
      </c>
      <c r="JB526">
        <v>1620000</v>
      </c>
      <c r="JC526">
        <v>90000</v>
      </c>
      <c r="JD526">
        <v>434000</v>
      </c>
      <c r="JE526">
        <v>0</v>
      </c>
      <c r="JF526">
        <v>18000</v>
      </c>
      <c r="JG526">
        <v>18000</v>
      </c>
      <c r="JH526">
        <v>542000</v>
      </c>
    </row>
    <row r="527" spans="2:268" customFormat="1" x14ac:dyDescent="0.25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3"/>
      <c r="N527" s="3"/>
      <c r="O527" s="3"/>
      <c r="P527" s="2"/>
      <c r="Q527" s="2"/>
      <c r="R527" s="2"/>
      <c r="S527" s="2"/>
      <c r="T527" s="2"/>
      <c r="U527" s="2"/>
      <c r="V527" s="3"/>
      <c r="W527" s="3"/>
      <c r="X527" s="3"/>
      <c r="Y527" s="3"/>
      <c r="Z527" s="3"/>
      <c r="AA527" s="3"/>
      <c r="AB527" s="3"/>
      <c r="AC527" s="2"/>
      <c r="AD527" s="2"/>
      <c r="AE527" s="2"/>
      <c r="AF527" s="2"/>
      <c r="AG527" s="2"/>
      <c r="AH527" s="2"/>
      <c r="AI527" s="2"/>
      <c r="AJ527" s="3"/>
      <c r="AK527" s="2"/>
      <c r="AL527" s="2"/>
      <c r="AM527" s="2"/>
      <c r="AN527" s="2"/>
      <c r="AO527" s="3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3"/>
      <c r="BC527" s="3"/>
      <c r="BD527" s="3"/>
      <c r="BE527" s="3"/>
      <c r="BF527" s="3"/>
      <c r="BG527" s="3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2"/>
      <c r="DI527" s="2"/>
      <c r="DJ527" s="3"/>
      <c r="DK527" s="3"/>
      <c r="DL527" s="2"/>
      <c r="DM527" s="2"/>
      <c r="DN527" s="2"/>
      <c r="DO527" s="3"/>
      <c r="DP527" s="3"/>
      <c r="GO527" t="s">
        <v>139</v>
      </c>
      <c r="GP527" t="s">
        <v>501</v>
      </c>
      <c r="GQ527" t="s">
        <v>502</v>
      </c>
      <c r="GR527">
        <v>7</v>
      </c>
      <c r="GS527">
        <v>6</v>
      </c>
      <c r="GT527">
        <v>1</v>
      </c>
      <c r="GU527" t="s">
        <v>457</v>
      </c>
      <c r="GV527">
        <v>398574.55685200699</v>
      </c>
      <c r="GW527">
        <v>30984183.122019202</v>
      </c>
      <c r="GX527">
        <v>31382757.678871199</v>
      </c>
      <c r="GY527">
        <v>428800</v>
      </c>
      <c r="GZ527">
        <v>30984183.122019202</v>
      </c>
      <c r="HA527">
        <v>101000000</v>
      </c>
      <c r="HB527">
        <v>303000000</v>
      </c>
      <c r="HC527">
        <v>1000000</v>
      </c>
      <c r="HD527" t="s">
        <v>458</v>
      </c>
      <c r="HE527">
        <v>0</v>
      </c>
      <c r="HF527">
        <v>1000000</v>
      </c>
      <c r="HG527">
        <v>1000000</v>
      </c>
      <c r="HH527">
        <v>1072000</v>
      </c>
      <c r="HI527">
        <v>75040</v>
      </c>
      <c r="HJ527">
        <v>996960</v>
      </c>
      <c r="HK527">
        <v>5200000</v>
      </c>
      <c r="HL527">
        <v>104000</v>
      </c>
      <c r="HM527">
        <v>5096000</v>
      </c>
      <c r="HN527">
        <v>0</v>
      </c>
      <c r="HO527">
        <v>207000</v>
      </c>
      <c r="HP527">
        <v>207000</v>
      </c>
      <c r="HQ527">
        <v>4140</v>
      </c>
      <c r="HR527">
        <v>202860</v>
      </c>
      <c r="HS527">
        <v>6479000</v>
      </c>
      <c r="HT527">
        <v>183180</v>
      </c>
      <c r="HU527">
        <v>6295820</v>
      </c>
      <c r="HV527">
        <v>45353000</v>
      </c>
      <c r="HW527">
        <v>0.02</v>
      </c>
      <c r="HX527">
        <v>0.99098093957577105</v>
      </c>
      <c r="HY527">
        <v>1</v>
      </c>
      <c r="HZ527">
        <v>300000</v>
      </c>
      <c r="IA527">
        <v>50820.586894424603</v>
      </c>
      <c r="IB527">
        <v>38115.440170818401</v>
      </c>
      <c r="IC527">
        <v>139234.484642258</v>
      </c>
      <c r="ID527">
        <v>500870.51170749997</v>
      </c>
      <c r="IE527">
        <v>800870.51170749997</v>
      </c>
      <c r="IF527">
        <v>793647.41217042797</v>
      </c>
      <c r="IG527">
        <v>793647.41217042797</v>
      </c>
      <c r="IH527">
        <v>0</v>
      </c>
      <c r="II527">
        <v>12037.742893631599</v>
      </c>
      <c r="IJ527">
        <v>705660.86244038504</v>
      </c>
      <c r="IK527">
        <v>0</v>
      </c>
      <c r="IL527">
        <v>0</v>
      </c>
      <c r="IM527">
        <v>0</v>
      </c>
      <c r="IN527">
        <v>613924.887575211</v>
      </c>
      <c r="IO527">
        <v>35988703.984459601</v>
      </c>
      <c r="IP527">
        <v>36602628.872034803</v>
      </c>
      <c r="IQ527">
        <v>536000</v>
      </c>
      <c r="IR527">
        <v>2600000</v>
      </c>
      <c r="IS527">
        <v>0</v>
      </c>
      <c r="IT527">
        <v>104000</v>
      </c>
      <c r="IU527">
        <v>104000</v>
      </c>
      <c r="IV527">
        <v>3240000</v>
      </c>
      <c r="IW527">
        <v>268000</v>
      </c>
      <c r="IX527">
        <v>1300000</v>
      </c>
      <c r="IY527">
        <v>0</v>
      </c>
      <c r="IZ527">
        <v>52000</v>
      </c>
      <c r="JA527">
        <v>52000</v>
      </c>
      <c r="JB527">
        <v>1620000</v>
      </c>
      <c r="JC527">
        <v>90000</v>
      </c>
      <c r="JD527">
        <v>434000</v>
      </c>
      <c r="JE527">
        <v>0</v>
      </c>
      <c r="JF527">
        <v>18000</v>
      </c>
      <c r="JG527">
        <v>18000</v>
      </c>
      <c r="JH527">
        <v>542000</v>
      </c>
    </row>
    <row r="528" spans="2:268" customFormat="1" x14ac:dyDescent="0.25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3"/>
      <c r="N528" s="3"/>
      <c r="O528" s="3"/>
      <c r="P528" s="2"/>
      <c r="Q528" s="2"/>
      <c r="R528" s="2"/>
      <c r="S528" s="2"/>
      <c r="T528" s="2"/>
      <c r="U528" s="2"/>
      <c r="V528" s="3"/>
      <c r="W528" s="3"/>
      <c r="X528" s="3"/>
      <c r="Y528" s="3"/>
      <c r="Z528" s="3"/>
      <c r="AA528" s="3"/>
      <c r="AB528" s="3"/>
      <c r="AC528" s="2"/>
      <c r="AD528" s="2"/>
      <c r="AE528" s="2"/>
      <c r="AF528" s="2"/>
      <c r="AG528" s="2"/>
      <c r="AH528" s="2"/>
      <c r="AI528" s="2"/>
      <c r="AJ528" s="3"/>
      <c r="AK528" s="2"/>
      <c r="AL528" s="2"/>
      <c r="AM528" s="2"/>
      <c r="AN528" s="2"/>
      <c r="AO528" s="3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3"/>
      <c r="BC528" s="3"/>
      <c r="BD528" s="3"/>
      <c r="BE528" s="3"/>
      <c r="BF528" s="3"/>
      <c r="BG528" s="3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2"/>
      <c r="DI528" s="2"/>
      <c r="DJ528" s="3"/>
      <c r="DK528" s="3"/>
      <c r="DL528" s="2"/>
      <c r="DM528" s="2"/>
      <c r="DN528" s="2"/>
      <c r="DO528" s="3"/>
      <c r="DP528" s="3"/>
      <c r="GO528" t="s">
        <v>139</v>
      </c>
      <c r="GP528" t="s">
        <v>501</v>
      </c>
      <c r="GQ528" t="s">
        <v>502</v>
      </c>
      <c r="GR528">
        <v>8</v>
      </c>
      <c r="GS528">
        <v>7</v>
      </c>
      <c r="GT528">
        <v>1</v>
      </c>
      <c r="GU528" t="s">
        <v>457</v>
      </c>
      <c r="GV528">
        <v>613924.887575211</v>
      </c>
      <c r="GW528">
        <v>35988703.984459601</v>
      </c>
      <c r="GX528">
        <v>36602628.872034803</v>
      </c>
      <c r="GY528">
        <v>214400</v>
      </c>
      <c r="GZ528">
        <v>36388228.872034803</v>
      </c>
      <c r="HA528">
        <v>101000000</v>
      </c>
      <c r="HB528">
        <v>303000000</v>
      </c>
      <c r="HC528">
        <v>0</v>
      </c>
      <c r="HD528" t="s">
        <v>137</v>
      </c>
      <c r="HE528">
        <v>0</v>
      </c>
      <c r="HF528">
        <v>0</v>
      </c>
      <c r="HG528">
        <v>0</v>
      </c>
      <c r="HH528">
        <v>1072000</v>
      </c>
      <c r="HI528">
        <v>42880</v>
      </c>
      <c r="HJ528">
        <v>1029120</v>
      </c>
      <c r="HK528">
        <v>5200000</v>
      </c>
      <c r="HL528">
        <v>104000</v>
      </c>
      <c r="HM528">
        <v>5096000</v>
      </c>
      <c r="HN528">
        <v>0</v>
      </c>
      <c r="HO528">
        <v>207000</v>
      </c>
      <c r="HP528">
        <v>207000</v>
      </c>
      <c r="HQ528">
        <v>4140</v>
      </c>
      <c r="HR528">
        <v>202860</v>
      </c>
      <c r="HS528">
        <v>6479000</v>
      </c>
      <c r="HT528">
        <v>151020</v>
      </c>
      <c r="HU528">
        <v>6327980</v>
      </c>
      <c r="HV528">
        <v>51832000</v>
      </c>
      <c r="HW528">
        <v>0.02</v>
      </c>
      <c r="HX528">
        <v>0.99098093957577105</v>
      </c>
      <c r="HY528">
        <v>1</v>
      </c>
      <c r="HZ528">
        <v>300000</v>
      </c>
      <c r="IA528">
        <v>45722.133500854499</v>
      </c>
      <c r="IB528">
        <v>34291.6001256409</v>
      </c>
      <c r="IC528">
        <v>128794.74225593</v>
      </c>
      <c r="ID528">
        <v>481508.47588242602</v>
      </c>
      <c r="IE528">
        <v>781508.47588242602</v>
      </c>
      <c r="IF528">
        <v>774460.003716395</v>
      </c>
      <c r="IG528">
        <v>774460.003716395</v>
      </c>
      <c r="IH528">
        <v>0</v>
      </c>
      <c r="II528">
        <v>17371.6976771763</v>
      </c>
      <c r="IJ528">
        <v>825751.27968919196</v>
      </c>
      <c r="IK528">
        <v>128640</v>
      </c>
      <c r="IL528">
        <v>0</v>
      </c>
      <c r="IM528">
        <v>128640</v>
      </c>
      <c r="IN528">
        <v>1014596.58153599</v>
      </c>
      <c r="IO528">
        <v>42113315.264148802</v>
      </c>
      <c r="IP528">
        <v>43127911.845684797</v>
      </c>
      <c r="IQ528">
        <v>536000</v>
      </c>
      <c r="IR528">
        <v>2600000</v>
      </c>
      <c r="IS528">
        <v>0</v>
      </c>
      <c r="IT528">
        <v>104000</v>
      </c>
      <c r="IU528">
        <v>104000</v>
      </c>
      <c r="IV528">
        <v>3240000</v>
      </c>
      <c r="IW528">
        <v>268000</v>
      </c>
      <c r="IX528">
        <v>1300000</v>
      </c>
      <c r="IY528">
        <v>0</v>
      </c>
      <c r="IZ528">
        <v>52000</v>
      </c>
      <c r="JA528">
        <v>52000</v>
      </c>
      <c r="JB528">
        <v>1620000</v>
      </c>
      <c r="JC528">
        <v>90000</v>
      </c>
      <c r="JD528">
        <v>434000</v>
      </c>
      <c r="JE528">
        <v>0</v>
      </c>
      <c r="JF528">
        <v>18000</v>
      </c>
      <c r="JG528">
        <v>18000</v>
      </c>
      <c r="JH528">
        <v>542000</v>
      </c>
    </row>
    <row r="529" spans="2:268" customFormat="1" x14ac:dyDescent="0.25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3"/>
      <c r="N529" s="3"/>
      <c r="O529" s="3"/>
      <c r="P529" s="2"/>
      <c r="Q529" s="2"/>
      <c r="R529" s="2"/>
      <c r="S529" s="2"/>
      <c r="T529" s="2"/>
      <c r="U529" s="2"/>
      <c r="V529" s="3"/>
      <c r="W529" s="3"/>
      <c r="X529" s="3"/>
      <c r="Y529" s="3"/>
      <c r="Z529" s="3"/>
      <c r="AA529" s="3"/>
      <c r="AB529" s="3"/>
      <c r="AC529" s="2"/>
      <c r="AD529" s="2"/>
      <c r="AE529" s="2"/>
      <c r="AF529" s="2"/>
      <c r="AG529" s="2"/>
      <c r="AH529" s="2"/>
      <c r="AI529" s="2"/>
      <c r="AJ529" s="3"/>
      <c r="AK529" s="2"/>
      <c r="AL529" s="2"/>
      <c r="AM529" s="2"/>
      <c r="AN529" s="2"/>
      <c r="AO529" s="3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3"/>
      <c r="BC529" s="3"/>
      <c r="BD529" s="3"/>
      <c r="BE529" s="3"/>
      <c r="BF529" s="3"/>
      <c r="BG529" s="3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2"/>
      <c r="DI529" s="2"/>
      <c r="DJ529" s="3"/>
      <c r="DK529" s="3"/>
      <c r="DL529" s="2"/>
      <c r="DM529" s="2"/>
      <c r="DN529" s="2"/>
      <c r="DO529" s="3"/>
      <c r="DP529" s="3"/>
      <c r="GO529" t="s">
        <v>139</v>
      </c>
      <c r="GP529" t="s">
        <v>501</v>
      </c>
      <c r="GQ529" t="s">
        <v>502</v>
      </c>
      <c r="GR529">
        <v>9</v>
      </c>
      <c r="GS529">
        <v>8</v>
      </c>
      <c r="GT529">
        <v>1</v>
      </c>
      <c r="GU529" t="s">
        <v>457</v>
      </c>
      <c r="GV529">
        <v>1014596.58153599</v>
      </c>
      <c r="GW529">
        <v>42113315.264148802</v>
      </c>
      <c r="GX529">
        <v>43127911.845684797</v>
      </c>
      <c r="GY529">
        <v>107200</v>
      </c>
      <c r="GZ529">
        <v>43020711.845684797</v>
      </c>
      <c r="HA529">
        <v>101000000</v>
      </c>
      <c r="HB529">
        <v>303000000</v>
      </c>
      <c r="HC529">
        <v>0</v>
      </c>
      <c r="HD529" t="s">
        <v>137</v>
      </c>
      <c r="HE529">
        <v>0</v>
      </c>
      <c r="HF529">
        <v>0</v>
      </c>
      <c r="HG529">
        <v>0</v>
      </c>
      <c r="HH529">
        <v>1072000</v>
      </c>
      <c r="HI529">
        <v>42880</v>
      </c>
      <c r="HJ529">
        <v>1029120</v>
      </c>
      <c r="HK529">
        <v>5200000</v>
      </c>
      <c r="HL529">
        <v>104000</v>
      </c>
      <c r="HM529">
        <v>5096000</v>
      </c>
      <c r="HN529">
        <v>0</v>
      </c>
      <c r="HO529">
        <v>207000</v>
      </c>
      <c r="HP529">
        <v>207000</v>
      </c>
      <c r="HQ529">
        <v>4140</v>
      </c>
      <c r="HR529">
        <v>202860</v>
      </c>
      <c r="HS529">
        <v>6479000</v>
      </c>
      <c r="HT529">
        <v>151020</v>
      </c>
      <c r="HU529">
        <v>6327980</v>
      </c>
      <c r="HV529">
        <v>58311000</v>
      </c>
      <c r="HW529">
        <v>0.02</v>
      </c>
      <c r="HX529">
        <v>0.99098093957577105</v>
      </c>
      <c r="HY529">
        <v>1</v>
      </c>
      <c r="HZ529">
        <v>300000</v>
      </c>
      <c r="IA529">
        <v>40510.461708022602</v>
      </c>
      <c r="IB529">
        <v>30382.846281016999</v>
      </c>
      <c r="IC529">
        <v>115744.17630863001</v>
      </c>
      <c r="ID529">
        <v>459337.48429767002</v>
      </c>
      <c r="IE529">
        <v>759337.48429766996</v>
      </c>
      <c r="IF529">
        <v>752488.973644407</v>
      </c>
      <c r="IG529">
        <v>752488.973644407</v>
      </c>
      <c r="IH529">
        <v>0</v>
      </c>
      <c r="II529">
        <v>25824.552157831698</v>
      </c>
      <c r="IJ529">
        <v>948243.50528297597</v>
      </c>
      <c r="IK529">
        <v>0</v>
      </c>
      <c r="IL529">
        <v>0</v>
      </c>
      <c r="IM529">
        <v>0</v>
      </c>
      <c r="IN529">
        <v>1317052.1600494201</v>
      </c>
      <c r="IO529">
        <v>48360418.7694318</v>
      </c>
      <c r="IP529">
        <v>49677470.929481201</v>
      </c>
      <c r="IQ529">
        <v>536000</v>
      </c>
      <c r="IR529">
        <v>2600000</v>
      </c>
      <c r="IS529">
        <v>0</v>
      </c>
      <c r="IT529">
        <v>104000</v>
      </c>
      <c r="IU529">
        <v>104000</v>
      </c>
      <c r="IV529">
        <v>3240000</v>
      </c>
      <c r="IW529">
        <v>268000</v>
      </c>
      <c r="IX529">
        <v>1300000</v>
      </c>
      <c r="IY529">
        <v>0</v>
      </c>
      <c r="IZ529">
        <v>52000</v>
      </c>
      <c r="JA529">
        <v>52000</v>
      </c>
      <c r="JB529">
        <v>1620000</v>
      </c>
      <c r="JC529">
        <v>90000</v>
      </c>
      <c r="JD529">
        <v>434000</v>
      </c>
      <c r="JE529">
        <v>0</v>
      </c>
      <c r="JF529">
        <v>18000</v>
      </c>
      <c r="JG529">
        <v>18000</v>
      </c>
      <c r="JH529">
        <v>542000</v>
      </c>
    </row>
    <row r="530" spans="2:268" customFormat="1" x14ac:dyDescent="0.25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3"/>
      <c r="N530" s="3"/>
      <c r="O530" s="3"/>
      <c r="P530" s="2"/>
      <c r="Q530" s="2"/>
      <c r="R530" s="2"/>
      <c r="S530" s="2"/>
      <c r="T530" s="2"/>
      <c r="U530" s="2"/>
      <c r="V530" s="3"/>
      <c r="W530" s="3"/>
      <c r="X530" s="3"/>
      <c r="Y530" s="3"/>
      <c r="Z530" s="3"/>
      <c r="AA530" s="3"/>
      <c r="AB530" s="3"/>
      <c r="AC530" s="2"/>
      <c r="AD530" s="2"/>
      <c r="AE530" s="2"/>
      <c r="AF530" s="2"/>
      <c r="AG530" s="2"/>
      <c r="AH530" s="2"/>
      <c r="AI530" s="2"/>
      <c r="AJ530" s="3"/>
      <c r="AK530" s="2"/>
      <c r="AL530" s="2"/>
      <c r="AM530" s="2"/>
      <c r="AN530" s="2"/>
      <c r="AO530" s="3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3"/>
      <c r="BC530" s="3"/>
      <c r="BD530" s="3"/>
      <c r="BE530" s="3"/>
      <c r="BF530" s="3"/>
      <c r="BG530" s="3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2"/>
      <c r="DI530" s="2"/>
      <c r="DJ530" s="3"/>
      <c r="DK530" s="3"/>
      <c r="DL530" s="2"/>
      <c r="DM530" s="2"/>
      <c r="DN530" s="2"/>
      <c r="DO530" s="3"/>
      <c r="DP530" s="3"/>
      <c r="GO530" t="s">
        <v>139</v>
      </c>
      <c r="GP530" t="s">
        <v>501</v>
      </c>
      <c r="GQ530" t="s">
        <v>502</v>
      </c>
      <c r="GR530">
        <v>10</v>
      </c>
      <c r="GS530">
        <v>9</v>
      </c>
      <c r="GT530">
        <v>1</v>
      </c>
      <c r="GU530" t="s">
        <v>457</v>
      </c>
      <c r="GV530">
        <v>1317052.1600494201</v>
      </c>
      <c r="GW530">
        <v>48360418.7694318</v>
      </c>
      <c r="GX530">
        <v>49677470.929481201</v>
      </c>
      <c r="GY530">
        <v>0</v>
      </c>
      <c r="GZ530">
        <v>49677470.929481201</v>
      </c>
      <c r="HA530">
        <v>101000000</v>
      </c>
      <c r="HB530">
        <v>303000000</v>
      </c>
      <c r="HC530">
        <v>0</v>
      </c>
      <c r="HD530" t="s">
        <v>137</v>
      </c>
      <c r="HE530">
        <v>0</v>
      </c>
      <c r="HF530">
        <v>0</v>
      </c>
      <c r="HG530">
        <v>0</v>
      </c>
      <c r="HH530">
        <v>1072000</v>
      </c>
      <c r="HI530">
        <v>21440</v>
      </c>
      <c r="HJ530">
        <v>1050560</v>
      </c>
      <c r="HK530">
        <v>5200000</v>
      </c>
      <c r="HL530">
        <v>104000</v>
      </c>
      <c r="HM530">
        <v>5096000</v>
      </c>
      <c r="HN530">
        <v>0</v>
      </c>
      <c r="HO530">
        <v>207000</v>
      </c>
      <c r="HP530">
        <v>207000</v>
      </c>
      <c r="HQ530">
        <v>4140</v>
      </c>
      <c r="HR530">
        <v>202860</v>
      </c>
      <c r="HS530">
        <v>6479000</v>
      </c>
      <c r="HT530">
        <v>129580</v>
      </c>
      <c r="HU530">
        <v>6349420</v>
      </c>
      <c r="HV530">
        <v>64790000</v>
      </c>
      <c r="HW530">
        <v>0.02</v>
      </c>
      <c r="HX530">
        <v>0.99098093957577105</v>
      </c>
      <c r="HY530">
        <v>1</v>
      </c>
      <c r="HZ530">
        <v>300000</v>
      </c>
      <c r="IA530">
        <v>35412.545058656302</v>
      </c>
      <c r="IB530">
        <v>26559.408793992199</v>
      </c>
      <c r="IC530">
        <v>102645.058141038</v>
      </c>
      <c r="ID530">
        <v>437317.01199368603</v>
      </c>
      <c r="IE530">
        <v>737317.01199368597</v>
      </c>
      <c r="IF530">
        <v>730667.10531070305</v>
      </c>
      <c r="IG530">
        <v>730667.10531070305</v>
      </c>
      <c r="IH530">
        <v>0</v>
      </c>
      <c r="II530">
        <v>32738.901094774301</v>
      </c>
      <c r="IJ530">
        <v>1073185.5753886399</v>
      </c>
      <c r="IK530">
        <v>0</v>
      </c>
      <c r="IL530">
        <v>0</v>
      </c>
      <c r="IM530">
        <v>0</v>
      </c>
      <c r="IN530">
        <v>1669683.95583349</v>
      </c>
      <c r="IO530">
        <v>54732464.344820403</v>
      </c>
      <c r="IP530">
        <v>56402148.300653897</v>
      </c>
      <c r="IQ530">
        <v>536000</v>
      </c>
      <c r="IR530">
        <v>2600000</v>
      </c>
      <c r="IS530">
        <v>0</v>
      </c>
      <c r="IT530">
        <v>104000</v>
      </c>
      <c r="IU530">
        <v>104000</v>
      </c>
      <c r="IV530">
        <v>3240000</v>
      </c>
      <c r="IW530">
        <v>268000</v>
      </c>
      <c r="IX530">
        <v>1300000</v>
      </c>
      <c r="IY530">
        <v>0</v>
      </c>
      <c r="IZ530">
        <v>52000</v>
      </c>
      <c r="JA530">
        <v>52000</v>
      </c>
      <c r="JB530">
        <v>1620000</v>
      </c>
      <c r="JC530">
        <v>90000</v>
      </c>
      <c r="JD530">
        <v>434000</v>
      </c>
      <c r="JE530">
        <v>0</v>
      </c>
      <c r="JF530">
        <v>18000</v>
      </c>
      <c r="JG530">
        <v>18000</v>
      </c>
      <c r="JH530">
        <v>542000</v>
      </c>
    </row>
    <row r="531" spans="2:268" customFormat="1" x14ac:dyDescent="0.25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3"/>
      <c r="N531" s="3"/>
      <c r="O531" s="3"/>
      <c r="P531" s="2"/>
      <c r="Q531" s="2"/>
      <c r="R531" s="2"/>
      <c r="S531" s="2"/>
      <c r="T531" s="2"/>
      <c r="U531" s="2"/>
      <c r="V531" s="3"/>
      <c r="W531" s="3"/>
      <c r="X531" s="3"/>
      <c r="Y531" s="3"/>
      <c r="Z531" s="3"/>
      <c r="AA531" s="3"/>
      <c r="AB531" s="3"/>
      <c r="AC531" s="2"/>
      <c r="AD531" s="2"/>
      <c r="AE531" s="2"/>
      <c r="AF531" s="2"/>
      <c r="AG531" s="2"/>
      <c r="AH531" s="2"/>
      <c r="AI531" s="2"/>
      <c r="AJ531" s="3"/>
      <c r="AK531" s="2"/>
      <c r="AL531" s="2"/>
      <c r="AM531" s="2"/>
      <c r="AN531" s="2"/>
      <c r="AO531" s="3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3"/>
      <c r="BC531" s="3"/>
      <c r="BD531" s="3"/>
      <c r="BE531" s="3"/>
      <c r="BF531" s="3"/>
      <c r="BG531" s="3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2"/>
      <c r="DI531" s="2"/>
      <c r="DJ531" s="3"/>
      <c r="DK531" s="3"/>
      <c r="DL531" s="2"/>
      <c r="DM531" s="2"/>
      <c r="DN531" s="2"/>
      <c r="DO531" s="3"/>
      <c r="DP531" s="3"/>
      <c r="GO531" t="s">
        <v>139</v>
      </c>
      <c r="GP531" t="s">
        <v>501</v>
      </c>
      <c r="GQ531" t="s">
        <v>502</v>
      </c>
      <c r="GR531">
        <v>11</v>
      </c>
      <c r="GS531">
        <v>10</v>
      </c>
      <c r="GT531">
        <v>1</v>
      </c>
      <c r="GU531" t="s">
        <v>457</v>
      </c>
      <c r="GV531">
        <v>1669683.95583349</v>
      </c>
      <c r="GW531">
        <v>54732464.344820403</v>
      </c>
      <c r="GX531">
        <v>56402148.300653897</v>
      </c>
      <c r="GY531">
        <v>0</v>
      </c>
      <c r="GZ531">
        <v>56402148.300653897</v>
      </c>
      <c r="HA531">
        <v>101000000</v>
      </c>
      <c r="HB531">
        <v>303000000</v>
      </c>
      <c r="HC531">
        <v>0</v>
      </c>
      <c r="HD531" t="s">
        <v>137</v>
      </c>
      <c r="HE531">
        <v>0</v>
      </c>
      <c r="HF531">
        <v>0</v>
      </c>
      <c r="HG531">
        <v>0</v>
      </c>
      <c r="HH531">
        <v>1072000</v>
      </c>
      <c r="HI531">
        <v>21440</v>
      </c>
      <c r="HJ531">
        <v>1050560</v>
      </c>
      <c r="HK531">
        <v>5200000</v>
      </c>
      <c r="HL531">
        <v>104000</v>
      </c>
      <c r="HM531">
        <v>5096000</v>
      </c>
      <c r="HN531">
        <v>0</v>
      </c>
      <c r="HO531">
        <v>207000</v>
      </c>
      <c r="HP531">
        <v>207000</v>
      </c>
      <c r="HQ531">
        <v>4140</v>
      </c>
      <c r="HR531">
        <v>202860</v>
      </c>
      <c r="HS531">
        <v>6479000</v>
      </c>
      <c r="HT531">
        <v>129580</v>
      </c>
      <c r="HU531">
        <v>6349420</v>
      </c>
      <c r="HV531">
        <v>71269000</v>
      </c>
      <c r="HW531">
        <v>0.02</v>
      </c>
      <c r="HX531">
        <v>0.99098093957577105</v>
      </c>
      <c r="HY531">
        <v>1</v>
      </c>
      <c r="HZ531">
        <v>300000</v>
      </c>
      <c r="IA531">
        <v>30326.539155556002</v>
      </c>
      <c r="IB531">
        <v>22744.904366667</v>
      </c>
      <c r="IC531">
        <v>89195.703398692203</v>
      </c>
      <c r="ID531">
        <v>414967.14692091499</v>
      </c>
      <c r="IE531">
        <v>714967.14692091499</v>
      </c>
      <c r="IF531">
        <v>708518.81502149696</v>
      </c>
      <c r="IG531">
        <v>708518.81502149696</v>
      </c>
      <c r="IH531">
        <v>0</v>
      </c>
      <c r="II531">
        <v>40234.502816239801</v>
      </c>
      <c r="IJ531">
        <v>1200626.4868964099</v>
      </c>
      <c r="IK531">
        <v>0</v>
      </c>
      <c r="IL531">
        <v>0</v>
      </c>
      <c r="IM531">
        <v>0</v>
      </c>
      <c r="IN531">
        <v>2051959.6436282301</v>
      </c>
      <c r="IO531">
        <v>61231950.831716798</v>
      </c>
      <c r="IP531">
        <v>63283910.475345097</v>
      </c>
      <c r="IQ531">
        <v>536000</v>
      </c>
      <c r="IR531">
        <v>2600000</v>
      </c>
      <c r="IS531">
        <v>0</v>
      </c>
      <c r="IT531">
        <v>104000</v>
      </c>
      <c r="IU531">
        <v>104000</v>
      </c>
      <c r="IV531">
        <v>3240000</v>
      </c>
      <c r="IW531">
        <v>268000</v>
      </c>
      <c r="IX531">
        <v>1300000</v>
      </c>
      <c r="IY531">
        <v>0</v>
      </c>
      <c r="IZ531">
        <v>52000</v>
      </c>
      <c r="JA531">
        <v>52000</v>
      </c>
      <c r="JB531">
        <v>1620000</v>
      </c>
      <c r="JC531">
        <v>90000</v>
      </c>
      <c r="JD531">
        <v>434000</v>
      </c>
      <c r="JE531">
        <v>0</v>
      </c>
      <c r="JF531">
        <v>18000</v>
      </c>
      <c r="JG531">
        <v>18000</v>
      </c>
      <c r="JH531">
        <v>542000</v>
      </c>
    </row>
    <row r="532" spans="2:268" customFormat="1" x14ac:dyDescent="0.25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3"/>
      <c r="N532" s="3"/>
      <c r="O532" s="3"/>
      <c r="P532" s="2"/>
      <c r="Q532" s="2"/>
      <c r="R532" s="2"/>
      <c r="S532" s="2"/>
      <c r="T532" s="2"/>
      <c r="U532" s="2"/>
      <c r="V532" s="3"/>
      <c r="W532" s="3"/>
      <c r="X532" s="3"/>
      <c r="Y532" s="3"/>
      <c r="Z532" s="3"/>
      <c r="AA532" s="3"/>
      <c r="AB532" s="3"/>
      <c r="AC532" s="2"/>
      <c r="AD532" s="2"/>
      <c r="AE532" s="2"/>
      <c r="AF532" s="2"/>
      <c r="AG532" s="2"/>
      <c r="AH532" s="2"/>
      <c r="AI532" s="2"/>
      <c r="AJ532" s="3"/>
      <c r="AK532" s="2"/>
      <c r="AL532" s="2"/>
      <c r="AM532" s="2"/>
      <c r="AN532" s="2"/>
      <c r="AO532" s="3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3"/>
      <c r="BC532" s="3"/>
      <c r="BD532" s="3"/>
      <c r="BE532" s="3"/>
      <c r="BF532" s="3"/>
      <c r="BG532" s="3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2"/>
      <c r="DI532" s="2"/>
      <c r="DJ532" s="3"/>
      <c r="DK532" s="3"/>
      <c r="DL532" s="2"/>
      <c r="DM532" s="2"/>
      <c r="DN532" s="2"/>
      <c r="DO532" s="3"/>
      <c r="DP532" s="3"/>
      <c r="GO532" t="s">
        <v>139</v>
      </c>
      <c r="GP532" t="s">
        <v>501</v>
      </c>
      <c r="GQ532" t="s">
        <v>502</v>
      </c>
      <c r="GR532">
        <v>12</v>
      </c>
      <c r="GS532">
        <v>11</v>
      </c>
      <c r="GT532">
        <v>1</v>
      </c>
      <c r="GU532" t="s">
        <v>457</v>
      </c>
      <c r="GV532">
        <v>2051959.6436282301</v>
      </c>
      <c r="GW532">
        <v>61231950.831716798</v>
      </c>
      <c r="GX532">
        <v>63283910.475345097</v>
      </c>
      <c r="GY532">
        <v>0</v>
      </c>
      <c r="GZ532">
        <v>63283910.475345097</v>
      </c>
      <c r="HA532">
        <v>101000000</v>
      </c>
      <c r="HB532">
        <v>303000000</v>
      </c>
      <c r="HC532">
        <v>5000000</v>
      </c>
      <c r="HD532" t="s">
        <v>458</v>
      </c>
      <c r="HE532">
        <v>0</v>
      </c>
      <c r="HF532">
        <v>5000000</v>
      </c>
      <c r="HG532">
        <v>5000000</v>
      </c>
      <c r="HH532">
        <v>1072000</v>
      </c>
      <c r="HI532">
        <v>21440</v>
      </c>
      <c r="HJ532">
        <v>1050560</v>
      </c>
      <c r="HK532">
        <v>5200000</v>
      </c>
      <c r="HL532">
        <v>104000</v>
      </c>
      <c r="HM532">
        <v>5096000</v>
      </c>
      <c r="HN532">
        <v>0</v>
      </c>
      <c r="HO532">
        <v>207000</v>
      </c>
      <c r="HP532">
        <v>207000</v>
      </c>
      <c r="HQ532">
        <v>4140</v>
      </c>
      <c r="HR532">
        <v>202860</v>
      </c>
      <c r="HS532">
        <v>6479000</v>
      </c>
      <c r="HT532">
        <v>129580</v>
      </c>
      <c r="HU532">
        <v>6349420</v>
      </c>
      <c r="HV532">
        <v>77748000</v>
      </c>
      <c r="HW532">
        <v>0.02</v>
      </c>
      <c r="HX532">
        <v>0.99098093957577105</v>
      </c>
      <c r="HY532">
        <v>1</v>
      </c>
      <c r="HZ532">
        <v>300000</v>
      </c>
      <c r="IA532">
        <v>26401.2626672597</v>
      </c>
      <c r="IB532">
        <v>19800.947000444801</v>
      </c>
      <c r="IC532">
        <v>75432.179049309896</v>
      </c>
      <c r="ID532">
        <v>394334.38871701399</v>
      </c>
      <c r="IE532">
        <v>694334.38871701399</v>
      </c>
      <c r="IF532">
        <v>688072.14491055603</v>
      </c>
      <c r="IG532">
        <v>688072.14491055603</v>
      </c>
      <c r="IH532">
        <v>0</v>
      </c>
      <c r="II532">
        <v>48288.949974353498</v>
      </c>
      <c r="IJ532">
        <v>1230616.2166343399</v>
      </c>
      <c r="IK532">
        <v>192960</v>
      </c>
      <c r="IL532">
        <v>0</v>
      </c>
      <c r="IM532">
        <v>192960</v>
      </c>
      <c r="IN532">
        <v>2655696.4486920298</v>
      </c>
      <c r="IO532">
        <v>62761427.048351198</v>
      </c>
      <c r="IP532">
        <v>65417123.4970432</v>
      </c>
      <c r="IQ532">
        <v>536000</v>
      </c>
      <c r="IR532">
        <v>2600000</v>
      </c>
      <c r="IS532">
        <v>0</v>
      </c>
      <c r="IT532">
        <v>104000</v>
      </c>
      <c r="IU532">
        <v>104000</v>
      </c>
      <c r="IV532">
        <v>3240000</v>
      </c>
      <c r="IW532">
        <v>268000</v>
      </c>
      <c r="IX532">
        <v>1300000</v>
      </c>
      <c r="IY532">
        <v>0</v>
      </c>
      <c r="IZ532">
        <v>52000</v>
      </c>
      <c r="JA532">
        <v>52000</v>
      </c>
      <c r="JB532">
        <v>1620000</v>
      </c>
      <c r="JC532">
        <v>90000</v>
      </c>
      <c r="JD532">
        <v>434000</v>
      </c>
      <c r="JE532">
        <v>0</v>
      </c>
      <c r="JF532">
        <v>18000</v>
      </c>
      <c r="JG532">
        <v>18000</v>
      </c>
      <c r="JH532">
        <v>542000</v>
      </c>
    </row>
    <row r="533" spans="2:268" customFormat="1" x14ac:dyDescent="0.25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3"/>
      <c r="N533" s="3"/>
      <c r="O533" s="3"/>
      <c r="P533" s="2"/>
      <c r="Q533" s="2"/>
      <c r="R533" s="2"/>
      <c r="S533" s="2"/>
      <c r="T533" s="2"/>
      <c r="U533" s="2"/>
      <c r="V533" s="3"/>
      <c r="W533" s="3"/>
      <c r="X533" s="3"/>
      <c r="Y533" s="3"/>
      <c r="Z533" s="3"/>
      <c r="AA533" s="3"/>
      <c r="AB533" s="3"/>
      <c r="AC533" s="2"/>
      <c r="AD533" s="2"/>
      <c r="AE533" s="2"/>
      <c r="AF533" s="2"/>
      <c r="AG533" s="2"/>
      <c r="AH533" s="2"/>
      <c r="AI533" s="2"/>
      <c r="AJ533" s="3"/>
      <c r="AK533" s="2"/>
      <c r="AL533" s="2"/>
      <c r="AM533" s="2"/>
      <c r="AN533" s="2"/>
      <c r="AO533" s="3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3"/>
      <c r="BC533" s="3"/>
      <c r="BD533" s="3"/>
      <c r="BE533" s="3"/>
      <c r="BF533" s="3"/>
      <c r="BG533" s="3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2"/>
      <c r="DI533" s="2"/>
      <c r="DJ533" s="3"/>
      <c r="DK533" s="3"/>
      <c r="DL533" s="2"/>
      <c r="DM533" s="2"/>
      <c r="DN533" s="2"/>
      <c r="DO533" s="3"/>
      <c r="DP533" s="3"/>
      <c r="GO533" t="s">
        <v>139</v>
      </c>
      <c r="GP533" t="s">
        <v>501</v>
      </c>
      <c r="GQ533" t="s">
        <v>502</v>
      </c>
      <c r="GR533">
        <v>13</v>
      </c>
      <c r="GS533">
        <v>12</v>
      </c>
      <c r="GT533">
        <v>1</v>
      </c>
      <c r="GU533" t="s">
        <v>457</v>
      </c>
      <c r="GV533">
        <v>2655696.4486920298</v>
      </c>
      <c r="GW533">
        <v>62761427.048351198</v>
      </c>
      <c r="GX533">
        <v>65417123.4970432</v>
      </c>
      <c r="GY533">
        <v>0</v>
      </c>
      <c r="GZ533">
        <v>65417123.4970432</v>
      </c>
      <c r="HA533">
        <v>101000000</v>
      </c>
      <c r="HB533">
        <v>303000000</v>
      </c>
      <c r="HC533">
        <v>5000000</v>
      </c>
      <c r="HD533" t="s">
        <v>458</v>
      </c>
      <c r="HE533">
        <v>0</v>
      </c>
      <c r="HF533">
        <v>5000000</v>
      </c>
      <c r="HG533">
        <v>5000000</v>
      </c>
      <c r="HH533">
        <v>1072000</v>
      </c>
      <c r="HI533">
        <v>21440</v>
      </c>
      <c r="HJ533">
        <v>1050560</v>
      </c>
      <c r="HK533">
        <v>5200000</v>
      </c>
      <c r="HL533">
        <v>104000</v>
      </c>
      <c r="HM533">
        <v>5096000</v>
      </c>
      <c r="HN533">
        <v>0</v>
      </c>
      <c r="HO533">
        <v>207000</v>
      </c>
      <c r="HP533">
        <v>207000</v>
      </c>
      <c r="HQ533">
        <v>4140</v>
      </c>
      <c r="HR533">
        <v>202860</v>
      </c>
      <c r="HS533">
        <v>6479000</v>
      </c>
      <c r="HT533">
        <v>129580</v>
      </c>
      <c r="HU533">
        <v>6349420</v>
      </c>
      <c r="HV533">
        <v>84227000</v>
      </c>
      <c r="HW533">
        <v>0.02</v>
      </c>
      <c r="HX533">
        <v>0.99098093957577105</v>
      </c>
      <c r="HY533">
        <v>1</v>
      </c>
      <c r="HZ533">
        <v>300000</v>
      </c>
      <c r="IA533">
        <v>25975.499847158801</v>
      </c>
      <c r="IB533">
        <v>19481.6248853691</v>
      </c>
      <c r="IC533">
        <v>71165.753005913604</v>
      </c>
      <c r="ID533">
        <v>389322.87773844099</v>
      </c>
      <c r="IE533">
        <v>689322.87773844099</v>
      </c>
      <c r="IF533">
        <v>683105.83305231505</v>
      </c>
      <c r="IG533">
        <v>683105.83305231505</v>
      </c>
      <c r="IH533">
        <v>0</v>
      </c>
      <c r="II533">
        <v>60463.012312794199</v>
      </c>
      <c r="IJ533">
        <v>1261205.7409670199</v>
      </c>
      <c r="IK533">
        <v>0</v>
      </c>
      <c r="IL533">
        <v>0</v>
      </c>
      <c r="IM533">
        <v>0</v>
      </c>
      <c r="IN533">
        <v>3083613.62795251</v>
      </c>
      <c r="IO533">
        <v>64321492.789318196</v>
      </c>
      <c r="IP533">
        <v>67405106.417270705</v>
      </c>
      <c r="IQ533">
        <v>536000</v>
      </c>
      <c r="IR533">
        <v>2600000</v>
      </c>
      <c r="IS533">
        <v>0</v>
      </c>
      <c r="IT533">
        <v>104000</v>
      </c>
      <c r="IU533">
        <v>104000</v>
      </c>
      <c r="IV533">
        <v>3240000</v>
      </c>
      <c r="IW533">
        <v>268000</v>
      </c>
      <c r="IX533">
        <v>1300000</v>
      </c>
      <c r="IY533">
        <v>0</v>
      </c>
      <c r="IZ533">
        <v>52000</v>
      </c>
      <c r="JA533">
        <v>52000</v>
      </c>
      <c r="JB533">
        <v>1620000</v>
      </c>
      <c r="JC533">
        <v>90000</v>
      </c>
      <c r="JD533">
        <v>434000</v>
      </c>
      <c r="JE533">
        <v>0</v>
      </c>
      <c r="JF533">
        <v>18000</v>
      </c>
      <c r="JG533">
        <v>18000</v>
      </c>
      <c r="JH533">
        <v>542000</v>
      </c>
    </row>
    <row r="534" spans="2:268" customFormat="1" x14ac:dyDescent="0.25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3"/>
      <c r="N534" s="3"/>
      <c r="O534" s="3"/>
      <c r="P534" s="2"/>
      <c r="Q534" s="2"/>
      <c r="R534" s="2"/>
      <c r="S534" s="2"/>
      <c r="T534" s="2"/>
      <c r="U534" s="2"/>
      <c r="V534" s="3"/>
      <c r="W534" s="3"/>
      <c r="X534" s="3"/>
      <c r="Y534" s="3"/>
      <c r="Z534" s="3"/>
      <c r="AA534" s="3"/>
      <c r="AB534" s="3"/>
      <c r="AC534" s="2"/>
      <c r="AD534" s="2"/>
      <c r="AE534" s="2"/>
      <c r="AF534" s="2"/>
      <c r="AG534" s="2"/>
      <c r="AH534" s="2"/>
      <c r="AI534" s="2"/>
      <c r="AJ534" s="3"/>
      <c r="AK534" s="2"/>
      <c r="AL534" s="2"/>
      <c r="AM534" s="2"/>
      <c r="AN534" s="2"/>
      <c r="AO534" s="3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3"/>
      <c r="BC534" s="3"/>
      <c r="BD534" s="3"/>
      <c r="BE534" s="3"/>
      <c r="BF534" s="3"/>
      <c r="BG534" s="3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2"/>
      <c r="DI534" s="2"/>
      <c r="DJ534" s="3"/>
      <c r="DK534" s="3"/>
      <c r="DL534" s="2"/>
      <c r="DM534" s="2"/>
      <c r="DN534" s="2"/>
      <c r="DO534" s="3"/>
      <c r="DP534" s="3"/>
      <c r="GO534" t="s">
        <v>139</v>
      </c>
      <c r="GP534" t="s">
        <v>501</v>
      </c>
      <c r="GQ534" t="s">
        <v>502</v>
      </c>
      <c r="GR534">
        <v>14</v>
      </c>
      <c r="GS534">
        <v>13</v>
      </c>
      <c r="GT534">
        <v>1</v>
      </c>
      <c r="GU534" t="s">
        <v>457</v>
      </c>
      <c r="GV534">
        <v>3083613.62795251</v>
      </c>
      <c r="GW534">
        <v>64321492.789318196</v>
      </c>
      <c r="GX534">
        <v>67405106.417270705</v>
      </c>
      <c r="GY534">
        <v>0</v>
      </c>
      <c r="GZ534">
        <v>67405106.417270705</v>
      </c>
      <c r="HA534">
        <v>101000000</v>
      </c>
      <c r="HB534">
        <v>303000000</v>
      </c>
      <c r="HC534">
        <v>5000000</v>
      </c>
      <c r="HD534" t="s">
        <v>458</v>
      </c>
      <c r="HE534">
        <v>0</v>
      </c>
      <c r="HF534">
        <v>5000000</v>
      </c>
      <c r="HG534">
        <v>5000000</v>
      </c>
      <c r="HH534">
        <v>1072000</v>
      </c>
      <c r="HI534">
        <v>21440</v>
      </c>
      <c r="HJ534">
        <v>1050560</v>
      </c>
      <c r="HK534">
        <v>5200000</v>
      </c>
      <c r="HL534">
        <v>104000</v>
      </c>
      <c r="HM534">
        <v>5096000</v>
      </c>
      <c r="HN534">
        <v>0</v>
      </c>
      <c r="HO534">
        <v>207000</v>
      </c>
      <c r="HP534">
        <v>207000</v>
      </c>
      <c r="HQ534">
        <v>4140</v>
      </c>
      <c r="HR534">
        <v>202860</v>
      </c>
      <c r="HS534">
        <v>6479000</v>
      </c>
      <c r="HT534">
        <v>129580</v>
      </c>
      <c r="HU534">
        <v>6349420</v>
      </c>
      <c r="HV534">
        <v>90706000</v>
      </c>
      <c r="HW534">
        <v>0.02</v>
      </c>
      <c r="HX534">
        <v>0.99098093957577105</v>
      </c>
      <c r="HY534">
        <v>1</v>
      </c>
      <c r="HZ534">
        <v>300000</v>
      </c>
      <c r="IA534">
        <v>25868.068058699399</v>
      </c>
      <c r="IB534">
        <v>19401.0510440246</v>
      </c>
      <c r="IC534">
        <v>67189.787165458605</v>
      </c>
      <c r="ID534">
        <v>385158.90626818303</v>
      </c>
      <c r="IE534">
        <v>685158.90626818303</v>
      </c>
      <c r="IF534">
        <v>678979.41669235099</v>
      </c>
      <c r="IG534">
        <v>678979.41669235099</v>
      </c>
      <c r="IH534">
        <v>0</v>
      </c>
      <c r="II534">
        <v>69103.884225203103</v>
      </c>
      <c r="IJ534">
        <v>1292407.0557863601</v>
      </c>
      <c r="IK534">
        <v>0</v>
      </c>
      <c r="IL534">
        <v>0</v>
      </c>
      <c r="IM534">
        <v>0</v>
      </c>
      <c r="IN534">
        <v>3524298.0954853599</v>
      </c>
      <c r="IO534">
        <v>65912759.845104501</v>
      </c>
      <c r="IP534">
        <v>69437057.940589905</v>
      </c>
      <c r="IQ534">
        <v>536000</v>
      </c>
      <c r="IR534">
        <v>2600000</v>
      </c>
      <c r="IS534">
        <v>0</v>
      </c>
      <c r="IT534">
        <v>104000</v>
      </c>
      <c r="IU534">
        <v>104000</v>
      </c>
      <c r="IV534">
        <v>3240000</v>
      </c>
      <c r="IW534">
        <v>268000</v>
      </c>
      <c r="IX534">
        <v>1300000</v>
      </c>
      <c r="IY534">
        <v>0</v>
      </c>
      <c r="IZ534">
        <v>52000</v>
      </c>
      <c r="JA534">
        <v>52000</v>
      </c>
      <c r="JB534">
        <v>1620000</v>
      </c>
      <c r="JC534">
        <v>90000</v>
      </c>
      <c r="JD534">
        <v>434000</v>
      </c>
      <c r="JE534">
        <v>0</v>
      </c>
      <c r="JF534">
        <v>18000</v>
      </c>
      <c r="JG534">
        <v>18000</v>
      </c>
      <c r="JH534">
        <v>542000</v>
      </c>
    </row>
    <row r="535" spans="2:268" customFormat="1" x14ac:dyDescent="0.25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3"/>
      <c r="N535" s="3"/>
      <c r="O535" s="3"/>
      <c r="P535" s="2"/>
      <c r="Q535" s="2"/>
      <c r="R535" s="2"/>
      <c r="S535" s="2"/>
      <c r="T535" s="2"/>
      <c r="U535" s="2"/>
      <c r="V535" s="3"/>
      <c r="W535" s="3"/>
      <c r="X535" s="3"/>
      <c r="Y535" s="3"/>
      <c r="Z535" s="3"/>
      <c r="AA535" s="3"/>
      <c r="AB535" s="3"/>
      <c r="AC535" s="2"/>
      <c r="AD535" s="2"/>
      <c r="AE535" s="2"/>
      <c r="AF535" s="2"/>
      <c r="AG535" s="2"/>
      <c r="AH535" s="2"/>
      <c r="AI535" s="2"/>
      <c r="AJ535" s="3"/>
      <c r="AK535" s="2"/>
      <c r="AL535" s="2"/>
      <c r="AM535" s="2"/>
      <c r="AN535" s="2"/>
      <c r="AO535" s="3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3"/>
      <c r="BC535" s="3"/>
      <c r="BD535" s="3"/>
      <c r="BE535" s="3"/>
      <c r="BF535" s="3"/>
      <c r="BG535" s="3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2"/>
      <c r="DI535" s="2"/>
      <c r="DJ535" s="3"/>
      <c r="DK535" s="3"/>
      <c r="DL535" s="2"/>
      <c r="DM535" s="2"/>
      <c r="DN535" s="2"/>
      <c r="DO535" s="3"/>
      <c r="DP535" s="3"/>
      <c r="GO535" t="s">
        <v>139</v>
      </c>
      <c r="GP535" t="s">
        <v>501</v>
      </c>
      <c r="GQ535" t="s">
        <v>502</v>
      </c>
      <c r="GR535">
        <v>15</v>
      </c>
      <c r="GS535">
        <v>14</v>
      </c>
      <c r="GT535">
        <v>1</v>
      </c>
      <c r="GU535" t="s">
        <v>457</v>
      </c>
      <c r="GV535">
        <v>3524298.0954853599</v>
      </c>
      <c r="GW535">
        <v>65912759.845104501</v>
      </c>
      <c r="GX535">
        <v>69437057.940589905</v>
      </c>
      <c r="GY535">
        <v>0</v>
      </c>
      <c r="GZ535">
        <v>69437057.940589905</v>
      </c>
      <c r="HA535">
        <v>101000000</v>
      </c>
      <c r="HB535">
        <v>303000000</v>
      </c>
      <c r="HC535">
        <v>5000000</v>
      </c>
      <c r="HD535" t="s">
        <v>458</v>
      </c>
      <c r="HE535">
        <v>0</v>
      </c>
      <c r="HF535">
        <v>5000000</v>
      </c>
      <c r="HG535">
        <v>5000000</v>
      </c>
      <c r="HH535">
        <v>1072000</v>
      </c>
      <c r="HI535">
        <v>21440</v>
      </c>
      <c r="HJ535">
        <v>1050560</v>
      </c>
      <c r="HK535">
        <v>5200000</v>
      </c>
      <c r="HL535">
        <v>104000</v>
      </c>
      <c r="HM535">
        <v>5096000</v>
      </c>
      <c r="HN535">
        <v>0</v>
      </c>
      <c r="HO535">
        <v>207000</v>
      </c>
      <c r="HP535">
        <v>207000</v>
      </c>
      <c r="HQ535">
        <v>4140</v>
      </c>
      <c r="HR535">
        <v>202860</v>
      </c>
      <c r="HS535">
        <v>6479000</v>
      </c>
      <c r="HT535">
        <v>129580</v>
      </c>
      <c r="HU535">
        <v>6349420</v>
      </c>
      <c r="HV535">
        <v>97185000</v>
      </c>
      <c r="HW535">
        <v>0.02</v>
      </c>
      <c r="HX535">
        <v>0.99098093957577105</v>
      </c>
      <c r="HY535">
        <v>1</v>
      </c>
      <c r="HZ535">
        <v>300000</v>
      </c>
      <c r="IA535">
        <v>25881.612488717601</v>
      </c>
      <c r="IB535">
        <v>19411.209366538202</v>
      </c>
      <c r="IC535">
        <v>63125.884118820199</v>
      </c>
      <c r="ID535">
        <v>381118.705974076</v>
      </c>
      <c r="IE535">
        <v>681118.70597407594</v>
      </c>
      <c r="IF535">
        <v>674975.65520882304</v>
      </c>
      <c r="IG535">
        <v>674975.65520882304</v>
      </c>
      <c r="IH535">
        <v>0</v>
      </c>
      <c r="II535">
        <v>77997.648805530698</v>
      </c>
      <c r="IJ535">
        <v>1324232.3969020899</v>
      </c>
      <c r="IK535">
        <v>0</v>
      </c>
      <c r="IL535">
        <v>0</v>
      </c>
      <c r="IM535">
        <v>0</v>
      </c>
      <c r="IN535">
        <v>3977880.0890820702</v>
      </c>
      <c r="IO535">
        <v>67535852.2420066</v>
      </c>
      <c r="IP535">
        <v>71513732.331088707</v>
      </c>
      <c r="IQ535">
        <v>536000</v>
      </c>
      <c r="IR535">
        <v>2600000</v>
      </c>
      <c r="IS535">
        <v>0</v>
      </c>
      <c r="IT535">
        <v>104000</v>
      </c>
      <c r="IU535">
        <v>104000</v>
      </c>
      <c r="IV535">
        <v>3240000</v>
      </c>
      <c r="IW535">
        <v>268000</v>
      </c>
      <c r="IX535">
        <v>1300000</v>
      </c>
      <c r="IY535">
        <v>0</v>
      </c>
      <c r="IZ535">
        <v>52000</v>
      </c>
      <c r="JA535">
        <v>52000</v>
      </c>
      <c r="JB535">
        <v>1620000</v>
      </c>
      <c r="JC535">
        <v>90000</v>
      </c>
      <c r="JD535">
        <v>434000</v>
      </c>
      <c r="JE535">
        <v>0</v>
      </c>
      <c r="JF535">
        <v>18000</v>
      </c>
      <c r="JG535">
        <v>18000</v>
      </c>
      <c r="JH535">
        <v>542000</v>
      </c>
    </row>
    <row r="536" spans="2:268" customFormat="1" x14ac:dyDescent="0.25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3"/>
      <c r="N536" s="3"/>
      <c r="O536" s="3"/>
      <c r="P536" s="2"/>
      <c r="Q536" s="2"/>
      <c r="R536" s="2"/>
      <c r="S536" s="2"/>
      <c r="T536" s="2"/>
      <c r="U536" s="2"/>
      <c r="V536" s="3"/>
      <c r="W536" s="3"/>
      <c r="X536" s="3"/>
      <c r="Y536" s="3"/>
      <c r="Z536" s="3"/>
      <c r="AA536" s="3"/>
      <c r="AB536" s="3"/>
      <c r="AC536" s="2"/>
      <c r="AD536" s="2"/>
      <c r="AE536" s="2"/>
      <c r="AF536" s="2"/>
      <c r="AG536" s="2"/>
      <c r="AH536" s="2"/>
      <c r="AI536" s="2"/>
      <c r="AJ536" s="3"/>
      <c r="AK536" s="2"/>
      <c r="AL536" s="2"/>
      <c r="AM536" s="2"/>
      <c r="AN536" s="2"/>
      <c r="AO536" s="3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3"/>
      <c r="BC536" s="3"/>
      <c r="BD536" s="3"/>
      <c r="BE536" s="3"/>
      <c r="BF536" s="3"/>
      <c r="BG536" s="3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2"/>
      <c r="DI536" s="2"/>
      <c r="DJ536" s="3"/>
      <c r="DK536" s="3"/>
      <c r="DL536" s="2"/>
      <c r="DM536" s="2"/>
      <c r="DN536" s="2"/>
      <c r="DO536" s="3"/>
      <c r="DP536" s="3"/>
      <c r="GO536" t="s">
        <v>139</v>
      </c>
      <c r="GP536" t="s">
        <v>501</v>
      </c>
      <c r="GQ536" t="s">
        <v>502</v>
      </c>
      <c r="GR536">
        <v>16</v>
      </c>
      <c r="GS536">
        <v>15</v>
      </c>
      <c r="GT536">
        <v>1</v>
      </c>
      <c r="GU536" t="s">
        <v>457</v>
      </c>
      <c r="GV536">
        <v>3977880.0890820702</v>
      </c>
      <c r="GW536">
        <v>67535852.2420066</v>
      </c>
      <c r="GX536">
        <v>71513732.331088707</v>
      </c>
      <c r="GY536">
        <v>0</v>
      </c>
      <c r="GZ536">
        <v>71513732.331088707</v>
      </c>
      <c r="HA536">
        <v>101000000</v>
      </c>
      <c r="HB536">
        <v>303000000</v>
      </c>
      <c r="HC536">
        <v>0</v>
      </c>
      <c r="HD536" t="s">
        <v>137</v>
      </c>
      <c r="HE536">
        <v>0</v>
      </c>
      <c r="HF536">
        <v>0</v>
      </c>
      <c r="HG536">
        <v>0</v>
      </c>
      <c r="HH536">
        <v>1072000</v>
      </c>
      <c r="HI536">
        <v>21440</v>
      </c>
      <c r="HJ536">
        <v>1050560</v>
      </c>
      <c r="HK536">
        <v>5200000</v>
      </c>
      <c r="HL536">
        <v>104000</v>
      </c>
      <c r="HM536">
        <v>5096000</v>
      </c>
      <c r="HN536">
        <v>0</v>
      </c>
      <c r="HO536">
        <v>207000</v>
      </c>
      <c r="HP536">
        <v>207000</v>
      </c>
      <c r="HQ536">
        <v>4140</v>
      </c>
      <c r="HR536">
        <v>202860</v>
      </c>
      <c r="HS536">
        <v>6479000</v>
      </c>
      <c r="HT536">
        <v>129580</v>
      </c>
      <c r="HU536">
        <v>6349420</v>
      </c>
      <c r="HV536">
        <v>103664000</v>
      </c>
      <c r="HW536">
        <v>0.02</v>
      </c>
      <c r="HX536">
        <v>0.99098093957577105</v>
      </c>
      <c r="HY536">
        <v>1</v>
      </c>
      <c r="HZ536">
        <v>300000</v>
      </c>
      <c r="IA536">
        <v>25653.0528719539</v>
      </c>
      <c r="IB536">
        <v>19239.789653965399</v>
      </c>
      <c r="IC536">
        <v>58972.535337822599</v>
      </c>
      <c r="ID536">
        <v>376565.377863742</v>
      </c>
      <c r="IE536">
        <v>676565.37786374195</v>
      </c>
      <c r="IF536">
        <v>670463.39383984799</v>
      </c>
      <c r="IG536">
        <v>670463.39383984799</v>
      </c>
      <c r="IH536">
        <v>0</v>
      </c>
      <c r="II536">
        <v>87159.533904844298</v>
      </c>
      <c r="IJ536">
        <v>1456694.24484013</v>
      </c>
      <c r="IK536">
        <v>257280</v>
      </c>
      <c r="IL536">
        <v>0</v>
      </c>
      <c r="IM536">
        <v>257280</v>
      </c>
      <c r="IN536">
        <v>4702416.2291470598</v>
      </c>
      <c r="IO536">
        <v>74291406.486846805</v>
      </c>
      <c r="IP536">
        <v>78993822.715993807</v>
      </c>
      <c r="IQ536">
        <v>536000</v>
      </c>
      <c r="IR536">
        <v>2600000</v>
      </c>
      <c r="IS536">
        <v>0</v>
      </c>
      <c r="IT536">
        <v>104000</v>
      </c>
      <c r="IU536">
        <v>104000</v>
      </c>
      <c r="IV536">
        <v>3240000</v>
      </c>
      <c r="IW536">
        <v>268000</v>
      </c>
      <c r="IX536">
        <v>1300000</v>
      </c>
      <c r="IY536">
        <v>0</v>
      </c>
      <c r="IZ536">
        <v>52000</v>
      </c>
      <c r="JA536">
        <v>52000</v>
      </c>
      <c r="JB536">
        <v>1620000</v>
      </c>
      <c r="JC536">
        <v>90000</v>
      </c>
      <c r="JD536">
        <v>434000</v>
      </c>
      <c r="JE536">
        <v>0</v>
      </c>
      <c r="JF536">
        <v>18000</v>
      </c>
      <c r="JG536">
        <v>18000</v>
      </c>
      <c r="JH536">
        <v>542000</v>
      </c>
    </row>
    <row r="537" spans="2:268" customFormat="1" x14ac:dyDescent="0.25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3"/>
      <c r="N537" s="3"/>
      <c r="O537" s="3"/>
      <c r="P537" s="2"/>
      <c r="Q537" s="2"/>
      <c r="R537" s="2"/>
      <c r="S537" s="2"/>
      <c r="T537" s="2"/>
      <c r="U537" s="2"/>
      <c r="V537" s="3"/>
      <c r="W537" s="3"/>
      <c r="X537" s="3"/>
      <c r="Y537" s="3"/>
      <c r="Z537" s="3"/>
      <c r="AA537" s="3"/>
      <c r="AB537" s="3"/>
      <c r="AC537" s="2"/>
      <c r="AD537" s="2"/>
      <c r="AE537" s="2"/>
      <c r="AF537" s="2"/>
      <c r="AG537" s="2"/>
      <c r="AH537" s="2"/>
      <c r="AI537" s="2"/>
      <c r="AJ537" s="3"/>
      <c r="AK537" s="2"/>
      <c r="AL537" s="2"/>
      <c r="AM537" s="2"/>
      <c r="AN537" s="2"/>
      <c r="AO537" s="3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3"/>
      <c r="BC537" s="3"/>
      <c r="BD537" s="3"/>
      <c r="BE537" s="3"/>
      <c r="BF537" s="3"/>
      <c r="BG537" s="3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2"/>
      <c r="DI537" s="2"/>
      <c r="DJ537" s="3"/>
      <c r="DK537" s="3"/>
      <c r="DL537" s="2"/>
      <c r="DM537" s="2"/>
      <c r="DN537" s="2"/>
      <c r="DO537" s="3"/>
      <c r="DP537" s="3"/>
      <c r="GO537" t="s">
        <v>139</v>
      </c>
      <c r="GP537" t="s">
        <v>501</v>
      </c>
      <c r="GQ537" t="s">
        <v>502</v>
      </c>
      <c r="GR537">
        <v>17</v>
      </c>
      <c r="GS537">
        <v>16</v>
      </c>
      <c r="GT537">
        <v>1</v>
      </c>
      <c r="GU537" t="s">
        <v>457</v>
      </c>
      <c r="GV537">
        <v>4702416.2291470598</v>
      </c>
      <c r="GW537">
        <v>74291406.486846805</v>
      </c>
      <c r="GX537">
        <v>78993822.715993807</v>
      </c>
      <c r="GY537">
        <v>0</v>
      </c>
      <c r="GZ537">
        <v>78993822.715993807</v>
      </c>
      <c r="HA537">
        <v>101000000</v>
      </c>
      <c r="HB537">
        <v>303000000</v>
      </c>
      <c r="HC537">
        <v>0</v>
      </c>
      <c r="HD537" t="s">
        <v>137</v>
      </c>
      <c r="HE537">
        <v>0</v>
      </c>
      <c r="HF537">
        <v>0</v>
      </c>
      <c r="HG537">
        <v>0</v>
      </c>
      <c r="HH537">
        <v>1072000</v>
      </c>
      <c r="HI537">
        <v>21440</v>
      </c>
      <c r="HJ537">
        <v>1050560</v>
      </c>
      <c r="HK537">
        <v>5200000</v>
      </c>
      <c r="HL537">
        <v>104000</v>
      </c>
      <c r="HM537">
        <v>5096000</v>
      </c>
      <c r="HN537">
        <v>0</v>
      </c>
      <c r="HO537">
        <v>207000</v>
      </c>
      <c r="HP537">
        <v>207000</v>
      </c>
      <c r="HQ537">
        <v>4140</v>
      </c>
      <c r="HR537">
        <v>202860</v>
      </c>
      <c r="HS537">
        <v>6479000</v>
      </c>
      <c r="HT537">
        <v>129580</v>
      </c>
      <c r="HU537">
        <v>6349420</v>
      </c>
      <c r="HV537">
        <v>110143000</v>
      </c>
      <c r="HW537">
        <v>0.02</v>
      </c>
      <c r="HX537">
        <v>0.99098093957577105</v>
      </c>
      <c r="HY537">
        <v>1</v>
      </c>
      <c r="HZ537">
        <v>300000</v>
      </c>
      <c r="IA537">
        <v>20245.683101286399</v>
      </c>
      <c r="IB537">
        <v>15184.262325964801</v>
      </c>
      <c r="IC537">
        <v>44012.354568012401</v>
      </c>
      <c r="ID537">
        <v>352142.29999526299</v>
      </c>
      <c r="IE537">
        <v>652142.29999526299</v>
      </c>
      <c r="IF537">
        <v>646260.589186411</v>
      </c>
      <c r="IG537">
        <v>646260.589186411</v>
      </c>
      <c r="IH537">
        <v>0</v>
      </c>
      <c r="II537">
        <v>102134.312799213</v>
      </c>
      <c r="IJ537">
        <v>1591805.3297369401</v>
      </c>
      <c r="IK537">
        <v>0</v>
      </c>
      <c r="IL537">
        <v>0</v>
      </c>
      <c r="IM537">
        <v>0</v>
      </c>
      <c r="IN537">
        <v>5208849.9527598601</v>
      </c>
      <c r="IO537">
        <v>81182071.816583693</v>
      </c>
      <c r="IP537">
        <v>86390921.7693436</v>
      </c>
      <c r="IQ537">
        <v>536000</v>
      </c>
      <c r="IR537">
        <v>2600000</v>
      </c>
      <c r="IS537">
        <v>0</v>
      </c>
      <c r="IT537">
        <v>104000</v>
      </c>
      <c r="IU537">
        <v>104000</v>
      </c>
      <c r="IV537">
        <v>3240000</v>
      </c>
      <c r="IW537">
        <v>268000</v>
      </c>
      <c r="IX537">
        <v>1300000</v>
      </c>
      <c r="IY537">
        <v>0</v>
      </c>
      <c r="IZ537">
        <v>52000</v>
      </c>
      <c r="JA537">
        <v>52000</v>
      </c>
      <c r="JB537">
        <v>1620000</v>
      </c>
      <c r="JC537">
        <v>90000</v>
      </c>
      <c r="JD537">
        <v>434000</v>
      </c>
      <c r="JE537">
        <v>0</v>
      </c>
      <c r="JF537">
        <v>18000</v>
      </c>
      <c r="JG537">
        <v>18000</v>
      </c>
      <c r="JH537">
        <v>542000</v>
      </c>
    </row>
    <row r="538" spans="2:268" customFormat="1" x14ac:dyDescent="0.25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3"/>
      <c r="N538" s="3"/>
      <c r="O538" s="3"/>
      <c r="P538" s="2"/>
      <c r="Q538" s="2"/>
      <c r="R538" s="2"/>
      <c r="S538" s="2"/>
      <c r="T538" s="2"/>
      <c r="U538" s="2"/>
      <c r="V538" s="3"/>
      <c r="W538" s="3"/>
      <c r="X538" s="3"/>
      <c r="Y538" s="3"/>
      <c r="Z538" s="3"/>
      <c r="AA538" s="3"/>
      <c r="AB538" s="3"/>
      <c r="AC538" s="2"/>
      <c r="AD538" s="2"/>
      <c r="AE538" s="2"/>
      <c r="AF538" s="2"/>
      <c r="AG538" s="2"/>
      <c r="AH538" s="2"/>
      <c r="AI538" s="2"/>
      <c r="AJ538" s="3"/>
      <c r="AK538" s="2"/>
      <c r="AL538" s="2"/>
      <c r="AM538" s="2"/>
      <c r="AN538" s="2"/>
      <c r="AO538" s="3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3"/>
      <c r="BC538" s="3"/>
      <c r="BD538" s="3"/>
      <c r="BE538" s="3"/>
      <c r="BF538" s="3"/>
      <c r="BG538" s="3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2"/>
      <c r="DI538" s="2"/>
      <c r="DJ538" s="3"/>
      <c r="DK538" s="3"/>
      <c r="DL538" s="2"/>
      <c r="DM538" s="2"/>
      <c r="DN538" s="2"/>
      <c r="DO538" s="3"/>
      <c r="DP538" s="3"/>
      <c r="GO538" t="s">
        <v>139</v>
      </c>
      <c r="GP538" t="s">
        <v>501</v>
      </c>
      <c r="GQ538" t="s">
        <v>502</v>
      </c>
      <c r="GR538">
        <v>18</v>
      </c>
      <c r="GS538">
        <v>17</v>
      </c>
      <c r="GT538">
        <v>1</v>
      </c>
      <c r="GU538" t="s">
        <v>457</v>
      </c>
      <c r="GV538">
        <v>5208849.9527598601</v>
      </c>
      <c r="GW538">
        <v>81182071.816583693</v>
      </c>
      <c r="GX538">
        <v>86390921.7693436</v>
      </c>
      <c r="GY538">
        <v>0</v>
      </c>
      <c r="GZ538">
        <v>86390921.7693436</v>
      </c>
      <c r="HA538">
        <v>101000000</v>
      </c>
      <c r="HB538">
        <v>303000000</v>
      </c>
      <c r="HC538">
        <v>0</v>
      </c>
      <c r="HD538" t="s">
        <v>137</v>
      </c>
      <c r="HE538">
        <v>0</v>
      </c>
      <c r="HF538">
        <v>0</v>
      </c>
      <c r="HG538">
        <v>0</v>
      </c>
      <c r="HH538">
        <v>1072000</v>
      </c>
      <c r="HI538">
        <v>21440</v>
      </c>
      <c r="HJ538">
        <v>1050560</v>
      </c>
      <c r="HK538">
        <v>5200000</v>
      </c>
      <c r="HL538">
        <v>104000</v>
      </c>
      <c r="HM538">
        <v>5096000</v>
      </c>
      <c r="HN538">
        <v>0</v>
      </c>
      <c r="HO538">
        <v>207000</v>
      </c>
      <c r="HP538">
        <v>207000</v>
      </c>
      <c r="HQ538">
        <v>4140</v>
      </c>
      <c r="HR538">
        <v>202860</v>
      </c>
      <c r="HS538">
        <v>6479000</v>
      </c>
      <c r="HT538">
        <v>129580</v>
      </c>
      <c r="HU538">
        <v>6349420</v>
      </c>
      <c r="HV538">
        <v>116622000</v>
      </c>
      <c r="HW538">
        <v>0.02</v>
      </c>
      <c r="HX538">
        <v>0.99098093957577105</v>
      </c>
      <c r="HY538">
        <v>1</v>
      </c>
      <c r="HZ538">
        <v>300000</v>
      </c>
      <c r="IA538">
        <v>14024.7151014296</v>
      </c>
      <c r="IB538">
        <v>10518.536326072201</v>
      </c>
      <c r="IC538">
        <v>29218.156461312901</v>
      </c>
      <c r="ID538">
        <v>326461.40788881498</v>
      </c>
      <c r="IE538">
        <v>626461.40788881504</v>
      </c>
      <c r="IF538">
        <v>620811.31459761795</v>
      </c>
      <c r="IG538">
        <v>620811.31459761795</v>
      </c>
      <c r="IH538">
        <v>0</v>
      </c>
      <c r="II538">
        <v>112771.97276324499</v>
      </c>
      <c r="IJ538">
        <v>1729618.63633167</v>
      </c>
      <c r="IK538">
        <v>0</v>
      </c>
      <c r="IL538">
        <v>0</v>
      </c>
      <c r="IM538">
        <v>0</v>
      </c>
      <c r="IN538">
        <v>5751370.61092549</v>
      </c>
      <c r="IO538">
        <v>88210550.4529154</v>
      </c>
      <c r="IP538">
        <v>93961921.063840896</v>
      </c>
      <c r="IQ538">
        <v>536000</v>
      </c>
      <c r="IR538">
        <v>2600000</v>
      </c>
      <c r="IS538">
        <v>0</v>
      </c>
      <c r="IT538">
        <v>104000</v>
      </c>
      <c r="IU538">
        <v>104000</v>
      </c>
      <c r="IV538">
        <v>3240000</v>
      </c>
      <c r="IW538">
        <v>268000</v>
      </c>
      <c r="IX538">
        <v>1300000</v>
      </c>
      <c r="IY538">
        <v>0</v>
      </c>
      <c r="IZ538">
        <v>52000</v>
      </c>
      <c r="JA538">
        <v>52000</v>
      </c>
      <c r="JB538">
        <v>1620000</v>
      </c>
      <c r="JC538">
        <v>90000</v>
      </c>
      <c r="JD538">
        <v>434000</v>
      </c>
      <c r="JE538">
        <v>0</v>
      </c>
      <c r="JF538">
        <v>18000</v>
      </c>
      <c r="JG538">
        <v>18000</v>
      </c>
      <c r="JH538">
        <v>542000</v>
      </c>
    </row>
    <row r="539" spans="2:268" customFormat="1" x14ac:dyDescent="0.25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3"/>
      <c r="N539" s="3"/>
      <c r="O539" s="3"/>
      <c r="P539" s="2"/>
      <c r="Q539" s="2"/>
      <c r="R539" s="2"/>
      <c r="S539" s="2"/>
      <c r="T539" s="2"/>
      <c r="U539" s="2"/>
      <c r="V539" s="3"/>
      <c r="W539" s="3"/>
      <c r="X539" s="3"/>
      <c r="Y539" s="3"/>
      <c r="Z539" s="3"/>
      <c r="AA539" s="3"/>
      <c r="AB539" s="3"/>
      <c r="AC539" s="2"/>
      <c r="AD539" s="2"/>
      <c r="AE539" s="2"/>
      <c r="AF539" s="2"/>
      <c r="AG539" s="2"/>
      <c r="AH539" s="2"/>
      <c r="AI539" s="2"/>
      <c r="AJ539" s="3"/>
      <c r="AK539" s="2"/>
      <c r="AL539" s="2"/>
      <c r="AM539" s="2"/>
      <c r="AN539" s="2"/>
      <c r="AO539" s="3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3"/>
      <c r="BC539" s="3"/>
      <c r="BD539" s="3"/>
      <c r="BE539" s="3"/>
      <c r="BF539" s="3"/>
      <c r="BG539" s="3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2"/>
      <c r="DI539" s="2"/>
      <c r="DJ539" s="3"/>
      <c r="DK539" s="3"/>
      <c r="DL539" s="2"/>
      <c r="DM539" s="2"/>
      <c r="DN539" s="2"/>
      <c r="DO539" s="3"/>
      <c r="DP539" s="3"/>
      <c r="GO539" t="s">
        <v>139</v>
      </c>
      <c r="GP539" t="s">
        <v>501</v>
      </c>
      <c r="GQ539" t="s">
        <v>502</v>
      </c>
      <c r="GR539">
        <v>19</v>
      </c>
      <c r="GS539">
        <v>18</v>
      </c>
      <c r="GT539">
        <v>1</v>
      </c>
      <c r="GU539" t="s">
        <v>457</v>
      </c>
      <c r="GV539">
        <v>5751370.61092549</v>
      </c>
      <c r="GW539">
        <v>88210550.4529154</v>
      </c>
      <c r="GX539">
        <v>93961921.063840896</v>
      </c>
      <c r="GY539">
        <v>0</v>
      </c>
      <c r="GZ539">
        <v>93961921.063840896</v>
      </c>
      <c r="HA539">
        <v>101000000</v>
      </c>
      <c r="HB539">
        <v>303000000</v>
      </c>
      <c r="HC539">
        <v>0</v>
      </c>
      <c r="HD539" t="s">
        <v>137</v>
      </c>
      <c r="HE539">
        <v>0</v>
      </c>
      <c r="HF539">
        <v>0</v>
      </c>
      <c r="HG539">
        <v>0</v>
      </c>
      <c r="HH539">
        <v>1072000</v>
      </c>
      <c r="HI539">
        <v>21440</v>
      </c>
      <c r="HJ539">
        <v>1050560</v>
      </c>
      <c r="HK539">
        <v>5200000</v>
      </c>
      <c r="HL539">
        <v>104000</v>
      </c>
      <c r="HM539">
        <v>5096000</v>
      </c>
      <c r="HN539">
        <v>0</v>
      </c>
      <c r="HO539">
        <v>207000</v>
      </c>
      <c r="HP539">
        <v>207000</v>
      </c>
      <c r="HQ539">
        <v>4140</v>
      </c>
      <c r="HR539">
        <v>202860</v>
      </c>
      <c r="HS539">
        <v>6479000</v>
      </c>
      <c r="HT539">
        <v>129580</v>
      </c>
      <c r="HU539">
        <v>6349420</v>
      </c>
      <c r="HV539">
        <v>123101000</v>
      </c>
      <c r="HW539">
        <v>0.02</v>
      </c>
      <c r="HX539">
        <v>0.99098093957577105</v>
      </c>
      <c r="HY539">
        <v>1</v>
      </c>
      <c r="HZ539">
        <v>300000</v>
      </c>
      <c r="IA539">
        <v>7038.0789361591296</v>
      </c>
      <c r="IB539">
        <v>5278.5592021193497</v>
      </c>
      <c r="IC539">
        <v>14076.157872318299</v>
      </c>
      <c r="ID539">
        <v>299092.79601059703</v>
      </c>
      <c r="IE539">
        <v>599092.79601059703</v>
      </c>
      <c r="IF539">
        <v>593689.54188365699</v>
      </c>
      <c r="IG539">
        <v>593689.54188365699</v>
      </c>
      <c r="IH539">
        <v>0</v>
      </c>
      <c r="II539">
        <v>124164.82138083701</v>
      </c>
      <c r="IJ539">
        <v>1870188.2090583099</v>
      </c>
      <c r="IK539">
        <v>0</v>
      </c>
      <c r="IL539">
        <v>0</v>
      </c>
      <c r="IM539">
        <v>0</v>
      </c>
      <c r="IN539">
        <v>6332405.8904226702</v>
      </c>
      <c r="IO539">
        <v>95379598.6619737</v>
      </c>
      <c r="IP539">
        <v>101712004.552396</v>
      </c>
      <c r="IQ539">
        <v>536000</v>
      </c>
      <c r="IR539">
        <v>2600000</v>
      </c>
      <c r="IS539">
        <v>0</v>
      </c>
      <c r="IT539">
        <v>104000</v>
      </c>
      <c r="IU539">
        <v>104000</v>
      </c>
      <c r="IV539">
        <v>3240000</v>
      </c>
      <c r="IW539">
        <v>268000</v>
      </c>
      <c r="IX539">
        <v>1300000</v>
      </c>
      <c r="IY539">
        <v>0</v>
      </c>
      <c r="IZ539">
        <v>52000</v>
      </c>
      <c r="JA539">
        <v>52000</v>
      </c>
      <c r="JB539">
        <v>1620000</v>
      </c>
      <c r="JC539">
        <v>90000</v>
      </c>
      <c r="JD539">
        <v>434000</v>
      </c>
      <c r="JE539">
        <v>0</v>
      </c>
      <c r="JF539">
        <v>18000</v>
      </c>
      <c r="JG539">
        <v>18000</v>
      </c>
      <c r="JH539">
        <v>542000</v>
      </c>
    </row>
    <row r="540" spans="2:268" customFormat="1" x14ac:dyDescent="0.25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3"/>
      <c r="N540" s="3"/>
      <c r="O540" s="3"/>
      <c r="P540" s="2"/>
      <c r="Q540" s="2"/>
      <c r="R540" s="2"/>
      <c r="S540" s="2"/>
      <c r="T540" s="2"/>
      <c r="U540" s="2"/>
      <c r="V540" s="3"/>
      <c r="W540" s="3"/>
      <c r="X540" s="3"/>
      <c r="Y540" s="3"/>
      <c r="Z540" s="3"/>
      <c r="AA540" s="3"/>
      <c r="AB540" s="3"/>
      <c r="AC540" s="2"/>
      <c r="AD540" s="2"/>
      <c r="AE540" s="2"/>
      <c r="AF540" s="2"/>
      <c r="AG540" s="2"/>
      <c r="AH540" s="2"/>
      <c r="AI540" s="2"/>
      <c r="AJ540" s="3"/>
      <c r="AK540" s="2"/>
      <c r="AL540" s="2"/>
      <c r="AM540" s="2"/>
      <c r="AN540" s="2"/>
      <c r="AO540" s="3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3"/>
      <c r="BC540" s="3"/>
      <c r="BD540" s="3"/>
      <c r="BE540" s="3"/>
      <c r="BF540" s="3"/>
      <c r="BG540" s="3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2"/>
      <c r="DI540" s="2"/>
      <c r="DJ540" s="3"/>
      <c r="DK540" s="3"/>
      <c r="DL540" s="2"/>
      <c r="DM540" s="2"/>
      <c r="DN540" s="2"/>
      <c r="DO540" s="3"/>
      <c r="DP540" s="3"/>
      <c r="GO540" t="s">
        <v>139</v>
      </c>
      <c r="GP540" t="s">
        <v>501</v>
      </c>
      <c r="GQ540" t="s">
        <v>502</v>
      </c>
      <c r="GR540">
        <v>20</v>
      </c>
      <c r="GS540">
        <v>19</v>
      </c>
      <c r="GT540">
        <v>1</v>
      </c>
      <c r="GU540" t="s">
        <v>457</v>
      </c>
      <c r="GV540">
        <v>6332405.8904226702</v>
      </c>
      <c r="GW540">
        <v>95379598.6619737</v>
      </c>
      <c r="GX540">
        <v>101712004.552396</v>
      </c>
      <c r="GY540">
        <v>0</v>
      </c>
      <c r="GZ540">
        <v>101712004.552396</v>
      </c>
      <c r="HA540">
        <v>101712004.552396</v>
      </c>
      <c r="HB540">
        <v>303000000</v>
      </c>
      <c r="HC540">
        <v>10000000</v>
      </c>
      <c r="HD540" t="s">
        <v>458</v>
      </c>
      <c r="HE540">
        <v>0</v>
      </c>
      <c r="HF540">
        <v>10000000</v>
      </c>
      <c r="HG540">
        <v>10000000</v>
      </c>
      <c r="HH540">
        <v>1072000</v>
      </c>
      <c r="HI540">
        <v>21440</v>
      </c>
      <c r="HJ540">
        <v>1050560</v>
      </c>
      <c r="HK540">
        <v>5200000</v>
      </c>
      <c r="HL540">
        <v>104000</v>
      </c>
      <c r="HM540">
        <v>5096000</v>
      </c>
      <c r="HN540">
        <v>0</v>
      </c>
      <c r="HO540">
        <v>208000</v>
      </c>
      <c r="HP540">
        <v>208000</v>
      </c>
      <c r="HQ540">
        <v>4160</v>
      </c>
      <c r="HR540">
        <v>203840</v>
      </c>
      <c r="HS540">
        <v>6480000</v>
      </c>
      <c r="HT540">
        <v>129600</v>
      </c>
      <c r="HU540">
        <v>6350400</v>
      </c>
      <c r="HV540">
        <v>129581000</v>
      </c>
      <c r="HW540">
        <v>0.02</v>
      </c>
      <c r="HX540">
        <v>0.99098093957577105</v>
      </c>
      <c r="HY540">
        <v>1</v>
      </c>
      <c r="HZ540">
        <v>300000</v>
      </c>
      <c r="IA540">
        <v>0</v>
      </c>
      <c r="IB540">
        <v>0</v>
      </c>
      <c r="IC540">
        <v>0</v>
      </c>
      <c r="ID540">
        <v>272700</v>
      </c>
      <c r="IE540">
        <v>572700</v>
      </c>
      <c r="IF540">
        <v>567534.78409504401</v>
      </c>
      <c r="IG540">
        <v>567534.78409504401</v>
      </c>
      <c r="IH540">
        <v>0</v>
      </c>
      <c r="II540">
        <v>136308.622126553</v>
      </c>
      <c r="IJ540">
        <v>1813588.7732394701</v>
      </c>
      <c r="IK540">
        <v>321600</v>
      </c>
      <c r="IL540">
        <v>0</v>
      </c>
      <c r="IM540">
        <v>321600</v>
      </c>
      <c r="IN540">
        <v>7273339.7284541801</v>
      </c>
      <c r="IO540">
        <v>92493027.435213193</v>
      </c>
      <c r="IP540">
        <v>99766367.163667306</v>
      </c>
      <c r="IQ540">
        <v>536000</v>
      </c>
      <c r="IR540">
        <v>2600000</v>
      </c>
      <c r="IS540">
        <v>0</v>
      </c>
      <c r="IT540">
        <v>104000</v>
      </c>
      <c r="IU540">
        <v>104000</v>
      </c>
      <c r="IV540">
        <v>3240000</v>
      </c>
      <c r="IW540">
        <v>268000</v>
      </c>
      <c r="IX540">
        <v>1300000</v>
      </c>
      <c r="IY540">
        <v>0</v>
      </c>
      <c r="IZ540">
        <v>52000</v>
      </c>
      <c r="JA540">
        <v>52000</v>
      </c>
      <c r="JB540">
        <v>1620000</v>
      </c>
      <c r="JC540">
        <v>90000</v>
      </c>
      <c r="JD540">
        <v>434000</v>
      </c>
      <c r="JE540">
        <v>0</v>
      </c>
      <c r="JF540">
        <v>18000</v>
      </c>
      <c r="JG540">
        <v>18000</v>
      </c>
      <c r="JH540">
        <v>542000</v>
      </c>
    </row>
    <row r="541" spans="2:268" customFormat="1" x14ac:dyDescent="0.25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3"/>
      <c r="N541" s="3"/>
      <c r="O541" s="3"/>
      <c r="P541" s="2"/>
      <c r="Q541" s="2"/>
      <c r="R541" s="2"/>
      <c r="S541" s="2"/>
      <c r="T541" s="2"/>
      <c r="U541" s="2"/>
      <c r="V541" s="3"/>
      <c r="W541" s="3"/>
      <c r="X541" s="3"/>
      <c r="Y541" s="3"/>
      <c r="Z541" s="3"/>
      <c r="AA541" s="3"/>
      <c r="AB541" s="3"/>
      <c r="AC541" s="2"/>
      <c r="AD541" s="2"/>
      <c r="AE541" s="2"/>
      <c r="AF541" s="2"/>
      <c r="AG541" s="2"/>
      <c r="AH541" s="2"/>
      <c r="AI541" s="2"/>
      <c r="AJ541" s="3"/>
      <c r="AK541" s="2"/>
      <c r="AL541" s="2"/>
      <c r="AM541" s="2"/>
      <c r="AN541" s="2"/>
      <c r="AO541" s="3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3"/>
      <c r="BC541" s="3"/>
      <c r="BD541" s="3"/>
      <c r="BE541" s="3"/>
      <c r="BF541" s="3"/>
      <c r="BG541" s="3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2"/>
      <c r="DI541" s="2"/>
      <c r="DJ541" s="3"/>
      <c r="DK541" s="3"/>
      <c r="DL541" s="2"/>
      <c r="DM541" s="2"/>
      <c r="DN541" s="2"/>
      <c r="DO541" s="3"/>
      <c r="DP541" s="3"/>
      <c r="GO541" t="s">
        <v>139</v>
      </c>
      <c r="GP541" t="s">
        <v>501</v>
      </c>
      <c r="GQ541" t="s">
        <v>502</v>
      </c>
      <c r="GR541">
        <v>21</v>
      </c>
      <c r="GS541">
        <v>20</v>
      </c>
      <c r="GT541">
        <v>1</v>
      </c>
      <c r="GU541" t="s">
        <v>457</v>
      </c>
      <c r="GV541">
        <v>7273339.7284541801</v>
      </c>
      <c r="GW541">
        <v>92493027.435213193</v>
      </c>
      <c r="GX541">
        <v>99766367.163667306</v>
      </c>
      <c r="GY541">
        <v>0</v>
      </c>
      <c r="GZ541">
        <v>99766367.163667306</v>
      </c>
      <c r="HA541">
        <v>101000000</v>
      </c>
      <c r="HB541">
        <v>303000000</v>
      </c>
      <c r="HC541">
        <v>10000000</v>
      </c>
      <c r="HD541" t="s">
        <v>458</v>
      </c>
      <c r="HE541">
        <v>0</v>
      </c>
      <c r="HF541">
        <v>10000000</v>
      </c>
      <c r="HG541">
        <v>10000000</v>
      </c>
      <c r="HH541">
        <v>1072000</v>
      </c>
      <c r="HI541">
        <v>21440</v>
      </c>
      <c r="HJ541">
        <v>1050560</v>
      </c>
      <c r="HK541">
        <v>5200000</v>
      </c>
      <c r="HL541">
        <v>104000</v>
      </c>
      <c r="HM541">
        <v>5096000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6272000</v>
      </c>
      <c r="HT541">
        <v>125440</v>
      </c>
      <c r="HU541">
        <v>6146560</v>
      </c>
      <c r="HV541">
        <v>135853000</v>
      </c>
      <c r="HW541">
        <v>0.02</v>
      </c>
      <c r="HX541">
        <v>0.99098093957577105</v>
      </c>
      <c r="HY541">
        <v>1</v>
      </c>
      <c r="HZ541">
        <v>300000</v>
      </c>
      <c r="IA541">
        <v>1307.6508065127</v>
      </c>
      <c r="IB541">
        <v>0</v>
      </c>
      <c r="IC541">
        <v>0</v>
      </c>
      <c r="ID541">
        <v>274007.65080651297</v>
      </c>
      <c r="IE541">
        <v>574007.65080651303</v>
      </c>
      <c r="IF541">
        <v>568830.64111991902</v>
      </c>
      <c r="IG541">
        <v>568830.64111991902</v>
      </c>
      <c r="IH541">
        <v>0</v>
      </c>
      <c r="II541">
        <v>155101.38174668499</v>
      </c>
      <c r="IJ541">
        <v>1751780.54870426</v>
      </c>
      <c r="IK541">
        <v>0</v>
      </c>
      <c r="IL541">
        <v>0</v>
      </c>
      <c r="IM541">
        <v>0</v>
      </c>
      <c r="IN541">
        <v>7910170.4690809501</v>
      </c>
      <c r="IO541">
        <v>89340807.9839174</v>
      </c>
      <c r="IP541">
        <v>97250978.4529984</v>
      </c>
      <c r="IQ541">
        <v>536000</v>
      </c>
      <c r="IR541">
        <v>2600000</v>
      </c>
      <c r="IS541">
        <v>0</v>
      </c>
      <c r="IT541">
        <v>0</v>
      </c>
      <c r="IU541">
        <v>0</v>
      </c>
      <c r="IV541">
        <v>3136000</v>
      </c>
      <c r="IW541">
        <v>268000</v>
      </c>
      <c r="IX541">
        <v>1300000</v>
      </c>
      <c r="IY541">
        <v>0</v>
      </c>
      <c r="IZ541">
        <v>0</v>
      </c>
      <c r="JA541">
        <v>0</v>
      </c>
      <c r="JB541">
        <v>1568000</v>
      </c>
      <c r="JC541">
        <v>90000</v>
      </c>
      <c r="JD541">
        <v>434000</v>
      </c>
      <c r="JE541">
        <v>0</v>
      </c>
      <c r="JF541">
        <v>0</v>
      </c>
      <c r="JG541">
        <v>0</v>
      </c>
      <c r="JH541">
        <v>524000</v>
      </c>
    </row>
    <row r="542" spans="2:268" customFormat="1" x14ac:dyDescent="0.25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3"/>
      <c r="N542" s="3"/>
      <c r="O542" s="3"/>
      <c r="P542" s="2"/>
      <c r="Q542" s="2"/>
      <c r="R542" s="2"/>
      <c r="S542" s="2"/>
      <c r="T542" s="2"/>
      <c r="U542" s="2"/>
      <c r="V542" s="3"/>
      <c r="W542" s="3"/>
      <c r="X542" s="3"/>
      <c r="Y542" s="3"/>
      <c r="Z542" s="3"/>
      <c r="AA542" s="3"/>
      <c r="AB542" s="3"/>
      <c r="AC542" s="2"/>
      <c r="AD542" s="2"/>
      <c r="AE542" s="2"/>
      <c r="AF542" s="2"/>
      <c r="AG542" s="2"/>
      <c r="AH542" s="2"/>
      <c r="AI542" s="2"/>
      <c r="AJ542" s="3"/>
      <c r="AK542" s="2"/>
      <c r="AL542" s="2"/>
      <c r="AM542" s="2"/>
      <c r="AN542" s="2"/>
      <c r="AO542" s="3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3"/>
      <c r="BC542" s="3"/>
      <c r="BD542" s="3"/>
      <c r="BE542" s="3"/>
      <c r="BF542" s="3"/>
      <c r="BG542" s="3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2"/>
      <c r="DI542" s="2"/>
      <c r="DJ542" s="3"/>
      <c r="DK542" s="3"/>
      <c r="DL542" s="2"/>
      <c r="DM542" s="2"/>
      <c r="DN542" s="2"/>
      <c r="DO542" s="3"/>
      <c r="DP542" s="3"/>
      <c r="GO542" t="s">
        <v>139</v>
      </c>
      <c r="GP542" t="s">
        <v>501</v>
      </c>
      <c r="GQ542" t="s">
        <v>502</v>
      </c>
      <c r="GR542">
        <v>22</v>
      </c>
      <c r="GS542">
        <v>21</v>
      </c>
      <c r="GT542">
        <v>1</v>
      </c>
      <c r="GU542" t="s">
        <v>457</v>
      </c>
      <c r="GV542">
        <v>7910170.4690809501</v>
      </c>
      <c r="GW542">
        <v>89340807.9839174</v>
      </c>
      <c r="GX542">
        <v>97250978.4529984</v>
      </c>
      <c r="GY542">
        <v>0</v>
      </c>
      <c r="GZ542">
        <v>97250978.4529984</v>
      </c>
      <c r="HA542">
        <v>101000000</v>
      </c>
      <c r="HB542">
        <v>303000000</v>
      </c>
      <c r="HC542">
        <v>10000000</v>
      </c>
      <c r="HD542" t="s">
        <v>458</v>
      </c>
      <c r="HE542">
        <v>0</v>
      </c>
      <c r="HF542">
        <v>10000000</v>
      </c>
      <c r="HG542">
        <v>10000000</v>
      </c>
      <c r="HH542">
        <v>1072000</v>
      </c>
      <c r="HI542">
        <v>21440</v>
      </c>
      <c r="HJ542">
        <v>1050560</v>
      </c>
      <c r="HK542">
        <v>5200000</v>
      </c>
      <c r="HL542">
        <v>104000</v>
      </c>
      <c r="HM542">
        <v>5096000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6272000</v>
      </c>
      <c r="HT542">
        <v>125440</v>
      </c>
      <c r="HU542">
        <v>6146560</v>
      </c>
      <c r="HV542">
        <v>142125000</v>
      </c>
      <c r="HW542">
        <v>0.02</v>
      </c>
      <c r="HX542">
        <v>0.99098093957577105</v>
      </c>
      <c r="HY542">
        <v>1</v>
      </c>
      <c r="HZ542">
        <v>300000</v>
      </c>
      <c r="IA542">
        <v>4048.9432707616502</v>
      </c>
      <c r="IB542">
        <v>0</v>
      </c>
      <c r="IC542">
        <v>0</v>
      </c>
      <c r="ID542">
        <v>276748.94327076199</v>
      </c>
      <c r="IE542">
        <v>576748.94327076199</v>
      </c>
      <c r="IF542">
        <v>571547.20970179304</v>
      </c>
      <c r="IG542">
        <v>571547.20970179304</v>
      </c>
      <c r="IH542">
        <v>0</v>
      </c>
      <c r="II542">
        <v>167783.66518758301</v>
      </c>
      <c r="IJ542">
        <v>1688736.15967835</v>
      </c>
      <c r="IK542">
        <v>0</v>
      </c>
      <c r="IL542">
        <v>0</v>
      </c>
      <c r="IM542">
        <v>0</v>
      </c>
      <c r="IN542">
        <v>8556966.9245667309</v>
      </c>
      <c r="IO542">
        <v>86125544.1435958</v>
      </c>
      <c r="IP542">
        <v>94682511.068162501</v>
      </c>
      <c r="IQ542">
        <v>536000</v>
      </c>
      <c r="IR542">
        <v>2600000</v>
      </c>
      <c r="IS542">
        <v>0</v>
      </c>
      <c r="IT542">
        <v>0</v>
      </c>
      <c r="IU542">
        <v>0</v>
      </c>
      <c r="IV542">
        <v>3136000</v>
      </c>
      <c r="IW542">
        <v>268000</v>
      </c>
      <c r="IX542">
        <v>1300000</v>
      </c>
      <c r="IY542">
        <v>0</v>
      </c>
      <c r="IZ542">
        <v>0</v>
      </c>
      <c r="JA542">
        <v>0</v>
      </c>
      <c r="JB542">
        <v>1568000</v>
      </c>
      <c r="JC542">
        <v>90000</v>
      </c>
      <c r="JD542">
        <v>434000</v>
      </c>
      <c r="JE542">
        <v>0</v>
      </c>
      <c r="JF542">
        <v>0</v>
      </c>
      <c r="JG542">
        <v>0</v>
      </c>
      <c r="JH542">
        <v>524000</v>
      </c>
    </row>
    <row r="543" spans="2:268" customFormat="1" x14ac:dyDescent="0.25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3"/>
      <c r="N543" s="3"/>
      <c r="O543" s="3"/>
      <c r="P543" s="2"/>
      <c r="Q543" s="2"/>
      <c r="R543" s="2"/>
      <c r="S543" s="2"/>
      <c r="T543" s="2"/>
      <c r="U543" s="2"/>
      <c r="V543" s="3"/>
      <c r="W543" s="3"/>
      <c r="X543" s="3"/>
      <c r="Y543" s="3"/>
      <c r="Z543" s="3"/>
      <c r="AA543" s="3"/>
      <c r="AB543" s="3"/>
      <c r="AC543" s="2"/>
      <c r="AD543" s="2"/>
      <c r="AE543" s="2"/>
      <c r="AF543" s="2"/>
      <c r="AG543" s="2"/>
      <c r="AH543" s="2"/>
      <c r="AI543" s="2"/>
      <c r="AJ543" s="3"/>
      <c r="AK543" s="2"/>
      <c r="AL543" s="2"/>
      <c r="AM543" s="2"/>
      <c r="AN543" s="2"/>
      <c r="AO543" s="3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3"/>
      <c r="BC543" s="3"/>
      <c r="BD543" s="3"/>
      <c r="BE543" s="3"/>
      <c r="BF543" s="3"/>
      <c r="BG543" s="3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2"/>
      <c r="DI543" s="2"/>
      <c r="DJ543" s="3"/>
      <c r="DK543" s="3"/>
      <c r="DL543" s="2"/>
      <c r="DM543" s="2"/>
      <c r="DN543" s="2"/>
      <c r="DO543" s="3"/>
      <c r="DP543" s="3"/>
      <c r="GO543" t="s">
        <v>139</v>
      </c>
      <c r="GP543" t="s">
        <v>501</v>
      </c>
      <c r="GQ543" t="s">
        <v>502</v>
      </c>
      <c r="GR543">
        <v>23</v>
      </c>
      <c r="GS543">
        <v>22</v>
      </c>
      <c r="GT543">
        <v>1</v>
      </c>
      <c r="GU543" t="s">
        <v>457</v>
      </c>
      <c r="GV543">
        <v>8556966.9245667309</v>
      </c>
      <c r="GW543">
        <v>86125544.1435958</v>
      </c>
      <c r="GX543">
        <v>94682511.068162501</v>
      </c>
      <c r="GY543">
        <v>0</v>
      </c>
      <c r="GZ543">
        <v>94682511.068162501</v>
      </c>
      <c r="HA543">
        <v>101000000</v>
      </c>
      <c r="HB543">
        <v>303000000</v>
      </c>
      <c r="HC543">
        <v>10000000</v>
      </c>
      <c r="HD543" t="s">
        <v>458</v>
      </c>
      <c r="HE543">
        <v>0</v>
      </c>
      <c r="HF543">
        <v>10000000</v>
      </c>
      <c r="HG543">
        <v>10000000</v>
      </c>
      <c r="HH543">
        <v>1072000</v>
      </c>
      <c r="HI543">
        <v>21440</v>
      </c>
      <c r="HJ543">
        <v>1050560</v>
      </c>
      <c r="HK543">
        <v>5200000</v>
      </c>
      <c r="HL543">
        <v>104000</v>
      </c>
      <c r="HM543">
        <v>5096000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6272000</v>
      </c>
      <c r="HT543">
        <v>125440</v>
      </c>
      <c r="HU543">
        <v>6146560</v>
      </c>
      <c r="HV543">
        <v>148397000</v>
      </c>
      <c r="HW543">
        <v>0.02</v>
      </c>
      <c r="HX543">
        <v>0.99098093957577105</v>
      </c>
      <c r="HY543">
        <v>1</v>
      </c>
      <c r="HZ543">
        <v>300000</v>
      </c>
      <c r="IA543">
        <v>6949.2378250211696</v>
      </c>
      <c r="IB543">
        <v>0</v>
      </c>
      <c r="IC543">
        <v>0</v>
      </c>
      <c r="ID543">
        <v>279649.23782502097</v>
      </c>
      <c r="IE543">
        <v>579649.23782502103</v>
      </c>
      <c r="IF543">
        <v>574421.34632421902</v>
      </c>
      <c r="IG543">
        <v>574421.34632421902</v>
      </c>
      <c r="IH543">
        <v>0</v>
      </c>
      <c r="II543">
        <v>180662.11156485</v>
      </c>
      <c r="IJ543">
        <v>1624430.88287192</v>
      </c>
      <c r="IK543">
        <v>0</v>
      </c>
      <c r="IL543">
        <v>0</v>
      </c>
      <c r="IM543">
        <v>0</v>
      </c>
      <c r="IN543">
        <v>9213767.6898073703</v>
      </c>
      <c r="IO543">
        <v>82845975.026467696</v>
      </c>
      <c r="IP543">
        <v>92059742.716275096</v>
      </c>
      <c r="IQ543">
        <v>536000</v>
      </c>
      <c r="IR543">
        <v>2600000</v>
      </c>
      <c r="IS543">
        <v>0</v>
      </c>
      <c r="IT543">
        <v>0</v>
      </c>
      <c r="IU543">
        <v>0</v>
      </c>
      <c r="IV543">
        <v>3136000</v>
      </c>
      <c r="IW543">
        <v>268000</v>
      </c>
      <c r="IX543">
        <v>1300000</v>
      </c>
      <c r="IY543">
        <v>0</v>
      </c>
      <c r="IZ543">
        <v>0</v>
      </c>
      <c r="JA543">
        <v>0</v>
      </c>
      <c r="JB543">
        <v>1568000</v>
      </c>
      <c r="JC543">
        <v>90000</v>
      </c>
      <c r="JD543">
        <v>434000</v>
      </c>
      <c r="JE543">
        <v>0</v>
      </c>
      <c r="JF543">
        <v>0</v>
      </c>
      <c r="JG543">
        <v>0</v>
      </c>
      <c r="JH543">
        <v>524000</v>
      </c>
    </row>
    <row r="544" spans="2:268" customFormat="1" x14ac:dyDescent="0.25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3"/>
      <c r="N544" s="3"/>
      <c r="O544" s="3"/>
      <c r="P544" s="2"/>
      <c r="Q544" s="2"/>
      <c r="R544" s="2"/>
      <c r="S544" s="2"/>
      <c r="T544" s="2"/>
      <c r="U544" s="2"/>
      <c r="V544" s="3"/>
      <c r="W544" s="3"/>
      <c r="X544" s="3"/>
      <c r="Y544" s="3"/>
      <c r="Z544" s="3"/>
      <c r="AA544" s="3"/>
      <c r="AB544" s="3"/>
      <c r="AC544" s="2"/>
      <c r="AD544" s="2"/>
      <c r="AE544" s="2"/>
      <c r="AF544" s="2"/>
      <c r="AG544" s="2"/>
      <c r="AH544" s="2"/>
      <c r="AI544" s="2"/>
      <c r="AJ544" s="3"/>
      <c r="AK544" s="2"/>
      <c r="AL544" s="2"/>
      <c r="AM544" s="2"/>
      <c r="AN544" s="2"/>
      <c r="AO544" s="3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3"/>
      <c r="BC544" s="3"/>
      <c r="BD544" s="3"/>
      <c r="BE544" s="3"/>
      <c r="BF544" s="3"/>
      <c r="BG544" s="3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2"/>
      <c r="DI544" s="2"/>
      <c r="DJ544" s="3"/>
      <c r="DK544" s="3"/>
      <c r="DL544" s="2"/>
      <c r="DM544" s="2"/>
      <c r="DN544" s="2"/>
      <c r="DO544" s="3"/>
      <c r="DP544" s="3"/>
      <c r="GO544" t="s">
        <v>139</v>
      </c>
      <c r="GP544" t="s">
        <v>501</v>
      </c>
      <c r="GQ544" t="s">
        <v>502</v>
      </c>
      <c r="GR544">
        <v>24</v>
      </c>
      <c r="GS544">
        <v>23</v>
      </c>
      <c r="GT544">
        <v>1</v>
      </c>
      <c r="GU544" t="s">
        <v>457</v>
      </c>
      <c r="GV544">
        <v>9213767.6898073703</v>
      </c>
      <c r="GW544">
        <v>82845975.026467696</v>
      </c>
      <c r="GX544">
        <v>92059742.716275096</v>
      </c>
      <c r="GY544">
        <v>0</v>
      </c>
      <c r="GZ544">
        <v>92059742.716275096</v>
      </c>
      <c r="HA544">
        <v>101000000</v>
      </c>
      <c r="HB544">
        <v>303000000</v>
      </c>
      <c r="HC544">
        <v>0</v>
      </c>
      <c r="HD544" t="s">
        <v>137</v>
      </c>
      <c r="HE544">
        <v>0</v>
      </c>
      <c r="HF544">
        <v>0</v>
      </c>
      <c r="HG544">
        <v>0</v>
      </c>
      <c r="HH544">
        <v>1072000</v>
      </c>
      <c r="HI544">
        <v>21440</v>
      </c>
      <c r="HJ544">
        <v>1050560</v>
      </c>
      <c r="HK544">
        <v>5200000</v>
      </c>
      <c r="HL544">
        <v>104000</v>
      </c>
      <c r="HM544">
        <v>5096000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6272000</v>
      </c>
      <c r="HT544">
        <v>125440</v>
      </c>
      <c r="HU544">
        <v>6146560</v>
      </c>
      <c r="HV544">
        <v>154669000</v>
      </c>
      <c r="HW544">
        <v>0.02</v>
      </c>
      <c r="HX544">
        <v>0.99098093957577105</v>
      </c>
      <c r="HY544">
        <v>1</v>
      </c>
      <c r="HZ544">
        <v>300000</v>
      </c>
      <c r="IA544">
        <v>10013.088157771999</v>
      </c>
      <c r="IB544">
        <v>0</v>
      </c>
      <c r="IC544">
        <v>0</v>
      </c>
      <c r="ID544">
        <v>282713.08815777203</v>
      </c>
      <c r="IE544">
        <v>582713.08815777197</v>
      </c>
      <c r="IF544">
        <v>577457.56360568805</v>
      </c>
      <c r="IG544">
        <v>577457.56360568805</v>
      </c>
      <c r="IH544">
        <v>0</v>
      </c>
      <c r="II544">
        <v>193737.402524034</v>
      </c>
      <c r="IJ544">
        <v>1758839.50052935</v>
      </c>
      <c r="IK544">
        <v>0</v>
      </c>
      <c r="IL544">
        <v>0</v>
      </c>
      <c r="IM544">
        <v>0</v>
      </c>
      <c r="IN544">
        <v>9880607.5287257098</v>
      </c>
      <c r="IO544">
        <v>89700814.526997</v>
      </c>
      <c r="IP544">
        <v>99581422.055722803</v>
      </c>
      <c r="IQ544">
        <v>536000</v>
      </c>
      <c r="IR544">
        <v>2600000</v>
      </c>
      <c r="IS544">
        <v>0</v>
      </c>
      <c r="IT544">
        <v>0</v>
      </c>
      <c r="IU544">
        <v>0</v>
      </c>
      <c r="IV544">
        <v>3136000</v>
      </c>
      <c r="IW544">
        <v>268000</v>
      </c>
      <c r="IX544">
        <v>1300000</v>
      </c>
      <c r="IY544">
        <v>0</v>
      </c>
      <c r="IZ544">
        <v>0</v>
      </c>
      <c r="JA544">
        <v>0</v>
      </c>
      <c r="JB544">
        <v>1568000</v>
      </c>
      <c r="JC544">
        <v>90000</v>
      </c>
      <c r="JD544">
        <v>434000</v>
      </c>
      <c r="JE544">
        <v>0</v>
      </c>
      <c r="JF544">
        <v>0</v>
      </c>
      <c r="JG544">
        <v>0</v>
      </c>
      <c r="JH544">
        <v>524000</v>
      </c>
    </row>
    <row r="545" spans="2:268" customFormat="1" x14ac:dyDescent="0.25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3"/>
      <c r="N545" s="3"/>
      <c r="O545" s="3"/>
      <c r="P545" s="2"/>
      <c r="Q545" s="2"/>
      <c r="R545" s="2"/>
      <c r="S545" s="2"/>
      <c r="T545" s="2"/>
      <c r="U545" s="2"/>
      <c r="V545" s="3"/>
      <c r="W545" s="3"/>
      <c r="X545" s="3"/>
      <c r="Y545" s="3"/>
      <c r="Z545" s="3"/>
      <c r="AA545" s="3"/>
      <c r="AB545" s="3"/>
      <c r="AC545" s="2"/>
      <c r="AD545" s="2"/>
      <c r="AE545" s="2"/>
      <c r="AF545" s="2"/>
      <c r="AG545" s="2"/>
      <c r="AH545" s="2"/>
      <c r="AI545" s="2"/>
      <c r="AJ545" s="3"/>
      <c r="AK545" s="2"/>
      <c r="AL545" s="2"/>
      <c r="AM545" s="2"/>
      <c r="AN545" s="2"/>
      <c r="AO545" s="3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3"/>
      <c r="BC545" s="3"/>
      <c r="BD545" s="3"/>
      <c r="BE545" s="3"/>
      <c r="BF545" s="3"/>
      <c r="BG545" s="3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2"/>
      <c r="DI545" s="2"/>
      <c r="DJ545" s="3"/>
      <c r="DK545" s="3"/>
      <c r="DL545" s="2"/>
      <c r="DM545" s="2"/>
      <c r="DN545" s="2"/>
      <c r="DO545" s="3"/>
      <c r="DP545" s="3"/>
      <c r="GO545" t="s">
        <v>139</v>
      </c>
      <c r="GP545" t="s">
        <v>501</v>
      </c>
      <c r="GQ545" t="s">
        <v>502</v>
      </c>
      <c r="GR545">
        <v>25</v>
      </c>
      <c r="GS545">
        <v>24</v>
      </c>
      <c r="GT545">
        <v>1</v>
      </c>
      <c r="GU545" t="s">
        <v>457</v>
      </c>
      <c r="GV545">
        <v>9880607.5287257098</v>
      </c>
      <c r="GW545">
        <v>89700814.526997</v>
      </c>
      <c r="GX545">
        <v>99581422.055722803</v>
      </c>
      <c r="GY545">
        <v>0</v>
      </c>
      <c r="GZ545">
        <v>99581422.055722803</v>
      </c>
      <c r="HA545">
        <v>101000000</v>
      </c>
      <c r="HB545">
        <v>303000000</v>
      </c>
      <c r="HC545">
        <v>0</v>
      </c>
      <c r="HD545" t="s">
        <v>137</v>
      </c>
      <c r="HE545">
        <v>0</v>
      </c>
      <c r="HF545">
        <v>0</v>
      </c>
      <c r="HG545">
        <v>0</v>
      </c>
      <c r="HH545">
        <v>1072000</v>
      </c>
      <c r="HI545">
        <v>21440</v>
      </c>
      <c r="HJ545">
        <v>1050560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1072000</v>
      </c>
      <c r="HT545">
        <v>21440</v>
      </c>
      <c r="HU545">
        <v>1050560</v>
      </c>
      <c r="HV545">
        <v>155741000</v>
      </c>
      <c r="HW545">
        <v>0.02</v>
      </c>
      <c r="HX545">
        <v>0.99098093957577105</v>
      </c>
      <c r="HY545">
        <v>1</v>
      </c>
      <c r="HZ545">
        <v>300000</v>
      </c>
      <c r="IA545">
        <v>1631.3646359188001</v>
      </c>
      <c r="IB545">
        <v>0</v>
      </c>
      <c r="IC545">
        <v>0</v>
      </c>
      <c r="ID545">
        <v>274331.36463591899</v>
      </c>
      <c r="IE545">
        <v>574331.36463591899</v>
      </c>
      <c r="IF545">
        <v>569151.43535473803</v>
      </c>
      <c r="IG545">
        <v>569151.43535473803</v>
      </c>
      <c r="IH545">
        <v>0</v>
      </c>
      <c r="II545">
        <v>207240.321867419</v>
      </c>
      <c r="IJ545">
        <v>1794016.2905399399</v>
      </c>
      <c r="IK545">
        <v>0</v>
      </c>
      <c r="IL545">
        <v>0</v>
      </c>
      <c r="IM545">
        <v>0</v>
      </c>
      <c r="IN545">
        <v>10569256.415238401</v>
      </c>
      <c r="IO545">
        <v>91494830.817536995</v>
      </c>
      <c r="IP545">
        <v>102064087.232775</v>
      </c>
      <c r="IQ545">
        <v>536000</v>
      </c>
      <c r="IR545">
        <v>2600000</v>
      </c>
      <c r="IS545">
        <v>0</v>
      </c>
      <c r="IT545">
        <v>0</v>
      </c>
      <c r="IU545">
        <v>0</v>
      </c>
      <c r="IV545">
        <v>3136000</v>
      </c>
      <c r="IW545">
        <v>268000</v>
      </c>
      <c r="IX545">
        <v>1300000</v>
      </c>
      <c r="IY545">
        <v>0</v>
      </c>
      <c r="IZ545">
        <v>0</v>
      </c>
      <c r="JA545">
        <v>0</v>
      </c>
      <c r="JB545">
        <v>1568000</v>
      </c>
      <c r="JC545">
        <v>90000</v>
      </c>
      <c r="JD545">
        <v>434000</v>
      </c>
      <c r="JE545">
        <v>0</v>
      </c>
      <c r="JF545">
        <v>0</v>
      </c>
      <c r="JG545">
        <v>0</v>
      </c>
      <c r="JH545">
        <v>524000</v>
      </c>
    </row>
    <row r="546" spans="2:268" customFormat="1" x14ac:dyDescent="0.25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3"/>
      <c r="N546" s="3"/>
      <c r="O546" s="3"/>
      <c r="P546" s="2"/>
      <c r="Q546" s="2"/>
      <c r="R546" s="2"/>
      <c r="S546" s="2"/>
      <c r="T546" s="2"/>
      <c r="U546" s="2"/>
      <c r="V546" s="3"/>
      <c r="W546" s="3"/>
      <c r="X546" s="3"/>
      <c r="Y546" s="3"/>
      <c r="Z546" s="3"/>
      <c r="AA546" s="3"/>
      <c r="AB546" s="3"/>
      <c r="AC546" s="2"/>
      <c r="AD546" s="2"/>
      <c r="AE546" s="2"/>
      <c r="AF546" s="2"/>
      <c r="AG546" s="2"/>
      <c r="AH546" s="2"/>
      <c r="AI546" s="2"/>
      <c r="AJ546" s="3"/>
      <c r="AK546" s="2"/>
      <c r="AL546" s="2"/>
      <c r="AM546" s="2"/>
      <c r="AN546" s="2"/>
      <c r="AO546" s="3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3"/>
      <c r="BC546" s="3"/>
      <c r="BD546" s="3"/>
      <c r="BE546" s="3"/>
      <c r="BF546" s="3"/>
      <c r="BG546" s="3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2"/>
      <c r="DI546" s="2"/>
      <c r="DJ546" s="3"/>
      <c r="DK546" s="3"/>
      <c r="DL546" s="2"/>
      <c r="DM546" s="2"/>
      <c r="DN546" s="2"/>
      <c r="DO546" s="3"/>
      <c r="DP546" s="3"/>
      <c r="GO546" t="s">
        <v>139</v>
      </c>
      <c r="GP546" t="s">
        <v>501</v>
      </c>
      <c r="GQ546" t="s">
        <v>502</v>
      </c>
      <c r="GR546">
        <v>26</v>
      </c>
      <c r="GS546">
        <v>25</v>
      </c>
      <c r="GT546">
        <v>1</v>
      </c>
      <c r="GU546" t="s">
        <v>457</v>
      </c>
      <c r="GV546">
        <v>10569256.415238401</v>
      </c>
      <c r="GW546">
        <v>91494830.817536995</v>
      </c>
      <c r="GX546">
        <v>102064087.232775</v>
      </c>
      <c r="GY546">
        <v>0</v>
      </c>
      <c r="GZ546">
        <v>102064087.232775</v>
      </c>
      <c r="HA546">
        <v>102064087.232775</v>
      </c>
      <c r="HB546">
        <v>303000000</v>
      </c>
      <c r="HC546">
        <v>0</v>
      </c>
      <c r="HD546" t="s">
        <v>137</v>
      </c>
      <c r="HE546">
        <v>0</v>
      </c>
      <c r="HF546">
        <v>0</v>
      </c>
      <c r="HG546">
        <v>0</v>
      </c>
      <c r="HH546">
        <v>1072000</v>
      </c>
      <c r="HI546">
        <v>21440</v>
      </c>
      <c r="HJ546">
        <v>1050560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1072000</v>
      </c>
      <c r="HT546">
        <v>21440</v>
      </c>
      <c r="HU546">
        <v>1050560</v>
      </c>
      <c r="HV546">
        <v>156813000</v>
      </c>
      <c r="HW546">
        <v>0.02</v>
      </c>
      <c r="HX546">
        <v>0.99098093957577105</v>
      </c>
      <c r="HY546">
        <v>1</v>
      </c>
      <c r="HZ546">
        <v>300000</v>
      </c>
      <c r="IA546">
        <v>0</v>
      </c>
      <c r="IB546">
        <v>0</v>
      </c>
      <c r="IC546">
        <v>0</v>
      </c>
      <c r="ID546">
        <v>272700</v>
      </c>
      <c r="IE546">
        <v>572700</v>
      </c>
      <c r="IF546">
        <v>567534.78409504401</v>
      </c>
      <c r="IG546">
        <v>567534.78409504401</v>
      </c>
      <c r="IH546">
        <v>0</v>
      </c>
      <c r="II546">
        <v>221045.63262286701</v>
      </c>
      <c r="IJ546">
        <v>1829896.61635074</v>
      </c>
      <c r="IK546">
        <v>0</v>
      </c>
      <c r="IL546">
        <v>0</v>
      </c>
      <c r="IM546">
        <v>0</v>
      </c>
      <c r="IN546">
        <v>11273327.263766199</v>
      </c>
      <c r="IO546">
        <v>93324727.433887705</v>
      </c>
      <c r="IP546">
        <v>104598054.69765399</v>
      </c>
      <c r="IQ546">
        <v>536000</v>
      </c>
      <c r="IR546">
        <v>2600000</v>
      </c>
      <c r="IS546">
        <v>0</v>
      </c>
      <c r="IT546">
        <v>0</v>
      </c>
      <c r="IU546">
        <v>0</v>
      </c>
      <c r="IV546">
        <v>3136000</v>
      </c>
      <c r="IW546">
        <v>268000</v>
      </c>
      <c r="IX546">
        <v>1300000</v>
      </c>
      <c r="IY546">
        <v>0</v>
      </c>
      <c r="IZ546">
        <v>0</v>
      </c>
      <c r="JA546">
        <v>0</v>
      </c>
      <c r="JB546">
        <v>1568000</v>
      </c>
      <c r="JC546">
        <v>90000</v>
      </c>
      <c r="JD546">
        <v>434000</v>
      </c>
      <c r="JE546">
        <v>0</v>
      </c>
      <c r="JF546">
        <v>0</v>
      </c>
      <c r="JG546">
        <v>0</v>
      </c>
      <c r="JH546">
        <v>524000</v>
      </c>
    </row>
    <row r="547" spans="2:268" customFormat="1" x14ac:dyDescent="0.25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3"/>
      <c r="N547" s="3"/>
      <c r="O547" s="3"/>
      <c r="P547" s="2"/>
      <c r="Q547" s="2"/>
      <c r="R547" s="2"/>
      <c r="S547" s="2"/>
      <c r="T547" s="2"/>
      <c r="U547" s="2"/>
      <c r="V547" s="3"/>
      <c r="W547" s="3"/>
      <c r="X547" s="3"/>
      <c r="Y547" s="3"/>
      <c r="Z547" s="3"/>
      <c r="AA547" s="3"/>
      <c r="AB547" s="3"/>
      <c r="AC547" s="2"/>
      <c r="AD547" s="2"/>
      <c r="AE547" s="2"/>
      <c r="AF547" s="2"/>
      <c r="AG547" s="2"/>
      <c r="AH547" s="2"/>
      <c r="AI547" s="2"/>
      <c r="AJ547" s="3"/>
      <c r="AK547" s="2"/>
      <c r="AL547" s="2"/>
      <c r="AM547" s="2"/>
      <c r="AN547" s="2"/>
      <c r="AO547" s="3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3"/>
      <c r="BC547" s="3"/>
      <c r="BD547" s="3"/>
      <c r="BE547" s="3"/>
      <c r="BF547" s="3"/>
      <c r="BG547" s="3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2"/>
      <c r="DI547" s="2"/>
      <c r="DJ547" s="3"/>
      <c r="DK547" s="3"/>
      <c r="DL547" s="2"/>
      <c r="DM547" s="2"/>
      <c r="DN547" s="2"/>
      <c r="DO547" s="3"/>
      <c r="DP547" s="3"/>
      <c r="GO547" t="s">
        <v>139</v>
      </c>
      <c r="GP547" t="s">
        <v>501</v>
      </c>
      <c r="GQ547" t="s">
        <v>502</v>
      </c>
      <c r="GR547">
        <v>27</v>
      </c>
      <c r="GS547">
        <v>26</v>
      </c>
      <c r="GT547">
        <v>1</v>
      </c>
      <c r="GU547" t="s">
        <v>457</v>
      </c>
      <c r="GV547">
        <v>11273327.263766199</v>
      </c>
      <c r="GW547">
        <v>93324727.433887705</v>
      </c>
      <c r="GX547">
        <v>104598054.69765399</v>
      </c>
      <c r="GY547">
        <v>0</v>
      </c>
      <c r="GZ547">
        <v>104598054.69765399</v>
      </c>
      <c r="HA547">
        <v>104598054.69765399</v>
      </c>
      <c r="HB547">
        <v>303000000</v>
      </c>
      <c r="HC547">
        <v>0</v>
      </c>
      <c r="HD547" t="s">
        <v>137</v>
      </c>
      <c r="HE547">
        <v>0</v>
      </c>
      <c r="HF547">
        <v>0</v>
      </c>
      <c r="HG547">
        <v>0</v>
      </c>
      <c r="HH547">
        <v>1072000</v>
      </c>
      <c r="HI547">
        <v>21440</v>
      </c>
      <c r="HJ547">
        <v>1050560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1072000</v>
      </c>
      <c r="HT547">
        <v>21440</v>
      </c>
      <c r="HU547">
        <v>1050560</v>
      </c>
      <c r="HV547">
        <v>157885000</v>
      </c>
      <c r="HW547">
        <v>0.02</v>
      </c>
      <c r="HX547">
        <v>0.99098093957577105</v>
      </c>
      <c r="HY547">
        <v>1</v>
      </c>
      <c r="HZ547">
        <v>300000</v>
      </c>
      <c r="IA547">
        <v>0</v>
      </c>
      <c r="IB547">
        <v>0</v>
      </c>
      <c r="IC547">
        <v>0</v>
      </c>
      <c r="ID547">
        <v>272700</v>
      </c>
      <c r="IE547">
        <v>572700</v>
      </c>
      <c r="IF547">
        <v>567534.78409504401</v>
      </c>
      <c r="IG547">
        <v>567534.78409504401</v>
      </c>
      <c r="IH547">
        <v>0</v>
      </c>
      <c r="II547">
        <v>235127.049593423</v>
      </c>
      <c r="IJ547">
        <v>1866494.5486777499</v>
      </c>
      <c r="IK547">
        <v>0</v>
      </c>
      <c r="IL547">
        <v>0</v>
      </c>
      <c r="IM547">
        <v>0</v>
      </c>
      <c r="IN547">
        <v>11991479.529264599</v>
      </c>
      <c r="IO547">
        <v>95191221.982565507</v>
      </c>
      <c r="IP547">
        <v>107182701.51183</v>
      </c>
      <c r="IQ547">
        <v>536000</v>
      </c>
      <c r="IR547">
        <v>2600000</v>
      </c>
      <c r="IS547">
        <v>0</v>
      </c>
      <c r="IT547">
        <v>0</v>
      </c>
      <c r="IU547">
        <v>0</v>
      </c>
      <c r="IV547">
        <v>3136000</v>
      </c>
      <c r="IW547">
        <v>268000</v>
      </c>
      <c r="IX547">
        <v>1300000</v>
      </c>
      <c r="IY547">
        <v>0</v>
      </c>
      <c r="IZ547">
        <v>0</v>
      </c>
      <c r="JA547">
        <v>0</v>
      </c>
      <c r="JB547">
        <v>1568000</v>
      </c>
      <c r="JC547">
        <v>90000</v>
      </c>
      <c r="JD547">
        <v>434000</v>
      </c>
      <c r="JE547">
        <v>0</v>
      </c>
      <c r="JF547">
        <v>0</v>
      </c>
      <c r="JG547">
        <v>0</v>
      </c>
      <c r="JH547">
        <v>524000</v>
      </c>
    </row>
    <row r="548" spans="2:268" customFormat="1" x14ac:dyDescent="0.25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3"/>
      <c r="N548" s="3"/>
      <c r="O548" s="3"/>
      <c r="P548" s="2"/>
      <c r="Q548" s="2"/>
      <c r="R548" s="2"/>
      <c r="S548" s="2"/>
      <c r="T548" s="2"/>
      <c r="U548" s="2"/>
      <c r="V548" s="3"/>
      <c r="W548" s="3"/>
      <c r="X548" s="3"/>
      <c r="Y548" s="3"/>
      <c r="Z548" s="3"/>
      <c r="AA548" s="3"/>
      <c r="AB548" s="3"/>
      <c r="AC548" s="2"/>
      <c r="AD548" s="2"/>
      <c r="AE548" s="2"/>
      <c r="AF548" s="2"/>
      <c r="AG548" s="2"/>
      <c r="AH548" s="2"/>
      <c r="AI548" s="2"/>
      <c r="AJ548" s="3"/>
      <c r="AK548" s="2"/>
      <c r="AL548" s="2"/>
      <c r="AM548" s="2"/>
      <c r="AN548" s="2"/>
      <c r="AO548" s="3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3"/>
      <c r="BC548" s="3"/>
      <c r="BD548" s="3"/>
      <c r="BE548" s="3"/>
      <c r="BF548" s="3"/>
      <c r="BG548" s="3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2"/>
      <c r="DI548" s="2"/>
      <c r="DJ548" s="3"/>
      <c r="DK548" s="3"/>
      <c r="DL548" s="2"/>
      <c r="DM548" s="2"/>
      <c r="DN548" s="2"/>
      <c r="DO548" s="3"/>
      <c r="DP548" s="3"/>
      <c r="GO548" t="s">
        <v>139</v>
      </c>
      <c r="GP548" t="s">
        <v>501</v>
      </c>
      <c r="GQ548" t="s">
        <v>502</v>
      </c>
      <c r="GR548">
        <v>28</v>
      </c>
      <c r="GS548">
        <v>27</v>
      </c>
      <c r="GT548">
        <v>1</v>
      </c>
      <c r="GU548" t="s">
        <v>457</v>
      </c>
      <c r="GV548">
        <v>11991479.529264599</v>
      </c>
      <c r="GW548">
        <v>95191221.982565507</v>
      </c>
      <c r="GX548">
        <v>107182701.51183</v>
      </c>
      <c r="GY548">
        <v>0</v>
      </c>
      <c r="GZ548">
        <v>107182701.51183</v>
      </c>
      <c r="HA548">
        <v>107182701.51183</v>
      </c>
      <c r="HB548">
        <v>303000000</v>
      </c>
      <c r="HC548">
        <v>0</v>
      </c>
      <c r="HD548" t="s">
        <v>137</v>
      </c>
      <c r="HE548">
        <v>0</v>
      </c>
      <c r="HF548">
        <v>0</v>
      </c>
      <c r="HG548">
        <v>0</v>
      </c>
      <c r="HH548">
        <v>1072000</v>
      </c>
      <c r="HI548">
        <v>21440</v>
      </c>
      <c r="HJ548">
        <v>1050560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1072000</v>
      </c>
      <c r="HT548">
        <v>21440</v>
      </c>
      <c r="HU548">
        <v>1050560</v>
      </c>
      <c r="HV548">
        <v>158957000</v>
      </c>
      <c r="HW548">
        <v>0.02</v>
      </c>
      <c r="HX548">
        <v>0.99098093957577105</v>
      </c>
      <c r="HY548">
        <v>1</v>
      </c>
      <c r="HZ548">
        <v>300000</v>
      </c>
      <c r="IA548">
        <v>0</v>
      </c>
      <c r="IB548">
        <v>0</v>
      </c>
      <c r="IC548">
        <v>0</v>
      </c>
      <c r="ID548">
        <v>272700</v>
      </c>
      <c r="IE548">
        <v>572700</v>
      </c>
      <c r="IF548">
        <v>567534.78409504401</v>
      </c>
      <c r="IG548">
        <v>567534.78409504401</v>
      </c>
      <c r="IH548">
        <v>0</v>
      </c>
      <c r="II548">
        <v>249490.094903391</v>
      </c>
      <c r="IJ548">
        <v>1903824.43965131</v>
      </c>
      <c r="IK548">
        <v>0</v>
      </c>
      <c r="IL548">
        <v>0</v>
      </c>
      <c r="IM548">
        <v>0</v>
      </c>
      <c r="IN548">
        <v>12723994.8400729</v>
      </c>
      <c r="IO548">
        <v>97095046.422216803</v>
      </c>
      <c r="IP548">
        <v>109819041.26229</v>
      </c>
      <c r="IQ548">
        <v>536000</v>
      </c>
      <c r="IR548">
        <v>2600000</v>
      </c>
      <c r="IS548">
        <v>0</v>
      </c>
      <c r="IT548">
        <v>0</v>
      </c>
      <c r="IU548">
        <v>0</v>
      </c>
      <c r="IV548">
        <v>3136000</v>
      </c>
      <c r="IW548">
        <v>268000</v>
      </c>
      <c r="IX548">
        <v>1300000</v>
      </c>
      <c r="IY548">
        <v>0</v>
      </c>
      <c r="IZ548">
        <v>0</v>
      </c>
      <c r="JA548">
        <v>0</v>
      </c>
      <c r="JB548">
        <v>1568000</v>
      </c>
      <c r="JC548">
        <v>90000</v>
      </c>
      <c r="JD548">
        <v>434000</v>
      </c>
      <c r="JE548">
        <v>0</v>
      </c>
      <c r="JF548">
        <v>0</v>
      </c>
      <c r="JG548">
        <v>0</v>
      </c>
      <c r="JH548">
        <v>524000</v>
      </c>
    </row>
    <row r="549" spans="2:268" customFormat="1" x14ac:dyDescent="0.25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3"/>
      <c r="N549" s="3"/>
      <c r="O549" s="3"/>
      <c r="P549" s="2"/>
      <c r="Q549" s="2"/>
      <c r="R549" s="2"/>
      <c r="S549" s="2"/>
      <c r="T549" s="2"/>
      <c r="U549" s="2"/>
      <c r="V549" s="3"/>
      <c r="W549" s="3"/>
      <c r="X549" s="3"/>
      <c r="Y549" s="3"/>
      <c r="Z549" s="3"/>
      <c r="AA549" s="3"/>
      <c r="AB549" s="3"/>
      <c r="AC549" s="2"/>
      <c r="AD549" s="2"/>
      <c r="AE549" s="2"/>
      <c r="AF549" s="2"/>
      <c r="AG549" s="2"/>
      <c r="AH549" s="2"/>
      <c r="AI549" s="2"/>
      <c r="AJ549" s="3"/>
      <c r="AK549" s="2"/>
      <c r="AL549" s="2"/>
      <c r="AM549" s="2"/>
      <c r="AN549" s="2"/>
      <c r="AO549" s="3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3"/>
      <c r="BC549" s="3"/>
      <c r="BD549" s="3"/>
      <c r="BE549" s="3"/>
      <c r="BF549" s="3"/>
      <c r="BG549" s="3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2"/>
      <c r="DI549" s="2"/>
      <c r="DJ549" s="3"/>
      <c r="DK549" s="3"/>
      <c r="DL549" s="2"/>
      <c r="DM549" s="2"/>
      <c r="DN549" s="2"/>
      <c r="DO549" s="3"/>
      <c r="DP549" s="3"/>
      <c r="GO549" t="s">
        <v>139</v>
      </c>
      <c r="GP549" t="s">
        <v>501</v>
      </c>
      <c r="GQ549" t="s">
        <v>502</v>
      </c>
      <c r="GR549">
        <v>29</v>
      </c>
      <c r="GS549">
        <v>28</v>
      </c>
      <c r="GT549">
        <v>1</v>
      </c>
      <c r="GU549" t="s">
        <v>457</v>
      </c>
      <c r="GV549">
        <v>12723994.8400729</v>
      </c>
      <c r="GW549">
        <v>97095046.422216803</v>
      </c>
      <c r="GX549">
        <v>109819041.26229</v>
      </c>
      <c r="GY549">
        <v>0</v>
      </c>
      <c r="GZ549">
        <v>109819041.26229</v>
      </c>
      <c r="HA549">
        <v>109819041.26229</v>
      </c>
      <c r="HB549">
        <v>303000000</v>
      </c>
      <c r="HC549">
        <v>0</v>
      </c>
      <c r="HD549" t="s">
        <v>137</v>
      </c>
      <c r="HE549">
        <v>0</v>
      </c>
      <c r="HF549">
        <v>0</v>
      </c>
      <c r="HG549">
        <v>0</v>
      </c>
      <c r="HH549">
        <v>1072000</v>
      </c>
      <c r="HI549">
        <v>21440</v>
      </c>
      <c r="HJ549">
        <v>1050560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1072000</v>
      </c>
      <c r="HT549">
        <v>21440</v>
      </c>
      <c r="HU549">
        <v>1050560</v>
      </c>
      <c r="HV549">
        <v>160029000</v>
      </c>
      <c r="HW549">
        <v>0.02</v>
      </c>
      <c r="HX549">
        <v>0.99098093957577105</v>
      </c>
      <c r="HY549">
        <v>1</v>
      </c>
      <c r="HZ549">
        <v>300000</v>
      </c>
      <c r="IA549">
        <v>0</v>
      </c>
      <c r="IB549">
        <v>0</v>
      </c>
      <c r="IC549">
        <v>0</v>
      </c>
      <c r="ID549">
        <v>272700</v>
      </c>
      <c r="IE549">
        <v>572700</v>
      </c>
      <c r="IF549">
        <v>567534.78409504401</v>
      </c>
      <c r="IG549">
        <v>567534.78409504401</v>
      </c>
      <c r="IH549">
        <v>0</v>
      </c>
      <c r="II549">
        <v>264140.40111955802</v>
      </c>
      <c r="IJ549">
        <v>1941900.9284443399</v>
      </c>
      <c r="IK549">
        <v>0</v>
      </c>
      <c r="IL549">
        <v>0</v>
      </c>
      <c r="IM549">
        <v>0</v>
      </c>
      <c r="IN549">
        <v>13471160.457097501</v>
      </c>
      <c r="IO549">
        <v>99036947.350661099</v>
      </c>
      <c r="IP549">
        <v>112508107.807759</v>
      </c>
      <c r="IQ549">
        <v>536000</v>
      </c>
      <c r="IR549">
        <v>2600000</v>
      </c>
      <c r="IS549">
        <v>0</v>
      </c>
      <c r="IT549">
        <v>0</v>
      </c>
      <c r="IU549">
        <v>0</v>
      </c>
      <c r="IV549">
        <v>3136000</v>
      </c>
      <c r="IW549">
        <v>268000</v>
      </c>
      <c r="IX549">
        <v>1300000</v>
      </c>
      <c r="IY549">
        <v>0</v>
      </c>
      <c r="IZ549">
        <v>0</v>
      </c>
      <c r="JA549">
        <v>0</v>
      </c>
      <c r="JB549">
        <v>1568000</v>
      </c>
      <c r="JC549">
        <v>90000</v>
      </c>
      <c r="JD549">
        <v>434000</v>
      </c>
      <c r="JE549">
        <v>0</v>
      </c>
      <c r="JF549">
        <v>0</v>
      </c>
      <c r="JG549">
        <v>0</v>
      </c>
      <c r="JH549">
        <v>524000</v>
      </c>
    </row>
    <row r="550" spans="2:268" customFormat="1" x14ac:dyDescent="0.25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3"/>
      <c r="N550" s="3"/>
      <c r="O550" s="3"/>
      <c r="P550" s="2"/>
      <c r="Q550" s="2"/>
      <c r="R550" s="2"/>
      <c r="S550" s="2"/>
      <c r="T550" s="2"/>
      <c r="U550" s="2"/>
      <c r="V550" s="3"/>
      <c r="W550" s="3"/>
      <c r="X550" s="3"/>
      <c r="Y550" s="3"/>
      <c r="Z550" s="3"/>
      <c r="AA550" s="3"/>
      <c r="AB550" s="3"/>
      <c r="AC550" s="2"/>
      <c r="AD550" s="2"/>
      <c r="AE550" s="2"/>
      <c r="AF550" s="2"/>
      <c r="AG550" s="2"/>
      <c r="AH550" s="2"/>
      <c r="AI550" s="2"/>
      <c r="AJ550" s="3"/>
      <c r="AK550" s="2"/>
      <c r="AL550" s="2"/>
      <c r="AM550" s="2"/>
      <c r="AN550" s="2"/>
      <c r="AO550" s="3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3"/>
      <c r="BC550" s="3"/>
      <c r="BD550" s="3"/>
      <c r="BE550" s="3"/>
      <c r="BF550" s="3"/>
      <c r="BG550" s="3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2"/>
      <c r="DI550" s="2"/>
      <c r="DJ550" s="3"/>
      <c r="DK550" s="3"/>
      <c r="DL550" s="2"/>
      <c r="DM550" s="2"/>
      <c r="DN550" s="2"/>
      <c r="DO550" s="3"/>
      <c r="DP550" s="3"/>
      <c r="GO550" t="s">
        <v>139</v>
      </c>
      <c r="GP550" t="s">
        <v>501</v>
      </c>
      <c r="GQ550" t="s">
        <v>502</v>
      </c>
      <c r="GR550">
        <v>30</v>
      </c>
      <c r="GS550">
        <v>29</v>
      </c>
      <c r="GT550">
        <v>1</v>
      </c>
      <c r="GU550" t="s">
        <v>457</v>
      </c>
      <c r="GV550">
        <v>13471160.457097501</v>
      </c>
      <c r="GW550">
        <v>99036947.350661099</v>
      </c>
      <c r="GX550">
        <v>112508107.807759</v>
      </c>
      <c r="GY550">
        <v>0</v>
      </c>
      <c r="GZ550">
        <v>112508107.807759</v>
      </c>
      <c r="HA550">
        <v>112508107.807759</v>
      </c>
      <c r="HB550">
        <v>303000000</v>
      </c>
      <c r="HC550">
        <v>0</v>
      </c>
      <c r="HD550" t="s">
        <v>137</v>
      </c>
      <c r="HE550">
        <v>0</v>
      </c>
      <c r="HF550">
        <v>0</v>
      </c>
      <c r="HG550">
        <v>0</v>
      </c>
      <c r="HH550">
        <v>1072000</v>
      </c>
      <c r="HI550">
        <v>21440</v>
      </c>
      <c r="HJ550">
        <v>1050560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1072000</v>
      </c>
      <c r="HT550">
        <v>21440</v>
      </c>
      <c r="HU550">
        <v>1050560</v>
      </c>
      <c r="HV550">
        <v>161101000</v>
      </c>
      <c r="HW550">
        <v>0.02</v>
      </c>
      <c r="HX550">
        <v>0.99098093957577105</v>
      </c>
      <c r="HY550">
        <v>1</v>
      </c>
      <c r="HZ550">
        <v>300000</v>
      </c>
      <c r="IA550">
        <v>0</v>
      </c>
      <c r="IB550">
        <v>0</v>
      </c>
      <c r="IC550">
        <v>0</v>
      </c>
      <c r="ID550">
        <v>272700</v>
      </c>
      <c r="IE550">
        <v>572700</v>
      </c>
      <c r="IF550">
        <v>567534.78409504401</v>
      </c>
      <c r="IG550">
        <v>567534.78409504401</v>
      </c>
      <c r="IH550">
        <v>0</v>
      </c>
      <c r="II550">
        <v>279083.71346004802</v>
      </c>
      <c r="IJ550">
        <v>1980738.9470132201</v>
      </c>
      <c r="IK550">
        <v>0</v>
      </c>
      <c r="IL550">
        <v>0</v>
      </c>
      <c r="IM550">
        <v>0</v>
      </c>
      <c r="IN550">
        <v>14233269.3864625</v>
      </c>
      <c r="IO550">
        <v>101017686.297674</v>
      </c>
      <c r="IP550">
        <v>115250955.684137</v>
      </c>
      <c r="IQ550">
        <v>536000</v>
      </c>
      <c r="IR550">
        <v>2600000</v>
      </c>
      <c r="IS550">
        <v>0</v>
      </c>
      <c r="IT550">
        <v>0</v>
      </c>
      <c r="IU550">
        <v>0</v>
      </c>
      <c r="IV550">
        <v>3136000</v>
      </c>
      <c r="IW550">
        <v>268000</v>
      </c>
      <c r="IX550">
        <v>1300000</v>
      </c>
      <c r="IY550">
        <v>0</v>
      </c>
      <c r="IZ550">
        <v>0</v>
      </c>
      <c r="JA550">
        <v>0</v>
      </c>
      <c r="JB550">
        <v>1568000</v>
      </c>
      <c r="JC550">
        <v>90000</v>
      </c>
      <c r="JD550">
        <v>434000</v>
      </c>
      <c r="JE550">
        <v>0</v>
      </c>
      <c r="JF550">
        <v>0</v>
      </c>
      <c r="JG550">
        <v>0</v>
      </c>
      <c r="JH550">
        <v>524000</v>
      </c>
    </row>
    <row r="551" spans="2:268" customFormat="1" x14ac:dyDescent="0.25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3"/>
      <c r="N551" s="3"/>
      <c r="O551" s="3"/>
      <c r="P551" s="2"/>
      <c r="Q551" s="2"/>
      <c r="R551" s="2"/>
      <c r="S551" s="2"/>
      <c r="T551" s="2"/>
      <c r="U551" s="2"/>
      <c r="V551" s="3"/>
      <c r="W551" s="3"/>
      <c r="X551" s="3"/>
      <c r="Y551" s="3"/>
      <c r="Z551" s="3"/>
      <c r="AA551" s="3"/>
      <c r="AB551" s="3"/>
      <c r="AC551" s="2"/>
      <c r="AD551" s="2"/>
      <c r="AE551" s="2"/>
      <c r="AF551" s="2"/>
      <c r="AG551" s="2"/>
      <c r="AH551" s="2"/>
      <c r="AI551" s="2"/>
      <c r="AJ551" s="3"/>
      <c r="AK551" s="2"/>
      <c r="AL551" s="2"/>
      <c r="AM551" s="2"/>
      <c r="AN551" s="2"/>
      <c r="AO551" s="3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3"/>
      <c r="BC551" s="3"/>
      <c r="BD551" s="3"/>
      <c r="BE551" s="3"/>
      <c r="BF551" s="3"/>
      <c r="BG551" s="3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2"/>
      <c r="DI551" s="2"/>
      <c r="DJ551" s="3"/>
      <c r="DK551" s="3"/>
      <c r="DL551" s="2"/>
      <c r="DM551" s="2"/>
      <c r="DN551" s="2"/>
      <c r="DO551" s="3"/>
      <c r="DP551" s="3"/>
      <c r="GO551" t="s">
        <v>139</v>
      </c>
      <c r="GP551" t="s">
        <v>501</v>
      </c>
      <c r="GQ551" t="s">
        <v>502</v>
      </c>
      <c r="GR551">
        <v>31</v>
      </c>
      <c r="GS551">
        <v>30</v>
      </c>
      <c r="GT551">
        <v>1</v>
      </c>
      <c r="GU551" t="s">
        <v>457</v>
      </c>
      <c r="GV551">
        <v>14233269.3864625</v>
      </c>
      <c r="GW551">
        <v>101017686.297674</v>
      </c>
      <c r="GX551">
        <v>115250955.684137</v>
      </c>
      <c r="GY551">
        <v>0</v>
      </c>
      <c r="GZ551">
        <v>115250955.684137</v>
      </c>
      <c r="HA551">
        <v>115250955.684137</v>
      </c>
      <c r="HB551">
        <v>303000000</v>
      </c>
      <c r="HC551">
        <v>0</v>
      </c>
      <c r="HD551" t="s">
        <v>137</v>
      </c>
      <c r="HE551">
        <v>0</v>
      </c>
      <c r="HF551">
        <v>0</v>
      </c>
      <c r="HG551">
        <v>0</v>
      </c>
      <c r="HH551">
        <v>1072000</v>
      </c>
      <c r="HI551">
        <v>21440</v>
      </c>
      <c r="HJ551">
        <v>1050560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1072000</v>
      </c>
      <c r="HT551">
        <v>21440</v>
      </c>
      <c r="HU551">
        <v>1050560</v>
      </c>
      <c r="HV551">
        <v>162173000</v>
      </c>
      <c r="HW551">
        <v>0.02</v>
      </c>
      <c r="HX551">
        <v>0.99098093957577105</v>
      </c>
      <c r="HY551">
        <v>1</v>
      </c>
      <c r="HZ551">
        <v>300000</v>
      </c>
      <c r="IA551">
        <v>0</v>
      </c>
      <c r="IB551">
        <v>0</v>
      </c>
      <c r="IC551">
        <v>0</v>
      </c>
      <c r="ID551">
        <v>272700</v>
      </c>
      <c r="IE551">
        <v>572700</v>
      </c>
      <c r="IF551">
        <v>567534.78409504401</v>
      </c>
      <c r="IG551">
        <v>567534.78409504401</v>
      </c>
      <c r="IH551">
        <v>0</v>
      </c>
      <c r="II551">
        <v>294325.89204734802</v>
      </c>
      <c r="IJ551">
        <v>2020353.72595349</v>
      </c>
      <c r="IK551">
        <v>0</v>
      </c>
      <c r="IL551">
        <v>0</v>
      </c>
      <c r="IM551">
        <v>0</v>
      </c>
      <c r="IN551">
        <v>15010620.494414801</v>
      </c>
      <c r="IO551">
        <v>103038040.023628</v>
      </c>
      <c r="IP551">
        <v>118048660.518043</v>
      </c>
      <c r="IQ551">
        <v>536000</v>
      </c>
      <c r="IR551">
        <v>2600000</v>
      </c>
      <c r="IS551">
        <v>0</v>
      </c>
      <c r="IT551">
        <v>0</v>
      </c>
      <c r="IU551">
        <v>0</v>
      </c>
      <c r="IV551">
        <v>3136000</v>
      </c>
      <c r="IW551">
        <v>268000</v>
      </c>
      <c r="IX551">
        <v>1300000</v>
      </c>
      <c r="IY551">
        <v>0</v>
      </c>
      <c r="IZ551">
        <v>0</v>
      </c>
      <c r="JA551">
        <v>0</v>
      </c>
      <c r="JB551">
        <v>1568000</v>
      </c>
      <c r="JC551">
        <v>90000</v>
      </c>
      <c r="JD551">
        <v>434000</v>
      </c>
      <c r="JE551">
        <v>0</v>
      </c>
      <c r="JF551">
        <v>0</v>
      </c>
      <c r="JG551">
        <v>0</v>
      </c>
      <c r="JH551">
        <v>524000</v>
      </c>
    </row>
    <row r="552" spans="2:268" customFormat="1" x14ac:dyDescent="0.25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3"/>
      <c r="N552" s="3"/>
      <c r="O552" s="3"/>
      <c r="P552" s="2"/>
      <c r="Q552" s="2"/>
      <c r="R552" s="2"/>
      <c r="S552" s="2"/>
      <c r="T552" s="2"/>
      <c r="U552" s="2"/>
      <c r="V552" s="3"/>
      <c r="W552" s="3"/>
      <c r="X552" s="3"/>
      <c r="Y552" s="3"/>
      <c r="Z552" s="3"/>
      <c r="AA552" s="3"/>
      <c r="AB552" s="3"/>
      <c r="AC552" s="2"/>
      <c r="AD552" s="2"/>
      <c r="AE552" s="2"/>
      <c r="AF552" s="2"/>
      <c r="AG552" s="2"/>
      <c r="AH552" s="2"/>
      <c r="AI552" s="2"/>
      <c r="AJ552" s="3"/>
      <c r="AK552" s="2"/>
      <c r="AL552" s="2"/>
      <c r="AM552" s="2"/>
      <c r="AN552" s="2"/>
      <c r="AO552" s="3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3"/>
      <c r="BC552" s="3"/>
      <c r="BD552" s="3"/>
      <c r="BE552" s="3"/>
      <c r="BF552" s="3"/>
      <c r="BG552" s="3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2"/>
      <c r="DI552" s="2"/>
      <c r="DJ552" s="3"/>
      <c r="DK552" s="3"/>
      <c r="DL552" s="2"/>
      <c r="DM552" s="2"/>
      <c r="DN552" s="2"/>
      <c r="DO552" s="3"/>
      <c r="DP552" s="3"/>
      <c r="GO552" t="s">
        <v>139</v>
      </c>
      <c r="GP552" t="s">
        <v>501</v>
      </c>
      <c r="GQ552" t="s">
        <v>502</v>
      </c>
      <c r="GR552">
        <v>32</v>
      </c>
      <c r="GS552">
        <v>31</v>
      </c>
      <c r="GT552">
        <v>1</v>
      </c>
      <c r="GU552" t="s">
        <v>457</v>
      </c>
      <c r="GV552">
        <v>15010620.494414801</v>
      </c>
      <c r="GW552">
        <v>103038040.023628</v>
      </c>
      <c r="GX552">
        <v>118048660.518043</v>
      </c>
      <c r="GY552">
        <v>0</v>
      </c>
      <c r="GZ552">
        <v>118048660.518043</v>
      </c>
      <c r="HA552">
        <v>118048660.518043</v>
      </c>
      <c r="HB552">
        <v>303000000</v>
      </c>
      <c r="HC552">
        <v>0</v>
      </c>
      <c r="HD552" t="s">
        <v>137</v>
      </c>
      <c r="HE552">
        <v>0</v>
      </c>
      <c r="HF552">
        <v>0</v>
      </c>
      <c r="HG552">
        <v>0</v>
      </c>
      <c r="HH552">
        <v>1072000</v>
      </c>
      <c r="HI552">
        <v>21440</v>
      </c>
      <c r="HJ552">
        <v>1050560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1072000</v>
      </c>
      <c r="HT552">
        <v>21440</v>
      </c>
      <c r="HU552">
        <v>1050560</v>
      </c>
      <c r="HV552">
        <v>163245000</v>
      </c>
      <c r="HW552">
        <v>0.02</v>
      </c>
      <c r="HX552">
        <v>0.99098093957577105</v>
      </c>
      <c r="HY552">
        <v>1</v>
      </c>
      <c r="HZ552">
        <v>300000</v>
      </c>
      <c r="IA552">
        <v>0</v>
      </c>
      <c r="IB552">
        <v>0</v>
      </c>
      <c r="IC552">
        <v>0</v>
      </c>
      <c r="ID552">
        <v>272700</v>
      </c>
      <c r="IE552">
        <v>572700</v>
      </c>
      <c r="IF552">
        <v>567534.78409504401</v>
      </c>
      <c r="IG552">
        <v>567534.78409504401</v>
      </c>
      <c r="IH552">
        <v>0</v>
      </c>
      <c r="II552">
        <v>309872.91420639399</v>
      </c>
      <c r="IJ552">
        <v>2060760.8004725601</v>
      </c>
      <c r="IK552">
        <v>0</v>
      </c>
      <c r="IL552">
        <v>0</v>
      </c>
      <c r="IM552">
        <v>0</v>
      </c>
      <c r="IN552">
        <v>15803518.6245261</v>
      </c>
      <c r="IO552">
        <v>105098800.8241</v>
      </c>
      <c r="IP552">
        <v>120902319.448627</v>
      </c>
      <c r="IQ552">
        <v>536000</v>
      </c>
      <c r="IR552">
        <v>2600000</v>
      </c>
      <c r="IS552">
        <v>0</v>
      </c>
      <c r="IT552">
        <v>0</v>
      </c>
      <c r="IU552">
        <v>0</v>
      </c>
      <c r="IV552">
        <v>3136000</v>
      </c>
      <c r="IW552">
        <v>268000</v>
      </c>
      <c r="IX552">
        <v>1300000</v>
      </c>
      <c r="IY552">
        <v>0</v>
      </c>
      <c r="IZ552">
        <v>0</v>
      </c>
      <c r="JA552">
        <v>0</v>
      </c>
      <c r="JB552">
        <v>1568000</v>
      </c>
      <c r="JC552">
        <v>90000</v>
      </c>
      <c r="JD552">
        <v>434000</v>
      </c>
      <c r="JE552">
        <v>0</v>
      </c>
      <c r="JF552">
        <v>0</v>
      </c>
      <c r="JG552">
        <v>0</v>
      </c>
      <c r="JH552">
        <v>524000</v>
      </c>
    </row>
    <row r="553" spans="2:268" customFormat="1" x14ac:dyDescent="0.25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3"/>
      <c r="N553" s="3"/>
      <c r="O553" s="3"/>
      <c r="P553" s="2"/>
      <c r="Q553" s="2"/>
      <c r="R553" s="2"/>
      <c r="S553" s="2"/>
      <c r="T553" s="2"/>
      <c r="U553" s="2"/>
      <c r="V553" s="3"/>
      <c r="W553" s="3"/>
      <c r="X553" s="3"/>
      <c r="Y553" s="3"/>
      <c r="Z553" s="3"/>
      <c r="AA553" s="3"/>
      <c r="AB553" s="3"/>
      <c r="AC553" s="2"/>
      <c r="AD553" s="2"/>
      <c r="AE553" s="2"/>
      <c r="AF553" s="2"/>
      <c r="AG553" s="2"/>
      <c r="AH553" s="2"/>
      <c r="AI553" s="2"/>
      <c r="AJ553" s="3"/>
      <c r="AK553" s="2"/>
      <c r="AL553" s="2"/>
      <c r="AM553" s="2"/>
      <c r="AN553" s="2"/>
      <c r="AO553" s="3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3"/>
      <c r="BC553" s="3"/>
      <c r="BD553" s="3"/>
      <c r="BE553" s="3"/>
      <c r="BF553" s="3"/>
      <c r="BG553" s="3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2"/>
      <c r="DI553" s="2"/>
      <c r="DJ553" s="3"/>
      <c r="DK553" s="3"/>
      <c r="DL553" s="2"/>
      <c r="DM553" s="2"/>
      <c r="DN553" s="2"/>
      <c r="DO553" s="3"/>
      <c r="DP553" s="3"/>
      <c r="GO553" t="s">
        <v>139</v>
      </c>
      <c r="GP553" t="s">
        <v>501</v>
      </c>
      <c r="GQ553" t="s">
        <v>502</v>
      </c>
      <c r="GR553">
        <v>33</v>
      </c>
      <c r="GS553">
        <v>32</v>
      </c>
      <c r="GT553">
        <v>1</v>
      </c>
      <c r="GU553" t="s">
        <v>457</v>
      </c>
      <c r="GV553">
        <v>15803518.6245261</v>
      </c>
      <c r="GW553">
        <v>105098800.8241</v>
      </c>
      <c r="GX553">
        <v>120902319.448627</v>
      </c>
      <c r="GY553">
        <v>0</v>
      </c>
      <c r="GZ553">
        <v>120902319.448627</v>
      </c>
      <c r="HA553">
        <v>120902319.448627</v>
      </c>
      <c r="HB553">
        <v>303000000</v>
      </c>
      <c r="HC553">
        <v>0</v>
      </c>
      <c r="HD553" t="s">
        <v>137</v>
      </c>
      <c r="HE553">
        <v>0</v>
      </c>
      <c r="HF553">
        <v>0</v>
      </c>
      <c r="HG553">
        <v>0</v>
      </c>
      <c r="HH553">
        <v>1072000</v>
      </c>
      <c r="HI553">
        <v>21440</v>
      </c>
      <c r="HJ553">
        <v>1050560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1072000</v>
      </c>
      <c r="HT553">
        <v>21440</v>
      </c>
      <c r="HU553">
        <v>1050560</v>
      </c>
      <c r="HV553">
        <v>164317000</v>
      </c>
      <c r="HW553">
        <v>0.02</v>
      </c>
      <c r="HX553">
        <v>0.99098093957577105</v>
      </c>
      <c r="HY553">
        <v>1</v>
      </c>
      <c r="HZ553">
        <v>300000</v>
      </c>
      <c r="IA553">
        <v>0</v>
      </c>
      <c r="IB553">
        <v>0</v>
      </c>
      <c r="IC553">
        <v>0</v>
      </c>
      <c r="ID553">
        <v>272700</v>
      </c>
      <c r="IE553">
        <v>572700</v>
      </c>
      <c r="IF553">
        <v>567534.78409504401</v>
      </c>
      <c r="IG553">
        <v>567534.78409504401</v>
      </c>
      <c r="IH553">
        <v>0</v>
      </c>
      <c r="II553">
        <v>325730.87680862099</v>
      </c>
      <c r="IJ553">
        <v>2101976.01648201</v>
      </c>
      <c r="IK553">
        <v>0</v>
      </c>
      <c r="IL553">
        <v>0</v>
      </c>
      <c r="IM553">
        <v>0</v>
      </c>
      <c r="IN553">
        <v>16612274.7172397</v>
      </c>
      <c r="IO553">
        <v>107200776.840582</v>
      </c>
      <c r="IP553">
        <v>123813051.557822</v>
      </c>
      <c r="IQ553">
        <v>536000</v>
      </c>
      <c r="IR553">
        <v>2600000</v>
      </c>
      <c r="IS553">
        <v>0</v>
      </c>
      <c r="IT553">
        <v>0</v>
      </c>
      <c r="IU553">
        <v>0</v>
      </c>
      <c r="IV553">
        <v>3136000</v>
      </c>
      <c r="IW553">
        <v>268000</v>
      </c>
      <c r="IX553">
        <v>1300000</v>
      </c>
      <c r="IY553">
        <v>0</v>
      </c>
      <c r="IZ553">
        <v>0</v>
      </c>
      <c r="JA553">
        <v>0</v>
      </c>
      <c r="JB553">
        <v>1568000</v>
      </c>
      <c r="JC553">
        <v>90000</v>
      </c>
      <c r="JD553">
        <v>434000</v>
      </c>
      <c r="JE553">
        <v>0</v>
      </c>
      <c r="JF553">
        <v>0</v>
      </c>
      <c r="JG553">
        <v>0</v>
      </c>
      <c r="JH553">
        <v>524000</v>
      </c>
    </row>
    <row r="554" spans="2:268" customFormat="1" x14ac:dyDescent="0.25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3"/>
      <c r="N554" s="3"/>
      <c r="O554" s="3"/>
      <c r="P554" s="2"/>
      <c r="Q554" s="2"/>
      <c r="R554" s="2"/>
      <c r="S554" s="2"/>
      <c r="T554" s="2"/>
      <c r="U554" s="2"/>
      <c r="V554" s="3"/>
      <c r="W554" s="3"/>
      <c r="X554" s="3"/>
      <c r="Y554" s="3"/>
      <c r="Z554" s="3"/>
      <c r="AA554" s="3"/>
      <c r="AB554" s="3"/>
      <c r="AC554" s="2"/>
      <c r="AD554" s="2"/>
      <c r="AE554" s="2"/>
      <c r="AF554" s="2"/>
      <c r="AG554" s="2"/>
      <c r="AH554" s="2"/>
      <c r="AI554" s="2"/>
      <c r="AJ554" s="3"/>
      <c r="AK554" s="2"/>
      <c r="AL554" s="2"/>
      <c r="AM554" s="2"/>
      <c r="AN554" s="2"/>
      <c r="AO554" s="3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3"/>
      <c r="BC554" s="3"/>
      <c r="BD554" s="3"/>
      <c r="BE554" s="3"/>
      <c r="BF554" s="3"/>
      <c r="BG554" s="3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2"/>
      <c r="DI554" s="2"/>
      <c r="DJ554" s="3"/>
      <c r="DK554" s="3"/>
      <c r="DL554" s="2"/>
      <c r="DM554" s="2"/>
      <c r="DN554" s="2"/>
      <c r="DO554" s="3"/>
      <c r="DP554" s="3"/>
      <c r="GO554" t="s">
        <v>139</v>
      </c>
      <c r="GP554" t="s">
        <v>501</v>
      </c>
      <c r="GQ554" t="s">
        <v>502</v>
      </c>
      <c r="GR554">
        <v>34</v>
      </c>
      <c r="GS554">
        <v>33</v>
      </c>
      <c r="GT554">
        <v>1</v>
      </c>
      <c r="GU554" t="s">
        <v>457</v>
      </c>
      <c r="GV554">
        <v>16612274.7172397</v>
      </c>
      <c r="GW554">
        <v>107200776.840582</v>
      </c>
      <c r="GX554">
        <v>123813051.557822</v>
      </c>
      <c r="GY554">
        <v>0</v>
      </c>
      <c r="GZ554">
        <v>123813051.557822</v>
      </c>
      <c r="HA554">
        <v>123813051.557822</v>
      </c>
      <c r="HB554">
        <v>303000000</v>
      </c>
      <c r="HC554">
        <v>0</v>
      </c>
      <c r="HD554" t="s">
        <v>137</v>
      </c>
      <c r="HE554">
        <v>0</v>
      </c>
      <c r="HF554">
        <v>0</v>
      </c>
      <c r="HG554">
        <v>0</v>
      </c>
      <c r="HH554">
        <v>1072000</v>
      </c>
      <c r="HI554">
        <v>21440</v>
      </c>
      <c r="HJ554">
        <v>1050560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1072000</v>
      </c>
      <c r="HT554">
        <v>21440</v>
      </c>
      <c r="HU554">
        <v>1050560</v>
      </c>
      <c r="HV554">
        <v>165389000</v>
      </c>
      <c r="HW554">
        <v>0.02</v>
      </c>
      <c r="HX554">
        <v>0.99098093957577105</v>
      </c>
      <c r="HY554">
        <v>1</v>
      </c>
      <c r="HZ554">
        <v>300000</v>
      </c>
      <c r="IA554">
        <v>0</v>
      </c>
      <c r="IB554">
        <v>0</v>
      </c>
      <c r="IC554">
        <v>0</v>
      </c>
      <c r="ID554">
        <v>272700</v>
      </c>
      <c r="IE554">
        <v>572700</v>
      </c>
      <c r="IF554">
        <v>567534.78409504401</v>
      </c>
      <c r="IG554">
        <v>567534.78409504401</v>
      </c>
      <c r="IH554">
        <v>0</v>
      </c>
      <c r="II554">
        <v>341905.99866289302</v>
      </c>
      <c r="IJ554">
        <v>2144015.5368116498</v>
      </c>
      <c r="IK554">
        <v>0</v>
      </c>
      <c r="IL554">
        <v>0</v>
      </c>
      <c r="IM554">
        <v>0</v>
      </c>
      <c r="IN554">
        <v>17437205.931807499</v>
      </c>
      <c r="IO554">
        <v>109344792.37739401</v>
      </c>
      <c r="IP554">
        <v>126781998.309202</v>
      </c>
      <c r="IQ554">
        <v>536000</v>
      </c>
      <c r="IR554">
        <v>2600000</v>
      </c>
      <c r="IS554">
        <v>0</v>
      </c>
      <c r="IT554">
        <v>0</v>
      </c>
      <c r="IU554">
        <v>0</v>
      </c>
      <c r="IV554">
        <v>3136000</v>
      </c>
      <c r="IW554">
        <v>268000</v>
      </c>
      <c r="IX554">
        <v>1300000</v>
      </c>
      <c r="IY554">
        <v>0</v>
      </c>
      <c r="IZ554">
        <v>0</v>
      </c>
      <c r="JA554">
        <v>0</v>
      </c>
      <c r="JB554">
        <v>1568000</v>
      </c>
      <c r="JC554">
        <v>90000</v>
      </c>
      <c r="JD554">
        <v>434000</v>
      </c>
      <c r="JE554">
        <v>0</v>
      </c>
      <c r="JF554">
        <v>0</v>
      </c>
      <c r="JG554">
        <v>0</v>
      </c>
      <c r="JH554">
        <v>524000</v>
      </c>
    </row>
    <row r="555" spans="2:268" customFormat="1" x14ac:dyDescent="0.25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3"/>
      <c r="N555" s="3"/>
      <c r="O555" s="3"/>
      <c r="P555" s="2"/>
      <c r="Q555" s="2"/>
      <c r="R555" s="2"/>
      <c r="S555" s="2"/>
      <c r="T555" s="2"/>
      <c r="U555" s="2"/>
      <c r="V555" s="3"/>
      <c r="W555" s="3"/>
      <c r="X555" s="3"/>
      <c r="Y555" s="3"/>
      <c r="Z555" s="3"/>
      <c r="AA555" s="3"/>
      <c r="AB555" s="3"/>
      <c r="AC555" s="2"/>
      <c r="AD555" s="2"/>
      <c r="AE555" s="2"/>
      <c r="AF555" s="2"/>
      <c r="AG555" s="2"/>
      <c r="AH555" s="2"/>
      <c r="AI555" s="2"/>
      <c r="AJ555" s="3"/>
      <c r="AK555" s="2"/>
      <c r="AL555" s="2"/>
      <c r="AM555" s="2"/>
      <c r="AN555" s="2"/>
      <c r="AO555" s="3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3"/>
      <c r="BC555" s="3"/>
      <c r="BD555" s="3"/>
      <c r="BE555" s="3"/>
      <c r="BF555" s="3"/>
      <c r="BG555" s="3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2"/>
      <c r="DI555" s="2"/>
      <c r="DJ555" s="3"/>
      <c r="DK555" s="3"/>
      <c r="DL555" s="2"/>
      <c r="DM555" s="2"/>
      <c r="DN555" s="2"/>
      <c r="DO555" s="3"/>
      <c r="DP555" s="3"/>
      <c r="GO555" t="s">
        <v>139</v>
      </c>
      <c r="GP555" t="s">
        <v>501</v>
      </c>
      <c r="GQ555" t="s">
        <v>502</v>
      </c>
      <c r="GR555">
        <v>35</v>
      </c>
      <c r="GS555">
        <v>34</v>
      </c>
      <c r="GT555">
        <v>1</v>
      </c>
      <c r="GU555" t="s">
        <v>457</v>
      </c>
      <c r="GV555">
        <v>17437205.931807499</v>
      </c>
      <c r="GW555">
        <v>109344792.37739401</v>
      </c>
      <c r="GX555">
        <v>126781998.309202</v>
      </c>
      <c r="GY555">
        <v>0</v>
      </c>
      <c r="GZ555">
        <v>126781998.309202</v>
      </c>
      <c r="HA555">
        <v>126781998.309202</v>
      </c>
      <c r="HB555">
        <v>303000000</v>
      </c>
      <c r="HC555">
        <v>0</v>
      </c>
      <c r="HD555" t="s">
        <v>137</v>
      </c>
      <c r="HE555">
        <v>0</v>
      </c>
      <c r="HF555">
        <v>0</v>
      </c>
      <c r="HG555">
        <v>0</v>
      </c>
      <c r="HH555">
        <v>1072000</v>
      </c>
      <c r="HI555">
        <v>21440</v>
      </c>
      <c r="HJ555">
        <v>1050560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1072000</v>
      </c>
      <c r="HT555">
        <v>21440</v>
      </c>
      <c r="HU555">
        <v>1050560</v>
      </c>
      <c r="HV555">
        <v>166461000</v>
      </c>
      <c r="HW555">
        <v>0.02</v>
      </c>
      <c r="HX555">
        <v>0.99098093957577105</v>
      </c>
      <c r="HY555">
        <v>1</v>
      </c>
      <c r="HZ555">
        <v>300000</v>
      </c>
      <c r="IA555">
        <v>0</v>
      </c>
      <c r="IB555">
        <v>0</v>
      </c>
      <c r="IC555">
        <v>0</v>
      </c>
      <c r="ID555">
        <v>272700</v>
      </c>
      <c r="IE555">
        <v>572700</v>
      </c>
      <c r="IF555">
        <v>567534.78409504401</v>
      </c>
      <c r="IG555">
        <v>567534.78409504401</v>
      </c>
      <c r="IH555">
        <v>0</v>
      </c>
      <c r="II555">
        <v>358404.62295425002</v>
      </c>
      <c r="IJ555">
        <v>2186895.8475478799</v>
      </c>
      <c r="IK555">
        <v>0</v>
      </c>
      <c r="IL555">
        <v>0</v>
      </c>
      <c r="IM555">
        <v>0</v>
      </c>
      <c r="IN555">
        <v>18278635.7706667</v>
      </c>
      <c r="IO555">
        <v>111531688.224942</v>
      </c>
      <c r="IP555">
        <v>129810323.995609</v>
      </c>
      <c r="IQ555">
        <v>536000</v>
      </c>
      <c r="IR555">
        <v>2600000</v>
      </c>
      <c r="IS555">
        <v>0</v>
      </c>
      <c r="IT555">
        <v>0</v>
      </c>
      <c r="IU555">
        <v>0</v>
      </c>
      <c r="IV555">
        <v>3136000</v>
      </c>
      <c r="IW555">
        <v>268000</v>
      </c>
      <c r="IX555">
        <v>1300000</v>
      </c>
      <c r="IY555">
        <v>0</v>
      </c>
      <c r="IZ555">
        <v>0</v>
      </c>
      <c r="JA555">
        <v>0</v>
      </c>
      <c r="JB555">
        <v>1568000</v>
      </c>
      <c r="JC555">
        <v>90000</v>
      </c>
      <c r="JD555">
        <v>434000</v>
      </c>
      <c r="JE555">
        <v>0</v>
      </c>
      <c r="JF555">
        <v>0</v>
      </c>
      <c r="JG555">
        <v>0</v>
      </c>
      <c r="JH555">
        <v>524000</v>
      </c>
    </row>
    <row r="556" spans="2:268" customFormat="1" x14ac:dyDescent="0.25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3"/>
      <c r="N556" s="3"/>
      <c r="O556" s="3"/>
      <c r="P556" s="2"/>
      <c r="Q556" s="2"/>
      <c r="R556" s="2"/>
      <c r="S556" s="2"/>
      <c r="T556" s="2"/>
      <c r="U556" s="2"/>
      <c r="V556" s="3"/>
      <c r="W556" s="3"/>
      <c r="X556" s="3"/>
      <c r="Y556" s="3"/>
      <c r="Z556" s="3"/>
      <c r="AA556" s="3"/>
      <c r="AB556" s="3"/>
      <c r="AC556" s="2"/>
      <c r="AD556" s="2"/>
      <c r="AE556" s="2"/>
      <c r="AF556" s="2"/>
      <c r="AG556" s="2"/>
      <c r="AH556" s="2"/>
      <c r="AI556" s="2"/>
      <c r="AJ556" s="3"/>
      <c r="AK556" s="2"/>
      <c r="AL556" s="2"/>
      <c r="AM556" s="2"/>
      <c r="AN556" s="2"/>
      <c r="AO556" s="3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3"/>
      <c r="BC556" s="3"/>
      <c r="BD556" s="3"/>
      <c r="BE556" s="3"/>
      <c r="BF556" s="3"/>
      <c r="BG556" s="3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2"/>
      <c r="DI556" s="2"/>
      <c r="DJ556" s="3"/>
      <c r="DK556" s="3"/>
      <c r="DL556" s="2"/>
      <c r="DM556" s="2"/>
      <c r="DN556" s="2"/>
      <c r="DO556" s="3"/>
      <c r="DP556" s="3"/>
      <c r="GO556" t="s">
        <v>139</v>
      </c>
      <c r="GP556" t="s">
        <v>501</v>
      </c>
      <c r="GQ556" t="s">
        <v>502</v>
      </c>
      <c r="GR556">
        <v>36</v>
      </c>
      <c r="GS556">
        <v>35</v>
      </c>
      <c r="GT556">
        <v>1</v>
      </c>
      <c r="GU556" t="s">
        <v>457</v>
      </c>
      <c r="GV556">
        <v>18278635.7706667</v>
      </c>
      <c r="GW556">
        <v>111531688.224942</v>
      </c>
      <c r="GX556">
        <v>129810323.995609</v>
      </c>
      <c r="GY556">
        <v>0</v>
      </c>
      <c r="GZ556">
        <v>129810323.995609</v>
      </c>
      <c r="HA556">
        <v>129810323.995609</v>
      </c>
      <c r="HB556">
        <v>303000000</v>
      </c>
      <c r="HC556">
        <v>0</v>
      </c>
      <c r="HD556" t="s">
        <v>137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0.02</v>
      </c>
      <c r="HX556">
        <v>0.99098093957577105</v>
      </c>
      <c r="HY556">
        <v>1</v>
      </c>
      <c r="HZ556">
        <v>300000</v>
      </c>
      <c r="IA556">
        <v>0</v>
      </c>
      <c r="IB556">
        <v>0</v>
      </c>
      <c r="IC556">
        <v>0</v>
      </c>
      <c r="ID556">
        <v>272700</v>
      </c>
      <c r="IE556">
        <v>572700</v>
      </c>
      <c r="IF556">
        <v>567534.78409504401</v>
      </c>
      <c r="IG556">
        <v>567534.78409504401</v>
      </c>
      <c r="IH556">
        <v>0</v>
      </c>
      <c r="II556">
        <v>354222.019731434</v>
      </c>
      <c r="IJ556">
        <v>2230633.7644988401</v>
      </c>
      <c r="IK556">
        <v>0</v>
      </c>
      <c r="IL556">
        <v>0</v>
      </c>
      <c r="IM556">
        <v>0</v>
      </c>
      <c r="IN556">
        <v>18065323.006303102</v>
      </c>
      <c r="IO556">
        <v>113762321.98944101</v>
      </c>
      <c r="IP556">
        <v>131827644.995744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</row>
    <row r="557" spans="2:268" customFormat="1" x14ac:dyDescent="0.25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3"/>
      <c r="N557" s="3"/>
      <c r="O557" s="3"/>
      <c r="P557" s="2"/>
      <c r="Q557" s="2"/>
      <c r="R557" s="2"/>
      <c r="S557" s="2"/>
      <c r="T557" s="2"/>
      <c r="U557" s="2"/>
      <c r="V557" s="3"/>
      <c r="W557" s="3"/>
      <c r="X557" s="3"/>
      <c r="Y557" s="3"/>
      <c r="Z557" s="3"/>
      <c r="AA557" s="3"/>
      <c r="AB557" s="3"/>
      <c r="AC557" s="2"/>
      <c r="AD557" s="2"/>
      <c r="AE557" s="2"/>
      <c r="AF557" s="2"/>
      <c r="AG557" s="2"/>
      <c r="AH557" s="2"/>
      <c r="AI557" s="2"/>
      <c r="AJ557" s="3"/>
      <c r="AK557" s="2"/>
      <c r="AL557" s="2"/>
      <c r="AM557" s="2"/>
      <c r="AN557" s="2"/>
      <c r="AO557" s="3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3"/>
      <c r="BC557" s="3"/>
      <c r="BD557" s="3"/>
      <c r="BE557" s="3"/>
      <c r="BF557" s="3"/>
      <c r="BG557" s="3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2"/>
      <c r="DI557" s="2"/>
      <c r="DJ557" s="3"/>
      <c r="DK557" s="3"/>
      <c r="DL557" s="2"/>
      <c r="DM557" s="2"/>
      <c r="DN557" s="2"/>
      <c r="DO557" s="3"/>
      <c r="DP557" s="3"/>
      <c r="GO557" t="s">
        <v>139</v>
      </c>
      <c r="GP557" t="s">
        <v>501</v>
      </c>
      <c r="GQ557" t="s">
        <v>502</v>
      </c>
      <c r="GR557">
        <v>37</v>
      </c>
      <c r="GS557">
        <v>36</v>
      </c>
      <c r="GT557">
        <v>1</v>
      </c>
      <c r="GU557" t="s">
        <v>457</v>
      </c>
      <c r="GV557">
        <v>18065323.006303102</v>
      </c>
      <c r="GW557">
        <v>113762321.98944101</v>
      </c>
      <c r="GX557">
        <v>131827644.995744</v>
      </c>
      <c r="GY557">
        <v>0</v>
      </c>
      <c r="GZ557">
        <v>131827644.995744</v>
      </c>
      <c r="HA557">
        <v>131827644.995744</v>
      </c>
      <c r="HB557">
        <v>303000000</v>
      </c>
      <c r="HC557">
        <v>0</v>
      </c>
      <c r="HD557" t="s">
        <v>137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0.02</v>
      </c>
      <c r="HX557">
        <v>0.99098093957577105</v>
      </c>
      <c r="HY557">
        <v>1</v>
      </c>
      <c r="HZ557">
        <v>300000</v>
      </c>
      <c r="IA557">
        <v>0</v>
      </c>
      <c r="IB557">
        <v>0</v>
      </c>
      <c r="IC557">
        <v>0</v>
      </c>
      <c r="ID557">
        <v>272700</v>
      </c>
      <c r="IE557">
        <v>572700</v>
      </c>
      <c r="IF557">
        <v>567534.78409504401</v>
      </c>
      <c r="IG557">
        <v>567534.78409504401</v>
      </c>
      <c r="IH557">
        <v>0</v>
      </c>
      <c r="II557">
        <v>349955.76444416202</v>
      </c>
      <c r="IJ557">
        <v>2275246.4397888202</v>
      </c>
      <c r="IK557">
        <v>0</v>
      </c>
      <c r="IL557">
        <v>0</v>
      </c>
      <c r="IM557">
        <v>0</v>
      </c>
      <c r="IN557">
        <v>17847743.986652199</v>
      </c>
      <c r="IO557">
        <v>116037568.42923</v>
      </c>
      <c r="IP557">
        <v>133885312.41588201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</row>
    <row r="558" spans="2:268" customFormat="1" x14ac:dyDescent="0.25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3"/>
      <c r="N558" s="3"/>
      <c r="O558" s="3"/>
      <c r="P558" s="2"/>
      <c r="Q558" s="2"/>
      <c r="R558" s="2"/>
      <c r="S558" s="2"/>
      <c r="T558" s="2"/>
      <c r="U558" s="2"/>
      <c r="V558" s="3"/>
      <c r="W558" s="3"/>
      <c r="X558" s="3"/>
      <c r="Y558" s="3"/>
      <c r="Z558" s="3"/>
      <c r="AA558" s="3"/>
      <c r="AB558" s="3"/>
      <c r="AC558" s="2"/>
      <c r="AD558" s="2"/>
      <c r="AE558" s="2"/>
      <c r="AF558" s="2"/>
      <c r="AG558" s="2"/>
      <c r="AH558" s="2"/>
      <c r="AI558" s="2"/>
      <c r="AJ558" s="3"/>
      <c r="AK558" s="2"/>
      <c r="AL558" s="2"/>
      <c r="AM558" s="2"/>
      <c r="AN558" s="2"/>
      <c r="AO558" s="3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3"/>
      <c r="BC558" s="3"/>
      <c r="BD558" s="3"/>
      <c r="BE558" s="3"/>
      <c r="BF558" s="3"/>
      <c r="BG558" s="3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2"/>
      <c r="DI558" s="2"/>
      <c r="DJ558" s="3"/>
      <c r="DK558" s="3"/>
      <c r="DL558" s="2"/>
      <c r="DM558" s="2"/>
      <c r="DN558" s="2"/>
      <c r="DO558" s="3"/>
      <c r="DP558" s="3"/>
      <c r="GO558" t="s">
        <v>139</v>
      </c>
      <c r="GP558" t="s">
        <v>501</v>
      </c>
      <c r="GQ558" t="s">
        <v>502</v>
      </c>
      <c r="GR558">
        <v>38</v>
      </c>
      <c r="GS558">
        <v>37</v>
      </c>
      <c r="GT558">
        <v>1</v>
      </c>
      <c r="GU558" t="s">
        <v>457</v>
      </c>
      <c r="GV558">
        <v>17847743.986652199</v>
      </c>
      <c r="GW558">
        <v>116037568.42923</v>
      </c>
      <c r="GX558">
        <v>133885312.41588201</v>
      </c>
      <c r="GY558">
        <v>0</v>
      </c>
      <c r="GZ558">
        <v>133885312.41588201</v>
      </c>
      <c r="HA558">
        <v>133885312.41588201</v>
      </c>
      <c r="HB558">
        <v>303000000</v>
      </c>
      <c r="HC558">
        <v>0</v>
      </c>
      <c r="HD558" t="s">
        <v>137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0.02</v>
      </c>
      <c r="HX558">
        <v>0.99098093957577105</v>
      </c>
      <c r="HY558">
        <v>1</v>
      </c>
      <c r="HZ558">
        <v>300000</v>
      </c>
      <c r="IA558">
        <v>0</v>
      </c>
      <c r="IB558">
        <v>0</v>
      </c>
      <c r="IC558">
        <v>0</v>
      </c>
      <c r="ID558">
        <v>272700</v>
      </c>
      <c r="IE558">
        <v>572700</v>
      </c>
      <c r="IF558">
        <v>567534.78409504401</v>
      </c>
      <c r="IG558">
        <v>567534.78409504401</v>
      </c>
      <c r="IH558">
        <v>0</v>
      </c>
      <c r="II558">
        <v>345604.184051144</v>
      </c>
      <c r="IJ558">
        <v>2320751.36858459</v>
      </c>
      <c r="IK558">
        <v>0</v>
      </c>
      <c r="IL558">
        <v>0</v>
      </c>
      <c r="IM558">
        <v>0</v>
      </c>
      <c r="IN558">
        <v>17625813.386608299</v>
      </c>
      <c r="IO558">
        <v>118358319.797814</v>
      </c>
      <c r="IP558">
        <v>135984133.184423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</row>
    <row r="559" spans="2:268" customFormat="1" x14ac:dyDescent="0.25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3"/>
      <c r="N559" s="3"/>
      <c r="O559" s="3"/>
      <c r="P559" s="2"/>
      <c r="Q559" s="2"/>
      <c r="R559" s="2"/>
      <c r="S559" s="2"/>
      <c r="T559" s="2"/>
      <c r="U559" s="2"/>
      <c r="V559" s="3"/>
      <c r="W559" s="3"/>
      <c r="X559" s="3"/>
      <c r="Y559" s="3"/>
      <c r="Z559" s="3"/>
      <c r="AA559" s="3"/>
      <c r="AB559" s="3"/>
      <c r="AC559" s="2"/>
      <c r="AD559" s="2"/>
      <c r="AE559" s="2"/>
      <c r="AF559" s="2"/>
      <c r="AG559" s="2"/>
      <c r="AH559" s="2"/>
      <c r="AI559" s="2"/>
      <c r="AJ559" s="3"/>
      <c r="AK559" s="2"/>
      <c r="AL559" s="2"/>
      <c r="AM559" s="2"/>
      <c r="AN559" s="2"/>
      <c r="AO559" s="3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3"/>
      <c r="BC559" s="3"/>
      <c r="BD559" s="3"/>
      <c r="BE559" s="3"/>
      <c r="BF559" s="3"/>
      <c r="BG559" s="3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2"/>
      <c r="DI559" s="2"/>
      <c r="DJ559" s="3"/>
      <c r="DK559" s="3"/>
      <c r="DL559" s="2"/>
      <c r="DM559" s="2"/>
      <c r="DN559" s="2"/>
      <c r="DO559" s="3"/>
      <c r="DP559" s="3"/>
      <c r="GO559" t="s">
        <v>139</v>
      </c>
      <c r="GP559" t="s">
        <v>501</v>
      </c>
      <c r="GQ559" t="s">
        <v>502</v>
      </c>
      <c r="GR559">
        <v>39</v>
      </c>
      <c r="GS559">
        <v>38</v>
      </c>
      <c r="GT559">
        <v>1</v>
      </c>
      <c r="GU559" t="s">
        <v>457</v>
      </c>
      <c r="GV559">
        <v>17625813.386608299</v>
      </c>
      <c r="GW559">
        <v>118358319.797814</v>
      </c>
      <c r="GX559">
        <v>135984133.184423</v>
      </c>
      <c r="GY559">
        <v>0</v>
      </c>
      <c r="GZ559">
        <v>135984133.184423</v>
      </c>
      <c r="HA559">
        <v>135984133.184423</v>
      </c>
      <c r="HB559">
        <v>303000000</v>
      </c>
      <c r="HC559">
        <v>0</v>
      </c>
      <c r="HD559" t="s">
        <v>137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0.02</v>
      </c>
      <c r="HX559">
        <v>0.99098093957577105</v>
      </c>
      <c r="HY559">
        <v>1</v>
      </c>
      <c r="HZ559">
        <v>300000</v>
      </c>
      <c r="IA559">
        <v>0</v>
      </c>
      <c r="IB559">
        <v>0</v>
      </c>
      <c r="IC559">
        <v>0</v>
      </c>
      <c r="ID559">
        <v>272700</v>
      </c>
      <c r="IE559">
        <v>572700</v>
      </c>
      <c r="IF559">
        <v>567534.78409504401</v>
      </c>
      <c r="IG559">
        <v>567534.78409504401</v>
      </c>
      <c r="IH559">
        <v>0</v>
      </c>
      <c r="II559">
        <v>341165.57205026603</v>
      </c>
      <c r="IJ559">
        <v>2367166.3959562802</v>
      </c>
      <c r="IK559">
        <v>0</v>
      </c>
      <c r="IL559">
        <v>0</v>
      </c>
      <c r="IM559">
        <v>0</v>
      </c>
      <c r="IN559">
        <v>17399444.174563602</v>
      </c>
      <c r="IO559">
        <v>120725486.19377001</v>
      </c>
      <c r="IP559">
        <v>138124930.368334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</row>
    <row r="560" spans="2:268" customFormat="1" x14ac:dyDescent="0.25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3"/>
      <c r="N560" s="3"/>
      <c r="O560" s="3"/>
      <c r="P560" s="2"/>
      <c r="Q560" s="2"/>
      <c r="R560" s="2"/>
      <c r="S560" s="2"/>
      <c r="T560" s="2"/>
      <c r="U560" s="2"/>
      <c r="V560" s="3"/>
      <c r="W560" s="3"/>
      <c r="X560" s="3"/>
      <c r="Y560" s="3"/>
      <c r="Z560" s="3"/>
      <c r="AA560" s="3"/>
      <c r="AB560" s="3"/>
      <c r="AC560" s="2"/>
      <c r="AD560" s="2"/>
      <c r="AE560" s="2"/>
      <c r="AF560" s="2"/>
      <c r="AG560" s="2"/>
      <c r="AH560" s="2"/>
      <c r="AI560" s="2"/>
      <c r="AJ560" s="3"/>
      <c r="AK560" s="2"/>
      <c r="AL560" s="2"/>
      <c r="AM560" s="2"/>
      <c r="AN560" s="2"/>
      <c r="AO560" s="3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3"/>
      <c r="BC560" s="3"/>
      <c r="BD560" s="3"/>
      <c r="BE560" s="3"/>
      <c r="BF560" s="3"/>
      <c r="BG560" s="3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2"/>
      <c r="DI560" s="2"/>
      <c r="DJ560" s="3"/>
      <c r="DK560" s="3"/>
      <c r="DL560" s="2"/>
      <c r="DM560" s="2"/>
      <c r="DN560" s="2"/>
      <c r="DO560" s="3"/>
      <c r="DP560" s="3"/>
      <c r="GO560" t="s">
        <v>139</v>
      </c>
      <c r="GP560" t="s">
        <v>501</v>
      </c>
      <c r="GQ560" t="s">
        <v>502</v>
      </c>
      <c r="GR560">
        <v>40</v>
      </c>
      <c r="GS560">
        <v>39</v>
      </c>
      <c r="GT560">
        <v>1</v>
      </c>
      <c r="GU560" t="s">
        <v>457</v>
      </c>
      <c r="GV560">
        <v>17399444.174563602</v>
      </c>
      <c r="GW560">
        <v>120725486.19377001</v>
      </c>
      <c r="GX560">
        <v>138124930.368334</v>
      </c>
      <c r="GY560">
        <v>0</v>
      </c>
      <c r="GZ560">
        <v>138124930.368334</v>
      </c>
      <c r="HA560">
        <v>138124930.368334</v>
      </c>
      <c r="HB560">
        <v>303000000</v>
      </c>
      <c r="HC560">
        <v>0</v>
      </c>
      <c r="HD560" t="s">
        <v>137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0.02</v>
      </c>
      <c r="HX560">
        <v>0.99098093957577105</v>
      </c>
      <c r="HY560">
        <v>1</v>
      </c>
      <c r="HZ560">
        <v>300000</v>
      </c>
      <c r="IA560">
        <v>0</v>
      </c>
      <c r="IB560">
        <v>0</v>
      </c>
      <c r="IC560">
        <v>0</v>
      </c>
      <c r="ID560">
        <v>272700</v>
      </c>
      <c r="IE560">
        <v>572700</v>
      </c>
      <c r="IF560">
        <v>567534.78409504401</v>
      </c>
      <c r="IG560">
        <v>567534.78409504401</v>
      </c>
      <c r="IH560">
        <v>0</v>
      </c>
      <c r="II560">
        <v>336638.18780936999</v>
      </c>
      <c r="IJ560">
        <v>2414509.7238754099</v>
      </c>
      <c r="IK560">
        <v>0</v>
      </c>
      <c r="IL560">
        <v>0</v>
      </c>
      <c r="IM560">
        <v>0</v>
      </c>
      <c r="IN560">
        <v>17168547.578277901</v>
      </c>
      <c r="IO560">
        <v>123139995.91764601</v>
      </c>
      <c r="IP560">
        <v>140308543.495924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</row>
    <row r="561" spans="2:268" customFormat="1" x14ac:dyDescent="0.25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3"/>
      <c r="N561" s="3"/>
      <c r="O561" s="3"/>
      <c r="P561" s="2"/>
      <c r="Q561" s="2"/>
      <c r="R561" s="2"/>
      <c r="S561" s="2"/>
      <c r="T561" s="2"/>
      <c r="U561" s="2"/>
      <c r="V561" s="3"/>
      <c r="W561" s="3"/>
      <c r="X561" s="3"/>
      <c r="Y561" s="3"/>
      <c r="Z561" s="3"/>
      <c r="AA561" s="3"/>
      <c r="AB561" s="3"/>
      <c r="AC561" s="2"/>
      <c r="AD561" s="2"/>
      <c r="AE561" s="2"/>
      <c r="AF561" s="2"/>
      <c r="AG561" s="2"/>
      <c r="AH561" s="2"/>
      <c r="AI561" s="2"/>
      <c r="AJ561" s="3"/>
      <c r="AK561" s="2"/>
      <c r="AL561" s="2"/>
      <c r="AM561" s="2"/>
      <c r="AN561" s="2"/>
      <c r="AO561" s="3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3"/>
      <c r="BC561" s="3"/>
      <c r="BD561" s="3"/>
      <c r="BE561" s="3"/>
      <c r="BF561" s="3"/>
      <c r="BG561" s="3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2"/>
      <c r="DI561" s="2"/>
      <c r="DJ561" s="3"/>
      <c r="DK561" s="3"/>
      <c r="DL561" s="2"/>
      <c r="DM561" s="2"/>
      <c r="DN561" s="2"/>
      <c r="DO561" s="3"/>
      <c r="DP561" s="3"/>
      <c r="GO561" t="s">
        <v>139</v>
      </c>
      <c r="GP561" t="s">
        <v>501</v>
      </c>
      <c r="GQ561" t="s">
        <v>502</v>
      </c>
      <c r="GR561">
        <v>41</v>
      </c>
      <c r="GS561">
        <v>40</v>
      </c>
      <c r="GT561">
        <v>1</v>
      </c>
      <c r="GU561" t="s">
        <v>457</v>
      </c>
      <c r="GV561">
        <v>17168547.578277901</v>
      </c>
      <c r="GW561">
        <v>123139995.91764601</v>
      </c>
      <c r="GX561">
        <v>140308543.495924</v>
      </c>
      <c r="GY561">
        <v>0</v>
      </c>
      <c r="GZ561">
        <v>140308543.495924</v>
      </c>
      <c r="HA561">
        <v>140308543.495924</v>
      </c>
      <c r="HB561">
        <v>303000000</v>
      </c>
      <c r="HC561">
        <v>0</v>
      </c>
      <c r="HD561" t="s">
        <v>137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0.02</v>
      </c>
      <c r="HX561">
        <v>0.99098093957577105</v>
      </c>
      <c r="HY561">
        <v>1</v>
      </c>
      <c r="HZ561">
        <v>300000</v>
      </c>
      <c r="IA561">
        <v>0</v>
      </c>
      <c r="IB561">
        <v>0</v>
      </c>
      <c r="IC561">
        <v>0</v>
      </c>
      <c r="ID561">
        <v>272700</v>
      </c>
      <c r="IE561">
        <v>572700</v>
      </c>
      <c r="IF561">
        <v>567534.78409504401</v>
      </c>
      <c r="IG561">
        <v>567534.78409504401</v>
      </c>
      <c r="IH561">
        <v>0</v>
      </c>
      <c r="II561">
        <v>332020.25588365702</v>
      </c>
      <c r="IJ561">
        <v>2462799.9183529201</v>
      </c>
      <c r="IK561">
        <v>0</v>
      </c>
      <c r="IL561">
        <v>0</v>
      </c>
      <c r="IM561">
        <v>0</v>
      </c>
      <c r="IN561">
        <v>16933033.050066501</v>
      </c>
      <c r="IO561">
        <v>125602795.835999</v>
      </c>
      <c r="IP561">
        <v>142535828.88606501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</row>
    <row r="562" spans="2:268" customFormat="1" x14ac:dyDescent="0.25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3"/>
      <c r="N562" s="3"/>
      <c r="O562" s="3"/>
      <c r="P562" s="2"/>
      <c r="Q562" s="2"/>
      <c r="R562" s="2"/>
      <c r="S562" s="2"/>
      <c r="T562" s="2"/>
      <c r="U562" s="2"/>
      <c r="V562" s="3"/>
      <c r="W562" s="3"/>
      <c r="X562" s="3"/>
      <c r="Y562" s="3"/>
      <c r="Z562" s="3"/>
      <c r="AA562" s="3"/>
      <c r="AB562" s="3"/>
      <c r="AC562" s="2"/>
      <c r="AD562" s="2"/>
      <c r="AE562" s="2"/>
      <c r="AF562" s="2"/>
      <c r="AG562" s="2"/>
      <c r="AH562" s="2"/>
      <c r="AI562" s="2"/>
      <c r="AJ562" s="3"/>
      <c r="AK562" s="2"/>
      <c r="AL562" s="2"/>
      <c r="AM562" s="2"/>
      <c r="AN562" s="2"/>
      <c r="AO562" s="3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3"/>
      <c r="BC562" s="3"/>
      <c r="BD562" s="3"/>
      <c r="BE562" s="3"/>
      <c r="BF562" s="3"/>
      <c r="BG562" s="3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2"/>
      <c r="DI562" s="2"/>
      <c r="DJ562" s="3"/>
      <c r="DK562" s="3"/>
      <c r="DL562" s="2"/>
      <c r="DM562" s="2"/>
      <c r="DN562" s="2"/>
      <c r="DO562" s="3"/>
      <c r="DP562" s="3"/>
      <c r="GO562" t="s">
        <v>139</v>
      </c>
      <c r="GP562" t="s">
        <v>501</v>
      </c>
      <c r="GQ562" t="s">
        <v>502</v>
      </c>
      <c r="GR562">
        <v>42</v>
      </c>
      <c r="GS562">
        <v>41</v>
      </c>
      <c r="GT562">
        <v>1</v>
      </c>
      <c r="GU562" t="s">
        <v>457</v>
      </c>
      <c r="GV562">
        <v>16933033.050066501</v>
      </c>
      <c r="GW562">
        <v>125602795.835999</v>
      </c>
      <c r="GX562">
        <v>142535828.88606501</v>
      </c>
      <c r="GY562">
        <v>0</v>
      </c>
      <c r="GZ562">
        <v>142535828.88606501</v>
      </c>
      <c r="HA562">
        <v>142535828.88606501</v>
      </c>
      <c r="HB562">
        <v>303000000</v>
      </c>
      <c r="HC562">
        <v>0</v>
      </c>
      <c r="HD562" t="s">
        <v>137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0.02</v>
      </c>
      <c r="HX562">
        <v>0.99098093957577105</v>
      </c>
      <c r="HY562">
        <v>1</v>
      </c>
      <c r="HZ562">
        <v>300000</v>
      </c>
      <c r="IA562">
        <v>0</v>
      </c>
      <c r="IB562">
        <v>0</v>
      </c>
      <c r="IC562">
        <v>0</v>
      </c>
      <c r="ID562">
        <v>272700</v>
      </c>
      <c r="IE562">
        <v>572700</v>
      </c>
      <c r="IF562">
        <v>567534.78409504401</v>
      </c>
      <c r="IG562">
        <v>567534.78409504401</v>
      </c>
      <c r="IH562">
        <v>0</v>
      </c>
      <c r="II562">
        <v>327309.965319429</v>
      </c>
      <c r="IJ562">
        <v>2512055.9167199801</v>
      </c>
      <c r="IK562">
        <v>0</v>
      </c>
      <c r="IL562">
        <v>0</v>
      </c>
      <c r="IM562">
        <v>0</v>
      </c>
      <c r="IN562">
        <v>16692808.231290899</v>
      </c>
      <c r="IO562">
        <v>128114851.752719</v>
      </c>
      <c r="IP562">
        <v>144807659.98401001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</row>
    <row r="563" spans="2:268" customFormat="1" x14ac:dyDescent="0.25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3"/>
      <c r="N563" s="3"/>
      <c r="O563" s="3"/>
      <c r="P563" s="2"/>
      <c r="Q563" s="2"/>
      <c r="R563" s="2"/>
      <c r="S563" s="2"/>
      <c r="T563" s="2"/>
      <c r="U563" s="2"/>
      <c r="V563" s="3"/>
      <c r="W563" s="3"/>
      <c r="X563" s="3"/>
      <c r="Y563" s="3"/>
      <c r="Z563" s="3"/>
      <c r="AA563" s="3"/>
      <c r="AB563" s="3"/>
      <c r="AC563" s="2"/>
      <c r="AD563" s="2"/>
      <c r="AE563" s="2"/>
      <c r="AF563" s="2"/>
      <c r="AG563" s="2"/>
      <c r="AH563" s="2"/>
      <c r="AI563" s="2"/>
      <c r="AJ563" s="3"/>
      <c r="AK563" s="2"/>
      <c r="AL563" s="2"/>
      <c r="AM563" s="2"/>
      <c r="AN563" s="2"/>
      <c r="AO563" s="3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3"/>
      <c r="BC563" s="3"/>
      <c r="BD563" s="3"/>
      <c r="BE563" s="3"/>
      <c r="BF563" s="3"/>
      <c r="BG563" s="3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2"/>
      <c r="DI563" s="2"/>
      <c r="DJ563" s="3"/>
      <c r="DK563" s="3"/>
      <c r="DL563" s="2"/>
      <c r="DM563" s="2"/>
      <c r="DN563" s="2"/>
      <c r="DO563" s="3"/>
      <c r="DP563" s="3"/>
      <c r="GO563" t="s">
        <v>139</v>
      </c>
      <c r="GP563" t="s">
        <v>501</v>
      </c>
      <c r="GQ563" t="s">
        <v>502</v>
      </c>
      <c r="GR563">
        <v>43</v>
      </c>
      <c r="GS563">
        <v>42</v>
      </c>
      <c r="GT563">
        <v>1</v>
      </c>
      <c r="GU563" t="s">
        <v>457</v>
      </c>
      <c r="GV563">
        <v>16692808.231290899</v>
      </c>
      <c r="GW563">
        <v>128114851.752719</v>
      </c>
      <c r="GX563">
        <v>144807659.98401001</v>
      </c>
      <c r="GY563">
        <v>0</v>
      </c>
      <c r="GZ563">
        <v>144807659.98401001</v>
      </c>
      <c r="HA563">
        <v>144807659.98401001</v>
      </c>
      <c r="HB563">
        <v>303000000</v>
      </c>
      <c r="HC563">
        <v>0</v>
      </c>
      <c r="HD563" t="s">
        <v>137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0.02</v>
      </c>
      <c r="HX563">
        <v>0.99098093957577105</v>
      </c>
      <c r="HY563">
        <v>1</v>
      </c>
      <c r="HZ563">
        <v>300000</v>
      </c>
      <c r="IA563">
        <v>0</v>
      </c>
      <c r="IB563">
        <v>0</v>
      </c>
      <c r="IC563">
        <v>0</v>
      </c>
      <c r="ID563">
        <v>272700</v>
      </c>
      <c r="IE563">
        <v>572700</v>
      </c>
      <c r="IF563">
        <v>567534.78409504401</v>
      </c>
      <c r="IG563">
        <v>567534.78409504401</v>
      </c>
      <c r="IH563">
        <v>0</v>
      </c>
      <c r="II563">
        <v>322505.46894391702</v>
      </c>
      <c r="IJ563">
        <v>2562297.0350543801</v>
      </c>
      <c r="IK563">
        <v>0</v>
      </c>
      <c r="IL563">
        <v>0</v>
      </c>
      <c r="IM563">
        <v>0</v>
      </c>
      <c r="IN563">
        <v>16447778.9161398</v>
      </c>
      <c r="IO563">
        <v>130677148.787773</v>
      </c>
      <c r="IP563">
        <v>147124927.703913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</row>
    <row r="564" spans="2:268" customFormat="1" x14ac:dyDescent="0.25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3"/>
      <c r="N564" s="3"/>
      <c r="O564" s="3"/>
      <c r="P564" s="2"/>
      <c r="Q564" s="2"/>
      <c r="R564" s="2"/>
      <c r="S564" s="2"/>
      <c r="T564" s="2"/>
      <c r="U564" s="2"/>
      <c r="V564" s="3"/>
      <c r="W564" s="3"/>
      <c r="X564" s="3"/>
      <c r="Y564" s="3"/>
      <c r="Z564" s="3"/>
      <c r="AA564" s="3"/>
      <c r="AB564" s="3"/>
      <c r="AC564" s="2"/>
      <c r="AD564" s="2"/>
      <c r="AE564" s="2"/>
      <c r="AF564" s="2"/>
      <c r="AG564" s="2"/>
      <c r="AH564" s="2"/>
      <c r="AI564" s="2"/>
      <c r="AJ564" s="3"/>
      <c r="AK564" s="2"/>
      <c r="AL564" s="2"/>
      <c r="AM564" s="2"/>
      <c r="AN564" s="2"/>
      <c r="AO564" s="3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3"/>
      <c r="BC564" s="3"/>
      <c r="BD564" s="3"/>
      <c r="BE564" s="3"/>
      <c r="BF564" s="3"/>
      <c r="BG564" s="3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2"/>
      <c r="DI564" s="2"/>
      <c r="DJ564" s="3"/>
      <c r="DK564" s="3"/>
      <c r="DL564" s="2"/>
      <c r="DM564" s="2"/>
      <c r="DN564" s="2"/>
      <c r="DO564" s="3"/>
      <c r="DP564" s="3"/>
      <c r="GO564" t="s">
        <v>139</v>
      </c>
      <c r="GP564" t="s">
        <v>501</v>
      </c>
      <c r="GQ564" t="s">
        <v>502</v>
      </c>
      <c r="GR564">
        <v>44</v>
      </c>
      <c r="GS564">
        <v>43</v>
      </c>
      <c r="GT564">
        <v>1</v>
      </c>
      <c r="GU564" t="s">
        <v>457</v>
      </c>
      <c r="GV564">
        <v>16447778.9161398</v>
      </c>
      <c r="GW564">
        <v>130677148.787773</v>
      </c>
      <c r="GX564">
        <v>147124927.703913</v>
      </c>
      <c r="GY564">
        <v>0</v>
      </c>
      <c r="GZ564">
        <v>147124927.703913</v>
      </c>
      <c r="HA564">
        <v>147124927.703913</v>
      </c>
      <c r="HB564">
        <v>303000000</v>
      </c>
      <c r="HC564">
        <v>0</v>
      </c>
      <c r="HD564" t="s">
        <v>137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0.02</v>
      </c>
      <c r="HX564">
        <v>0.99098093957577105</v>
      </c>
      <c r="HY564">
        <v>1</v>
      </c>
      <c r="HZ564">
        <v>300000</v>
      </c>
      <c r="IA564">
        <v>0</v>
      </c>
      <c r="IB564">
        <v>0</v>
      </c>
      <c r="IC564">
        <v>0</v>
      </c>
      <c r="ID564">
        <v>272700</v>
      </c>
      <c r="IE564">
        <v>572700</v>
      </c>
      <c r="IF564">
        <v>567534.78409504401</v>
      </c>
      <c r="IG564">
        <v>567534.78409504401</v>
      </c>
      <c r="IH564">
        <v>0</v>
      </c>
      <c r="II564">
        <v>317604.88264089398</v>
      </c>
      <c r="IJ564">
        <v>2613542.9757554601</v>
      </c>
      <c r="IK564">
        <v>0</v>
      </c>
      <c r="IL564">
        <v>0</v>
      </c>
      <c r="IM564">
        <v>0</v>
      </c>
      <c r="IN564">
        <v>16197849.014685599</v>
      </c>
      <c r="IO564">
        <v>133290691.763529</v>
      </c>
      <c r="IP564">
        <v>149488540.77821401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</row>
    <row r="565" spans="2:268" customFormat="1" x14ac:dyDescent="0.25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3"/>
      <c r="N565" s="3"/>
      <c r="O565" s="3"/>
      <c r="P565" s="2"/>
      <c r="Q565" s="2"/>
      <c r="R565" s="2"/>
      <c r="S565" s="2"/>
      <c r="T565" s="2"/>
      <c r="U565" s="2"/>
      <c r="V565" s="3"/>
      <c r="W565" s="3"/>
      <c r="X565" s="3"/>
      <c r="Y565" s="3"/>
      <c r="Z565" s="3"/>
      <c r="AA565" s="3"/>
      <c r="AB565" s="3"/>
      <c r="AC565" s="2"/>
      <c r="AD565" s="2"/>
      <c r="AE565" s="2"/>
      <c r="AF565" s="2"/>
      <c r="AG565" s="2"/>
      <c r="AH565" s="2"/>
      <c r="AI565" s="2"/>
      <c r="AJ565" s="3"/>
      <c r="AK565" s="2"/>
      <c r="AL565" s="2"/>
      <c r="AM565" s="2"/>
      <c r="AN565" s="2"/>
      <c r="AO565" s="3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3"/>
      <c r="BC565" s="3"/>
      <c r="BD565" s="3"/>
      <c r="BE565" s="3"/>
      <c r="BF565" s="3"/>
      <c r="BG565" s="3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2"/>
      <c r="DI565" s="2"/>
      <c r="DJ565" s="3"/>
      <c r="DK565" s="3"/>
      <c r="DL565" s="2"/>
      <c r="DM565" s="2"/>
      <c r="DN565" s="2"/>
      <c r="DO565" s="3"/>
      <c r="DP565" s="3"/>
      <c r="GO565" t="s">
        <v>139</v>
      </c>
      <c r="GP565" t="s">
        <v>501</v>
      </c>
      <c r="GQ565" t="s">
        <v>502</v>
      </c>
      <c r="GR565">
        <v>45</v>
      </c>
      <c r="GS565">
        <v>44</v>
      </c>
      <c r="GT565">
        <v>1</v>
      </c>
      <c r="GU565" t="s">
        <v>457</v>
      </c>
      <c r="GV565">
        <v>16197849.014685599</v>
      </c>
      <c r="GW565">
        <v>133290691.763529</v>
      </c>
      <c r="GX565">
        <v>149488540.77821401</v>
      </c>
      <c r="GY565">
        <v>0</v>
      </c>
      <c r="GZ565">
        <v>149488540.77821401</v>
      </c>
      <c r="HA565">
        <v>149488540.77821401</v>
      </c>
      <c r="HB565">
        <v>303000000</v>
      </c>
      <c r="HC565">
        <v>0</v>
      </c>
      <c r="HD565" t="s">
        <v>137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0.02</v>
      </c>
      <c r="HX565">
        <v>0.99098093957577105</v>
      </c>
      <c r="HY565">
        <v>1</v>
      </c>
      <c r="HZ565">
        <v>300000</v>
      </c>
      <c r="IA565">
        <v>0</v>
      </c>
      <c r="IB565">
        <v>0</v>
      </c>
      <c r="IC565">
        <v>0</v>
      </c>
      <c r="ID565">
        <v>272700</v>
      </c>
      <c r="IE565">
        <v>572700</v>
      </c>
      <c r="IF565">
        <v>567534.78409504401</v>
      </c>
      <c r="IG565">
        <v>567534.78409504401</v>
      </c>
      <c r="IH565">
        <v>0</v>
      </c>
      <c r="II565">
        <v>312606.28461181099</v>
      </c>
      <c r="IJ565">
        <v>2665813.8352705701</v>
      </c>
      <c r="IK565">
        <v>0</v>
      </c>
      <c r="IL565">
        <v>0</v>
      </c>
      <c r="IM565">
        <v>0</v>
      </c>
      <c r="IN565">
        <v>15942920.515202399</v>
      </c>
      <c r="IO565">
        <v>135956505.59879899</v>
      </c>
      <c r="IP565">
        <v>151899426.11400199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</row>
    <row r="566" spans="2:268" customFormat="1" x14ac:dyDescent="0.25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3"/>
      <c r="N566" s="3"/>
      <c r="O566" s="3"/>
      <c r="P566" s="2"/>
      <c r="Q566" s="2"/>
      <c r="R566" s="2"/>
      <c r="S566" s="2"/>
      <c r="T566" s="2"/>
      <c r="U566" s="2"/>
      <c r="V566" s="3"/>
      <c r="W566" s="3"/>
      <c r="X566" s="3"/>
      <c r="Y566" s="3"/>
      <c r="Z566" s="3"/>
      <c r="AA566" s="3"/>
      <c r="AB566" s="3"/>
      <c r="AC566" s="2"/>
      <c r="AD566" s="2"/>
      <c r="AE566" s="2"/>
      <c r="AF566" s="2"/>
      <c r="AG566" s="2"/>
      <c r="AH566" s="2"/>
      <c r="AI566" s="2"/>
      <c r="AJ566" s="3"/>
      <c r="AK566" s="2"/>
      <c r="AL566" s="2"/>
      <c r="AM566" s="2"/>
      <c r="AN566" s="2"/>
      <c r="AO566" s="3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3"/>
      <c r="BC566" s="3"/>
      <c r="BD566" s="3"/>
      <c r="BE566" s="3"/>
      <c r="BF566" s="3"/>
      <c r="BG566" s="3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2"/>
      <c r="DI566" s="2"/>
      <c r="DJ566" s="3"/>
      <c r="DK566" s="3"/>
      <c r="DL566" s="2"/>
      <c r="DM566" s="2"/>
      <c r="DN566" s="2"/>
      <c r="DO566" s="3"/>
      <c r="DP566" s="3"/>
      <c r="GO566" t="s">
        <v>139</v>
      </c>
      <c r="GP566" t="s">
        <v>501</v>
      </c>
      <c r="GQ566" t="s">
        <v>502</v>
      </c>
      <c r="GR566">
        <v>46</v>
      </c>
      <c r="GS566">
        <v>45</v>
      </c>
      <c r="GT566">
        <v>1</v>
      </c>
      <c r="GU566" t="s">
        <v>457</v>
      </c>
      <c r="GV566">
        <v>15942920.515202399</v>
      </c>
      <c r="GW566">
        <v>135956505.59879899</v>
      </c>
      <c r="GX566">
        <v>151899426.11400199</v>
      </c>
      <c r="GY566">
        <v>0</v>
      </c>
      <c r="GZ566">
        <v>151899426.11400199</v>
      </c>
      <c r="HA566">
        <v>151899426.11400199</v>
      </c>
      <c r="HB566">
        <v>303000000</v>
      </c>
      <c r="HC566">
        <v>0</v>
      </c>
      <c r="HD566" t="s">
        <v>137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0.02</v>
      </c>
      <c r="HX566">
        <v>0.99098093957577105</v>
      </c>
      <c r="HY566">
        <v>1</v>
      </c>
      <c r="HZ566">
        <v>300000</v>
      </c>
      <c r="IA566">
        <v>0</v>
      </c>
      <c r="IB566">
        <v>0</v>
      </c>
      <c r="IC566">
        <v>0</v>
      </c>
      <c r="ID566">
        <v>272700</v>
      </c>
      <c r="IE566">
        <v>572700</v>
      </c>
      <c r="IF566">
        <v>567534.78409504401</v>
      </c>
      <c r="IG566">
        <v>567534.78409504401</v>
      </c>
      <c r="IH566">
        <v>0</v>
      </c>
      <c r="II566">
        <v>307507.71462214697</v>
      </c>
      <c r="IJ566">
        <v>2719130.11197598</v>
      </c>
      <c r="IK566">
        <v>0</v>
      </c>
      <c r="IL566">
        <v>0</v>
      </c>
      <c r="IM566">
        <v>0</v>
      </c>
      <c r="IN566">
        <v>15682893.4457295</v>
      </c>
      <c r="IO566">
        <v>138675635.71077499</v>
      </c>
      <c r="IP566">
        <v>154358529.15650499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</row>
    <row r="567" spans="2:268" customFormat="1" x14ac:dyDescent="0.25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3"/>
      <c r="N567" s="3"/>
      <c r="O567" s="3"/>
      <c r="P567" s="2"/>
      <c r="Q567" s="2"/>
      <c r="R567" s="2"/>
      <c r="S567" s="2"/>
      <c r="T567" s="2"/>
      <c r="U567" s="2"/>
      <c r="V567" s="3"/>
      <c r="W567" s="3"/>
      <c r="X567" s="3"/>
      <c r="Y567" s="3"/>
      <c r="Z567" s="3"/>
      <c r="AA567" s="3"/>
      <c r="AB567" s="3"/>
      <c r="AC567" s="2"/>
      <c r="AD567" s="2"/>
      <c r="AE567" s="2"/>
      <c r="AF567" s="2"/>
      <c r="AG567" s="2"/>
      <c r="AH567" s="2"/>
      <c r="AI567" s="2"/>
      <c r="AJ567" s="3"/>
      <c r="AK567" s="2"/>
      <c r="AL567" s="2"/>
      <c r="AM567" s="2"/>
      <c r="AN567" s="2"/>
      <c r="AO567" s="3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3"/>
      <c r="BC567" s="3"/>
      <c r="BD567" s="3"/>
      <c r="BE567" s="3"/>
      <c r="BF567" s="3"/>
      <c r="BG567" s="3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2"/>
      <c r="DI567" s="2"/>
      <c r="DJ567" s="3"/>
      <c r="DK567" s="3"/>
      <c r="DL567" s="2"/>
      <c r="DM567" s="2"/>
      <c r="DN567" s="2"/>
      <c r="DO567" s="3"/>
      <c r="DP567" s="3"/>
      <c r="GO567" t="s">
        <v>139</v>
      </c>
      <c r="GP567" t="s">
        <v>501</v>
      </c>
      <c r="GQ567" t="s">
        <v>502</v>
      </c>
      <c r="GR567">
        <v>47</v>
      </c>
      <c r="GS567">
        <v>46</v>
      </c>
      <c r="GT567">
        <v>1</v>
      </c>
      <c r="GU567" t="s">
        <v>457</v>
      </c>
      <c r="GV567">
        <v>15682893.4457295</v>
      </c>
      <c r="GW567">
        <v>138675635.71077499</v>
      </c>
      <c r="GX567">
        <v>154358529.15650499</v>
      </c>
      <c r="GY567">
        <v>0</v>
      </c>
      <c r="GZ567">
        <v>154358529.15650499</v>
      </c>
      <c r="HA567">
        <v>154358529.15650499</v>
      </c>
      <c r="HB567">
        <v>303000000</v>
      </c>
      <c r="HC567">
        <v>0</v>
      </c>
      <c r="HD567" t="s">
        <v>137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0.02</v>
      </c>
      <c r="HX567">
        <v>0.99098093957577105</v>
      </c>
      <c r="HY567">
        <v>1</v>
      </c>
      <c r="HZ567">
        <v>300000</v>
      </c>
      <c r="IA567">
        <v>0</v>
      </c>
      <c r="IB567">
        <v>0</v>
      </c>
      <c r="IC567">
        <v>0</v>
      </c>
      <c r="ID567">
        <v>272700</v>
      </c>
      <c r="IE567">
        <v>572700</v>
      </c>
      <c r="IF567">
        <v>567534.78409504401</v>
      </c>
      <c r="IG567">
        <v>567534.78409504401</v>
      </c>
      <c r="IH567">
        <v>0</v>
      </c>
      <c r="II567">
        <v>302307.17323268898</v>
      </c>
      <c r="IJ567">
        <v>2773512.7142154998</v>
      </c>
      <c r="IK567">
        <v>0</v>
      </c>
      <c r="IL567">
        <v>0</v>
      </c>
      <c r="IM567">
        <v>0</v>
      </c>
      <c r="IN567">
        <v>15417665.834867099</v>
      </c>
      <c r="IO567">
        <v>141449148.42499101</v>
      </c>
      <c r="IP567">
        <v>156866814.25985801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</row>
    <row r="568" spans="2:268" customFormat="1" x14ac:dyDescent="0.25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3"/>
      <c r="N568" s="3"/>
      <c r="O568" s="3"/>
      <c r="P568" s="2"/>
      <c r="Q568" s="2"/>
      <c r="R568" s="2"/>
      <c r="S568" s="2"/>
      <c r="T568" s="2"/>
      <c r="U568" s="2"/>
      <c r="V568" s="3"/>
      <c r="W568" s="3"/>
      <c r="X568" s="3"/>
      <c r="Y568" s="3"/>
      <c r="Z568" s="3"/>
      <c r="AA568" s="3"/>
      <c r="AB568" s="3"/>
      <c r="AC568" s="2"/>
      <c r="AD568" s="2"/>
      <c r="AE568" s="2"/>
      <c r="AF568" s="2"/>
      <c r="AG568" s="2"/>
      <c r="AH568" s="2"/>
      <c r="AI568" s="2"/>
      <c r="AJ568" s="3"/>
      <c r="AK568" s="2"/>
      <c r="AL568" s="2"/>
      <c r="AM568" s="2"/>
      <c r="AN568" s="2"/>
      <c r="AO568" s="3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3"/>
      <c r="BC568" s="3"/>
      <c r="BD568" s="3"/>
      <c r="BE568" s="3"/>
      <c r="BF568" s="3"/>
      <c r="BG568" s="3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2"/>
      <c r="DI568" s="2"/>
      <c r="DJ568" s="3"/>
      <c r="DK568" s="3"/>
      <c r="DL568" s="2"/>
      <c r="DM568" s="2"/>
      <c r="DN568" s="2"/>
      <c r="DO568" s="3"/>
      <c r="DP568" s="3"/>
      <c r="GO568" t="s">
        <v>139</v>
      </c>
      <c r="GP568" t="s">
        <v>501</v>
      </c>
      <c r="GQ568" t="s">
        <v>502</v>
      </c>
      <c r="GR568">
        <v>48</v>
      </c>
      <c r="GS568">
        <v>47</v>
      </c>
      <c r="GT568">
        <v>1</v>
      </c>
      <c r="GU568" t="s">
        <v>457</v>
      </c>
      <c r="GV568">
        <v>15417665.834867099</v>
      </c>
      <c r="GW568">
        <v>141449148.42499101</v>
      </c>
      <c r="GX568">
        <v>156866814.25985801</v>
      </c>
      <c r="GY568">
        <v>0</v>
      </c>
      <c r="GZ568">
        <v>156866814.25985801</v>
      </c>
      <c r="HA568">
        <v>156866814.25985801</v>
      </c>
      <c r="HB568">
        <v>303000000</v>
      </c>
      <c r="HC568">
        <v>0</v>
      </c>
      <c r="HD568" t="s">
        <v>137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0.02</v>
      </c>
      <c r="HX568">
        <v>0.99098093957577105</v>
      </c>
      <c r="HY568">
        <v>1</v>
      </c>
      <c r="HZ568">
        <v>300000</v>
      </c>
      <c r="IA568">
        <v>0</v>
      </c>
      <c r="IB568">
        <v>0</v>
      </c>
      <c r="IC568">
        <v>0</v>
      </c>
      <c r="ID568">
        <v>272700</v>
      </c>
      <c r="IE568">
        <v>572700</v>
      </c>
      <c r="IF568">
        <v>567534.78409504401</v>
      </c>
      <c r="IG568">
        <v>567534.78409504401</v>
      </c>
      <c r="IH568">
        <v>0</v>
      </c>
      <c r="II568">
        <v>297002.62101544102</v>
      </c>
      <c r="IJ568">
        <v>2828982.96849981</v>
      </c>
      <c r="IK568">
        <v>0</v>
      </c>
      <c r="IL568">
        <v>0</v>
      </c>
      <c r="IM568">
        <v>0</v>
      </c>
      <c r="IN568">
        <v>15147133.6717875</v>
      </c>
      <c r="IO568">
        <v>144278131.39348999</v>
      </c>
      <c r="IP568">
        <v>159425265.06527799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</row>
    <row r="569" spans="2:268" customFormat="1" x14ac:dyDescent="0.25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3"/>
      <c r="N569" s="3"/>
      <c r="O569" s="3"/>
      <c r="P569" s="2"/>
      <c r="Q569" s="2"/>
      <c r="R569" s="2"/>
      <c r="S569" s="2"/>
      <c r="T569" s="2"/>
      <c r="U569" s="2"/>
      <c r="V569" s="3"/>
      <c r="W569" s="3"/>
      <c r="X569" s="3"/>
      <c r="Y569" s="3"/>
      <c r="Z569" s="3"/>
      <c r="AA569" s="3"/>
      <c r="AB569" s="3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3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3"/>
      <c r="BC569" s="3"/>
      <c r="BD569" s="3"/>
      <c r="BE569" s="3"/>
      <c r="BF569" s="3"/>
      <c r="BG569" s="3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2"/>
      <c r="DI569" s="2"/>
      <c r="DJ569" s="3"/>
      <c r="DK569" s="3"/>
      <c r="DL569" s="2"/>
      <c r="DM569" s="2"/>
      <c r="DN569" s="2"/>
      <c r="DO569" s="3"/>
      <c r="DP569" s="3"/>
      <c r="GO569" t="s">
        <v>139</v>
      </c>
      <c r="GP569" t="s">
        <v>501</v>
      </c>
      <c r="GQ569" t="s">
        <v>502</v>
      </c>
      <c r="GR569">
        <v>49</v>
      </c>
      <c r="GS569">
        <v>48</v>
      </c>
      <c r="GT569">
        <v>1</v>
      </c>
      <c r="GU569" t="s">
        <v>457</v>
      </c>
      <c r="GV569">
        <v>15147133.6717875</v>
      </c>
      <c r="GW569">
        <v>144278131.39348999</v>
      </c>
      <c r="GX569">
        <v>159425265.06527799</v>
      </c>
      <c r="GY569">
        <v>0</v>
      </c>
      <c r="GZ569">
        <v>159425265.06527799</v>
      </c>
      <c r="HA569">
        <v>159425265.06527799</v>
      </c>
      <c r="HB569">
        <v>303000000</v>
      </c>
      <c r="HC569">
        <v>0</v>
      </c>
      <c r="HD569" t="s">
        <v>137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0.02</v>
      </c>
      <c r="HX569">
        <v>0.99098093957577105</v>
      </c>
      <c r="HY569">
        <v>1</v>
      </c>
      <c r="HZ569">
        <v>300000</v>
      </c>
      <c r="IA569">
        <v>0</v>
      </c>
      <c r="IB569">
        <v>0</v>
      </c>
      <c r="IC569">
        <v>0</v>
      </c>
      <c r="ID569">
        <v>272700</v>
      </c>
      <c r="IE569">
        <v>572700</v>
      </c>
      <c r="IF569">
        <v>567534.78409504401</v>
      </c>
      <c r="IG569">
        <v>567534.78409504401</v>
      </c>
      <c r="IH569">
        <v>0</v>
      </c>
      <c r="II569">
        <v>291591.977753849</v>
      </c>
      <c r="IJ569">
        <v>2885562.62786981</v>
      </c>
      <c r="IK569">
        <v>0</v>
      </c>
      <c r="IL569">
        <v>0</v>
      </c>
      <c r="IM569">
        <v>0</v>
      </c>
      <c r="IN569">
        <v>14871190.865446299</v>
      </c>
      <c r="IO569">
        <v>147163694.02136001</v>
      </c>
      <c r="IP569">
        <v>162034884.88680699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</row>
    <row r="570" spans="2:268" customFormat="1" x14ac:dyDescent="0.25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3"/>
      <c r="N570" s="3"/>
      <c r="O570" s="3"/>
      <c r="P570" s="2"/>
      <c r="Q570" s="2"/>
      <c r="R570" s="2"/>
      <c r="S570" s="2"/>
      <c r="T570" s="2"/>
      <c r="U570" s="2"/>
      <c r="V570" s="3"/>
      <c r="W570" s="3"/>
      <c r="X570" s="3"/>
      <c r="Y570" s="3"/>
      <c r="Z570" s="3"/>
      <c r="AA570" s="3"/>
      <c r="AB570" s="3"/>
      <c r="AC570" s="2"/>
      <c r="AD570" s="2"/>
      <c r="AE570" s="2"/>
      <c r="AF570" s="2"/>
      <c r="AG570" s="2"/>
      <c r="AH570" s="2"/>
      <c r="AI570" s="2"/>
      <c r="AJ570" s="3"/>
      <c r="AK570" s="2"/>
      <c r="AL570" s="2"/>
      <c r="AM570" s="2"/>
      <c r="AN570" s="2"/>
      <c r="AO570" s="3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3"/>
      <c r="BC570" s="3"/>
      <c r="BD570" s="3"/>
      <c r="BE570" s="3"/>
      <c r="BF570" s="3"/>
      <c r="BG570" s="3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2"/>
      <c r="DI570" s="2"/>
      <c r="DJ570" s="3"/>
      <c r="DK570" s="3"/>
      <c r="DL570" s="2"/>
      <c r="DM570" s="2"/>
      <c r="DN570" s="2"/>
      <c r="DO570" s="3"/>
      <c r="DP570" s="3"/>
      <c r="GO570" t="s">
        <v>139</v>
      </c>
      <c r="GP570" t="s">
        <v>501</v>
      </c>
      <c r="GQ570" t="s">
        <v>502</v>
      </c>
      <c r="GR570">
        <v>50</v>
      </c>
      <c r="GS570">
        <v>49</v>
      </c>
      <c r="GT570">
        <v>1</v>
      </c>
      <c r="GU570" t="s">
        <v>457</v>
      </c>
      <c r="GV570">
        <v>14871190.865446299</v>
      </c>
      <c r="GW570">
        <v>147163694.02136001</v>
      </c>
      <c r="GX570">
        <v>162034884.88680699</v>
      </c>
      <c r="GY570">
        <v>0</v>
      </c>
      <c r="GZ570">
        <v>162034884.88680699</v>
      </c>
      <c r="HA570">
        <v>162034884.88680699</v>
      </c>
      <c r="HB570">
        <v>303000000</v>
      </c>
      <c r="HC570">
        <v>0</v>
      </c>
      <c r="HD570" t="s">
        <v>137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0.02</v>
      </c>
      <c r="HX570">
        <v>0.99098093957577105</v>
      </c>
      <c r="HY570">
        <v>1</v>
      </c>
      <c r="HZ570">
        <v>300000</v>
      </c>
      <c r="IA570">
        <v>0</v>
      </c>
      <c r="IB570">
        <v>0</v>
      </c>
      <c r="IC570">
        <v>0</v>
      </c>
      <c r="ID570">
        <v>272700</v>
      </c>
      <c r="IE570">
        <v>572700</v>
      </c>
      <c r="IF570">
        <v>567534.78409504401</v>
      </c>
      <c r="IG570">
        <v>567534.78409504401</v>
      </c>
      <c r="IH570">
        <v>0</v>
      </c>
      <c r="II570">
        <v>286073.121627026</v>
      </c>
      <c r="IJ570">
        <v>2943273.8804272101</v>
      </c>
      <c r="IK570">
        <v>0</v>
      </c>
      <c r="IL570">
        <v>0</v>
      </c>
      <c r="IM570">
        <v>0</v>
      </c>
      <c r="IN570">
        <v>14589729.2029783</v>
      </c>
      <c r="IO570">
        <v>150106967.901788</v>
      </c>
      <c r="IP570">
        <v>164696697.10476601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</row>
    <row r="571" spans="2:268" customFormat="1" x14ac:dyDescent="0.25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3"/>
      <c r="N571" s="3"/>
      <c r="O571" s="3"/>
      <c r="P571" s="2"/>
      <c r="Q571" s="2"/>
      <c r="R571" s="2"/>
      <c r="S571" s="2"/>
      <c r="T571" s="2"/>
      <c r="U571" s="2"/>
      <c r="V571" s="3"/>
      <c r="W571" s="3"/>
      <c r="X571" s="3"/>
      <c r="Y571" s="3"/>
      <c r="Z571" s="3"/>
      <c r="AA571" s="3"/>
      <c r="AB571" s="3"/>
      <c r="AC571" s="2"/>
      <c r="AD571" s="2"/>
      <c r="AE571" s="2"/>
      <c r="AF571" s="2"/>
      <c r="AG571" s="2"/>
      <c r="AH571" s="2"/>
      <c r="AI571" s="2"/>
      <c r="AJ571" s="3"/>
      <c r="AK571" s="2"/>
      <c r="AL571" s="2"/>
      <c r="AM571" s="2"/>
      <c r="AN571" s="2"/>
      <c r="AO571" s="3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3"/>
      <c r="BC571" s="3"/>
      <c r="BD571" s="3"/>
      <c r="BE571" s="3"/>
      <c r="BF571" s="3"/>
      <c r="BG571" s="3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2"/>
      <c r="DI571" s="2"/>
      <c r="DJ571" s="3"/>
      <c r="DK571" s="3"/>
      <c r="DL571" s="2"/>
      <c r="DM571" s="2"/>
      <c r="DN571" s="2"/>
      <c r="DO571" s="3"/>
      <c r="DP571" s="3"/>
      <c r="GO571" t="s">
        <v>139</v>
      </c>
      <c r="GP571" t="s">
        <v>501</v>
      </c>
      <c r="GQ571" t="s">
        <v>502</v>
      </c>
      <c r="GR571">
        <v>51</v>
      </c>
      <c r="GS571">
        <v>50</v>
      </c>
      <c r="GT571">
        <v>1</v>
      </c>
      <c r="GU571" t="s">
        <v>457</v>
      </c>
      <c r="GV571">
        <v>14589729.2029783</v>
      </c>
      <c r="GW571">
        <v>150106967.901788</v>
      </c>
      <c r="GX571">
        <v>164696697.10476601</v>
      </c>
      <c r="GY571">
        <v>0</v>
      </c>
      <c r="GZ571">
        <v>164696697.10476601</v>
      </c>
      <c r="HA571">
        <v>164696697.10476601</v>
      </c>
      <c r="HB571">
        <v>303000000</v>
      </c>
      <c r="HC571">
        <v>0</v>
      </c>
      <c r="HD571" t="s">
        <v>137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0.02</v>
      </c>
      <c r="HX571">
        <v>0.99098093957577105</v>
      </c>
      <c r="HY571">
        <v>1</v>
      </c>
      <c r="HZ571">
        <v>300000</v>
      </c>
      <c r="IA571">
        <v>0</v>
      </c>
      <c r="IB571">
        <v>0</v>
      </c>
      <c r="IC571">
        <v>0</v>
      </c>
      <c r="ID571">
        <v>272700</v>
      </c>
      <c r="IE571">
        <v>572700</v>
      </c>
      <c r="IF571">
        <v>567534.78409504401</v>
      </c>
      <c r="IG571">
        <v>567534.78409504401</v>
      </c>
      <c r="IH571">
        <v>0</v>
      </c>
      <c r="II571">
        <v>280443.88837766502</v>
      </c>
      <c r="IJ571">
        <v>3002139.3580357502</v>
      </c>
      <c r="IK571">
        <v>0</v>
      </c>
      <c r="IL571">
        <v>0</v>
      </c>
      <c r="IM571">
        <v>0</v>
      </c>
      <c r="IN571">
        <v>14302638.307260901</v>
      </c>
      <c r="IO571">
        <v>153109107.25982299</v>
      </c>
      <c r="IP571">
        <v>167411745.56708401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</row>
    <row r="572" spans="2:268" customFormat="1" x14ac:dyDescent="0.25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3"/>
      <c r="N572" s="3"/>
      <c r="O572" s="3"/>
      <c r="P572" s="2"/>
      <c r="Q572" s="2"/>
      <c r="R572" s="2"/>
      <c r="S572" s="2"/>
      <c r="T572" s="2"/>
      <c r="U572" s="2"/>
      <c r="V572" s="3"/>
      <c r="W572" s="3"/>
      <c r="X572" s="3"/>
      <c r="Y572" s="3"/>
      <c r="Z572" s="3"/>
      <c r="AA572" s="3"/>
      <c r="AB572" s="3"/>
      <c r="AC572" s="2"/>
      <c r="AD572" s="2"/>
      <c r="AE572" s="2"/>
      <c r="AF572" s="2"/>
      <c r="AG572" s="2"/>
      <c r="AH572" s="2"/>
      <c r="AI572" s="2"/>
      <c r="AJ572" s="3"/>
      <c r="AK572" s="2"/>
      <c r="AL572" s="2"/>
      <c r="AM572" s="2"/>
      <c r="AN572" s="2"/>
      <c r="AO572" s="3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3"/>
      <c r="BC572" s="3"/>
      <c r="BD572" s="3"/>
      <c r="BE572" s="3"/>
      <c r="BF572" s="3"/>
      <c r="BG572" s="3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2"/>
      <c r="DI572" s="2"/>
      <c r="DJ572" s="3"/>
      <c r="DK572" s="3"/>
      <c r="DL572" s="2"/>
      <c r="DM572" s="2"/>
      <c r="DN572" s="2"/>
      <c r="DO572" s="3"/>
      <c r="DP572" s="3"/>
      <c r="GO572" t="s">
        <v>139</v>
      </c>
      <c r="GP572" t="s">
        <v>501</v>
      </c>
      <c r="GQ572" t="s">
        <v>502</v>
      </c>
      <c r="GR572">
        <v>52</v>
      </c>
      <c r="GS572">
        <v>51</v>
      </c>
      <c r="GT572">
        <v>1</v>
      </c>
      <c r="GU572" t="s">
        <v>457</v>
      </c>
      <c r="GV572">
        <v>14302638.307260901</v>
      </c>
      <c r="GW572">
        <v>153109107.25982299</v>
      </c>
      <c r="GX572">
        <v>167411745.56708401</v>
      </c>
      <c r="GY572">
        <v>0</v>
      </c>
      <c r="GZ572">
        <v>167411745.56708401</v>
      </c>
      <c r="HA572">
        <v>167411745.56708401</v>
      </c>
      <c r="HB572">
        <v>303000000</v>
      </c>
      <c r="HC572">
        <v>0</v>
      </c>
      <c r="HD572" t="s">
        <v>137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0.02</v>
      </c>
      <c r="HX572">
        <v>0.99098093957577105</v>
      </c>
      <c r="HY572">
        <v>1</v>
      </c>
      <c r="HZ572">
        <v>300000</v>
      </c>
      <c r="IA572">
        <v>0</v>
      </c>
      <c r="IB572">
        <v>0</v>
      </c>
      <c r="IC572">
        <v>0</v>
      </c>
      <c r="ID572">
        <v>272700</v>
      </c>
      <c r="IE572">
        <v>572700</v>
      </c>
      <c r="IF572">
        <v>567534.78409504401</v>
      </c>
      <c r="IG572">
        <v>567534.78409504401</v>
      </c>
      <c r="IH572">
        <v>0</v>
      </c>
      <c r="II572">
        <v>274702.07046331803</v>
      </c>
      <c r="IJ572">
        <v>3062182.14519647</v>
      </c>
      <c r="IK572">
        <v>0</v>
      </c>
      <c r="IL572">
        <v>0</v>
      </c>
      <c r="IM572">
        <v>0</v>
      </c>
      <c r="IN572">
        <v>14009805.5936292</v>
      </c>
      <c r="IO572">
        <v>156171289.40502</v>
      </c>
      <c r="IP572">
        <v>170181094.998649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</row>
    <row r="573" spans="2:268" customFormat="1" x14ac:dyDescent="0.25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3"/>
      <c r="N573" s="3"/>
      <c r="O573" s="3"/>
      <c r="P573" s="2"/>
      <c r="Q573" s="2"/>
      <c r="R573" s="2"/>
      <c r="S573" s="2"/>
      <c r="T573" s="2"/>
      <c r="U573" s="2"/>
      <c r="V573" s="3"/>
      <c r="W573" s="3"/>
      <c r="X573" s="3"/>
      <c r="Y573" s="3"/>
      <c r="Z573" s="3"/>
      <c r="AA573" s="3"/>
      <c r="AB573" s="3"/>
      <c r="AC573" s="2"/>
      <c r="AD573" s="2"/>
      <c r="AE573" s="2"/>
      <c r="AF573" s="2"/>
      <c r="AG573" s="2"/>
      <c r="AH573" s="2"/>
      <c r="AI573" s="2"/>
      <c r="AJ573" s="3"/>
      <c r="AK573" s="2"/>
      <c r="AL573" s="2"/>
      <c r="AM573" s="2"/>
      <c r="AN573" s="2"/>
      <c r="AO573" s="3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3"/>
      <c r="BC573" s="3"/>
      <c r="BD573" s="3"/>
      <c r="BE573" s="3"/>
      <c r="BF573" s="3"/>
      <c r="BG573" s="3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2"/>
      <c r="DI573" s="2"/>
      <c r="DJ573" s="3"/>
      <c r="DK573" s="3"/>
      <c r="DL573" s="2"/>
      <c r="DM573" s="2"/>
      <c r="DN573" s="2"/>
      <c r="DO573" s="3"/>
      <c r="DP573" s="3"/>
      <c r="GO573" t="s">
        <v>139</v>
      </c>
      <c r="GP573" t="s">
        <v>501</v>
      </c>
      <c r="GQ573" t="s">
        <v>502</v>
      </c>
      <c r="GR573">
        <v>53</v>
      </c>
      <c r="GS573">
        <v>52</v>
      </c>
      <c r="GT573">
        <v>1</v>
      </c>
      <c r="GU573" t="s">
        <v>457</v>
      </c>
      <c r="GV573">
        <v>14009805.5936292</v>
      </c>
      <c r="GW573">
        <v>156171289.40502</v>
      </c>
      <c r="GX573">
        <v>170181094.998649</v>
      </c>
      <c r="GY573">
        <v>0</v>
      </c>
      <c r="GZ573">
        <v>170181094.998649</v>
      </c>
      <c r="HA573">
        <v>170181094.998649</v>
      </c>
      <c r="HB573">
        <v>303000000</v>
      </c>
      <c r="HC573">
        <v>0</v>
      </c>
      <c r="HD573" t="s">
        <v>137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0.02</v>
      </c>
      <c r="HX573">
        <v>0.99098093957577105</v>
      </c>
      <c r="HY573">
        <v>1</v>
      </c>
      <c r="HZ573">
        <v>300000</v>
      </c>
      <c r="IA573">
        <v>0</v>
      </c>
      <c r="IB573">
        <v>0</v>
      </c>
      <c r="IC573">
        <v>0</v>
      </c>
      <c r="ID573">
        <v>272700</v>
      </c>
      <c r="IE573">
        <v>572700</v>
      </c>
      <c r="IF573">
        <v>567534.78409504401</v>
      </c>
      <c r="IG573">
        <v>567534.78409504401</v>
      </c>
      <c r="IH573">
        <v>0</v>
      </c>
      <c r="II573">
        <v>268845.41619068303</v>
      </c>
      <c r="IJ573">
        <v>3123425.7881003902</v>
      </c>
      <c r="IK573">
        <v>0</v>
      </c>
      <c r="IL573">
        <v>0</v>
      </c>
      <c r="IM573">
        <v>0</v>
      </c>
      <c r="IN573">
        <v>13711116.2257248</v>
      </c>
      <c r="IO573">
        <v>159294715.19312</v>
      </c>
      <c r="IP573">
        <v>173005831.418845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</row>
    <row r="574" spans="2:268" customFormat="1" x14ac:dyDescent="0.25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3"/>
      <c r="N574" s="3"/>
      <c r="O574" s="3"/>
      <c r="P574" s="2"/>
      <c r="Q574" s="2"/>
      <c r="R574" s="2"/>
      <c r="S574" s="2"/>
      <c r="T574" s="2"/>
      <c r="U574" s="2"/>
      <c r="V574" s="3"/>
      <c r="W574" s="3"/>
      <c r="X574" s="3"/>
      <c r="Y574" s="3"/>
      <c r="Z574" s="3"/>
      <c r="AA574" s="3"/>
      <c r="AB574" s="3"/>
      <c r="AC574" s="2"/>
      <c r="AD574" s="2"/>
      <c r="AE574" s="2"/>
      <c r="AF574" s="2"/>
      <c r="AG574" s="2"/>
      <c r="AH574" s="2"/>
      <c r="AI574" s="2"/>
      <c r="AJ574" s="3"/>
      <c r="AK574" s="2"/>
      <c r="AL574" s="2"/>
      <c r="AM574" s="2"/>
      <c r="AN574" s="2"/>
      <c r="AO574" s="3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3"/>
      <c r="BC574" s="3"/>
      <c r="BD574" s="3"/>
      <c r="BE574" s="3"/>
      <c r="BF574" s="3"/>
      <c r="BG574" s="3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2"/>
      <c r="DI574" s="2"/>
      <c r="DJ574" s="3"/>
      <c r="DK574" s="3"/>
      <c r="DL574" s="2"/>
      <c r="DM574" s="2"/>
      <c r="DN574" s="2"/>
      <c r="DO574" s="3"/>
      <c r="DP574" s="3"/>
      <c r="GO574" t="s">
        <v>139</v>
      </c>
      <c r="GP574" t="s">
        <v>501</v>
      </c>
      <c r="GQ574" t="s">
        <v>502</v>
      </c>
      <c r="GR574">
        <v>54</v>
      </c>
      <c r="GS574">
        <v>53</v>
      </c>
      <c r="GT574">
        <v>1</v>
      </c>
      <c r="GU574" t="s">
        <v>457</v>
      </c>
      <c r="GV574">
        <v>13711116.2257248</v>
      </c>
      <c r="GW574">
        <v>159294715.19312</v>
      </c>
      <c r="GX574">
        <v>173005831.418845</v>
      </c>
      <c r="GY574">
        <v>0</v>
      </c>
      <c r="GZ574">
        <v>173005831.418845</v>
      </c>
      <c r="HA574">
        <v>173005831.418845</v>
      </c>
      <c r="HB574">
        <v>303000000</v>
      </c>
      <c r="HC574">
        <v>0</v>
      </c>
      <c r="HD574" t="s">
        <v>137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0.02</v>
      </c>
      <c r="HX574">
        <v>0.99098093957577105</v>
      </c>
      <c r="HY574">
        <v>1</v>
      </c>
      <c r="HZ574">
        <v>300000</v>
      </c>
      <c r="IA574">
        <v>0</v>
      </c>
      <c r="IB574">
        <v>0</v>
      </c>
      <c r="IC574">
        <v>0</v>
      </c>
      <c r="ID574">
        <v>272700</v>
      </c>
      <c r="IE574">
        <v>572700</v>
      </c>
      <c r="IF574">
        <v>567534.78409504401</v>
      </c>
      <c r="IG574">
        <v>567534.78409504401</v>
      </c>
      <c r="IH574">
        <v>0</v>
      </c>
      <c r="II574">
        <v>262871.628832596</v>
      </c>
      <c r="IJ574">
        <v>3185894.3038623999</v>
      </c>
      <c r="IK574">
        <v>0</v>
      </c>
      <c r="IL574">
        <v>0</v>
      </c>
      <c r="IM574">
        <v>0</v>
      </c>
      <c r="IN574">
        <v>13406453.0704624</v>
      </c>
      <c r="IO574">
        <v>162480609.49698299</v>
      </c>
      <c r="IP574">
        <v>175887062.56744501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</row>
    <row r="575" spans="2:268" customFormat="1" x14ac:dyDescent="0.25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3"/>
      <c r="N575" s="3"/>
      <c r="O575" s="3"/>
      <c r="P575" s="2"/>
      <c r="Q575" s="2"/>
      <c r="R575" s="2"/>
      <c r="S575" s="2"/>
      <c r="T575" s="2"/>
      <c r="U575" s="2"/>
      <c r="V575" s="3"/>
      <c r="W575" s="3"/>
      <c r="X575" s="3"/>
      <c r="Y575" s="3"/>
      <c r="Z575" s="3"/>
      <c r="AA575" s="3"/>
      <c r="AB575" s="3"/>
      <c r="AC575" s="2"/>
      <c r="AD575" s="2"/>
      <c r="AE575" s="2"/>
      <c r="AF575" s="2"/>
      <c r="AG575" s="2"/>
      <c r="AH575" s="2"/>
      <c r="AI575" s="2"/>
      <c r="AJ575" s="3"/>
      <c r="AK575" s="2"/>
      <c r="AL575" s="2"/>
      <c r="AM575" s="2"/>
      <c r="AN575" s="2"/>
      <c r="AO575" s="3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3"/>
      <c r="BC575" s="3"/>
      <c r="BD575" s="3"/>
      <c r="BE575" s="3"/>
      <c r="BF575" s="3"/>
      <c r="BG575" s="3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2"/>
      <c r="DI575" s="2"/>
      <c r="DJ575" s="3"/>
      <c r="DK575" s="3"/>
      <c r="DL575" s="2"/>
      <c r="DM575" s="2"/>
      <c r="DN575" s="2"/>
      <c r="DO575" s="3"/>
      <c r="DP575" s="3"/>
      <c r="GO575" t="s">
        <v>139</v>
      </c>
      <c r="GP575" t="s">
        <v>501</v>
      </c>
      <c r="GQ575" t="s">
        <v>502</v>
      </c>
      <c r="GR575">
        <v>55</v>
      </c>
      <c r="GS575">
        <v>54</v>
      </c>
      <c r="GT575">
        <v>1</v>
      </c>
      <c r="GU575" t="s">
        <v>457</v>
      </c>
      <c r="GV575">
        <v>13406453.0704624</v>
      </c>
      <c r="GW575">
        <v>162480609.49698299</v>
      </c>
      <c r="GX575">
        <v>175887062.56744501</v>
      </c>
      <c r="GY575">
        <v>0</v>
      </c>
      <c r="GZ575">
        <v>175887062.56744501</v>
      </c>
      <c r="HA575">
        <v>175887062.56744501</v>
      </c>
      <c r="HB575">
        <v>303000000</v>
      </c>
      <c r="HC575">
        <v>0</v>
      </c>
      <c r="HD575" t="s">
        <v>137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0.02</v>
      </c>
      <c r="HX575">
        <v>0.99098093957577105</v>
      </c>
      <c r="HY575">
        <v>1</v>
      </c>
      <c r="HZ575">
        <v>300000</v>
      </c>
      <c r="IA575">
        <v>0</v>
      </c>
      <c r="IB575">
        <v>0</v>
      </c>
      <c r="IC575">
        <v>0</v>
      </c>
      <c r="ID575">
        <v>272700</v>
      </c>
      <c r="IE575">
        <v>572700</v>
      </c>
      <c r="IF575">
        <v>567534.78409504401</v>
      </c>
      <c r="IG575">
        <v>567534.78409504401</v>
      </c>
      <c r="IH575">
        <v>0</v>
      </c>
      <c r="II575">
        <v>256778.365727347</v>
      </c>
      <c r="IJ575">
        <v>3249612.1899396498</v>
      </c>
      <c r="IK575">
        <v>0</v>
      </c>
      <c r="IL575">
        <v>0</v>
      </c>
      <c r="IM575">
        <v>0</v>
      </c>
      <c r="IN575">
        <v>13095696.652094699</v>
      </c>
      <c r="IO575">
        <v>165730221.68692201</v>
      </c>
      <c r="IP575">
        <v>178825918.339017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</row>
    <row r="576" spans="2:268" customFormat="1" x14ac:dyDescent="0.25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3"/>
      <c r="N576" s="3"/>
      <c r="O576" s="3"/>
      <c r="P576" s="2"/>
      <c r="Q576" s="2"/>
      <c r="R576" s="2"/>
      <c r="S576" s="2"/>
      <c r="T576" s="2"/>
      <c r="U576" s="2"/>
      <c r="V576" s="3"/>
      <c r="W576" s="3"/>
      <c r="X576" s="3"/>
      <c r="Y576" s="3"/>
      <c r="Z576" s="3"/>
      <c r="AA576" s="3"/>
      <c r="AB576" s="3"/>
      <c r="AC576" s="2"/>
      <c r="AD576" s="2"/>
      <c r="AE576" s="2"/>
      <c r="AF576" s="2"/>
      <c r="AG576" s="2"/>
      <c r="AH576" s="2"/>
      <c r="AI576" s="2"/>
      <c r="AJ576" s="3"/>
      <c r="AK576" s="2"/>
      <c r="AL576" s="2"/>
      <c r="AM576" s="2"/>
      <c r="AN576" s="2"/>
      <c r="AO576" s="3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3"/>
      <c r="BC576" s="3"/>
      <c r="BD576" s="3"/>
      <c r="BE576" s="3"/>
      <c r="BF576" s="3"/>
      <c r="BG576" s="3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2"/>
      <c r="DI576" s="2"/>
      <c r="DJ576" s="3"/>
      <c r="DK576" s="3"/>
      <c r="DL576" s="2"/>
      <c r="DM576" s="2"/>
      <c r="DN576" s="2"/>
      <c r="DO576" s="3"/>
      <c r="DP576" s="3"/>
      <c r="GO576" t="s">
        <v>139</v>
      </c>
      <c r="GP576" t="s">
        <v>501</v>
      </c>
      <c r="GQ576" t="s">
        <v>502</v>
      </c>
      <c r="GR576">
        <v>56</v>
      </c>
      <c r="GS576">
        <v>55</v>
      </c>
      <c r="GT576">
        <v>1</v>
      </c>
      <c r="GU576" t="s">
        <v>457</v>
      </c>
      <c r="GV576">
        <v>13095696.652094699</v>
      </c>
      <c r="GW576">
        <v>165730221.68692201</v>
      </c>
      <c r="GX576">
        <v>178825918.339017</v>
      </c>
      <c r="GY576">
        <v>0</v>
      </c>
      <c r="GZ576">
        <v>178825918.339017</v>
      </c>
      <c r="HA576">
        <v>178825918.339017</v>
      </c>
      <c r="HB576">
        <v>303000000</v>
      </c>
      <c r="HC576">
        <v>0</v>
      </c>
      <c r="HD576" t="s">
        <v>137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0.02</v>
      </c>
      <c r="HX576">
        <v>0.99098093957577105</v>
      </c>
      <c r="HY576">
        <v>1</v>
      </c>
      <c r="HZ576">
        <v>300000</v>
      </c>
      <c r="IA576">
        <v>0</v>
      </c>
      <c r="IB576">
        <v>0</v>
      </c>
      <c r="IC576">
        <v>0</v>
      </c>
      <c r="ID576">
        <v>272700</v>
      </c>
      <c r="IE576">
        <v>572700</v>
      </c>
      <c r="IF576">
        <v>567534.78409504401</v>
      </c>
      <c r="IG576">
        <v>567534.78409504401</v>
      </c>
      <c r="IH576">
        <v>0</v>
      </c>
      <c r="II576">
        <v>250563.23735999301</v>
      </c>
      <c r="IJ576">
        <v>3314604.4337384398</v>
      </c>
      <c r="IK576">
        <v>0</v>
      </c>
      <c r="IL576">
        <v>0</v>
      </c>
      <c r="IM576">
        <v>0</v>
      </c>
      <c r="IN576">
        <v>12778725.105359601</v>
      </c>
      <c r="IO576">
        <v>169044826.12066099</v>
      </c>
      <c r="IP576">
        <v>181823551.22602001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</row>
    <row r="577" spans="2:268" customFormat="1" x14ac:dyDescent="0.25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3"/>
      <c r="N577" s="3"/>
      <c r="O577" s="3"/>
      <c r="P577" s="2"/>
      <c r="Q577" s="2"/>
      <c r="R577" s="2"/>
      <c r="S577" s="2"/>
      <c r="T577" s="2"/>
      <c r="U577" s="2"/>
      <c r="V577" s="3"/>
      <c r="W577" s="3"/>
      <c r="X577" s="3"/>
      <c r="Y577" s="3"/>
      <c r="Z577" s="3"/>
      <c r="AA577" s="3"/>
      <c r="AB577" s="3"/>
      <c r="AC577" s="2"/>
      <c r="AD577" s="2"/>
      <c r="AE577" s="2"/>
      <c r="AF577" s="2"/>
      <c r="AG577" s="2"/>
      <c r="AH577" s="2"/>
      <c r="AI577" s="2"/>
      <c r="AJ577" s="3"/>
      <c r="AK577" s="2"/>
      <c r="AL577" s="2"/>
      <c r="AM577" s="2"/>
      <c r="AN577" s="2"/>
      <c r="AO577" s="3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3"/>
      <c r="BC577" s="3"/>
      <c r="BD577" s="3"/>
      <c r="BE577" s="3"/>
      <c r="BF577" s="3"/>
      <c r="BG577" s="3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2"/>
      <c r="DI577" s="2"/>
      <c r="DJ577" s="3"/>
      <c r="DK577" s="3"/>
      <c r="DL577" s="2"/>
      <c r="DM577" s="2"/>
      <c r="DN577" s="2"/>
      <c r="DO577" s="3"/>
      <c r="DP577" s="3"/>
      <c r="GO577" t="s">
        <v>139</v>
      </c>
      <c r="GP577" t="s">
        <v>501</v>
      </c>
      <c r="GQ577" t="s">
        <v>502</v>
      </c>
      <c r="GR577">
        <v>57</v>
      </c>
      <c r="GS577">
        <v>56</v>
      </c>
      <c r="GT577">
        <v>1</v>
      </c>
      <c r="GU577" t="s">
        <v>457</v>
      </c>
      <c r="GV577">
        <v>12778725.105359601</v>
      </c>
      <c r="GW577">
        <v>169044826.12066099</v>
      </c>
      <c r="GX577">
        <v>181823551.22602001</v>
      </c>
      <c r="GY577">
        <v>0</v>
      </c>
      <c r="GZ577">
        <v>181823551.22602001</v>
      </c>
      <c r="HA577">
        <v>181823551.22602001</v>
      </c>
      <c r="HB577">
        <v>303000000</v>
      </c>
      <c r="HC577">
        <v>0</v>
      </c>
      <c r="HD577" t="s">
        <v>137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0.02</v>
      </c>
      <c r="HX577">
        <v>0.99098093957577105</v>
      </c>
      <c r="HY577">
        <v>1</v>
      </c>
      <c r="HZ577">
        <v>300000</v>
      </c>
      <c r="IA577">
        <v>0</v>
      </c>
      <c r="IB577">
        <v>0</v>
      </c>
      <c r="IC577">
        <v>0</v>
      </c>
      <c r="ID577">
        <v>272700</v>
      </c>
      <c r="IE577">
        <v>572700</v>
      </c>
      <c r="IF577">
        <v>567534.78409504401</v>
      </c>
      <c r="IG577">
        <v>567534.78409504401</v>
      </c>
      <c r="IH577">
        <v>0</v>
      </c>
      <c r="II577">
        <v>244223.80642529199</v>
      </c>
      <c r="IJ577">
        <v>3380896.52241321</v>
      </c>
      <c r="IK577">
        <v>0</v>
      </c>
      <c r="IL577">
        <v>0</v>
      </c>
      <c r="IM577">
        <v>0</v>
      </c>
      <c r="IN577">
        <v>12455414.1276899</v>
      </c>
      <c r="IO577">
        <v>172425722.64307401</v>
      </c>
      <c r="IP577">
        <v>184881136.77076399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</row>
    <row r="578" spans="2:268" customFormat="1" x14ac:dyDescent="0.25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3"/>
      <c r="N578" s="3"/>
      <c r="O578" s="3"/>
      <c r="P578" s="2"/>
      <c r="Q578" s="2"/>
      <c r="R578" s="2"/>
      <c r="S578" s="2"/>
      <c r="T578" s="2"/>
      <c r="U578" s="2"/>
      <c r="V578" s="3"/>
      <c r="W578" s="3"/>
      <c r="X578" s="3"/>
      <c r="Y578" s="3"/>
      <c r="Z578" s="3"/>
      <c r="AA578" s="3"/>
      <c r="AB578" s="3"/>
      <c r="AC578" s="2"/>
      <c r="AD578" s="2"/>
      <c r="AE578" s="2"/>
      <c r="AF578" s="2"/>
      <c r="AG578" s="2"/>
      <c r="AH578" s="2"/>
      <c r="AI578" s="2"/>
      <c r="AJ578" s="3"/>
      <c r="AK578" s="2"/>
      <c r="AL578" s="2"/>
      <c r="AM578" s="2"/>
      <c r="AN578" s="2"/>
      <c r="AO578" s="3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3"/>
      <c r="BC578" s="3"/>
      <c r="BD578" s="3"/>
      <c r="BE578" s="3"/>
      <c r="BF578" s="3"/>
      <c r="BG578" s="3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2"/>
      <c r="DI578" s="2"/>
      <c r="DJ578" s="3"/>
      <c r="DK578" s="3"/>
      <c r="DL578" s="2"/>
      <c r="DM578" s="2"/>
      <c r="DN578" s="2"/>
      <c r="DO578" s="3"/>
      <c r="DP578" s="3"/>
      <c r="GO578" t="s">
        <v>139</v>
      </c>
      <c r="GP578" t="s">
        <v>501</v>
      </c>
      <c r="GQ578" t="s">
        <v>502</v>
      </c>
      <c r="GR578">
        <v>58</v>
      </c>
      <c r="GS578">
        <v>57</v>
      </c>
      <c r="GT578">
        <v>1</v>
      </c>
      <c r="GU578" t="s">
        <v>457</v>
      </c>
      <c r="GV578">
        <v>12455414.1276899</v>
      </c>
      <c r="GW578">
        <v>172425722.64307401</v>
      </c>
      <c r="GX578">
        <v>184881136.77076399</v>
      </c>
      <c r="GY578">
        <v>0</v>
      </c>
      <c r="GZ578">
        <v>184881136.77076399</v>
      </c>
      <c r="HA578">
        <v>184881136.77076399</v>
      </c>
      <c r="HB578">
        <v>303000000</v>
      </c>
      <c r="HC578">
        <v>0</v>
      </c>
      <c r="HD578" t="s">
        <v>137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0.02</v>
      </c>
      <c r="HX578">
        <v>0.99098093957577105</v>
      </c>
      <c r="HY578">
        <v>1</v>
      </c>
      <c r="HZ578">
        <v>300000</v>
      </c>
      <c r="IA578">
        <v>0</v>
      </c>
      <c r="IB578">
        <v>0</v>
      </c>
      <c r="IC578">
        <v>0</v>
      </c>
      <c r="ID578">
        <v>272700</v>
      </c>
      <c r="IE578">
        <v>572700</v>
      </c>
      <c r="IF578">
        <v>567534.78409504401</v>
      </c>
      <c r="IG578">
        <v>567534.78409504401</v>
      </c>
      <c r="IH578">
        <v>0</v>
      </c>
      <c r="II578">
        <v>237757.58687189699</v>
      </c>
      <c r="IJ578">
        <v>3448514.4528614799</v>
      </c>
      <c r="IK578">
        <v>0</v>
      </c>
      <c r="IL578">
        <v>0</v>
      </c>
      <c r="IM578">
        <v>0</v>
      </c>
      <c r="IN578">
        <v>12125636.9304667</v>
      </c>
      <c r="IO578">
        <v>175874237.09593499</v>
      </c>
      <c r="IP578">
        <v>187999874.026402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</row>
    <row r="579" spans="2:268" customFormat="1" x14ac:dyDescent="0.25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3"/>
      <c r="N579" s="3"/>
      <c r="O579" s="3"/>
      <c r="P579" s="2"/>
      <c r="Q579" s="2"/>
      <c r="R579" s="2"/>
      <c r="S579" s="2"/>
      <c r="T579" s="2"/>
      <c r="U579" s="2"/>
      <c r="V579" s="3"/>
      <c r="W579" s="3"/>
      <c r="X579" s="3"/>
      <c r="Y579" s="3"/>
      <c r="Z579" s="3"/>
      <c r="AA579" s="3"/>
      <c r="AB579" s="3"/>
      <c r="AC579" s="2"/>
      <c r="AD579" s="2"/>
      <c r="AE579" s="2"/>
      <c r="AF579" s="2"/>
      <c r="AG579" s="2"/>
      <c r="AH579" s="2"/>
      <c r="AI579" s="2"/>
      <c r="AJ579" s="3"/>
      <c r="AK579" s="2"/>
      <c r="AL579" s="2"/>
      <c r="AM579" s="2"/>
      <c r="AN579" s="2"/>
      <c r="AO579" s="3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3"/>
      <c r="BC579" s="3"/>
      <c r="BD579" s="3"/>
      <c r="BE579" s="3"/>
      <c r="BF579" s="3"/>
      <c r="BG579" s="3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2"/>
      <c r="DI579" s="2"/>
      <c r="DJ579" s="3"/>
      <c r="DK579" s="3"/>
      <c r="DL579" s="2"/>
      <c r="DM579" s="2"/>
      <c r="DN579" s="2"/>
      <c r="DO579" s="3"/>
      <c r="DP579" s="3"/>
      <c r="GO579" t="s">
        <v>139</v>
      </c>
      <c r="GP579" t="s">
        <v>501</v>
      </c>
      <c r="GQ579" t="s">
        <v>502</v>
      </c>
      <c r="GR579">
        <v>59</v>
      </c>
      <c r="GS579">
        <v>58</v>
      </c>
      <c r="GT579">
        <v>1</v>
      </c>
      <c r="GU579" t="s">
        <v>457</v>
      </c>
      <c r="GV579">
        <v>12125636.9304667</v>
      </c>
      <c r="GW579">
        <v>175874237.09593499</v>
      </c>
      <c r="GX579">
        <v>187999874.026402</v>
      </c>
      <c r="GY579">
        <v>0</v>
      </c>
      <c r="GZ579">
        <v>187999874.026402</v>
      </c>
      <c r="HA579">
        <v>187999874.026402</v>
      </c>
      <c r="HB579">
        <v>303000000</v>
      </c>
      <c r="HC579">
        <v>0</v>
      </c>
      <c r="HD579" t="s">
        <v>137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0.02</v>
      </c>
      <c r="HX579">
        <v>0.99098093957577105</v>
      </c>
      <c r="HY579">
        <v>1</v>
      </c>
      <c r="HZ579">
        <v>300000</v>
      </c>
      <c r="IA579">
        <v>0</v>
      </c>
      <c r="IB579">
        <v>0</v>
      </c>
      <c r="IC579">
        <v>0</v>
      </c>
      <c r="ID579">
        <v>272700</v>
      </c>
      <c r="IE579">
        <v>572700</v>
      </c>
      <c r="IF579">
        <v>567534.78409504401</v>
      </c>
      <c r="IG579">
        <v>567534.78409504401</v>
      </c>
      <c r="IH579">
        <v>0</v>
      </c>
      <c r="II579">
        <v>231162.042927434</v>
      </c>
      <c r="IJ579">
        <v>3517484.7419187101</v>
      </c>
      <c r="IK579">
        <v>0</v>
      </c>
      <c r="IL579">
        <v>0</v>
      </c>
      <c r="IM579">
        <v>0</v>
      </c>
      <c r="IN579">
        <v>11789264.189299099</v>
      </c>
      <c r="IO579">
        <v>179391721.837854</v>
      </c>
      <c r="IP579">
        <v>191180986.02715299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</row>
    <row r="580" spans="2:268" customFormat="1" x14ac:dyDescent="0.25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3"/>
      <c r="N580" s="3"/>
      <c r="O580" s="3"/>
      <c r="P580" s="2"/>
      <c r="Q580" s="2"/>
      <c r="R580" s="2"/>
      <c r="S580" s="2"/>
      <c r="T580" s="2"/>
      <c r="U580" s="2"/>
      <c r="V580" s="3"/>
      <c r="W580" s="3"/>
      <c r="X580" s="3"/>
      <c r="Y580" s="3"/>
      <c r="Z580" s="3"/>
      <c r="AA580" s="3"/>
      <c r="AB580" s="3"/>
      <c r="AC580" s="2"/>
      <c r="AD580" s="2"/>
      <c r="AE580" s="2"/>
      <c r="AF580" s="2"/>
      <c r="AG580" s="2"/>
      <c r="AH580" s="2"/>
      <c r="AI580" s="2"/>
      <c r="AJ580" s="3"/>
      <c r="AK580" s="2"/>
      <c r="AL580" s="2"/>
      <c r="AM580" s="2"/>
      <c r="AN580" s="2"/>
      <c r="AO580" s="3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3"/>
      <c r="BC580" s="3"/>
      <c r="BD580" s="3"/>
      <c r="BE580" s="3"/>
      <c r="BF580" s="3"/>
      <c r="BG580" s="3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2"/>
      <c r="DI580" s="2"/>
      <c r="DJ580" s="3"/>
      <c r="DK580" s="3"/>
      <c r="DL580" s="2"/>
      <c r="DM580" s="2"/>
      <c r="DN580" s="2"/>
      <c r="DO580" s="3"/>
      <c r="DP580" s="3"/>
      <c r="GO580" t="s">
        <v>139</v>
      </c>
      <c r="GP580" t="s">
        <v>501</v>
      </c>
      <c r="GQ580" t="s">
        <v>502</v>
      </c>
      <c r="GR580">
        <v>60</v>
      </c>
      <c r="GS580">
        <v>59</v>
      </c>
      <c r="GT580">
        <v>1</v>
      </c>
      <c r="GU580" t="s">
        <v>457</v>
      </c>
      <c r="GV580">
        <v>11789264.189299099</v>
      </c>
      <c r="GW580">
        <v>179391721.837854</v>
      </c>
      <c r="GX580">
        <v>191180986.02715299</v>
      </c>
      <c r="GY580">
        <v>0</v>
      </c>
      <c r="GZ580">
        <v>191180986.02715299</v>
      </c>
      <c r="HA580">
        <v>191180986.02715299</v>
      </c>
      <c r="HB580">
        <v>303000000</v>
      </c>
      <c r="HC580">
        <v>0</v>
      </c>
      <c r="HD580" t="s">
        <v>137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0.02</v>
      </c>
      <c r="HX580">
        <v>0.99098093957577105</v>
      </c>
      <c r="HY580">
        <v>1</v>
      </c>
      <c r="HZ580">
        <v>300000</v>
      </c>
      <c r="IA580">
        <v>0</v>
      </c>
      <c r="IB580">
        <v>0</v>
      </c>
      <c r="IC580">
        <v>0</v>
      </c>
      <c r="ID580">
        <v>272700</v>
      </c>
      <c r="IE580">
        <v>572700</v>
      </c>
      <c r="IF580">
        <v>567534.78409504401</v>
      </c>
      <c r="IG580">
        <v>567534.78409504401</v>
      </c>
      <c r="IH580">
        <v>0</v>
      </c>
      <c r="II580">
        <v>224434.58810408201</v>
      </c>
      <c r="IJ580">
        <v>3587834.4367570798</v>
      </c>
      <c r="IK580">
        <v>0</v>
      </c>
      <c r="IL580">
        <v>0</v>
      </c>
      <c r="IM580">
        <v>0</v>
      </c>
      <c r="IN580">
        <v>11446163.9933082</v>
      </c>
      <c r="IO580">
        <v>182979556.274611</v>
      </c>
      <c r="IP580">
        <v>194425720.267919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</row>
    <row r="581" spans="2:268" customFormat="1" x14ac:dyDescent="0.25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3"/>
      <c r="N581" s="3"/>
      <c r="O581" s="3"/>
      <c r="P581" s="2"/>
      <c r="Q581" s="2"/>
      <c r="R581" s="2"/>
      <c r="S581" s="2"/>
      <c r="T581" s="2"/>
      <c r="U581" s="2"/>
      <c r="V581" s="3"/>
      <c r="W581" s="3"/>
      <c r="X581" s="3"/>
      <c r="Y581" s="3"/>
      <c r="Z581" s="3"/>
      <c r="AA581" s="3"/>
      <c r="AB581" s="3"/>
      <c r="AC581" s="2"/>
      <c r="AD581" s="2"/>
      <c r="AE581" s="2"/>
      <c r="AF581" s="2"/>
      <c r="AG581" s="2"/>
      <c r="AH581" s="2"/>
      <c r="AI581" s="2"/>
      <c r="AJ581" s="3"/>
      <c r="AK581" s="2"/>
      <c r="AL581" s="2"/>
      <c r="AM581" s="2"/>
      <c r="AN581" s="2"/>
      <c r="AO581" s="3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3"/>
      <c r="BC581" s="3"/>
      <c r="BD581" s="3"/>
      <c r="BE581" s="3"/>
      <c r="BF581" s="3"/>
      <c r="BG581" s="3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2"/>
      <c r="DI581" s="2"/>
      <c r="DJ581" s="3"/>
      <c r="DK581" s="3"/>
      <c r="DL581" s="2"/>
      <c r="DM581" s="2"/>
      <c r="DN581" s="2"/>
      <c r="DO581" s="3"/>
      <c r="DP581" s="3"/>
      <c r="GO581" t="s">
        <v>139</v>
      </c>
      <c r="GP581" t="s">
        <v>501</v>
      </c>
      <c r="GQ581" t="s">
        <v>502</v>
      </c>
      <c r="GR581">
        <v>61</v>
      </c>
      <c r="GS581">
        <v>60</v>
      </c>
      <c r="GT581">
        <v>1</v>
      </c>
      <c r="GU581" t="s">
        <v>457</v>
      </c>
      <c r="GV581">
        <v>11446163.9933082</v>
      </c>
      <c r="GW581">
        <v>182979556.274611</v>
      </c>
      <c r="GX581">
        <v>194425720.267919</v>
      </c>
      <c r="GY581">
        <v>0</v>
      </c>
      <c r="GZ581">
        <v>194425720.267919</v>
      </c>
      <c r="HA581">
        <v>194425720.267919</v>
      </c>
      <c r="HB581">
        <v>303000000</v>
      </c>
      <c r="HC581">
        <v>0</v>
      </c>
      <c r="HD581" t="s">
        <v>137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0.02</v>
      </c>
      <c r="HX581">
        <v>0.99098093957577105</v>
      </c>
      <c r="HY581">
        <v>1</v>
      </c>
      <c r="HZ581">
        <v>300000</v>
      </c>
      <c r="IA581">
        <v>0</v>
      </c>
      <c r="IB581">
        <v>0</v>
      </c>
      <c r="IC581">
        <v>0</v>
      </c>
      <c r="ID581">
        <v>272700</v>
      </c>
      <c r="IE581">
        <v>572700</v>
      </c>
      <c r="IF581">
        <v>567534.78409504401</v>
      </c>
      <c r="IG581">
        <v>567534.78409504401</v>
      </c>
      <c r="IH581">
        <v>0</v>
      </c>
      <c r="II581">
        <v>217572.584184262</v>
      </c>
      <c r="IJ581">
        <v>3659591.1254922198</v>
      </c>
      <c r="IK581">
        <v>0</v>
      </c>
      <c r="IL581">
        <v>0</v>
      </c>
      <c r="IM581">
        <v>0</v>
      </c>
      <c r="IN581">
        <v>11096201.793397401</v>
      </c>
      <c r="IO581">
        <v>186639147.400103</v>
      </c>
      <c r="IP581">
        <v>197735349.193501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</row>
    <row r="582" spans="2:268" customFormat="1" x14ac:dyDescent="0.25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3"/>
      <c r="N582" s="3"/>
      <c r="O582" s="3"/>
      <c r="P582" s="2"/>
      <c r="Q582" s="2"/>
      <c r="R582" s="2"/>
      <c r="S582" s="2"/>
      <c r="T582" s="2"/>
      <c r="U582" s="2"/>
      <c r="V582" s="3"/>
      <c r="W582" s="3"/>
      <c r="X582" s="3"/>
      <c r="Y582" s="3"/>
      <c r="Z582" s="3"/>
      <c r="AA582" s="3"/>
      <c r="AB582" s="3"/>
      <c r="AC582" s="2"/>
      <c r="AD582" s="2"/>
      <c r="AE582" s="2"/>
      <c r="AF582" s="2"/>
      <c r="AG582" s="2"/>
      <c r="AH582" s="2"/>
      <c r="AI582" s="2"/>
      <c r="AJ582" s="3"/>
      <c r="AK582" s="2"/>
      <c r="AL582" s="2"/>
      <c r="AM582" s="2"/>
      <c r="AN582" s="2"/>
      <c r="AO582" s="3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3"/>
      <c r="BC582" s="3"/>
      <c r="BD582" s="3"/>
      <c r="BE582" s="3"/>
      <c r="BF582" s="3"/>
      <c r="BG582" s="3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2"/>
      <c r="DI582" s="2"/>
      <c r="DJ582" s="3"/>
      <c r="DK582" s="3"/>
      <c r="DL582" s="2"/>
      <c r="DM582" s="2"/>
      <c r="DN582" s="2"/>
      <c r="DO582" s="3"/>
      <c r="DP582" s="3"/>
      <c r="GO582" t="s">
        <v>139</v>
      </c>
      <c r="GP582" t="s">
        <v>501</v>
      </c>
      <c r="GQ582" t="s">
        <v>502</v>
      </c>
      <c r="GR582">
        <v>62</v>
      </c>
      <c r="GS582">
        <v>61</v>
      </c>
      <c r="GT582">
        <v>1</v>
      </c>
      <c r="GU582" t="s">
        <v>457</v>
      </c>
      <c r="GV582">
        <v>11096201.793397401</v>
      </c>
      <c r="GW582">
        <v>186639147.400103</v>
      </c>
      <c r="GX582">
        <v>197735349.193501</v>
      </c>
      <c r="GY582">
        <v>0</v>
      </c>
      <c r="GZ582">
        <v>197735349.193501</v>
      </c>
      <c r="HA582">
        <v>197735349.193501</v>
      </c>
      <c r="HB582">
        <v>303000000</v>
      </c>
      <c r="HC582">
        <v>0</v>
      </c>
      <c r="HD582" t="s">
        <v>137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0.02</v>
      </c>
      <c r="HX582">
        <v>0.99098093957577105</v>
      </c>
      <c r="HY582">
        <v>1</v>
      </c>
      <c r="HZ582">
        <v>300000</v>
      </c>
      <c r="IA582">
        <v>0</v>
      </c>
      <c r="IB582">
        <v>0</v>
      </c>
      <c r="IC582">
        <v>0</v>
      </c>
      <c r="ID582">
        <v>272700</v>
      </c>
      <c r="IE582">
        <v>572700</v>
      </c>
      <c r="IF582">
        <v>567534.78409504401</v>
      </c>
      <c r="IG582">
        <v>567534.78409504401</v>
      </c>
      <c r="IH582">
        <v>0</v>
      </c>
      <c r="II582">
        <v>210573.34018604699</v>
      </c>
      <c r="IJ582">
        <v>3732782.9480020702</v>
      </c>
      <c r="IK582">
        <v>0</v>
      </c>
      <c r="IL582">
        <v>0</v>
      </c>
      <c r="IM582">
        <v>0</v>
      </c>
      <c r="IN582">
        <v>10739240.3494884</v>
      </c>
      <c r="IO582">
        <v>190371930.34810501</v>
      </c>
      <c r="IP582">
        <v>201111170.69759399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</row>
    <row r="583" spans="2:268" customFormat="1" x14ac:dyDescent="0.25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3"/>
      <c r="N583" s="3"/>
      <c r="O583" s="3"/>
      <c r="P583" s="2"/>
      <c r="Q583" s="2"/>
      <c r="R583" s="2"/>
      <c r="S583" s="2"/>
      <c r="T583" s="2"/>
      <c r="U583" s="2"/>
      <c r="V583" s="3"/>
      <c r="W583" s="3"/>
      <c r="X583" s="3"/>
      <c r="Y583" s="3"/>
      <c r="Z583" s="3"/>
      <c r="AA583" s="3"/>
      <c r="AB583" s="3"/>
      <c r="AC583" s="2"/>
      <c r="AD583" s="2"/>
      <c r="AE583" s="2"/>
      <c r="AF583" s="2"/>
      <c r="AG583" s="2"/>
      <c r="AH583" s="2"/>
      <c r="AI583" s="2"/>
      <c r="AJ583" s="3"/>
      <c r="AK583" s="2"/>
      <c r="AL583" s="2"/>
      <c r="AM583" s="2"/>
      <c r="AN583" s="2"/>
      <c r="AO583" s="3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3"/>
      <c r="BC583" s="3"/>
      <c r="BD583" s="3"/>
      <c r="BE583" s="3"/>
      <c r="BF583" s="3"/>
      <c r="BG583" s="3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2"/>
      <c r="DI583" s="2"/>
      <c r="DJ583" s="3"/>
      <c r="DK583" s="3"/>
      <c r="DL583" s="2"/>
      <c r="DM583" s="2"/>
      <c r="DN583" s="2"/>
      <c r="DO583" s="3"/>
      <c r="DP583" s="3"/>
      <c r="GO583" t="s">
        <v>139</v>
      </c>
      <c r="GP583" t="s">
        <v>501</v>
      </c>
      <c r="GQ583" t="s">
        <v>502</v>
      </c>
      <c r="GR583">
        <v>63</v>
      </c>
      <c r="GS583">
        <v>62</v>
      </c>
      <c r="GT583">
        <v>1</v>
      </c>
      <c r="GU583" t="s">
        <v>457</v>
      </c>
      <c r="GV583">
        <v>10739240.3494884</v>
      </c>
      <c r="GW583">
        <v>190371930.34810501</v>
      </c>
      <c r="GX583">
        <v>201111170.69759399</v>
      </c>
      <c r="GY583">
        <v>0</v>
      </c>
      <c r="GZ583">
        <v>201111170.69759399</v>
      </c>
      <c r="HA583">
        <v>201111170.69759399</v>
      </c>
      <c r="HB583">
        <v>303000000</v>
      </c>
      <c r="HC583">
        <v>0</v>
      </c>
      <c r="HD583" t="s">
        <v>137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0.02</v>
      </c>
      <c r="HX583">
        <v>0.99098093957577105</v>
      </c>
      <c r="HY583">
        <v>1</v>
      </c>
      <c r="HZ583">
        <v>300000</v>
      </c>
      <c r="IA583">
        <v>0</v>
      </c>
      <c r="IB583">
        <v>0</v>
      </c>
      <c r="IC583">
        <v>0</v>
      </c>
      <c r="ID583">
        <v>272700</v>
      </c>
      <c r="IE583">
        <v>572700</v>
      </c>
      <c r="IF583">
        <v>567534.78409504401</v>
      </c>
      <c r="IG583">
        <v>567534.78409504401</v>
      </c>
      <c r="IH583">
        <v>0</v>
      </c>
      <c r="II583">
        <v>203434.11130786699</v>
      </c>
      <c r="IJ583">
        <v>3807438.6069621099</v>
      </c>
      <c r="IK583">
        <v>0</v>
      </c>
      <c r="IL583">
        <v>0</v>
      </c>
      <c r="IM583">
        <v>0</v>
      </c>
      <c r="IN583">
        <v>10375139.676701199</v>
      </c>
      <c r="IO583">
        <v>194179368.95506799</v>
      </c>
      <c r="IP583">
        <v>204554508.631769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</row>
    <row r="584" spans="2:268" customFormat="1" x14ac:dyDescent="0.25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3"/>
      <c r="N584" s="3"/>
      <c r="O584" s="3"/>
      <c r="P584" s="2"/>
      <c r="Q584" s="2"/>
      <c r="R584" s="2"/>
      <c r="S584" s="2"/>
      <c r="T584" s="2"/>
      <c r="U584" s="2"/>
      <c r="V584" s="3"/>
      <c r="W584" s="3"/>
      <c r="X584" s="3"/>
      <c r="Y584" s="3"/>
      <c r="Z584" s="3"/>
      <c r="AA584" s="3"/>
      <c r="AB584" s="3"/>
      <c r="AC584" s="2"/>
      <c r="AD584" s="2"/>
      <c r="AE584" s="2"/>
      <c r="AF584" s="2"/>
      <c r="AG584" s="2"/>
      <c r="AH584" s="2"/>
      <c r="AI584" s="2"/>
      <c r="AJ584" s="3"/>
      <c r="AK584" s="2"/>
      <c r="AL584" s="2"/>
      <c r="AM584" s="2"/>
      <c r="AN584" s="2"/>
      <c r="AO584" s="3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3"/>
      <c r="BC584" s="3"/>
      <c r="BD584" s="3"/>
      <c r="BE584" s="3"/>
      <c r="BF584" s="3"/>
      <c r="BG584" s="3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2"/>
      <c r="DI584" s="2"/>
      <c r="DJ584" s="3"/>
      <c r="DK584" s="3"/>
      <c r="DL584" s="2"/>
      <c r="DM584" s="2"/>
      <c r="DN584" s="2"/>
      <c r="DO584" s="3"/>
      <c r="DP584" s="3"/>
      <c r="GO584" t="s">
        <v>139</v>
      </c>
      <c r="GP584" t="s">
        <v>501</v>
      </c>
      <c r="GQ584" t="s">
        <v>502</v>
      </c>
      <c r="GR584">
        <v>64</v>
      </c>
      <c r="GS584">
        <v>63</v>
      </c>
      <c r="GT584">
        <v>1</v>
      </c>
      <c r="GU584" t="s">
        <v>457</v>
      </c>
      <c r="GV584">
        <v>10375139.676701199</v>
      </c>
      <c r="GW584">
        <v>194179368.95506799</v>
      </c>
      <c r="GX584">
        <v>204554508.631769</v>
      </c>
      <c r="GY584">
        <v>0</v>
      </c>
      <c r="GZ584">
        <v>204554508.631769</v>
      </c>
      <c r="HA584">
        <v>204554508.631769</v>
      </c>
      <c r="HB584">
        <v>303000000</v>
      </c>
      <c r="HC584">
        <v>0</v>
      </c>
      <c r="HD584" t="s">
        <v>137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0.02</v>
      </c>
      <c r="HX584">
        <v>0.99098093957577105</v>
      </c>
      <c r="HY584">
        <v>1</v>
      </c>
      <c r="HZ584">
        <v>300000</v>
      </c>
      <c r="IA584">
        <v>0</v>
      </c>
      <c r="IB584">
        <v>0</v>
      </c>
      <c r="IC584">
        <v>0</v>
      </c>
      <c r="ID584">
        <v>272700</v>
      </c>
      <c r="IE584">
        <v>572700</v>
      </c>
      <c r="IF584">
        <v>567534.78409504401</v>
      </c>
      <c r="IG584">
        <v>567534.78409504401</v>
      </c>
      <c r="IH584">
        <v>0</v>
      </c>
      <c r="II584">
        <v>196152.097852123</v>
      </c>
      <c r="IJ584">
        <v>3883587.37910135</v>
      </c>
      <c r="IK584">
        <v>0</v>
      </c>
      <c r="IL584">
        <v>0</v>
      </c>
      <c r="IM584">
        <v>0</v>
      </c>
      <c r="IN584">
        <v>10003756.9904583</v>
      </c>
      <c r="IO584">
        <v>198062956.334169</v>
      </c>
      <c r="IP584">
        <v>208066713.32462701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</row>
    <row r="585" spans="2:268" customFormat="1" x14ac:dyDescent="0.25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3"/>
      <c r="N585" s="3"/>
      <c r="O585" s="3"/>
      <c r="P585" s="2"/>
      <c r="Q585" s="2"/>
      <c r="R585" s="2"/>
      <c r="S585" s="2"/>
      <c r="T585" s="2"/>
      <c r="U585" s="2"/>
      <c r="V585" s="3"/>
      <c r="W585" s="3"/>
      <c r="X585" s="3"/>
      <c r="Y585" s="3"/>
      <c r="Z585" s="3"/>
      <c r="AA585" s="3"/>
      <c r="AB585" s="3"/>
      <c r="AC585" s="2"/>
      <c r="AD585" s="2"/>
      <c r="AE585" s="2"/>
      <c r="AF585" s="2"/>
      <c r="AG585" s="2"/>
      <c r="AH585" s="2"/>
      <c r="AI585" s="2"/>
      <c r="AJ585" s="3"/>
      <c r="AK585" s="2"/>
      <c r="AL585" s="2"/>
      <c r="AM585" s="2"/>
      <c r="AN585" s="2"/>
      <c r="AO585" s="3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3"/>
      <c r="BC585" s="3"/>
      <c r="BD585" s="3"/>
      <c r="BE585" s="3"/>
      <c r="BF585" s="3"/>
      <c r="BG585" s="3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2"/>
      <c r="DI585" s="2"/>
      <c r="DJ585" s="3"/>
      <c r="DK585" s="3"/>
      <c r="DL585" s="2"/>
      <c r="DM585" s="2"/>
      <c r="DN585" s="2"/>
      <c r="DO585" s="3"/>
      <c r="DP585" s="3"/>
      <c r="GO585" t="s">
        <v>139</v>
      </c>
      <c r="GP585" t="s">
        <v>501</v>
      </c>
      <c r="GQ585" t="s">
        <v>502</v>
      </c>
      <c r="GR585">
        <v>65</v>
      </c>
      <c r="GS585">
        <v>64</v>
      </c>
      <c r="GT585">
        <v>1</v>
      </c>
      <c r="GU585" t="s">
        <v>457</v>
      </c>
      <c r="GV585">
        <v>10003756.9904583</v>
      </c>
      <c r="GW585">
        <v>198062956.334169</v>
      </c>
      <c r="GX585">
        <v>208066713.32462701</v>
      </c>
      <c r="GY585">
        <v>0</v>
      </c>
      <c r="GZ585">
        <v>208066713.32462701</v>
      </c>
      <c r="HA585">
        <v>208066713.32462701</v>
      </c>
      <c r="HB585">
        <v>303000000</v>
      </c>
      <c r="HC585">
        <v>0</v>
      </c>
      <c r="HD585" t="s">
        <v>137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0.02</v>
      </c>
      <c r="HX585">
        <v>0.99098093957577105</v>
      </c>
      <c r="HY585">
        <v>1</v>
      </c>
      <c r="HZ585">
        <v>300000</v>
      </c>
      <c r="IA585">
        <v>0</v>
      </c>
      <c r="IB585">
        <v>0</v>
      </c>
      <c r="IC585">
        <v>0</v>
      </c>
      <c r="ID585">
        <v>272700</v>
      </c>
      <c r="IE585">
        <v>572700</v>
      </c>
      <c r="IF585">
        <v>567534.78409504401</v>
      </c>
      <c r="IG585">
        <v>567534.78409504401</v>
      </c>
      <c r="IH585">
        <v>0</v>
      </c>
      <c r="II585">
        <v>188724.44412726499</v>
      </c>
      <c r="IJ585">
        <v>3961259.12668338</v>
      </c>
      <c r="IK585">
        <v>0</v>
      </c>
      <c r="IL585">
        <v>0</v>
      </c>
      <c r="IM585">
        <v>0</v>
      </c>
      <c r="IN585">
        <v>9624946.6504905093</v>
      </c>
      <c r="IO585">
        <v>202024215.460852</v>
      </c>
      <c r="IP585">
        <v>211649162.111343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</row>
    <row r="586" spans="2:268" customFormat="1" x14ac:dyDescent="0.25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3"/>
      <c r="N586" s="3"/>
      <c r="O586" s="3"/>
      <c r="P586" s="2"/>
      <c r="Q586" s="2"/>
      <c r="R586" s="2"/>
      <c r="S586" s="2"/>
      <c r="T586" s="2"/>
      <c r="U586" s="2"/>
      <c r="V586" s="3"/>
      <c r="W586" s="3"/>
      <c r="X586" s="3"/>
      <c r="Y586" s="3"/>
      <c r="Z586" s="3"/>
      <c r="AA586" s="3"/>
      <c r="AB586" s="3"/>
      <c r="AC586" s="2"/>
      <c r="AD586" s="2"/>
      <c r="AE586" s="2"/>
      <c r="AF586" s="2"/>
      <c r="AG586" s="2"/>
      <c r="AH586" s="2"/>
      <c r="AI586" s="2"/>
      <c r="AJ586" s="3"/>
      <c r="AK586" s="2"/>
      <c r="AL586" s="2"/>
      <c r="AM586" s="2"/>
      <c r="AN586" s="2"/>
      <c r="AO586" s="3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3"/>
      <c r="BC586" s="3"/>
      <c r="BD586" s="3"/>
      <c r="BE586" s="3"/>
      <c r="BF586" s="3"/>
      <c r="BG586" s="3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2"/>
      <c r="DI586" s="2"/>
      <c r="DJ586" s="3"/>
      <c r="DK586" s="3"/>
      <c r="DL586" s="2"/>
      <c r="DM586" s="2"/>
      <c r="DN586" s="2"/>
      <c r="DO586" s="3"/>
      <c r="DP586" s="3"/>
      <c r="GO586" t="s">
        <v>139</v>
      </c>
      <c r="GP586" t="s">
        <v>501</v>
      </c>
      <c r="GQ586" t="s">
        <v>502</v>
      </c>
      <c r="GR586">
        <v>66</v>
      </c>
      <c r="GS586">
        <v>65</v>
      </c>
      <c r="GT586">
        <v>1</v>
      </c>
      <c r="GU586" t="s">
        <v>457</v>
      </c>
      <c r="GV586">
        <v>9624946.6504905093</v>
      </c>
      <c r="GW586">
        <v>202024215.460852</v>
      </c>
      <c r="GX586">
        <v>211649162.111343</v>
      </c>
      <c r="GY586">
        <v>0</v>
      </c>
      <c r="GZ586">
        <v>211649162.111343</v>
      </c>
      <c r="HA586">
        <v>211649162.111343</v>
      </c>
      <c r="HB586">
        <v>303000000</v>
      </c>
      <c r="HC586">
        <v>0</v>
      </c>
      <c r="HD586" t="s">
        <v>137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0.02</v>
      </c>
      <c r="HX586">
        <v>0.99098093957577105</v>
      </c>
      <c r="HY586">
        <v>1</v>
      </c>
      <c r="HZ586">
        <v>300000</v>
      </c>
      <c r="IA586">
        <v>0</v>
      </c>
      <c r="IB586">
        <v>0</v>
      </c>
      <c r="IC586">
        <v>0</v>
      </c>
      <c r="ID586">
        <v>272700</v>
      </c>
      <c r="IE586">
        <v>572700</v>
      </c>
      <c r="IF586">
        <v>567534.78409504401</v>
      </c>
      <c r="IG586">
        <v>567534.78409504401</v>
      </c>
      <c r="IH586">
        <v>0</v>
      </c>
      <c r="II586">
        <v>181148.23732790901</v>
      </c>
      <c r="IJ586">
        <v>4040484.30921704</v>
      </c>
      <c r="IK586">
        <v>0</v>
      </c>
      <c r="IL586">
        <v>0</v>
      </c>
      <c r="IM586">
        <v>0</v>
      </c>
      <c r="IN586">
        <v>9238560.1037233695</v>
      </c>
      <c r="IO586">
        <v>206064699.770069</v>
      </c>
      <c r="IP586">
        <v>215303259.87379301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</row>
    <row r="587" spans="2:268" customFormat="1" x14ac:dyDescent="0.25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3"/>
      <c r="N587" s="3"/>
      <c r="O587" s="3"/>
      <c r="P587" s="2"/>
      <c r="Q587" s="2"/>
      <c r="R587" s="2"/>
      <c r="S587" s="2"/>
      <c r="T587" s="2"/>
      <c r="U587" s="2"/>
      <c r="V587" s="3"/>
      <c r="W587" s="3"/>
      <c r="X587" s="3"/>
      <c r="Y587" s="3"/>
      <c r="Z587" s="3"/>
      <c r="AA587" s="3"/>
      <c r="AB587" s="3"/>
      <c r="AC587" s="2"/>
      <c r="AD587" s="2"/>
      <c r="AE587" s="2"/>
      <c r="AF587" s="2"/>
      <c r="AG587" s="2"/>
      <c r="AH587" s="2"/>
      <c r="AI587" s="2"/>
      <c r="AJ587" s="3"/>
      <c r="AK587" s="2"/>
      <c r="AL587" s="2"/>
      <c r="AM587" s="2"/>
      <c r="AN587" s="2"/>
      <c r="AO587" s="3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3"/>
      <c r="BC587" s="3"/>
      <c r="BD587" s="3"/>
      <c r="BE587" s="3"/>
      <c r="BF587" s="3"/>
      <c r="BG587" s="3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2"/>
      <c r="DI587" s="2"/>
      <c r="DJ587" s="3"/>
      <c r="DK587" s="3"/>
      <c r="DL587" s="2"/>
      <c r="DM587" s="2"/>
      <c r="DN587" s="2"/>
      <c r="DO587" s="3"/>
      <c r="DP587" s="3"/>
      <c r="GO587" t="s">
        <v>139</v>
      </c>
      <c r="GP587" t="s">
        <v>501</v>
      </c>
      <c r="GQ587" t="s">
        <v>502</v>
      </c>
      <c r="GR587">
        <v>67</v>
      </c>
      <c r="GS587">
        <v>66</v>
      </c>
      <c r="GT587">
        <v>1</v>
      </c>
      <c r="GU587" t="s">
        <v>457</v>
      </c>
      <c r="GV587">
        <v>9238560.1037233695</v>
      </c>
      <c r="GW587">
        <v>206064699.770069</v>
      </c>
      <c r="GX587">
        <v>215303259.87379301</v>
      </c>
      <c r="GY587">
        <v>0</v>
      </c>
      <c r="GZ587">
        <v>215303259.87379301</v>
      </c>
      <c r="HA587">
        <v>215303259.87379301</v>
      </c>
      <c r="HB587">
        <v>0</v>
      </c>
      <c r="HC587">
        <v>0</v>
      </c>
      <c r="HD587" t="s">
        <v>137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0.02</v>
      </c>
      <c r="HX587">
        <v>0.99098093957577105</v>
      </c>
      <c r="HY587">
        <v>1</v>
      </c>
      <c r="HZ587">
        <v>300000</v>
      </c>
      <c r="IA587">
        <v>0</v>
      </c>
      <c r="IB587">
        <v>0</v>
      </c>
      <c r="IC587">
        <v>0</v>
      </c>
      <c r="ID587">
        <v>0</v>
      </c>
      <c r="IE587">
        <v>300000</v>
      </c>
      <c r="IF587">
        <v>297294.28187273099</v>
      </c>
      <c r="IG587">
        <v>297294.28187273099</v>
      </c>
      <c r="IH587">
        <v>0</v>
      </c>
      <c r="II587">
        <v>178825.31643701301</v>
      </c>
      <c r="IJ587">
        <v>4121293.9954013899</v>
      </c>
      <c r="IK587">
        <v>0</v>
      </c>
      <c r="IL587">
        <v>0</v>
      </c>
      <c r="IM587">
        <v>0</v>
      </c>
      <c r="IN587">
        <v>9120091.1382876504</v>
      </c>
      <c r="IO587">
        <v>210185993.76547101</v>
      </c>
      <c r="IP587">
        <v>219306084.90375799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</row>
    <row r="588" spans="2:268" customFormat="1" x14ac:dyDescent="0.25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3"/>
      <c r="N588" s="3"/>
      <c r="O588" s="3"/>
      <c r="P588" s="2"/>
      <c r="Q588" s="2"/>
      <c r="R588" s="2"/>
      <c r="S588" s="2"/>
      <c r="T588" s="2"/>
      <c r="U588" s="2"/>
      <c r="V588" s="3"/>
      <c r="W588" s="3"/>
      <c r="X588" s="3"/>
      <c r="Y588" s="3"/>
      <c r="Z588" s="3"/>
      <c r="AA588" s="3"/>
      <c r="AB588" s="3"/>
      <c r="AC588" s="2"/>
      <c r="AD588" s="2"/>
      <c r="AE588" s="2"/>
      <c r="AF588" s="2"/>
      <c r="AG588" s="2"/>
      <c r="AH588" s="2"/>
      <c r="AI588" s="2"/>
      <c r="AJ588" s="3"/>
      <c r="AK588" s="2"/>
      <c r="AL588" s="2"/>
      <c r="AM588" s="2"/>
      <c r="AN588" s="2"/>
      <c r="AO588" s="3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3"/>
      <c r="BC588" s="3"/>
      <c r="BD588" s="3"/>
      <c r="BE588" s="3"/>
      <c r="BF588" s="3"/>
      <c r="BG588" s="3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2"/>
      <c r="DI588" s="2"/>
      <c r="DJ588" s="3"/>
      <c r="DK588" s="3"/>
      <c r="DL588" s="2"/>
      <c r="DM588" s="2"/>
      <c r="DN588" s="2"/>
      <c r="DO588" s="3"/>
      <c r="DP588" s="3"/>
      <c r="GO588" t="s">
        <v>139</v>
      </c>
      <c r="GP588" t="s">
        <v>501</v>
      </c>
      <c r="GQ588" t="s">
        <v>502</v>
      </c>
      <c r="GR588">
        <v>68</v>
      </c>
      <c r="GS588">
        <v>67</v>
      </c>
      <c r="GT588">
        <v>1</v>
      </c>
      <c r="GU588" t="s">
        <v>457</v>
      </c>
      <c r="GV588">
        <v>9120091.1382876504</v>
      </c>
      <c r="GW588">
        <v>210185993.76547101</v>
      </c>
      <c r="GX588">
        <v>219306084.90375799</v>
      </c>
      <c r="GY588">
        <v>0</v>
      </c>
      <c r="GZ588">
        <v>219306084.90375799</v>
      </c>
      <c r="HA588">
        <v>219306084.90375799</v>
      </c>
      <c r="HB588">
        <v>0</v>
      </c>
      <c r="HC588">
        <v>0</v>
      </c>
      <c r="HD588" t="s">
        <v>137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0.02</v>
      </c>
      <c r="HX588">
        <v>0.99098093957577105</v>
      </c>
      <c r="HY588">
        <v>1</v>
      </c>
      <c r="HZ588">
        <v>300000</v>
      </c>
      <c r="IA588">
        <v>0</v>
      </c>
      <c r="IB588">
        <v>0</v>
      </c>
      <c r="IC588">
        <v>0</v>
      </c>
      <c r="ID588">
        <v>0</v>
      </c>
      <c r="IE588">
        <v>300000</v>
      </c>
      <c r="IF588">
        <v>297294.28187273099</v>
      </c>
      <c r="IG588">
        <v>297294.28187273099</v>
      </c>
      <c r="IH588">
        <v>0</v>
      </c>
      <c r="II588">
        <v>176455.93712829801</v>
      </c>
      <c r="IJ588">
        <v>4203719.8753094096</v>
      </c>
      <c r="IK588">
        <v>0</v>
      </c>
      <c r="IL588">
        <v>0</v>
      </c>
      <c r="IM588">
        <v>0</v>
      </c>
      <c r="IN588">
        <v>8999252.7935432196</v>
      </c>
      <c r="IO588">
        <v>214389713.64078</v>
      </c>
      <c r="IP588">
        <v>223388966.43432301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</row>
    <row r="589" spans="2:268" customFormat="1" x14ac:dyDescent="0.25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3"/>
      <c r="N589" s="3"/>
      <c r="O589" s="3"/>
      <c r="P589" s="2"/>
      <c r="Q589" s="2"/>
      <c r="R589" s="2"/>
      <c r="S589" s="2"/>
      <c r="T589" s="2"/>
      <c r="U589" s="2"/>
      <c r="V589" s="3"/>
      <c r="W589" s="3"/>
      <c r="X589" s="3"/>
      <c r="Y589" s="3"/>
      <c r="Z589" s="3"/>
      <c r="AA589" s="3"/>
      <c r="AB589" s="3"/>
      <c r="AC589" s="2"/>
      <c r="AD589" s="2"/>
      <c r="AE589" s="2"/>
      <c r="AF589" s="2"/>
      <c r="AG589" s="2"/>
      <c r="AH589" s="2"/>
      <c r="AI589" s="2"/>
      <c r="AJ589" s="3"/>
      <c r="AK589" s="2"/>
      <c r="AL589" s="2"/>
      <c r="AM589" s="2"/>
      <c r="AN589" s="2"/>
      <c r="AO589" s="3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3"/>
      <c r="BC589" s="3"/>
      <c r="BD589" s="3"/>
      <c r="BE589" s="3"/>
      <c r="BF589" s="3"/>
      <c r="BG589" s="3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2"/>
      <c r="DI589" s="2"/>
      <c r="DJ589" s="3"/>
      <c r="DK589" s="3"/>
      <c r="DL589" s="2"/>
      <c r="DM589" s="2"/>
      <c r="DN589" s="2"/>
      <c r="DO589" s="3"/>
      <c r="DP589" s="3"/>
      <c r="GO589" t="s">
        <v>139</v>
      </c>
      <c r="GP589" t="s">
        <v>501</v>
      </c>
      <c r="GQ589" t="s">
        <v>502</v>
      </c>
      <c r="GR589">
        <v>69</v>
      </c>
      <c r="GS589">
        <v>68</v>
      </c>
      <c r="GT589">
        <v>1</v>
      </c>
      <c r="GU589" t="s">
        <v>457</v>
      </c>
      <c r="GV589">
        <v>8999252.7935432196</v>
      </c>
      <c r="GW589">
        <v>214389713.64078</v>
      </c>
      <c r="GX589">
        <v>223388966.43432301</v>
      </c>
      <c r="GY589">
        <v>0</v>
      </c>
      <c r="GZ589">
        <v>223388966.43432301</v>
      </c>
      <c r="HA589">
        <v>223388966.43432301</v>
      </c>
      <c r="HB589">
        <v>0</v>
      </c>
      <c r="HC589">
        <v>0</v>
      </c>
      <c r="HD589" t="s">
        <v>137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0.02</v>
      </c>
      <c r="HX589">
        <v>0.99098093957577105</v>
      </c>
      <c r="HY589">
        <v>1</v>
      </c>
      <c r="HZ589">
        <v>300000</v>
      </c>
      <c r="IA589">
        <v>0</v>
      </c>
      <c r="IB589">
        <v>0</v>
      </c>
      <c r="IC589">
        <v>0</v>
      </c>
      <c r="ID589">
        <v>0</v>
      </c>
      <c r="IE589">
        <v>300000</v>
      </c>
      <c r="IF589">
        <v>297294.28187273099</v>
      </c>
      <c r="IG589">
        <v>297294.28187273099</v>
      </c>
      <c r="IH589">
        <v>0</v>
      </c>
      <c r="II589">
        <v>174039.17023341</v>
      </c>
      <c r="IJ589">
        <v>4287794.2728156</v>
      </c>
      <c r="IK589">
        <v>0</v>
      </c>
      <c r="IL589">
        <v>0</v>
      </c>
      <c r="IM589">
        <v>0</v>
      </c>
      <c r="IN589">
        <v>8875997.6819039006</v>
      </c>
      <c r="IO589">
        <v>218677507.913596</v>
      </c>
      <c r="IP589">
        <v>227553505.59549999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</row>
    <row r="590" spans="2:268" customFormat="1" x14ac:dyDescent="0.25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3"/>
      <c r="N590" s="3"/>
      <c r="O590" s="3"/>
      <c r="P590" s="2"/>
      <c r="Q590" s="2"/>
      <c r="R590" s="2"/>
      <c r="S590" s="2"/>
      <c r="T590" s="2"/>
      <c r="U590" s="2"/>
      <c r="V590" s="3"/>
      <c r="W590" s="3"/>
      <c r="X590" s="3"/>
      <c r="Y590" s="3"/>
      <c r="Z590" s="3"/>
      <c r="AA590" s="3"/>
      <c r="AB590" s="3"/>
      <c r="AC590" s="2"/>
      <c r="AD590" s="2"/>
      <c r="AE590" s="2"/>
      <c r="AF590" s="2"/>
      <c r="AG590" s="2"/>
      <c r="AH590" s="2"/>
      <c r="AI590" s="2"/>
      <c r="AJ590" s="3"/>
      <c r="AK590" s="2"/>
      <c r="AL590" s="2"/>
      <c r="AM590" s="2"/>
      <c r="AN590" s="2"/>
      <c r="AO590" s="3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3"/>
      <c r="BC590" s="3"/>
      <c r="BD590" s="3"/>
      <c r="BE590" s="3"/>
      <c r="BF590" s="3"/>
      <c r="BG590" s="3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2"/>
      <c r="DI590" s="2"/>
      <c r="DJ590" s="3"/>
      <c r="DK590" s="3"/>
      <c r="DL590" s="2"/>
      <c r="DM590" s="2"/>
      <c r="DN590" s="2"/>
      <c r="DO590" s="3"/>
      <c r="DP590" s="3"/>
      <c r="GO590" t="s">
        <v>139</v>
      </c>
      <c r="GP590" t="s">
        <v>501</v>
      </c>
      <c r="GQ590" t="s">
        <v>502</v>
      </c>
      <c r="GR590">
        <v>70</v>
      </c>
      <c r="GS590">
        <v>69</v>
      </c>
      <c r="GT590">
        <v>1</v>
      </c>
      <c r="GU590" t="s">
        <v>457</v>
      </c>
      <c r="GV590">
        <v>8875997.6819039006</v>
      </c>
      <c r="GW590">
        <v>218677507.913596</v>
      </c>
      <c r="GX590">
        <v>227553505.59549999</v>
      </c>
      <c r="GY590">
        <v>0</v>
      </c>
      <c r="GZ590">
        <v>227553505.59549999</v>
      </c>
      <c r="HA590">
        <v>227553505.59549999</v>
      </c>
      <c r="HB590">
        <v>0</v>
      </c>
      <c r="HC590">
        <v>0</v>
      </c>
      <c r="HD590" t="s">
        <v>137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0.02</v>
      </c>
      <c r="HX590">
        <v>0.99098093957577105</v>
      </c>
      <c r="HY590">
        <v>1</v>
      </c>
      <c r="HZ590">
        <v>300000</v>
      </c>
      <c r="IA590">
        <v>0</v>
      </c>
      <c r="IB590">
        <v>0</v>
      </c>
      <c r="IC590">
        <v>0</v>
      </c>
      <c r="ID590">
        <v>0</v>
      </c>
      <c r="IE590">
        <v>300000</v>
      </c>
      <c r="IF590">
        <v>297294.28187273099</v>
      </c>
      <c r="IG590">
        <v>297294.28187273099</v>
      </c>
      <c r="IH590">
        <v>0</v>
      </c>
      <c r="II590">
        <v>171574.068000623</v>
      </c>
      <c r="IJ590">
        <v>4373550.1582719097</v>
      </c>
      <c r="IK590">
        <v>0</v>
      </c>
      <c r="IL590">
        <v>0</v>
      </c>
      <c r="IM590">
        <v>0</v>
      </c>
      <c r="IN590">
        <v>8750277.4680317901</v>
      </c>
      <c r="IO590">
        <v>223051058.071868</v>
      </c>
      <c r="IP590">
        <v>231801335.53989899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</row>
    <row r="591" spans="2:268" customFormat="1" x14ac:dyDescent="0.25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3"/>
      <c r="N591" s="3"/>
      <c r="O591" s="3"/>
      <c r="P591" s="2"/>
      <c r="Q591" s="2"/>
      <c r="R591" s="2"/>
      <c r="S591" s="2"/>
      <c r="T591" s="2"/>
      <c r="U591" s="2"/>
      <c r="V591" s="3"/>
      <c r="W591" s="3"/>
      <c r="X591" s="3"/>
      <c r="Y591" s="3"/>
      <c r="Z591" s="3"/>
      <c r="AA591" s="3"/>
      <c r="AB591" s="3"/>
      <c r="AC591" s="2"/>
      <c r="AD591" s="2"/>
      <c r="AE591" s="2"/>
      <c r="AF591" s="2"/>
      <c r="AG591" s="2"/>
      <c r="AH591" s="2"/>
      <c r="AI591" s="2"/>
      <c r="AJ591" s="3"/>
      <c r="AK591" s="2"/>
      <c r="AL591" s="2"/>
      <c r="AM591" s="2"/>
      <c r="AN591" s="2"/>
      <c r="AO591" s="3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3"/>
      <c r="BC591" s="3"/>
      <c r="BD591" s="3"/>
      <c r="BE591" s="3"/>
      <c r="BF591" s="3"/>
      <c r="BG591" s="3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2"/>
      <c r="DI591" s="2"/>
      <c r="DJ591" s="3"/>
      <c r="DK591" s="3"/>
      <c r="DL591" s="2"/>
      <c r="DM591" s="2"/>
      <c r="DN591" s="2"/>
      <c r="DO591" s="3"/>
      <c r="DP591" s="3"/>
      <c r="GO591" t="s">
        <v>139</v>
      </c>
      <c r="GP591" t="s">
        <v>501</v>
      </c>
      <c r="GQ591" t="s">
        <v>502</v>
      </c>
      <c r="GR591">
        <v>71</v>
      </c>
      <c r="GS591">
        <v>70</v>
      </c>
      <c r="GT591">
        <v>1</v>
      </c>
      <c r="GU591" t="s">
        <v>457</v>
      </c>
      <c r="GV591">
        <v>8750277.4680317901</v>
      </c>
      <c r="GW591">
        <v>223051058.071868</v>
      </c>
      <c r="GX591">
        <v>231801335.53989899</v>
      </c>
      <c r="GY591">
        <v>0</v>
      </c>
      <c r="GZ591">
        <v>231801335.53989899</v>
      </c>
      <c r="HA591">
        <v>231801335.53989899</v>
      </c>
      <c r="HB591">
        <v>0</v>
      </c>
      <c r="HC591">
        <v>0</v>
      </c>
      <c r="HD591" t="s">
        <v>137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0.02</v>
      </c>
      <c r="HX591">
        <v>0.99098093957577105</v>
      </c>
      <c r="HY591">
        <v>1</v>
      </c>
      <c r="HZ591">
        <v>300000</v>
      </c>
      <c r="IA591">
        <v>0</v>
      </c>
      <c r="IB591">
        <v>0</v>
      </c>
      <c r="IC591">
        <v>0</v>
      </c>
      <c r="ID591">
        <v>0</v>
      </c>
      <c r="IE591">
        <v>300000</v>
      </c>
      <c r="IF591">
        <v>297294.28187273099</v>
      </c>
      <c r="IG591">
        <v>297294.28187273099</v>
      </c>
      <c r="IH591">
        <v>0</v>
      </c>
      <c r="II591">
        <v>169059.663723181</v>
      </c>
      <c r="IJ591">
        <v>4461021.1614373503</v>
      </c>
      <c r="IK591">
        <v>0</v>
      </c>
      <c r="IL591">
        <v>0</v>
      </c>
      <c r="IM591">
        <v>0</v>
      </c>
      <c r="IN591">
        <v>8622042.8498822507</v>
      </c>
      <c r="IO591">
        <v>227512079.23330501</v>
      </c>
      <c r="IP591">
        <v>236134122.08318701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</row>
    <row r="592" spans="2:268" customFormat="1" x14ac:dyDescent="0.25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3"/>
      <c r="N592" s="3"/>
      <c r="O592" s="3"/>
      <c r="P592" s="2"/>
      <c r="Q592" s="2"/>
      <c r="R592" s="2"/>
      <c r="S592" s="2"/>
      <c r="T592" s="2"/>
      <c r="U592" s="2"/>
      <c r="V592" s="3"/>
      <c r="W592" s="3"/>
      <c r="X592" s="3"/>
      <c r="Y592" s="3"/>
      <c r="Z592" s="3"/>
      <c r="AA592" s="3"/>
      <c r="AB592" s="3"/>
      <c r="AC592" s="2"/>
      <c r="AD592" s="2"/>
      <c r="AE592" s="2"/>
      <c r="AF592" s="2"/>
      <c r="AG592" s="2"/>
      <c r="AH592" s="2"/>
      <c r="AI592" s="2"/>
      <c r="AJ592" s="3"/>
      <c r="AK592" s="2"/>
      <c r="AL592" s="2"/>
      <c r="AM592" s="2"/>
      <c r="AN592" s="2"/>
      <c r="AO592" s="3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3"/>
      <c r="BC592" s="3"/>
      <c r="BD592" s="3"/>
      <c r="BE592" s="3"/>
      <c r="BF592" s="3"/>
      <c r="BG592" s="3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2"/>
      <c r="DI592" s="2"/>
      <c r="DJ592" s="3"/>
      <c r="DK592" s="3"/>
      <c r="DL592" s="2"/>
      <c r="DM592" s="2"/>
      <c r="DN592" s="2"/>
      <c r="DO592" s="3"/>
      <c r="DP592" s="3"/>
      <c r="GO592" t="s">
        <v>139</v>
      </c>
      <c r="GP592" t="s">
        <v>501</v>
      </c>
      <c r="GQ592" t="s">
        <v>502</v>
      </c>
      <c r="GR592">
        <v>72</v>
      </c>
      <c r="GS592">
        <v>71</v>
      </c>
      <c r="GT592">
        <v>1</v>
      </c>
      <c r="GU592" t="s">
        <v>457</v>
      </c>
      <c r="GV592">
        <v>8622042.8498822507</v>
      </c>
      <c r="GW592">
        <v>227512079.23330501</v>
      </c>
      <c r="GX592">
        <v>236134122.08318701</v>
      </c>
      <c r="GY592">
        <v>0</v>
      </c>
      <c r="GZ592">
        <v>236134122.08318701</v>
      </c>
      <c r="HA592">
        <v>236134122.08318701</v>
      </c>
      <c r="HB592">
        <v>0</v>
      </c>
      <c r="HC592">
        <v>0</v>
      </c>
      <c r="HD592" t="s">
        <v>137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0.02</v>
      </c>
      <c r="HX592">
        <v>0.99098093957577105</v>
      </c>
      <c r="HY592">
        <v>1</v>
      </c>
      <c r="HZ592">
        <v>300000</v>
      </c>
      <c r="IA592">
        <v>0</v>
      </c>
      <c r="IB592">
        <v>0</v>
      </c>
      <c r="IC592">
        <v>0</v>
      </c>
      <c r="ID592">
        <v>0</v>
      </c>
      <c r="IE592">
        <v>300000</v>
      </c>
      <c r="IF592">
        <v>297294.28187273099</v>
      </c>
      <c r="IG592">
        <v>297294.28187273099</v>
      </c>
      <c r="IH592">
        <v>0</v>
      </c>
      <c r="II592">
        <v>166494.97136018999</v>
      </c>
      <c r="IJ592">
        <v>4550241.5846661003</v>
      </c>
      <c r="IK592">
        <v>0</v>
      </c>
      <c r="IL592">
        <v>0</v>
      </c>
      <c r="IM592">
        <v>0</v>
      </c>
      <c r="IN592">
        <v>8491243.5393697005</v>
      </c>
      <c r="IO592">
        <v>232062320.81797099</v>
      </c>
      <c r="IP592">
        <v>240553564.35734099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</row>
    <row r="593" spans="2:268" customFormat="1" x14ac:dyDescent="0.25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3"/>
      <c r="N593" s="3"/>
      <c r="O593" s="3"/>
      <c r="P593" s="2"/>
      <c r="Q593" s="2"/>
      <c r="R593" s="2"/>
      <c r="S593" s="2"/>
      <c r="T593" s="2"/>
      <c r="U593" s="2"/>
      <c r="V593" s="3"/>
      <c r="W593" s="3"/>
      <c r="X593" s="3"/>
      <c r="Y593" s="3"/>
      <c r="Z593" s="3"/>
      <c r="AA593" s="3"/>
      <c r="AB593" s="3"/>
      <c r="AC593" s="2"/>
      <c r="AD593" s="2"/>
      <c r="AE593" s="2"/>
      <c r="AF593" s="2"/>
      <c r="AG593" s="2"/>
      <c r="AH593" s="2"/>
      <c r="AI593" s="2"/>
      <c r="AJ593" s="3"/>
      <c r="AK593" s="2"/>
      <c r="AL593" s="2"/>
      <c r="AM593" s="2"/>
      <c r="AN593" s="2"/>
      <c r="AO593" s="3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3"/>
      <c r="BC593" s="3"/>
      <c r="BD593" s="3"/>
      <c r="BE593" s="3"/>
      <c r="BF593" s="3"/>
      <c r="BG593" s="3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2"/>
      <c r="DI593" s="2"/>
      <c r="DJ593" s="3"/>
      <c r="DK593" s="3"/>
      <c r="DL593" s="2"/>
      <c r="DM593" s="2"/>
      <c r="DN593" s="2"/>
      <c r="DO593" s="3"/>
      <c r="DP593" s="3"/>
      <c r="GO593" t="s">
        <v>139</v>
      </c>
      <c r="GP593" t="s">
        <v>501</v>
      </c>
      <c r="GQ593" t="s">
        <v>502</v>
      </c>
      <c r="GR593">
        <v>73</v>
      </c>
      <c r="GS593">
        <v>72</v>
      </c>
      <c r="GT593">
        <v>1</v>
      </c>
      <c r="GU593" t="s">
        <v>457</v>
      </c>
      <c r="GV593">
        <v>8491243.5393697005</v>
      </c>
      <c r="GW593">
        <v>232062320.81797099</v>
      </c>
      <c r="GX593">
        <v>240553564.35734099</v>
      </c>
      <c r="GY593">
        <v>0</v>
      </c>
      <c r="GZ593">
        <v>240553564.35734099</v>
      </c>
      <c r="HA593">
        <v>240553564.35734099</v>
      </c>
      <c r="HB593">
        <v>0</v>
      </c>
      <c r="HC593">
        <v>0</v>
      </c>
      <c r="HD593" t="s">
        <v>137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0.02</v>
      </c>
      <c r="HX593">
        <v>0.99098093957577105</v>
      </c>
      <c r="HY593">
        <v>1</v>
      </c>
      <c r="HZ593">
        <v>300000</v>
      </c>
      <c r="IA593">
        <v>0</v>
      </c>
      <c r="IB593">
        <v>0</v>
      </c>
      <c r="IC593">
        <v>0</v>
      </c>
      <c r="ID593">
        <v>0</v>
      </c>
      <c r="IE593">
        <v>300000</v>
      </c>
      <c r="IF593">
        <v>297294.28187273099</v>
      </c>
      <c r="IG593">
        <v>297294.28187273099</v>
      </c>
      <c r="IH593">
        <v>0</v>
      </c>
      <c r="II593">
        <v>163878.98514993899</v>
      </c>
      <c r="IJ593">
        <v>4641246.4163594199</v>
      </c>
      <c r="IK593">
        <v>0</v>
      </c>
      <c r="IL593">
        <v>0</v>
      </c>
      <c r="IM593">
        <v>0</v>
      </c>
      <c r="IN593">
        <v>8357828.2426469103</v>
      </c>
      <c r="IO593">
        <v>236703567.23433</v>
      </c>
      <c r="IP593">
        <v>245061395.47697699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</row>
    <row r="594" spans="2:268" customFormat="1" x14ac:dyDescent="0.25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3"/>
      <c r="N594" s="3"/>
      <c r="O594" s="3"/>
      <c r="P594" s="2"/>
      <c r="Q594" s="2"/>
      <c r="R594" s="2"/>
      <c r="S594" s="2"/>
      <c r="T594" s="2"/>
      <c r="U594" s="2"/>
      <c r="V594" s="3"/>
      <c r="W594" s="3"/>
      <c r="X594" s="3"/>
      <c r="Y594" s="3"/>
      <c r="Z594" s="3"/>
      <c r="AA594" s="3"/>
      <c r="AB594" s="3"/>
      <c r="AC594" s="2"/>
      <c r="AD594" s="2"/>
      <c r="AE594" s="2"/>
      <c r="AF594" s="2"/>
      <c r="AG594" s="2"/>
      <c r="AH594" s="2"/>
      <c r="AI594" s="2"/>
      <c r="AJ594" s="3"/>
      <c r="AK594" s="2"/>
      <c r="AL594" s="2"/>
      <c r="AM594" s="2"/>
      <c r="AN594" s="2"/>
      <c r="AO594" s="3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3"/>
      <c r="BC594" s="3"/>
      <c r="BD594" s="3"/>
      <c r="BE594" s="3"/>
      <c r="BF594" s="3"/>
      <c r="BG594" s="3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2"/>
      <c r="DI594" s="2"/>
      <c r="DJ594" s="3"/>
      <c r="DK594" s="3"/>
      <c r="DL594" s="2"/>
      <c r="DM594" s="2"/>
      <c r="DN594" s="2"/>
      <c r="DO594" s="3"/>
      <c r="DP594" s="3"/>
      <c r="GO594" t="s">
        <v>139</v>
      </c>
      <c r="GP594" t="s">
        <v>501</v>
      </c>
      <c r="GQ594" t="s">
        <v>502</v>
      </c>
      <c r="GR594">
        <v>74</v>
      </c>
      <c r="GS594">
        <v>73</v>
      </c>
      <c r="GT594">
        <v>1</v>
      </c>
      <c r="GU594" t="s">
        <v>457</v>
      </c>
      <c r="GV594">
        <v>8357828.2426469103</v>
      </c>
      <c r="GW594">
        <v>236703567.23433</v>
      </c>
      <c r="GX594">
        <v>245061395.47697699</v>
      </c>
      <c r="GY594">
        <v>0</v>
      </c>
      <c r="GZ594">
        <v>245061395.47697699</v>
      </c>
      <c r="HA594">
        <v>245061395.47697699</v>
      </c>
      <c r="HB594">
        <v>0</v>
      </c>
      <c r="HC594">
        <v>0</v>
      </c>
      <c r="HD594" t="s">
        <v>137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0.02</v>
      </c>
      <c r="HX594">
        <v>0.99098093957577105</v>
      </c>
      <c r="HY594">
        <v>1</v>
      </c>
      <c r="HZ594">
        <v>300000</v>
      </c>
      <c r="IA594">
        <v>0</v>
      </c>
      <c r="IB594">
        <v>0</v>
      </c>
      <c r="IC594">
        <v>0</v>
      </c>
      <c r="ID594">
        <v>0</v>
      </c>
      <c r="IE594">
        <v>300000</v>
      </c>
      <c r="IF594">
        <v>297294.28187273099</v>
      </c>
      <c r="IG594">
        <v>297294.28187273099</v>
      </c>
      <c r="IH594">
        <v>0</v>
      </c>
      <c r="II594">
        <v>161210.67921548401</v>
      </c>
      <c r="IJ594">
        <v>4734071.3446866097</v>
      </c>
      <c r="IK594">
        <v>0</v>
      </c>
      <c r="IL594">
        <v>0</v>
      </c>
      <c r="IM594">
        <v>0</v>
      </c>
      <c r="IN594">
        <v>8221744.6399896601</v>
      </c>
      <c r="IO594">
        <v>241437638.57901701</v>
      </c>
      <c r="IP594">
        <v>249659383.21900699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</row>
    <row r="595" spans="2:268" customFormat="1" x14ac:dyDescent="0.25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3"/>
      <c r="N595" s="3"/>
      <c r="O595" s="3"/>
      <c r="P595" s="2"/>
      <c r="Q595" s="2"/>
      <c r="R595" s="2"/>
      <c r="S595" s="2"/>
      <c r="T595" s="2"/>
      <c r="U595" s="2"/>
      <c r="V595" s="3"/>
      <c r="W595" s="3"/>
      <c r="X595" s="3"/>
      <c r="Y595" s="3"/>
      <c r="Z595" s="3"/>
      <c r="AA595" s="3"/>
      <c r="AB595" s="3"/>
      <c r="AC595" s="2"/>
      <c r="AD595" s="2"/>
      <c r="AE595" s="2"/>
      <c r="AF595" s="2"/>
      <c r="AG595" s="2"/>
      <c r="AH595" s="2"/>
      <c r="AI595" s="2"/>
      <c r="AJ595" s="3"/>
      <c r="AK595" s="2"/>
      <c r="AL595" s="2"/>
      <c r="AM595" s="2"/>
      <c r="AN595" s="2"/>
      <c r="AO595" s="3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3"/>
      <c r="BC595" s="3"/>
      <c r="BD595" s="3"/>
      <c r="BE595" s="3"/>
      <c r="BF595" s="3"/>
      <c r="BG595" s="3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2"/>
      <c r="DI595" s="2"/>
      <c r="DJ595" s="3"/>
      <c r="DK595" s="3"/>
      <c r="DL595" s="2"/>
      <c r="DM595" s="2"/>
      <c r="DN595" s="2"/>
      <c r="DO595" s="3"/>
      <c r="DP595" s="3"/>
      <c r="GO595" t="s">
        <v>139</v>
      </c>
      <c r="GP595" t="s">
        <v>501</v>
      </c>
      <c r="GQ595" t="s">
        <v>502</v>
      </c>
      <c r="GR595">
        <v>75</v>
      </c>
      <c r="GS595">
        <v>74</v>
      </c>
      <c r="GT595">
        <v>1</v>
      </c>
      <c r="GU595" t="s">
        <v>457</v>
      </c>
      <c r="GV595">
        <v>8221744.6399896601</v>
      </c>
      <c r="GW595">
        <v>241437638.57901701</v>
      </c>
      <c r="GX595">
        <v>249659383.21900699</v>
      </c>
      <c r="GY595">
        <v>0</v>
      </c>
      <c r="GZ595">
        <v>249659383.21900699</v>
      </c>
      <c r="HA595">
        <v>249659383.21900699</v>
      </c>
      <c r="HB595">
        <v>0</v>
      </c>
      <c r="HC595">
        <v>0</v>
      </c>
      <c r="HD595" t="s">
        <v>137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0.02</v>
      </c>
      <c r="HX595">
        <v>0.99098093957577105</v>
      </c>
      <c r="HY595">
        <v>1</v>
      </c>
      <c r="HZ595">
        <v>300000</v>
      </c>
      <c r="IA595">
        <v>0</v>
      </c>
      <c r="IB595">
        <v>0</v>
      </c>
      <c r="IC595">
        <v>0</v>
      </c>
      <c r="ID595">
        <v>0</v>
      </c>
      <c r="IE595">
        <v>300000</v>
      </c>
      <c r="IF595">
        <v>297294.28187273099</v>
      </c>
      <c r="IG595">
        <v>297294.28187273099</v>
      </c>
      <c r="IH595">
        <v>0</v>
      </c>
      <c r="II595">
        <v>158489.007162339</v>
      </c>
      <c r="IJ595">
        <v>4828752.7715803403</v>
      </c>
      <c r="IK595">
        <v>0</v>
      </c>
      <c r="IL595">
        <v>0</v>
      </c>
      <c r="IM595">
        <v>0</v>
      </c>
      <c r="IN595">
        <v>8082939.3652792703</v>
      </c>
      <c r="IO595">
        <v>246266391.35059699</v>
      </c>
      <c r="IP595">
        <v>254349330.715877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</row>
    <row r="596" spans="2:268" customFormat="1" x14ac:dyDescent="0.25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3"/>
      <c r="N596" s="3"/>
      <c r="O596" s="3"/>
      <c r="P596" s="2"/>
      <c r="Q596" s="2"/>
      <c r="R596" s="2"/>
      <c r="S596" s="2"/>
      <c r="T596" s="2"/>
      <c r="U596" s="2"/>
      <c r="V596" s="3"/>
      <c r="W596" s="3"/>
      <c r="X596" s="3"/>
      <c r="Y596" s="3"/>
      <c r="Z596" s="3"/>
      <c r="AA596" s="3"/>
      <c r="AB596" s="3"/>
      <c r="AC596" s="2"/>
      <c r="AD596" s="2"/>
      <c r="AE596" s="2"/>
      <c r="AF596" s="2"/>
      <c r="AG596" s="2"/>
      <c r="AH596" s="2"/>
      <c r="AI596" s="2"/>
      <c r="AJ596" s="3"/>
      <c r="AK596" s="2"/>
      <c r="AL596" s="2"/>
      <c r="AM596" s="2"/>
      <c r="AN596" s="2"/>
      <c r="AO596" s="3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3"/>
      <c r="BC596" s="3"/>
      <c r="BD596" s="3"/>
      <c r="BE596" s="3"/>
      <c r="BF596" s="3"/>
      <c r="BG596" s="3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2"/>
      <c r="DI596" s="2"/>
      <c r="DJ596" s="3"/>
      <c r="DK596" s="3"/>
      <c r="DL596" s="2"/>
      <c r="DM596" s="2"/>
      <c r="DN596" s="2"/>
      <c r="DO596" s="3"/>
      <c r="DP596" s="3"/>
      <c r="GO596" t="s">
        <v>139</v>
      </c>
      <c r="GP596" t="s">
        <v>501</v>
      </c>
      <c r="GQ596" t="s">
        <v>502</v>
      </c>
      <c r="GR596">
        <v>76</v>
      </c>
      <c r="GS596">
        <v>75</v>
      </c>
      <c r="GT596">
        <v>1</v>
      </c>
      <c r="GU596" t="s">
        <v>457</v>
      </c>
      <c r="GV596">
        <v>8082939.3652792703</v>
      </c>
      <c r="GW596">
        <v>246266391.35059699</v>
      </c>
      <c r="GX596">
        <v>254349330.715877</v>
      </c>
      <c r="GY596">
        <v>0</v>
      </c>
      <c r="GZ596">
        <v>254349330.715877</v>
      </c>
      <c r="HA596">
        <v>254349330.715877</v>
      </c>
      <c r="HB596">
        <v>0</v>
      </c>
      <c r="HC596">
        <v>0</v>
      </c>
      <c r="HD596" t="s">
        <v>137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0.02</v>
      </c>
      <c r="HX596">
        <v>0.99098093957577105</v>
      </c>
      <c r="HY596">
        <v>1</v>
      </c>
      <c r="HZ596">
        <v>300000</v>
      </c>
      <c r="IA596">
        <v>0</v>
      </c>
      <c r="IB596">
        <v>0</v>
      </c>
      <c r="IC596">
        <v>0</v>
      </c>
      <c r="ID596">
        <v>0</v>
      </c>
      <c r="IE596">
        <v>300000</v>
      </c>
      <c r="IF596">
        <v>297294.28187273099</v>
      </c>
      <c r="IG596">
        <v>297294.28187273099</v>
      </c>
      <c r="IH596">
        <v>0</v>
      </c>
      <c r="II596">
        <v>155712.901668131</v>
      </c>
      <c r="IJ596">
        <v>4925327.8270119503</v>
      </c>
      <c r="IK596">
        <v>0</v>
      </c>
      <c r="IL596">
        <v>0</v>
      </c>
      <c r="IM596">
        <v>0</v>
      </c>
      <c r="IN596">
        <v>7941357.9850746701</v>
      </c>
      <c r="IO596">
        <v>251191719.177609</v>
      </c>
      <c r="IP596">
        <v>259133077.16268399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</row>
    <row r="597" spans="2:268" customFormat="1" x14ac:dyDescent="0.25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3"/>
      <c r="N597" s="3"/>
      <c r="O597" s="3"/>
      <c r="P597" s="2"/>
      <c r="Q597" s="2"/>
      <c r="R597" s="2"/>
      <c r="S597" s="2"/>
      <c r="T597" s="2"/>
      <c r="U597" s="2"/>
      <c r="V597" s="3"/>
      <c r="W597" s="3"/>
      <c r="X597" s="3"/>
      <c r="Y597" s="3"/>
      <c r="Z597" s="3"/>
      <c r="AA597" s="3"/>
      <c r="AB597" s="3"/>
      <c r="AC597" s="2"/>
      <c r="AD597" s="2"/>
      <c r="AE597" s="2"/>
      <c r="AF597" s="2"/>
      <c r="AG597" s="2"/>
      <c r="AH597" s="2"/>
      <c r="AI597" s="2"/>
      <c r="AJ597" s="3"/>
      <c r="AK597" s="2"/>
      <c r="AL597" s="2"/>
      <c r="AM597" s="2"/>
      <c r="AN597" s="2"/>
      <c r="AO597" s="3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3"/>
      <c r="BC597" s="3"/>
      <c r="BD597" s="3"/>
      <c r="BE597" s="3"/>
      <c r="BF597" s="3"/>
      <c r="BG597" s="3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2"/>
      <c r="DI597" s="2"/>
      <c r="DJ597" s="3"/>
      <c r="DK597" s="3"/>
      <c r="DL597" s="2"/>
      <c r="DM597" s="2"/>
      <c r="DN597" s="2"/>
      <c r="DO597" s="3"/>
      <c r="DP597" s="3"/>
      <c r="GO597" t="s">
        <v>139</v>
      </c>
      <c r="GP597" t="s">
        <v>501</v>
      </c>
      <c r="GQ597" t="s">
        <v>502</v>
      </c>
      <c r="GR597">
        <v>77</v>
      </c>
      <c r="GS597">
        <v>76</v>
      </c>
      <c r="GT597">
        <v>1</v>
      </c>
      <c r="GU597" t="s">
        <v>457</v>
      </c>
      <c r="GV597">
        <v>7941357.9850746701</v>
      </c>
      <c r="GW597">
        <v>251191719.177609</v>
      </c>
      <c r="GX597">
        <v>259133077.16268399</v>
      </c>
      <c r="GY597">
        <v>0</v>
      </c>
      <c r="GZ597">
        <v>259133077.16268399</v>
      </c>
      <c r="HA597">
        <v>259133077.16268399</v>
      </c>
      <c r="HB597">
        <v>0</v>
      </c>
      <c r="HC597">
        <v>0</v>
      </c>
      <c r="HD597" t="s">
        <v>137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0.02</v>
      </c>
      <c r="HX597">
        <v>0.99098093957577105</v>
      </c>
      <c r="HY597">
        <v>1</v>
      </c>
      <c r="HZ597">
        <v>300000</v>
      </c>
      <c r="IA597">
        <v>0</v>
      </c>
      <c r="IB597">
        <v>0</v>
      </c>
      <c r="IC597">
        <v>0</v>
      </c>
      <c r="ID597">
        <v>0</v>
      </c>
      <c r="IE597">
        <v>300000</v>
      </c>
      <c r="IF597">
        <v>297294.28187273099</v>
      </c>
      <c r="IG597">
        <v>297294.28187273099</v>
      </c>
      <c r="IH597">
        <v>0</v>
      </c>
      <c r="II597">
        <v>152881.274064039</v>
      </c>
      <c r="IJ597">
        <v>5023834.3835521899</v>
      </c>
      <c r="IK597">
        <v>0</v>
      </c>
      <c r="IL597">
        <v>0</v>
      </c>
      <c r="IM597">
        <v>0</v>
      </c>
      <c r="IN597">
        <v>7796944.9772659801</v>
      </c>
      <c r="IO597">
        <v>256215553.56116199</v>
      </c>
      <c r="IP597">
        <v>264012498.53842801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</row>
    <row r="598" spans="2:268" customFormat="1" x14ac:dyDescent="0.25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3"/>
      <c r="N598" s="3"/>
      <c r="O598" s="3"/>
      <c r="P598" s="2"/>
      <c r="Q598" s="2"/>
      <c r="R598" s="2"/>
      <c r="S598" s="2"/>
      <c r="T598" s="2"/>
      <c r="U598" s="2"/>
      <c r="V598" s="3"/>
      <c r="W598" s="3"/>
      <c r="X598" s="3"/>
      <c r="Y598" s="3"/>
      <c r="Z598" s="3"/>
      <c r="AA598" s="3"/>
      <c r="AB598" s="3"/>
      <c r="AC598" s="2"/>
      <c r="AD598" s="2"/>
      <c r="AE598" s="2"/>
      <c r="AF598" s="2"/>
      <c r="AG598" s="2"/>
      <c r="AH598" s="2"/>
      <c r="AI598" s="2"/>
      <c r="AJ598" s="3"/>
      <c r="AK598" s="2"/>
      <c r="AL598" s="2"/>
      <c r="AM598" s="2"/>
      <c r="AN598" s="2"/>
      <c r="AO598" s="3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3"/>
      <c r="BC598" s="3"/>
      <c r="BD598" s="3"/>
      <c r="BE598" s="3"/>
      <c r="BF598" s="3"/>
      <c r="BG598" s="3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2"/>
      <c r="DI598" s="2"/>
      <c r="DJ598" s="3"/>
      <c r="DK598" s="3"/>
      <c r="DL598" s="2"/>
      <c r="DM598" s="2"/>
      <c r="DN598" s="2"/>
      <c r="DO598" s="3"/>
      <c r="DP598" s="3"/>
      <c r="GO598" t="s">
        <v>139</v>
      </c>
      <c r="GP598" t="s">
        <v>501</v>
      </c>
      <c r="GQ598" t="s">
        <v>502</v>
      </c>
      <c r="GR598">
        <v>78</v>
      </c>
      <c r="GS598">
        <v>77</v>
      </c>
      <c r="GT598">
        <v>1</v>
      </c>
      <c r="GU598" t="s">
        <v>457</v>
      </c>
      <c r="GV598">
        <v>7796944.9772659801</v>
      </c>
      <c r="GW598">
        <v>256215553.56116199</v>
      </c>
      <c r="GX598">
        <v>264012498.53842801</v>
      </c>
      <c r="GY598">
        <v>0</v>
      </c>
      <c r="GZ598">
        <v>264012498.53842801</v>
      </c>
      <c r="HA598">
        <v>264012498.53842801</v>
      </c>
      <c r="HB598">
        <v>0</v>
      </c>
      <c r="HC598">
        <v>0</v>
      </c>
      <c r="HD598" t="s">
        <v>137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0.02</v>
      </c>
      <c r="HX598">
        <v>0.99098093957577105</v>
      </c>
      <c r="HY598">
        <v>1</v>
      </c>
      <c r="HZ598">
        <v>300000</v>
      </c>
      <c r="IA598">
        <v>0</v>
      </c>
      <c r="IB598">
        <v>0</v>
      </c>
      <c r="IC598">
        <v>0</v>
      </c>
      <c r="ID598">
        <v>0</v>
      </c>
      <c r="IE598">
        <v>300000</v>
      </c>
      <c r="IF598">
        <v>297294.28187273099</v>
      </c>
      <c r="IG598">
        <v>297294.28187273099</v>
      </c>
      <c r="IH598">
        <v>0</v>
      </c>
      <c r="II598">
        <v>149993.01390786501</v>
      </c>
      <c r="IJ598">
        <v>5124311.0712232301</v>
      </c>
      <c r="IK598">
        <v>0</v>
      </c>
      <c r="IL598">
        <v>0</v>
      </c>
      <c r="IM598">
        <v>0</v>
      </c>
      <c r="IN598">
        <v>7649643.7093011104</v>
      </c>
      <c r="IO598">
        <v>261339864.63238499</v>
      </c>
      <c r="IP598">
        <v>268989508.34168601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</row>
    <row r="599" spans="2:268" customFormat="1" x14ac:dyDescent="0.25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3"/>
      <c r="N599" s="3"/>
      <c r="O599" s="3"/>
      <c r="P599" s="2"/>
      <c r="Q599" s="2"/>
      <c r="R599" s="2"/>
      <c r="S599" s="2"/>
      <c r="T599" s="2"/>
      <c r="U599" s="2"/>
      <c r="V599" s="3"/>
      <c r="W599" s="3"/>
      <c r="X599" s="3"/>
      <c r="Y599" s="3"/>
      <c r="Z599" s="3"/>
      <c r="AA599" s="3"/>
      <c r="AB599" s="3"/>
      <c r="AC599" s="2"/>
      <c r="AD599" s="2"/>
      <c r="AE599" s="2"/>
      <c r="AF599" s="2"/>
      <c r="AG599" s="2"/>
      <c r="AH599" s="2"/>
      <c r="AI599" s="2"/>
      <c r="AJ599" s="3"/>
      <c r="AK599" s="2"/>
      <c r="AL599" s="2"/>
      <c r="AM599" s="2"/>
      <c r="AN599" s="2"/>
      <c r="AO599" s="3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3"/>
      <c r="BC599" s="3"/>
      <c r="BD599" s="3"/>
      <c r="BE599" s="3"/>
      <c r="BF599" s="3"/>
      <c r="BG599" s="3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2"/>
      <c r="DI599" s="2"/>
      <c r="DJ599" s="3"/>
      <c r="DK599" s="3"/>
      <c r="DL599" s="2"/>
      <c r="DM599" s="2"/>
      <c r="DN599" s="2"/>
      <c r="DO599" s="3"/>
      <c r="DP599" s="3"/>
      <c r="GO599" t="s">
        <v>139</v>
      </c>
      <c r="GP599" t="s">
        <v>501</v>
      </c>
      <c r="GQ599" t="s">
        <v>502</v>
      </c>
      <c r="GR599">
        <v>79</v>
      </c>
      <c r="GS599">
        <v>78</v>
      </c>
      <c r="GT599">
        <v>1</v>
      </c>
      <c r="GU599" t="s">
        <v>457</v>
      </c>
      <c r="GV599">
        <v>7649643.7093011104</v>
      </c>
      <c r="GW599">
        <v>261339864.63238499</v>
      </c>
      <c r="GX599">
        <v>268989508.34168601</v>
      </c>
      <c r="GY599">
        <v>0</v>
      </c>
      <c r="GZ599">
        <v>268989508.34168601</v>
      </c>
      <c r="HA599">
        <v>268989508.34168601</v>
      </c>
      <c r="HB599">
        <v>0</v>
      </c>
      <c r="HC599">
        <v>0</v>
      </c>
      <c r="HD599" t="s">
        <v>137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0.02</v>
      </c>
      <c r="HX599">
        <v>0.99098093957577105</v>
      </c>
      <c r="HY599">
        <v>1</v>
      </c>
      <c r="HZ599">
        <v>300000</v>
      </c>
      <c r="IA599">
        <v>0</v>
      </c>
      <c r="IB599">
        <v>0</v>
      </c>
      <c r="IC599">
        <v>0</v>
      </c>
      <c r="ID599">
        <v>0</v>
      </c>
      <c r="IE599">
        <v>300000</v>
      </c>
      <c r="IF599">
        <v>297294.28187273099</v>
      </c>
      <c r="IG599">
        <v>297294.28187273099</v>
      </c>
      <c r="IH599">
        <v>0</v>
      </c>
      <c r="II599">
        <v>147046.98854856801</v>
      </c>
      <c r="IJ599">
        <v>5226797.2926476998</v>
      </c>
      <c r="IK599">
        <v>0</v>
      </c>
      <c r="IL599">
        <v>0</v>
      </c>
      <c r="IM599">
        <v>0</v>
      </c>
      <c r="IN599">
        <v>7499396.41597695</v>
      </c>
      <c r="IO599">
        <v>266566661.92503199</v>
      </c>
      <c r="IP599">
        <v>274066058.34100902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</row>
    <row r="600" spans="2:268" customFormat="1" x14ac:dyDescent="0.25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3"/>
      <c r="N600" s="3"/>
      <c r="O600" s="3"/>
      <c r="P600" s="2"/>
      <c r="Q600" s="2"/>
      <c r="R600" s="2"/>
      <c r="S600" s="2"/>
      <c r="T600" s="2"/>
      <c r="U600" s="2"/>
      <c r="V600" s="3"/>
      <c r="W600" s="3"/>
      <c r="X600" s="3"/>
      <c r="Y600" s="3"/>
      <c r="Z600" s="3"/>
      <c r="AA600" s="3"/>
      <c r="AB600" s="3"/>
      <c r="AC600" s="2"/>
      <c r="AD600" s="2"/>
      <c r="AE600" s="2"/>
      <c r="AF600" s="2"/>
      <c r="AG600" s="2"/>
      <c r="AH600" s="2"/>
      <c r="AI600" s="2"/>
      <c r="AJ600" s="3"/>
      <c r="AK600" s="2"/>
      <c r="AL600" s="2"/>
      <c r="AM600" s="2"/>
      <c r="AN600" s="2"/>
      <c r="AO600" s="3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3"/>
      <c r="BC600" s="3"/>
      <c r="BD600" s="3"/>
      <c r="BE600" s="3"/>
      <c r="BF600" s="3"/>
      <c r="BG600" s="3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2"/>
      <c r="DI600" s="2"/>
      <c r="DJ600" s="3"/>
      <c r="DK600" s="3"/>
      <c r="DL600" s="2"/>
      <c r="DM600" s="2"/>
      <c r="DN600" s="2"/>
      <c r="DO600" s="3"/>
      <c r="DP600" s="3"/>
      <c r="GO600" t="s">
        <v>139</v>
      </c>
      <c r="GP600" t="s">
        <v>501</v>
      </c>
      <c r="GQ600" t="s">
        <v>502</v>
      </c>
      <c r="GR600">
        <v>80</v>
      </c>
      <c r="GS600">
        <v>79</v>
      </c>
      <c r="GT600">
        <v>1</v>
      </c>
      <c r="GU600" t="s">
        <v>457</v>
      </c>
      <c r="GV600">
        <v>7499396.41597695</v>
      </c>
      <c r="GW600">
        <v>266566661.92503199</v>
      </c>
      <c r="GX600">
        <v>274066058.34100902</v>
      </c>
      <c r="GY600">
        <v>0</v>
      </c>
      <c r="GZ600">
        <v>274066058.34100902</v>
      </c>
      <c r="HA600">
        <v>274066058.34100902</v>
      </c>
      <c r="HB600">
        <v>0</v>
      </c>
      <c r="HC600">
        <v>0</v>
      </c>
      <c r="HD600" t="s">
        <v>137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0.02</v>
      </c>
      <c r="HX600">
        <v>0.99098093957577105</v>
      </c>
      <c r="HY600">
        <v>1</v>
      </c>
      <c r="HZ600">
        <v>300000</v>
      </c>
      <c r="IA600">
        <v>0</v>
      </c>
      <c r="IB600">
        <v>0</v>
      </c>
      <c r="IC600">
        <v>0</v>
      </c>
      <c r="ID600">
        <v>0</v>
      </c>
      <c r="IE600">
        <v>300000</v>
      </c>
      <c r="IF600">
        <v>297294.28187273099</v>
      </c>
      <c r="IG600">
        <v>297294.28187273099</v>
      </c>
      <c r="IH600">
        <v>0</v>
      </c>
      <c r="II600">
        <v>144042.04268208399</v>
      </c>
      <c r="IJ600">
        <v>5331333.23850065</v>
      </c>
      <c r="IK600">
        <v>0</v>
      </c>
      <c r="IL600">
        <v>0</v>
      </c>
      <c r="IM600">
        <v>0</v>
      </c>
      <c r="IN600">
        <v>7346144.1767862998</v>
      </c>
      <c r="IO600">
        <v>271897995.16353297</v>
      </c>
      <c r="IP600">
        <v>279244139.34031898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</row>
    <row r="601" spans="2:268" customFormat="1" x14ac:dyDescent="0.25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3"/>
      <c r="N601" s="3"/>
      <c r="O601" s="3"/>
      <c r="P601" s="2"/>
      <c r="Q601" s="2"/>
      <c r="R601" s="2"/>
      <c r="S601" s="2"/>
      <c r="T601" s="2"/>
      <c r="U601" s="2"/>
      <c r="V601" s="3"/>
      <c r="W601" s="3"/>
      <c r="X601" s="3"/>
      <c r="Y601" s="3"/>
      <c r="Z601" s="3"/>
      <c r="AA601" s="3"/>
      <c r="AB601" s="3"/>
      <c r="AC601" s="2"/>
      <c r="AD601" s="2"/>
      <c r="AE601" s="2"/>
      <c r="AF601" s="2"/>
      <c r="AG601" s="2"/>
      <c r="AH601" s="2"/>
      <c r="AI601" s="2"/>
      <c r="AJ601" s="3"/>
      <c r="AK601" s="2"/>
      <c r="AL601" s="2"/>
      <c r="AM601" s="2"/>
      <c r="AN601" s="2"/>
      <c r="AO601" s="3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3"/>
      <c r="BC601" s="3"/>
      <c r="BD601" s="3"/>
      <c r="BE601" s="3"/>
      <c r="BF601" s="3"/>
      <c r="BG601" s="3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2"/>
      <c r="DI601" s="2"/>
      <c r="DJ601" s="3"/>
      <c r="DK601" s="3"/>
      <c r="DL601" s="2"/>
      <c r="DM601" s="2"/>
      <c r="DN601" s="2"/>
      <c r="DO601" s="3"/>
      <c r="DP601" s="3"/>
      <c r="GO601" t="s">
        <v>139</v>
      </c>
      <c r="GP601" t="s">
        <v>501</v>
      </c>
      <c r="GQ601" t="s">
        <v>502</v>
      </c>
      <c r="GR601">
        <v>81</v>
      </c>
      <c r="GS601">
        <v>80</v>
      </c>
      <c r="GT601">
        <v>1</v>
      </c>
      <c r="GU601" t="s">
        <v>457</v>
      </c>
      <c r="GV601">
        <v>7346144.1767862998</v>
      </c>
      <c r="GW601">
        <v>271897995.16353297</v>
      </c>
      <c r="GX601">
        <v>279244139.34031898</v>
      </c>
      <c r="GY601">
        <v>0</v>
      </c>
      <c r="GZ601">
        <v>279244139.34031898</v>
      </c>
      <c r="HA601">
        <v>279244139.34031898</v>
      </c>
      <c r="HB601">
        <v>0</v>
      </c>
      <c r="HC601">
        <v>0</v>
      </c>
      <c r="HD601" t="s">
        <v>137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0.02</v>
      </c>
      <c r="HX601">
        <v>0.99098093957577105</v>
      </c>
      <c r="HY601">
        <v>1</v>
      </c>
      <c r="HZ601">
        <v>300000</v>
      </c>
      <c r="IA601">
        <v>0</v>
      </c>
      <c r="IB601">
        <v>0</v>
      </c>
      <c r="IC601">
        <v>0</v>
      </c>
      <c r="ID601">
        <v>0</v>
      </c>
      <c r="IE601">
        <v>300000</v>
      </c>
      <c r="IF601">
        <v>297294.28187273099</v>
      </c>
      <c r="IG601">
        <v>297294.28187273099</v>
      </c>
      <c r="IH601">
        <v>0</v>
      </c>
      <c r="II601">
        <v>140976.99789827099</v>
      </c>
      <c r="IJ601">
        <v>5437959.90327066</v>
      </c>
      <c r="IK601">
        <v>0</v>
      </c>
      <c r="IL601">
        <v>0</v>
      </c>
      <c r="IM601">
        <v>0</v>
      </c>
      <c r="IN601">
        <v>7189826.8928118404</v>
      </c>
      <c r="IO601">
        <v>277335955.06680399</v>
      </c>
      <c r="IP601">
        <v>284525781.95961601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</row>
    <row r="602" spans="2:268" customFormat="1" x14ac:dyDescent="0.25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3"/>
      <c r="N602" s="3"/>
      <c r="O602" s="3"/>
      <c r="P602" s="2"/>
      <c r="Q602" s="2"/>
      <c r="R602" s="2"/>
      <c r="S602" s="2"/>
      <c r="T602" s="2"/>
      <c r="U602" s="2"/>
      <c r="V602" s="3"/>
      <c r="W602" s="3"/>
      <c r="X602" s="3"/>
      <c r="Y602" s="3"/>
      <c r="Z602" s="3"/>
      <c r="AA602" s="3"/>
      <c r="AB602" s="3"/>
      <c r="AC602" s="2"/>
      <c r="AD602" s="2"/>
      <c r="AE602" s="2"/>
      <c r="AF602" s="2"/>
      <c r="AG602" s="2"/>
      <c r="AH602" s="2"/>
      <c r="AI602" s="2"/>
      <c r="AJ602" s="3"/>
      <c r="AK602" s="2"/>
      <c r="AL602" s="2"/>
      <c r="AM602" s="2"/>
      <c r="AN602" s="2"/>
      <c r="AO602" s="3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3"/>
      <c r="BC602" s="3"/>
      <c r="BD602" s="3"/>
      <c r="BE602" s="3"/>
      <c r="BF602" s="3"/>
      <c r="BG602" s="3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2"/>
      <c r="DI602" s="2"/>
      <c r="DJ602" s="3"/>
      <c r="DK602" s="3"/>
      <c r="DL602" s="2"/>
      <c r="DM602" s="2"/>
      <c r="DN602" s="2"/>
      <c r="DO602" s="3"/>
      <c r="DP602" s="3"/>
      <c r="GO602" t="s">
        <v>139</v>
      </c>
      <c r="GP602" t="s">
        <v>501</v>
      </c>
      <c r="GQ602" t="s">
        <v>502</v>
      </c>
      <c r="GR602">
        <v>82</v>
      </c>
      <c r="GS602">
        <v>81</v>
      </c>
      <c r="GT602">
        <v>1</v>
      </c>
      <c r="GU602" t="s">
        <v>457</v>
      </c>
      <c r="GV602">
        <v>7189826.8928118404</v>
      </c>
      <c r="GW602">
        <v>277335955.06680399</v>
      </c>
      <c r="GX602">
        <v>284525781.95961601</v>
      </c>
      <c r="GY602">
        <v>0</v>
      </c>
      <c r="GZ602">
        <v>284525781.95961601</v>
      </c>
      <c r="HA602">
        <v>284525781.95961601</v>
      </c>
      <c r="HB602">
        <v>0</v>
      </c>
      <c r="HC602">
        <v>0</v>
      </c>
      <c r="HD602" t="s">
        <v>137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0.02</v>
      </c>
      <c r="HX602">
        <v>0.99098093957577105</v>
      </c>
      <c r="HY602">
        <v>1</v>
      </c>
      <c r="HZ602">
        <v>300000</v>
      </c>
      <c r="IA602">
        <v>0</v>
      </c>
      <c r="IB602">
        <v>0</v>
      </c>
      <c r="IC602">
        <v>0</v>
      </c>
      <c r="ID602">
        <v>0</v>
      </c>
      <c r="IE602">
        <v>300000</v>
      </c>
      <c r="IF602">
        <v>297294.28187273099</v>
      </c>
      <c r="IG602">
        <v>297294.28187273099</v>
      </c>
      <c r="IH602">
        <v>0</v>
      </c>
      <c r="II602">
        <v>137850.65221878199</v>
      </c>
      <c r="IJ602">
        <v>5546719.1013360703</v>
      </c>
      <c r="IK602">
        <v>0</v>
      </c>
      <c r="IL602">
        <v>0</v>
      </c>
      <c r="IM602">
        <v>0</v>
      </c>
      <c r="IN602">
        <v>7030383.2631578902</v>
      </c>
      <c r="IO602">
        <v>282882674.16813999</v>
      </c>
      <c r="IP602">
        <v>289913057.43129802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</row>
    <row r="603" spans="2:268" customFormat="1" x14ac:dyDescent="0.25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3"/>
      <c r="N603" s="3"/>
      <c r="O603" s="3"/>
      <c r="P603" s="2"/>
      <c r="Q603" s="2"/>
      <c r="R603" s="2"/>
      <c r="S603" s="2"/>
      <c r="T603" s="2"/>
      <c r="U603" s="2"/>
      <c r="V603" s="3"/>
      <c r="W603" s="3"/>
      <c r="X603" s="3"/>
      <c r="Y603" s="3"/>
      <c r="Z603" s="3"/>
      <c r="AA603" s="3"/>
      <c r="AB603" s="3"/>
      <c r="AC603" s="2"/>
      <c r="AD603" s="2"/>
      <c r="AE603" s="2"/>
      <c r="AF603" s="2"/>
      <c r="AG603" s="2"/>
      <c r="AH603" s="2"/>
      <c r="AI603" s="2"/>
      <c r="AJ603" s="3"/>
      <c r="AK603" s="2"/>
      <c r="AL603" s="2"/>
      <c r="AM603" s="2"/>
      <c r="AN603" s="2"/>
      <c r="AO603" s="3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3"/>
      <c r="BC603" s="3"/>
      <c r="BD603" s="3"/>
      <c r="BE603" s="3"/>
      <c r="BF603" s="3"/>
      <c r="BG603" s="3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2"/>
      <c r="DI603" s="2"/>
      <c r="DJ603" s="3"/>
      <c r="DK603" s="3"/>
      <c r="DL603" s="2"/>
      <c r="DM603" s="2"/>
      <c r="DN603" s="2"/>
      <c r="DO603" s="3"/>
      <c r="DP603" s="3"/>
      <c r="GO603" t="s">
        <v>139</v>
      </c>
      <c r="GP603" t="s">
        <v>501</v>
      </c>
      <c r="GQ603" t="s">
        <v>502</v>
      </c>
      <c r="GR603">
        <v>83</v>
      </c>
      <c r="GS603">
        <v>82</v>
      </c>
      <c r="GT603">
        <v>1</v>
      </c>
      <c r="GU603" t="s">
        <v>457</v>
      </c>
      <c r="GV603">
        <v>7030383.2631578902</v>
      </c>
      <c r="GW603">
        <v>282882674.16813999</v>
      </c>
      <c r="GX603">
        <v>289913057.43129802</v>
      </c>
      <c r="GY603">
        <v>0</v>
      </c>
      <c r="GZ603">
        <v>289913057.43129802</v>
      </c>
      <c r="HA603">
        <v>289913057.43129802</v>
      </c>
      <c r="HB603">
        <v>0</v>
      </c>
      <c r="HC603">
        <v>0</v>
      </c>
      <c r="HD603" t="s">
        <v>137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0.02</v>
      </c>
      <c r="HX603">
        <v>0.99098093957577105</v>
      </c>
      <c r="HY603">
        <v>1</v>
      </c>
      <c r="HZ603">
        <v>300000</v>
      </c>
      <c r="IA603">
        <v>0</v>
      </c>
      <c r="IB603">
        <v>0</v>
      </c>
      <c r="IC603">
        <v>0</v>
      </c>
      <c r="ID603">
        <v>0</v>
      </c>
      <c r="IE603">
        <v>300000</v>
      </c>
      <c r="IF603">
        <v>297294.28187273099</v>
      </c>
      <c r="IG603">
        <v>297294.28187273099</v>
      </c>
      <c r="IH603">
        <v>0</v>
      </c>
      <c r="II603">
        <v>134661.779625703</v>
      </c>
      <c r="IJ603">
        <v>5657653.4833628004</v>
      </c>
      <c r="IK603">
        <v>0</v>
      </c>
      <c r="IL603">
        <v>0</v>
      </c>
      <c r="IM603">
        <v>0</v>
      </c>
      <c r="IN603">
        <v>6867750.7609108603</v>
      </c>
      <c r="IO603">
        <v>288540327.65150303</v>
      </c>
      <c r="IP603">
        <v>295408078.412413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</row>
    <row r="604" spans="2:268" customFormat="1" x14ac:dyDescent="0.25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3"/>
      <c r="N604" s="3"/>
      <c r="O604" s="3"/>
      <c r="P604" s="2"/>
      <c r="Q604" s="2"/>
      <c r="R604" s="2"/>
      <c r="S604" s="2"/>
      <c r="T604" s="2"/>
      <c r="U604" s="2"/>
      <c r="V604" s="3"/>
      <c r="W604" s="3"/>
      <c r="X604" s="3"/>
      <c r="Y604" s="3"/>
      <c r="Z604" s="3"/>
      <c r="AA604" s="3"/>
      <c r="AB604" s="3"/>
      <c r="AC604" s="2"/>
      <c r="AD604" s="2"/>
      <c r="AE604" s="2"/>
      <c r="AF604" s="2"/>
      <c r="AG604" s="2"/>
      <c r="AH604" s="2"/>
      <c r="AI604" s="2"/>
      <c r="AJ604" s="3"/>
      <c r="AK604" s="2"/>
      <c r="AL604" s="2"/>
      <c r="AM604" s="2"/>
      <c r="AN604" s="2"/>
      <c r="AO604" s="3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3"/>
      <c r="BC604" s="3"/>
      <c r="BD604" s="3"/>
      <c r="BE604" s="3"/>
      <c r="BF604" s="3"/>
      <c r="BG604" s="3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2"/>
      <c r="DI604" s="2"/>
      <c r="DJ604" s="3"/>
      <c r="DK604" s="3"/>
      <c r="DL604" s="2"/>
      <c r="DM604" s="2"/>
      <c r="DN604" s="2"/>
      <c r="DO604" s="3"/>
      <c r="DP604" s="3"/>
      <c r="GO604" t="s">
        <v>139</v>
      </c>
      <c r="GP604" t="s">
        <v>501</v>
      </c>
      <c r="GQ604" t="s">
        <v>502</v>
      </c>
      <c r="GR604">
        <v>84</v>
      </c>
      <c r="GS604">
        <v>83</v>
      </c>
      <c r="GT604">
        <v>1</v>
      </c>
      <c r="GU604" t="s">
        <v>457</v>
      </c>
      <c r="GV604">
        <v>6867750.7609108603</v>
      </c>
      <c r="GW604">
        <v>288540327.65150303</v>
      </c>
      <c r="GX604">
        <v>295408078.412413</v>
      </c>
      <c r="GY604">
        <v>0</v>
      </c>
      <c r="GZ604">
        <v>295408078.412413</v>
      </c>
      <c r="HA604">
        <v>295408078.412413</v>
      </c>
      <c r="HB604">
        <v>0</v>
      </c>
      <c r="HC604">
        <v>0</v>
      </c>
      <c r="HD604" t="s">
        <v>137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0.02</v>
      </c>
      <c r="HX604">
        <v>0.99098093957577105</v>
      </c>
      <c r="HY604">
        <v>1</v>
      </c>
      <c r="HZ604">
        <v>300000</v>
      </c>
      <c r="IA604">
        <v>0</v>
      </c>
      <c r="IB604">
        <v>0</v>
      </c>
      <c r="IC604">
        <v>0</v>
      </c>
      <c r="ID604">
        <v>0</v>
      </c>
      <c r="IE604">
        <v>300000</v>
      </c>
      <c r="IF604">
        <v>297294.28187273099</v>
      </c>
      <c r="IG604">
        <v>297294.28187273099</v>
      </c>
      <c r="IH604">
        <v>0</v>
      </c>
      <c r="II604">
        <v>131409.12958076299</v>
      </c>
      <c r="IJ604">
        <v>5770806.5530300504</v>
      </c>
      <c r="IK604">
        <v>0</v>
      </c>
      <c r="IL604">
        <v>0</v>
      </c>
      <c r="IM604">
        <v>0</v>
      </c>
      <c r="IN604">
        <v>6701865.6086188899</v>
      </c>
      <c r="IO604">
        <v>294311134.20453298</v>
      </c>
      <c r="IP604">
        <v>301012999.81315202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</row>
    <row r="605" spans="2:268" customFormat="1" x14ac:dyDescent="0.25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3"/>
      <c r="N605" s="3"/>
      <c r="O605" s="3"/>
      <c r="P605" s="2"/>
      <c r="Q605" s="2"/>
      <c r="R605" s="2"/>
      <c r="S605" s="2"/>
      <c r="T605" s="2"/>
      <c r="U605" s="2"/>
      <c r="V605" s="3"/>
      <c r="W605" s="3"/>
      <c r="X605" s="3"/>
      <c r="Y605" s="3"/>
      <c r="Z605" s="3"/>
      <c r="AA605" s="3"/>
      <c r="AB605" s="3"/>
      <c r="AC605" s="2"/>
      <c r="AD605" s="2"/>
      <c r="AE605" s="2"/>
      <c r="AF605" s="2"/>
      <c r="AG605" s="2"/>
      <c r="AH605" s="2"/>
      <c r="AI605" s="2"/>
      <c r="AJ605" s="3"/>
      <c r="AK605" s="2"/>
      <c r="AL605" s="2"/>
      <c r="AM605" s="2"/>
      <c r="AN605" s="2"/>
      <c r="AO605" s="3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3"/>
      <c r="BC605" s="3"/>
      <c r="BD605" s="3"/>
      <c r="BE605" s="3"/>
      <c r="BF605" s="3"/>
      <c r="BG605" s="3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2"/>
      <c r="DI605" s="2"/>
      <c r="DJ605" s="3"/>
      <c r="DK605" s="3"/>
      <c r="DL605" s="2"/>
      <c r="DM605" s="2"/>
      <c r="DN605" s="2"/>
      <c r="DO605" s="3"/>
      <c r="DP605" s="3"/>
      <c r="GO605" t="s">
        <v>139</v>
      </c>
      <c r="GP605" t="s">
        <v>501</v>
      </c>
      <c r="GQ605" t="s">
        <v>502</v>
      </c>
      <c r="GR605">
        <v>85</v>
      </c>
      <c r="GS605">
        <v>84</v>
      </c>
      <c r="GT605">
        <v>1</v>
      </c>
      <c r="GU605" t="s">
        <v>457</v>
      </c>
      <c r="GV605">
        <v>6701865.6086188899</v>
      </c>
      <c r="GW605">
        <v>294311134.20453298</v>
      </c>
      <c r="GX605">
        <v>301012999.81315202</v>
      </c>
      <c r="GY605">
        <v>0</v>
      </c>
      <c r="GZ605">
        <v>301012999.81315202</v>
      </c>
      <c r="HA605">
        <v>301012999.81315202</v>
      </c>
      <c r="HB605">
        <v>0</v>
      </c>
      <c r="HC605">
        <v>0</v>
      </c>
      <c r="HD605" t="s">
        <v>137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0.02</v>
      </c>
      <c r="HX605">
        <v>0.99098093957577105</v>
      </c>
      <c r="HY605">
        <v>1</v>
      </c>
      <c r="HZ605">
        <v>300000</v>
      </c>
      <c r="IA605">
        <v>0</v>
      </c>
      <c r="IB605">
        <v>0</v>
      </c>
      <c r="IC605">
        <v>0</v>
      </c>
      <c r="ID605">
        <v>0</v>
      </c>
      <c r="IE605">
        <v>300000</v>
      </c>
      <c r="IF605">
        <v>297294.28187273099</v>
      </c>
      <c r="IG605">
        <v>297294.28187273099</v>
      </c>
      <c r="IH605">
        <v>0</v>
      </c>
      <c r="II605">
        <v>128091.426534923</v>
      </c>
      <c r="IJ605">
        <v>5886222.6840906497</v>
      </c>
      <c r="IK605">
        <v>0</v>
      </c>
      <c r="IL605">
        <v>0</v>
      </c>
      <c r="IM605">
        <v>0</v>
      </c>
      <c r="IN605">
        <v>6532662.7532810802</v>
      </c>
      <c r="IO605">
        <v>300197356.888623</v>
      </c>
      <c r="IP605">
        <v>306730019.641904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</row>
    <row r="606" spans="2:268" customFormat="1" x14ac:dyDescent="0.25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3"/>
      <c r="N606" s="3"/>
      <c r="O606" s="3"/>
      <c r="P606" s="2"/>
      <c r="Q606" s="2"/>
      <c r="R606" s="2"/>
      <c r="S606" s="2"/>
      <c r="T606" s="2"/>
      <c r="U606" s="2"/>
      <c r="V606" s="3"/>
      <c r="W606" s="3"/>
      <c r="X606" s="3"/>
      <c r="Y606" s="3"/>
      <c r="Z606" s="3"/>
      <c r="AA606" s="3"/>
      <c r="AB606" s="3"/>
      <c r="AC606" s="2"/>
      <c r="AD606" s="2"/>
      <c r="AE606" s="2"/>
      <c r="AF606" s="2"/>
      <c r="AG606" s="2"/>
      <c r="AH606" s="2"/>
      <c r="AI606" s="2"/>
      <c r="AJ606" s="3"/>
      <c r="AK606" s="2"/>
      <c r="AL606" s="2"/>
      <c r="AM606" s="2"/>
      <c r="AN606" s="2"/>
      <c r="AO606" s="3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3"/>
      <c r="BC606" s="3"/>
      <c r="BD606" s="3"/>
      <c r="BE606" s="3"/>
      <c r="BF606" s="3"/>
      <c r="BG606" s="3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2"/>
      <c r="DI606" s="2"/>
      <c r="DJ606" s="3"/>
      <c r="DK606" s="3"/>
      <c r="DL606" s="2"/>
      <c r="DM606" s="2"/>
      <c r="DN606" s="2"/>
      <c r="DO606" s="3"/>
      <c r="DP606" s="3"/>
      <c r="GO606" t="s">
        <v>139</v>
      </c>
      <c r="GP606" t="s">
        <v>501</v>
      </c>
      <c r="GQ606" t="s">
        <v>502</v>
      </c>
      <c r="GR606">
        <v>86</v>
      </c>
      <c r="GS606">
        <v>85</v>
      </c>
      <c r="GT606">
        <v>1</v>
      </c>
      <c r="GU606" t="s">
        <v>457</v>
      </c>
      <c r="GV606">
        <v>6532662.7532810802</v>
      </c>
      <c r="GW606">
        <v>300197356.888623</v>
      </c>
      <c r="GX606">
        <v>306730019.641904</v>
      </c>
      <c r="GY606">
        <v>0</v>
      </c>
      <c r="GZ606">
        <v>306730019.641904</v>
      </c>
      <c r="HA606">
        <v>306730019.641904</v>
      </c>
      <c r="HB606">
        <v>0</v>
      </c>
      <c r="HC606">
        <v>0</v>
      </c>
      <c r="HD606" t="s">
        <v>137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0.02</v>
      </c>
      <c r="HX606">
        <v>0.99098093957577105</v>
      </c>
      <c r="HY606">
        <v>1</v>
      </c>
      <c r="HZ606">
        <v>300000</v>
      </c>
      <c r="IA606">
        <v>0</v>
      </c>
      <c r="IB606">
        <v>0</v>
      </c>
      <c r="IC606">
        <v>0</v>
      </c>
      <c r="ID606">
        <v>0</v>
      </c>
      <c r="IE606">
        <v>300000</v>
      </c>
      <c r="IF606">
        <v>297294.28187273099</v>
      </c>
      <c r="IG606">
        <v>297294.28187273099</v>
      </c>
      <c r="IH606">
        <v>0</v>
      </c>
      <c r="II606">
        <v>124707.369428167</v>
      </c>
      <c r="IJ606">
        <v>6003947.1377724698</v>
      </c>
      <c r="IK606">
        <v>0</v>
      </c>
      <c r="IL606">
        <v>0</v>
      </c>
      <c r="IM606">
        <v>0</v>
      </c>
      <c r="IN606">
        <v>6360075.8408365203</v>
      </c>
      <c r="IO606">
        <v>306201304.02639598</v>
      </c>
      <c r="IP606">
        <v>312561379.86723202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</row>
    <row r="607" spans="2:268" customFormat="1" x14ac:dyDescent="0.25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3"/>
      <c r="N607" s="3"/>
      <c r="O607" s="3"/>
      <c r="P607" s="2"/>
      <c r="Q607" s="2"/>
      <c r="R607" s="2"/>
      <c r="S607" s="2"/>
      <c r="T607" s="2"/>
      <c r="U607" s="2"/>
      <c r="V607" s="3"/>
      <c r="W607" s="3"/>
      <c r="X607" s="3"/>
      <c r="Y607" s="3"/>
      <c r="Z607" s="3"/>
      <c r="AA607" s="3"/>
      <c r="AB607" s="3"/>
      <c r="AC607" s="2"/>
      <c r="AD607" s="2"/>
      <c r="AE607" s="2"/>
      <c r="AF607" s="2"/>
      <c r="AG607" s="2"/>
      <c r="AH607" s="2"/>
      <c r="AI607" s="2"/>
      <c r="AJ607" s="3"/>
      <c r="AK607" s="2"/>
      <c r="AL607" s="2"/>
      <c r="AM607" s="2"/>
      <c r="AN607" s="2"/>
      <c r="AO607" s="3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3"/>
      <c r="BC607" s="3"/>
      <c r="BD607" s="3"/>
      <c r="BE607" s="3"/>
      <c r="BF607" s="3"/>
      <c r="BG607" s="3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2"/>
      <c r="DI607" s="2"/>
      <c r="DJ607" s="3"/>
      <c r="DK607" s="3"/>
      <c r="DL607" s="2"/>
      <c r="DM607" s="2"/>
      <c r="DN607" s="2"/>
      <c r="DO607" s="3"/>
      <c r="DP607" s="3"/>
      <c r="GO607" t="s">
        <v>139</v>
      </c>
      <c r="GP607" t="s">
        <v>501</v>
      </c>
      <c r="GQ607" t="s">
        <v>502</v>
      </c>
      <c r="GR607">
        <v>87</v>
      </c>
      <c r="GS607">
        <v>86</v>
      </c>
      <c r="GT607">
        <v>1</v>
      </c>
      <c r="GU607" t="s">
        <v>457</v>
      </c>
      <c r="GV607">
        <v>6360075.8408365203</v>
      </c>
      <c r="GW607">
        <v>306201304.02639598</v>
      </c>
      <c r="GX607">
        <v>312561379.86723202</v>
      </c>
      <c r="GY607">
        <v>0</v>
      </c>
      <c r="GZ607">
        <v>312561379.86723202</v>
      </c>
      <c r="HA607">
        <v>312561379.86723202</v>
      </c>
      <c r="HB607">
        <v>0</v>
      </c>
      <c r="HC607">
        <v>0</v>
      </c>
      <c r="HD607" t="s">
        <v>137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0.02</v>
      </c>
      <c r="HX607">
        <v>0.99098093957577105</v>
      </c>
      <c r="HY607">
        <v>1</v>
      </c>
      <c r="HZ607">
        <v>300000</v>
      </c>
      <c r="IA607">
        <v>0</v>
      </c>
      <c r="IB607">
        <v>0</v>
      </c>
      <c r="IC607">
        <v>0</v>
      </c>
      <c r="ID607">
        <v>0</v>
      </c>
      <c r="IE607">
        <v>300000</v>
      </c>
      <c r="IF607">
        <v>297294.28187273099</v>
      </c>
      <c r="IG607">
        <v>297294.28187273099</v>
      </c>
      <c r="IH607">
        <v>0</v>
      </c>
      <c r="II607">
        <v>121255.631179276</v>
      </c>
      <c r="IJ607">
        <v>6124026.0805279203</v>
      </c>
      <c r="IK607">
        <v>0</v>
      </c>
      <c r="IL607">
        <v>0</v>
      </c>
      <c r="IM607">
        <v>0</v>
      </c>
      <c r="IN607">
        <v>6184037.1901430599</v>
      </c>
      <c r="IO607">
        <v>312325330.106924</v>
      </c>
      <c r="IP607">
        <v>318509367.29706699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</row>
    <row r="608" spans="2:268" customFormat="1" x14ac:dyDescent="0.25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3"/>
      <c r="N608" s="3"/>
      <c r="O608" s="3"/>
      <c r="P608" s="2"/>
      <c r="Q608" s="2"/>
      <c r="R608" s="2"/>
      <c r="S608" s="2"/>
      <c r="T608" s="2"/>
      <c r="U608" s="2"/>
      <c r="V608" s="3"/>
      <c r="W608" s="3"/>
      <c r="X608" s="3"/>
      <c r="Y608" s="3"/>
      <c r="Z608" s="3"/>
      <c r="AA608" s="3"/>
      <c r="AB608" s="3"/>
      <c r="AC608" s="2"/>
      <c r="AD608" s="2"/>
      <c r="AE608" s="2"/>
      <c r="AF608" s="2"/>
      <c r="AG608" s="2"/>
      <c r="AH608" s="2"/>
      <c r="AI608" s="2"/>
      <c r="AJ608" s="3"/>
      <c r="AK608" s="2"/>
      <c r="AL608" s="2"/>
      <c r="AM608" s="2"/>
      <c r="AN608" s="2"/>
      <c r="AO608" s="3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3"/>
      <c r="BC608" s="3"/>
      <c r="BD608" s="3"/>
      <c r="BE608" s="3"/>
      <c r="BF608" s="3"/>
      <c r="BG608" s="3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2"/>
      <c r="DI608" s="2"/>
      <c r="DJ608" s="3"/>
      <c r="DK608" s="3"/>
      <c r="DL608" s="2"/>
      <c r="DM608" s="2"/>
      <c r="DN608" s="2"/>
      <c r="DO608" s="3"/>
      <c r="DP608" s="3"/>
      <c r="GO608" t="s">
        <v>139</v>
      </c>
      <c r="GP608" t="s">
        <v>501</v>
      </c>
      <c r="GQ608" t="s">
        <v>502</v>
      </c>
      <c r="GR608">
        <v>88</v>
      </c>
      <c r="GS608">
        <v>87</v>
      </c>
      <c r="GT608">
        <v>1</v>
      </c>
      <c r="GU608" t="s">
        <v>457</v>
      </c>
      <c r="GV608">
        <v>6184037.1901430599</v>
      </c>
      <c r="GW608">
        <v>312325330.106924</v>
      </c>
      <c r="GX608">
        <v>318509367.29706699</v>
      </c>
      <c r="GY608">
        <v>0</v>
      </c>
      <c r="GZ608">
        <v>318509367.29706699</v>
      </c>
      <c r="HA608">
        <v>318509367.29706699</v>
      </c>
      <c r="HB608">
        <v>0</v>
      </c>
      <c r="HC608">
        <v>0</v>
      </c>
      <c r="HD608" t="s">
        <v>137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0.02</v>
      </c>
      <c r="HX608">
        <v>0.99098093957577105</v>
      </c>
      <c r="HY608">
        <v>1</v>
      </c>
      <c r="HZ608">
        <v>300000</v>
      </c>
      <c r="IA608">
        <v>0</v>
      </c>
      <c r="IB608">
        <v>0</v>
      </c>
      <c r="IC608">
        <v>0</v>
      </c>
      <c r="ID608">
        <v>0</v>
      </c>
      <c r="IE608">
        <v>300000</v>
      </c>
      <c r="IF608">
        <v>297294.28187273099</v>
      </c>
      <c r="IG608">
        <v>297294.28187273099</v>
      </c>
      <c r="IH608">
        <v>0</v>
      </c>
      <c r="II608">
        <v>117734.858165407</v>
      </c>
      <c r="IJ608">
        <v>6246506.6021384699</v>
      </c>
      <c r="IK608">
        <v>0</v>
      </c>
      <c r="IL608">
        <v>0</v>
      </c>
      <c r="IM608">
        <v>0</v>
      </c>
      <c r="IN608">
        <v>6004477.7664357396</v>
      </c>
      <c r="IO608">
        <v>318571836.70906198</v>
      </c>
      <c r="IP608">
        <v>324576314.47549802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</row>
    <row r="609" spans="2:268" customFormat="1" x14ac:dyDescent="0.25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3"/>
      <c r="N609" s="3"/>
      <c r="O609" s="3"/>
      <c r="P609" s="2"/>
      <c r="Q609" s="2"/>
      <c r="R609" s="2"/>
      <c r="S609" s="2"/>
      <c r="T609" s="2"/>
      <c r="U609" s="2"/>
      <c r="V609" s="3"/>
      <c r="W609" s="3"/>
      <c r="X609" s="3"/>
      <c r="Y609" s="3"/>
      <c r="Z609" s="3"/>
      <c r="AA609" s="3"/>
      <c r="AB609" s="3"/>
      <c r="AC609" s="2"/>
      <c r="AD609" s="2"/>
      <c r="AE609" s="2"/>
      <c r="AF609" s="2"/>
      <c r="AG609" s="2"/>
      <c r="AH609" s="2"/>
      <c r="AI609" s="2"/>
      <c r="AJ609" s="3"/>
      <c r="AK609" s="2"/>
      <c r="AL609" s="2"/>
      <c r="AM609" s="2"/>
      <c r="AN609" s="2"/>
      <c r="AO609" s="3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3"/>
      <c r="BC609" s="3"/>
      <c r="BD609" s="3"/>
      <c r="BE609" s="3"/>
      <c r="BF609" s="3"/>
      <c r="BG609" s="3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2"/>
      <c r="DI609" s="2"/>
      <c r="DJ609" s="3"/>
      <c r="DK609" s="3"/>
      <c r="DL609" s="2"/>
      <c r="DM609" s="2"/>
      <c r="DN609" s="2"/>
      <c r="DO609" s="3"/>
      <c r="DP609" s="3"/>
      <c r="GO609" t="s">
        <v>139</v>
      </c>
      <c r="GP609" t="s">
        <v>501</v>
      </c>
      <c r="GQ609" t="s">
        <v>502</v>
      </c>
      <c r="GR609">
        <v>89</v>
      </c>
      <c r="GS609">
        <v>88</v>
      </c>
      <c r="GT609">
        <v>1</v>
      </c>
      <c r="GU609" t="s">
        <v>457</v>
      </c>
      <c r="GV609">
        <v>6004477.7664357396</v>
      </c>
      <c r="GW609">
        <v>318571836.70906198</v>
      </c>
      <c r="GX609">
        <v>324576314.47549802</v>
      </c>
      <c r="GY609">
        <v>0</v>
      </c>
      <c r="GZ609">
        <v>324576314.47549802</v>
      </c>
      <c r="HA609">
        <v>324576314.47549802</v>
      </c>
      <c r="HB609">
        <v>0</v>
      </c>
      <c r="HC609">
        <v>0</v>
      </c>
      <c r="HD609" t="s">
        <v>137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0.02</v>
      </c>
      <c r="HX609">
        <v>0.99098093957577105</v>
      </c>
      <c r="HY609">
        <v>1</v>
      </c>
      <c r="HZ609">
        <v>300000</v>
      </c>
      <c r="IA609">
        <v>0</v>
      </c>
      <c r="IB609">
        <v>0</v>
      </c>
      <c r="IC609">
        <v>0</v>
      </c>
      <c r="ID609">
        <v>0</v>
      </c>
      <c r="IE609">
        <v>300000</v>
      </c>
      <c r="IF609">
        <v>297294.28187273099</v>
      </c>
      <c r="IG609">
        <v>297294.28187273099</v>
      </c>
      <c r="IH609">
        <v>0</v>
      </c>
      <c r="II609">
        <v>114143.66969126</v>
      </c>
      <c r="IJ609">
        <v>6371436.7341812402</v>
      </c>
      <c r="IK609">
        <v>0</v>
      </c>
      <c r="IL609">
        <v>0</v>
      </c>
      <c r="IM609">
        <v>0</v>
      </c>
      <c r="IN609">
        <v>5821327.1542542698</v>
      </c>
      <c r="IO609">
        <v>324943273.44324303</v>
      </c>
      <c r="IP609">
        <v>330764600.597498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</row>
    <row r="610" spans="2:268" customFormat="1" x14ac:dyDescent="0.25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3"/>
      <c r="N610" s="3"/>
      <c r="O610" s="3"/>
      <c r="P610" s="2"/>
      <c r="Q610" s="2"/>
      <c r="R610" s="2"/>
      <c r="S610" s="2"/>
      <c r="T610" s="2"/>
      <c r="U610" s="2"/>
      <c r="V610" s="3"/>
      <c r="W610" s="3"/>
      <c r="X610" s="3"/>
      <c r="Y610" s="3"/>
      <c r="Z610" s="3"/>
      <c r="AA610" s="3"/>
      <c r="AB610" s="3"/>
      <c r="AC610" s="2"/>
      <c r="AD610" s="2"/>
      <c r="AE610" s="2"/>
      <c r="AF610" s="2"/>
      <c r="AG610" s="2"/>
      <c r="AH610" s="2"/>
      <c r="AI610" s="2"/>
      <c r="AJ610" s="3"/>
      <c r="AK610" s="2"/>
      <c r="AL610" s="2"/>
      <c r="AM610" s="2"/>
      <c r="AN610" s="2"/>
      <c r="AO610" s="3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3"/>
      <c r="BC610" s="3"/>
      <c r="BD610" s="3"/>
      <c r="BE610" s="3"/>
      <c r="BF610" s="3"/>
      <c r="BG610" s="3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2"/>
      <c r="DI610" s="2"/>
      <c r="DJ610" s="3"/>
      <c r="DK610" s="3"/>
      <c r="DL610" s="2"/>
      <c r="DM610" s="2"/>
      <c r="DN610" s="2"/>
      <c r="DO610" s="3"/>
      <c r="DP610" s="3"/>
      <c r="GO610" t="s">
        <v>139</v>
      </c>
      <c r="GP610" t="s">
        <v>501</v>
      </c>
      <c r="GQ610" t="s">
        <v>502</v>
      </c>
      <c r="GR610">
        <v>90</v>
      </c>
      <c r="GS610">
        <v>89</v>
      </c>
      <c r="GT610">
        <v>1</v>
      </c>
      <c r="GU610" t="s">
        <v>457</v>
      </c>
      <c r="GV610">
        <v>5821327.1542542698</v>
      </c>
      <c r="GW610">
        <v>324943273.44324303</v>
      </c>
      <c r="GX610">
        <v>330764600.597498</v>
      </c>
      <c r="GY610">
        <v>0</v>
      </c>
      <c r="GZ610">
        <v>330764600.597498</v>
      </c>
      <c r="HA610">
        <v>330764600.597498</v>
      </c>
      <c r="HB610">
        <v>0</v>
      </c>
      <c r="HC610">
        <v>0</v>
      </c>
      <c r="HD610" t="s">
        <v>137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0.02</v>
      </c>
      <c r="HX610">
        <v>0.99098093957577105</v>
      </c>
      <c r="HY610">
        <v>1</v>
      </c>
      <c r="HZ610">
        <v>300000</v>
      </c>
      <c r="IA610">
        <v>0</v>
      </c>
      <c r="IB610">
        <v>0</v>
      </c>
      <c r="IC610">
        <v>0</v>
      </c>
      <c r="ID610">
        <v>0</v>
      </c>
      <c r="IE610">
        <v>300000</v>
      </c>
      <c r="IF610">
        <v>297294.28187273099</v>
      </c>
      <c r="IG610">
        <v>297294.28187273099</v>
      </c>
      <c r="IH610">
        <v>0</v>
      </c>
      <c r="II610">
        <v>110480.65744763101</v>
      </c>
      <c r="IJ610">
        <v>6498865.4688648703</v>
      </c>
      <c r="IK610">
        <v>0</v>
      </c>
      <c r="IL610">
        <v>0</v>
      </c>
      <c r="IM610">
        <v>0</v>
      </c>
      <c r="IN610">
        <v>5634513.5298291603</v>
      </c>
      <c r="IO610">
        <v>331442138.912108</v>
      </c>
      <c r="IP610">
        <v>337076652.44193703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</row>
    <row r="611" spans="2:268" customFormat="1" x14ac:dyDescent="0.25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3"/>
      <c r="N611" s="3"/>
      <c r="O611" s="3"/>
      <c r="P611" s="2"/>
      <c r="Q611" s="2"/>
      <c r="R611" s="2"/>
      <c r="S611" s="2"/>
      <c r="T611" s="2"/>
      <c r="U611" s="2"/>
      <c r="V611" s="3"/>
      <c r="W611" s="3"/>
      <c r="X611" s="3"/>
      <c r="Y611" s="3"/>
      <c r="Z611" s="3"/>
      <c r="AA611" s="3"/>
      <c r="AB611" s="3"/>
      <c r="AC611" s="2"/>
      <c r="AD611" s="2"/>
      <c r="AE611" s="2"/>
      <c r="AF611" s="2"/>
      <c r="AG611" s="2"/>
      <c r="AH611" s="2"/>
      <c r="AI611" s="2"/>
      <c r="AJ611" s="3"/>
      <c r="AK611" s="2"/>
      <c r="AL611" s="2"/>
      <c r="AM611" s="2"/>
      <c r="AN611" s="2"/>
      <c r="AO611" s="3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3"/>
      <c r="BC611" s="3"/>
      <c r="BD611" s="3"/>
      <c r="BE611" s="3"/>
      <c r="BF611" s="3"/>
      <c r="BG611" s="3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2"/>
      <c r="DI611" s="2"/>
      <c r="DJ611" s="3"/>
      <c r="DK611" s="3"/>
      <c r="DL611" s="2"/>
      <c r="DM611" s="2"/>
      <c r="DN611" s="2"/>
      <c r="DO611" s="3"/>
      <c r="DP611" s="3"/>
      <c r="GO611" t="s">
        <v>139</v>
      </c>
      <c r="GP611" t="s">
        <v>501</v>
      </c>
      <c r="GQ611" t="s">
        <v>502</v>
      </c>
      <c r="GR611">
        <v>91</v>
      </c>
      <c r="GS611">
        <v>90</v>
      </c>
      <c r="GT611">
        <v>1</v>
      </c>
      <c r="GU611" t="s">
        <v>457</v>
      </c>
      <c r="GV611">
        <v>5634513.5298291603</v>
      </c>
      <c r="GW611">
        <v>331442138.912108</v>
      </c>
      <c r="GX611">
        <v>337076652.44193703</v>
      </c>
      <c r="GY611">
        <v>0</v>
      </c>
      <c r="GZ611">
        <v>337076652.44193703</v>
      </c>
      <c r="HA611">
        <v>337076652.44193703</v>
      </c>
      <c r="HB611">
        <v>0</v>
      </c>
      <c r="HC611">
        <v>0</v>
      </c>
      <c r="HD611" t="s">
        <v>137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0.02</v>
      </c>
      <c r="HX611">
        <v>0.99098093957577105</v>
      </c>
      <c r="HY611">
        <v>1</v>
      </c>
      <c r="HZ611">
        <v>300000</v>
      </c>
      <c r="IA611">
        <v>0</v>
      </c>
      <c r="IB611">
        <v>0</v>
      </c>
      <c r="IC611">
        <v>0</v>
      </c>
      <c r="ID611">
        <v>0</v>
      </c>
      <c r="IE611">
        <v>300000</v>
      </c>
      <c r="IF611">
        <v>297294.28187273099</v>
      </c>
      <c r="IG611">
        <v>297294.28187273099</v>
      </c>
      <c r="IH611">
        <v>0</v>
      </c>
      <c r="II611">
        <v>106744.38495912901</v>
      </c>
      <c r="IJ611">
        <v>6628842.7782421699</v>
      </c>
      <c r="IK611">
        <v>0</v>
      </c>
      <c r="IL611">
        <v>0</v>
      </c>
      <c r="IM611">
        <v>0</v>
      </c>
      <c r="IN611">
        <v>5443963.6329155602</v>
      </c>
      <c r="IO611">
        <v>338070981.69035</v>
      </c>
      <c r="IP611">
        <v>343514945.32326603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</row>
    <row r="612" spans="2:268" customFormat="1" x14ac:dyDescent="0.25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3"/>
      <c r="N612" s="3"/>
      <c r="O612" s="3"/>
      <c r="P612" s="2"/>
      <c r="Q612" s="2"/>
      <c r="R612" s="2"/>
      <c r="S612" s="2"/>
      <c r="T612" s="2"/>
      <c r="U612" s="2"/>
      <c r="V612" s="3"/>
      <c r="W612" s="3"/>
      <c r="X612" s="3"/>
      <c r="Y612" s="3"/>
      <c r="Z612" s="3"/>
      <c r="AA612" s="3"/>
      <c r="AB612" s="3"/>
      <c r="AC612" s="2"/>
      <c r="AD612" s="2"/>
      <c r="AE612" s="2"/>
      <c r="AF612" s="2"/>
      <c r="AG612" s="2"/>
      <c r="AH612" s="2"/>
      <c r="AI612" s="2"/>
      <c r="AJ612" s="3"/>
      <c r="AK612" s="2"/>
      <c r="AL612" s="2"/>
      <c r="AM612" s="2"/>
      <c r="AN612" s="2"/>
      <c r="AO612" s="3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3"/>
      <c r="BC612" s="3"/>
      <c r="BD612" s="3"/>
      <c r="BE612" s="3"/>
      <c r="BF612" s="3"/>
      <c r="BG612" s="3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2"/>
      <c r="DI612" s="2"/>
      <c r="DJ612" s="3"/>
      <c r="DK612" s="3"/>
      <c r="DL612" s="2"/>
      <c r="DM612" s="2"/>
      <c r="DN612" s="2"/>
      <c r="DO612" s="3"/>
      <c r="DP612" s="3"/>
      <c r="GO612" t="s">
        <v>139</v>
      </c>
      <c r="GP612" t="s">
        <v>501</v>
      </c>
      <c r="GQ612" t="s">
        <v>502</v>
      </c>
      <c r="GR612">
        <v>92</v>
      </c>
      <c r="GS612">
        <v>91</v>
      </c>
      <c r="GT612">
        <v>1</v>
      </c>
      <c r="GU612" t="s">
        <v>457</v>
      </c>
      <c r="GV612">
        <v>5443963.6329155602</v>
      </c>
      <c r="GW612">
        <v>338070981.69035</v>
      </c>
      <c r="GX612">
        <v>343514945.32326603</v>
      </c>
      <c r="GY612">
        <v>0</v>
      </c>
      <c r="GZ612">
        <v>343514945.32326603</v>
      </c>
      <c r="HA612">
        <v>343514945.32326603</v>
      </c>
      <c r="HB612">
        <v>0</v>
      </c>
      <c r="HC612">
        <v>0</v>
      </c>
      <c r="HD612" t="s">
        <v>137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0.02</v>
      </c>
      <c r="HX612">
        <v>0.99098093957577105</v>
      </c>
      <c r="HY612">
        <v>1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108879.27265831101</v>
      </c>
      <c r="IJ612">
        <v>6761419.63380701</v>
      </c>
      <c r="IK612">
        <v>0</v>
      </c>
      <c r="IL612">
        <v>0</v>
      </c>
      <c r="IM612">
        <v>0</v>
      </c>
      <c r="IN612">
        <v>5552842.9055738701</v>
      </c>
      <c r="IO612">
        <v>344832401.324157</v>
      </c>
      <c r="IP612">
        <v>350385244.22973102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</row>
    <row r="613" spans="2:268" customFormat="1" x14ac:dyDescent="0.25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3"/>
      <c r="N613" s="3"/>
      <c r="O613" s="3"/>
      <c r="P613" s="2"/>
      <c r="Q613" s="2"/>
      <c r="R613" s="2"/>
      <c r="S613" s="2"/>
      <c r="T613" s="2"/>
      <c r="U613" s="2"/>
      <c r="V613" s="3"/>
      <c r="W613" s="3"/>
      <c r="X613" s="3"/>
      <c r="Y613" s="3"/>
      <c r="Z613" s="3"/>
      <c r="AA613" s="3"/>
      <c r="AB613" s="3"/>
      <c r="AC613" s="2"/>
      <c r="AD613" s="2"/>
      <c r="AE613" s="2"/>
      <c r="AF613" s="2"/>
      <c r="AG613" s="2"/>
      <c r="AH613" s="2"/>
      <c r="AI613" s="2"/>
      <c r="AJ613" s="3"/>
      <c r="AK613" s="2"/>
      <c r="AL613" s="2"/>
      <c r="AM613" s="2"/>
      <c r="AN613" s="2"/>
      <c r="AO613" s="3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3"/>
      <c r="BC613" s="3"/>
      <c r="BD613" s="3"/>
      <c r="BE613" s="3"/>
      <c r="BF613" s="3"/>
      <c r="BG613" s="3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2"/>
      <c r="DI613" s="2"/>
      <c r="DJ613" s="3"/>
      <c r="DK613" s="3"/>
      <c r="DL613" s="2"/>
      <c r="DM613" s="2"/>
      <c r="DN613" s="2"/>
      <c r="DO613" s="3"/>
      <c r="DP613" s="3"/>
      <c r="GO613" t="s">
        <v>139</v>
      </c>
      <c r="GP613" t="s">
        <v>501</v>
      </c>
      <c r="GQ613" t="s">
        <v>502</v>
      </c>
      <c r="GR613">
        <v>93</v>
      </c>
      <c r="GS613">
        <v>92</v>
      </c>
      <c r="GT613">
        <v>1</v>
      </c>
      <c r="GU613" t="s">
        <v>457</v>
      </c>
      <c r="GV613">
        <v>5552842.9055738701</v>
      </c>
      <c r="GW613">
        <v>344832401.324157</v>
      </c>
      <c r="GX613">
        <v>350385244.22973102</v>
      </c>
      <c r="GY613">
        <v>0</v>
      </c>
      <c r="GZ613">
        <v>350385244.22973102</v>
      </c>
      <c r="HA613">
        <v>350385244.22973102</v>
      </c>
      <c r="HB613">
        <v>0</v>
      </c>
      <c r="HC613">
        <v>0</v>
      </c>
      <c r="HD613" t="s">
        <v>137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0.02</v>
      </c>
      <c r="HX613">
        <v>0.99098093957577105</v>
      </c>
      <c r="HY613">
        <v>1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111056.85811147701</v>
      </c>
      <c r="IJ613">
        <v>6896648.0264831502</v>
      </c>
      <c r="IK613">
        <v>0</v>
      </c>
      <c r="IL613">
        <v>0</v>
      </c>
      <c r="IM613">
        <v>0</v>
      </c>
      <c r="IN613">
        <v>5663899.7636853503</v>
      </c>
      <c r="IO613">
        <v>351729049.35064101</v>
      </c>
      <c r="IP613">
        <v>357392949.114326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</row>
    <row r="614" spans="2:268" customFormat="1" x14ac:dyDescent="0.25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3"/>
      <c r="N614" s="3"/>
      <c r="O614" s="3"/>
      <c r="P614" s="2"/>
      <c r="Q614" s="2"/>
      <c r="R614" s="2"/>
      <c r="S614" s="2"/>
      <c r="T614" s="2"/>
      <c r="U614" s="2"/>
      <c r="V614" s="3"/>
      <c r="W614" s="3"/>
      <c r="X614" s="3"/>
      <c r="Y614" s="3"/>
      <c r="Z614" s="3"/>
      <c r="AA614" s="3"/>
      <c r="AB614" s="3"/>
      <c r="AC614" s="2"/>
      <c r="AD614" s="2"/>
      <c r="AE614" s="2"/>
      <c r="AF614" s="2"/>
      <c r="AG614" s="2"/>
      <c r="AH614" s="2"/>
      <c r="AI614" s="2"/>
      <c r="AJ614" s="3"/>
      <c r="AK614" s="2"/>
      <c r="AL614" s="2"/>
      <c r="AM614" s="2"/>
      <c r="AN614" s="2"/>
      <c r="AO614" s="3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3"/>
      <c r="BC614" s="3"/>
      <c r="BD614" s="3"/>
      <c r="BE614" s="3"/>
      <c r="BF614" s="3"/>
      <c r="BG614" s="3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2"/>
      <c r="DI614" s="2"/>
      <c r="DJ614" s="3"/>
      <c r="DK614" s="3"/>
      <c r="DL614" s="2"/>
      <c r="DM614" s="2"/>
      <c r="DN614" s="2"/>
      <c r="DO614" s="3"/>
      <c r="DP614" s="3"/>
      <c r="GO614" t="s">
        <v>139</v>
      </c>
      <c r="GP614" t="s">
        <v>501</v>
      </c>
      <c r="GQ614" t="s">
        <v>502</v>
      </c>
      <c r="GR614">
        <v>94</v>
      </c>
      <c r="GS614">
        <v>93</v>
      </c>
      <c r="GT614">
        <v>1</v>
      </c>
      <c r="GU614" t="s">
        <v>457</v>
      </c>
      <c r="GV614">
        <v>5663899.7636853503</v>
      </c>
      <c r="GW614">
        <v>351729049.35064101</v>
      </c>
      <c r="GX614">
        <v>357392949.114326</v>
      </c>
      <c r="GY614">
        <v>0</v>
      </c>
      <c r="GZ614">
        <v>357392949.114326</v>
      </c>
      <c r="HA614">
        <v>357392949.114326</v>
      </c>
      <c r="HB614">
        <v>0</v>
      </c>
      <c r="HC614">
        <v>0</v>
      </c>
      <c r="HD614" t="s">
        <v>137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0.02</v>
      </c>
      <c r="HX614">
        <v>0.99098093957577105</v>
      </c>
      <c r="HY614">
        <v>1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113277.995273707</v>
      </c>
      <c r="IJ614">
        <v>7034580.9870128101</v>
      </c>
      <c r="IK614">
        <v>0</v>
      </c>
      <c r="IL614">
        <v>0</v>
      </c>
      <c r="IM614">
        <v>0</v>
      </c>
      <c r="IN614">
        <v>5777177.7589590596</v>
      </c>
      <c r="IO614">
        <v>358763630.33765298</v>
      </c>
      <c r="IP614">
        <v>364540808.09661198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</row>
    <row r="615" spans="2:268" customFormat="1" x14ac:dyDescent="0.25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3"/>
      <c r="N615" s="3"/>
      <c r="O615" s="3"/>
      <c r="P615" s="2"/>
      <c r="Q615" s="2"/>
      <c r="R615" s="2"/>
      <c r="S615" s="2"/>
      <c r="T615" s="2"/>
      <c r="U615" s="2"/>
      <c r="V615" s="3"/>
      <c r="W615" s="3"/>
      <c r="X615" s="3"/>
      <c r="Y615" s="3"/>
      <c r="Z615" s="3"/>
      <c r="AA615" s="3"/>
      <c r="AB615" s="3"/>
      <c r="AC615" s="2"/>
      <c r="AD615" s="2"/>
      <c r="AE615" s="2"/>
      <c r="AF615" s="2"/>
      <c r="AG615" s="2"/>
      <c r="AH615" s="2"/>
      <c r="AI615" s="2"/>
      <c r="AJ615" s="3"/>
      <c r="AK615" s="2"/>
      <c r="AL615" s="2"/>
      <c r="AM615" s="2"/>
      <c r="AN615" s="2"/>
      <c r="AO615" s="3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3"/>
      <c r="BC615" s="3"/>
      <c r="BD615" s="3"/>
      <c r="BE615" s="3"/>
      <c r="BF615" s="3"/>
      <c r="BG615" s="3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2"/>
      <c r="DI615" s="2"/>
      <c r="DJ615" s="3"/>
      <c r="DK615" s="3"/>
      <c r="DL615" s="2"/>
      <c r="DM615" s="2"/>
      <c r="DN615" s="2"/>
      <c r="DO615" s="3"/>
      <c r="DP615" s="3"/>
      <c r="GO615" t="s">
        <v>139</v>
      </c>
      <c r="GP615" t="s">
        <v>501</v>
      </c>
      <c r="GQ615" t="s">
        <v>502</v>
      </c>
      <c r="GR615">
        <v>95</v>
      </c>
      <c r="GS615">
        <v>94</v>
      </c>
      <c r="GT615">
        <v>1</v>
      </c>
      <c r="GU615" t="s">
        <v>457</v>
      </c>
      <c r="GV615">
        <v>5777177.7589590596</v>
      </c>
      <c r="GW615">
        <v>358763630.33765298</v>
      </c>
      <c r="GX615">
        <v>364540808.09661198</v>
      </c>
      <c r="GY615">
        <v>0</v>
      </c>
      <c r="GZ615">
        <v>364540808.09661198</v>
      </c>
      <c r="HA615">
        <v>364540808.09661198</v>
      </c>
      <c r="HB615">
        <v>0</v>
      </c>
      <c r="HC615">
        <v>0</v>
      </c>
      <c r="HD615" t="s">
        <v>137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0.02</v>
      </c>
      <c r="HX615">
        <v>0.99098093957577105</v>
      </c>
      <c r="HY615">
        <v>1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115543.555179181</v>
      </c>
      <c r="IJ615">
        <v>7175272.6067530699</v>
      </c>
      <c r="IK615">
        <v>0</v>
      </c>
      <c r="IL615">
        <v>0</v>
      </c>
      <c r="IM615">
        <v>0</v>
      </c>
      <c r="IN615">
        <v>5892721.3141382402</v>
      </c>
      <c r="IO615">
        <v>365938902.94440597</v>
      </c>
      <c r="IP615">
        <v>371831624.25854498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</row>
    <row r="616" spans="2:268" customFormat="1" x14ac:dyDescent="0.25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3"/>
      <c r="N616" s="3"/>
      <c r="O616" s="3"/>
      <c r="P616" s="2"/>
      <c r="Q616" s="2"/>
      <c r="R616" s="2"/>
      <c r="S616" s="2"/>
      <c r="T616" s="2"/>
      <c r="U616" s="2"/>
      <c r="V616" s="3"/>
      <c r="W616" s="3"/>
      <c r="X616" s="3"/>
      <c r="Y616" s="3"/>
      <c r="Z616" s="3"/>
      <c r="AA616" s="3"/>
      <c r="AB616" s="3"/>
      <c r="AC616" s="2"/>
      <c r="AD616" s="2"/>
      <c r="AE616" s="2"/>
      <c r="AF616" s="2"/>
      <c r="AG616" s="2"/>
      <c r="AH616" s="2"/>
      <c r="AI616" s="2"/>
      <c r="AJ616" s="3"/>
      <c r="AK616" s="2"/>
      <c r="AL616" s="2"/>
      <c r="AM616" s="2"/>
      <c r="AN616" s="2"/>
      <c r="AO616" s="3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3"/>
      <c r="BC616" s="3"/>
      <c r="BD616" s="3"/>
      <c r="BE616" s="3"/>
      <c r="BF616" s="3"/>
      <c r="BG616" s="3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2"/>
      <c r="DI616" s="2"/>
      <c r="DJ616" s="3"/>
      <c r="DK616" s="3"/>
      <c r="DL616" s="2"/>
      <c r="DM616" s="2"/>
      <c r="DN616" s="2"/>
      <c r="DO616" s="3"/>
      <c r="DP616" s="3"/>
      <c r="GO616" t="s">
        <v>139</v>
      </c>
      <c r="GP616" t="s">
        <v>501</v>
      </c>
      <c r="GQ616" t="s">
        <v>502</v>
      </c>
      <c r="GR616">
        <v>96</v>
      </c>
      <c r="GS616">
        <v>95</v>
      </c>
      <c r="GT616">
        <v>1</v>
      </c>
      <c r="GU616" t="s">
        <v>457</v>
      </c>
      <c r="GV616">
        <v>5892721.3141382402</v>
      </c>
      <c r="GW616">
        <v>365938902.94440597</v>
      </c>
      <c r="GX616">
        <v>371831624.25854498</v>
      </c>
      <c r="GY616">
        <v>0</v>
      </c>
      <c r="GZ616">
        <v>371831624.25854498</v>
      </c>
      <c r="HA616">
        <v>371831624.25854498</v>
      </c>
      <c r="HB616">
        <v>0</v>
      </c>
      <c r="HC616">
        <v>0</v>
      </c>
      <c r="HD616" t="s">
        <v>137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0.02</v>
      </c>
      <c r="HX616">
        <v>0.99098093957577105</v>
      </c>
      <c r="HY616">
        <v>1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117854.42628276499</v>
      </c>
      <c r="IJ616">
        <v>7318778.0588881299</v>
      </c>
      <c r="IK616">
        <v>0</v>
      </c>
      <c r="IL616">
        <v>0</v>
      </c>
      <c r="IM616">
        <v>0</v>
      </c>
      <c r="IN616">
        <v>6010575.7404209999</v>
      </c>
      <c r="IO616">
        <v>373257681.003295</v>
      </c>
      <c r="IP616">
        <v>379268256.743716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</row>
    <row r="617" spans="2:268" customFormat="1" x14ac:dyDescent="0.25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3"/>
      <c r="N617" s="3"/>
      <c r="O617" s="3"/>
      <c r="P617" s="2"/>
      <c r="Q617" s="2"/>
      <c r="R617" s="2"/>
      <c r="S617" s="2"/>
      <c r="T617" s="2"/>
      <c r="U617" s="2"/>
      <c r="V617" s="3"/>
      <c r="W617" s="3"/>
      <c r="X617" s="3"/>
      <c r="Y617" s="3"/>
      <c r="Z617" s="3"/>
      <c r="AA617" s="3"/>
      <c r="AB617" s="3"/>
      <c r="AC617" s="2"/>
      <c r="AD617" s="2"/>
      <c r="AE617" s="2"/>
      <c r="AF617" s="2"/>
      <c r="AG617" s="2"/>
      <c r="AH617" s="2"/>
      <c r="AI617" s="2"/>
      <c r="AJ617" s="3"/>
      <c r="AK617" s="2"/>
      <c r="AL617" s="2"/>
      <c r="AM617" s="2"/>
      <c r="AN617" s="2"/>
      <c r="AO617" s="3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3"/>
      <c r="BC617" s="3"/>
      <c r="BD617" s="3"/>
      <c r="BE617" s="3"/>
      <c r="BF617" s="3"/>
      <c r="BG617" s="3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2"/>
      <c r="DI617" s="2"/>
      <c r="DJ617" s="3"/>
      <c r="DK617" s="3"/>
      <c r="DL617" s="2"/>
      <c r="DM617" s="2"/>
      <c r="DN617" s="2"/>
      <c r="DO617" s="3"/>
      <c r="DP617" s="3"/>
      <c r="GO617" t="s">
        <v>139</v>
      </c>
      <c r="GP617" t="s">
        <v>501</v>
      </c>
      <c r="GQ617" t="s">
        <v>502</v>
      </c>
      <c r="GR617">
        <v>97</v>
      </c>
      <c r="GS617">
        <v>96</v>
      </c>
      <c r="GT617">
        <v>1</v>
      </c>
      <c r="GU617" t="s">
        <v>457</v>
      </c>
      <c r="GV617">
        <v>6010575.7404209999</v>
      </c>
      <c r="GW617">
        <v>373257681.003295</v>
      </c>
      <c r="GX617">
        <v>379268256.743716</v>
      </c>
      <c r="GY617">
        <v>0</v>
      </c>
      <c r="GZ617">
        <v>379268256.743716</v>
      </c>
      <c r="HA617">
        <v>379268256.743716</v>
      </c>
      <c r="HB617">
        <v>0</v>
      </c>
      <c r="HC617">
        <v>0</v>
      </c>
      <c r="HD617" t="s">
        <v>137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0.02</v>
      </c>
      <c r="HX617">
        <v>0.99098093957577105</v>
      </c>
      <c r="HY617">
        <v>1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120211.51480842</v>
      </c>
      <c r="IJ617">
        <v>7465153.6200658903</v>
      </c>
      <c r="IK617">
        <v>0</v>
      </c>
      <c r="IL617">
        <v>0</v>
      </c>
      <c r="IM617">
        <v>0</v>
      </c>
      <c r="IN617">
        <v>6130787.25522942</v>
      </c>
      <c r="IO617">
        <v>380722834.62335998</v>
      </c>
      <c r="IP617">
        <v>386853621.87858999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</row>
    <row r="618" spans="2:268" customFormat="1" x14ac:dyDescent="0.25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3"/>
      <c r="N618" s="3"/>
      <c r="O618" s="3"/>
      <c r="P618" s="2"/>
      <c r="Q618" s="2"/>
      <c r="R618" s="2"/>
      <c r="S618" s="2"/>
      <c r="T618" s="2"/>
      <c r="U618" s="2"/>
      <c r="V618" s="3"/>
      <c r="W618" s="3"/>
      <c r="X618" s="3"/>
      <c r="Y618" s="3"/>
      <c r="Z618" s="3"/>
      <c r="AA618" s="3"/>
      <c r="AB618" s="3"/>
      <c r="AC618" s="2"/>
      <c r="AD618" s="2"/>
      <c r="AE618" s="2"/>
      <c r="AF618" s="2"/>
      <c r="AG618" s="2"/>
      <c r="AH618" s="2"/>
      <c r="AI618" s="2"/>
      <c r="AJ618" s="3"/>
      <c r="AK618" s="2"/>
      <c r="AL618" s="2"/>
      <c r="AM618" s="2"/>
      <c r="AN618" s="2"/>
      <c r="AO618" s="3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3"/>
      <c r="BC618" s="3"/>
      <c r="BD618" s="3"/>
      <c r="BE618" s="3"/>
      <c r="BF618" s="3"/>
      <c r="BG618" s="3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2"/>
      <c r="DI618" s="2"/>
      <c r="DJ618" s="3"/>
      <c r="DK618" s="3"/>
      <c r="DL618" s="2"/>
      <c r="DM618" s="2"/>
      <c r="DN618" s="2"/>
      <c r="DO618" s="3"/>
      <c r="DP618" s="3"/>
      <c r="GO618" t="s">
        <v>139</v>
      </c>
      <c r="GP618" t="s">
        <v>501</v>
      </c>
      <c r="GQ618" t="s">
        <v>502</v>
      </c>
      <c r="GR618">
        <v>98</v>
      </c>
      <c r="GS618">
        <v>97</v>
      </c>
      <c r="GT618">
        <v>1</v>
      </c>
      <c r="GU618" t="s">
        <v>457</v>
      </c>
      <c r="GV618">
        <v>6130787.25522942</v>
      </c>
      <c r="GW618">
        <v>380722834.62335998</v>
      </c>
      <c r="GX618">
        <v>386853621.87858999</v>
      </c>
      <c r="GY618">
        <v>0</v>
      </c>
      <c r="GZ618">
        <v>386853621.87858999</v>
      </c>
      <c r="HA618">
        <v>386853621.87858999</v>
      </c>
      <c r="HB618">
        <v>0</v>
      </c>
      <c r="HC618">
        <v>0</v>
      </c>
      <c r="HD618" t="s">
        <v>137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0.02</v>
      </c>
      <c r="HX618">
        <v>0.99098093957577105</v>
      </c>
      <c r="HY618">
        <v>1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122615.745104588</v>
      </c>
      <c r="IJ618">
        <v>7614456.6924672099</v>
      </c>
      <c r="IK618">
        <v>0</v>
      </c>
      <c r="IL618">
        <v>0</v>
      </c>
      <c r="IM618">
        <v>0</v>
      </c>
      <c r="IN618">
        <v>6253403.0003340105</v>
      </c>
      <c r="IO618">
        <v>388337291.31582803</v>
      </c>
      <c r="IP618">
        <v>394590694.31616199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</row>
    <row r="619" spans="2:268" customFormat="1" x14ac:dyDescent="0.25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3"/>
      <c r="N619" s="3"/>
      <c r="O619" s="3"/>
      <c r="P619" s="2"/>
      <c r="Q619" s="2"/>
      <c r="R619" s="2"/>
      <c r="S619" s="2"/>
      <c r="T619" s="2"/>
      <c r="U619" s="2"/>
      <c r="V619" s="3"/>
      <c r="W619" s="3"/>
      <c r="X619" s="3"/>
      <c r="Y619" s="3"/>
      <c r="Z619" s="3"/>
      <c r="AA619" s="3"/>
      <c r="AB619" s="3"/>
      <c r="AC619" s="2"/>
      <c r="AD619" s="2"/>
      <c r="AE619" s="2"/>
      <c r="AF619" s="2"/>
      <c r="AG619" s="2"/>
      <c r="AH619" s="2"/>
      <c r="AI619" s="2"/>
      <c r="AJ619" s="3"/>
      <c r="AK619" s="2"/>
      <c r="AL619" s="2"/>
      <c r="AM619" s="2"/>
      <c r="AN619" s="2"/>
      <c r="AO619" s="3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3"/>
      <c r="BC619" s="3"/>
      <c r="BD619" s="3"/>
      <c r="BE619" s="3"/>
      <c r="BF619" s="3"/>
      <c r="BG619" s="3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2"/>
      <c r="DI619" s="2"/>
      <c r="DJ619" s="3"/>
      <c r="DK619" s="3"/>
      <c r="DL619" s="2"/>
      <c r="DM619" s="2"/>
      <c r="DN619" s="2"/>
      <c r="DO619" s="3"/>
      <c r="DP619" s="3"/>
      <c r="GO619" t="s">
        <v>139</v>
      </c>
      <c r="GP619" t="s">
        <v>501</v>
      </c>
      <c r="GQ619" t="s">
        <v>502</v>
      </c>
      <c r="GR619">
        <v>99</v>
      </c>
      <c r="GS619">
        <v>98</v>
      </c>
      <c r="GT619">
        <v>1</v>
      </c>
      <c r="GU619" t="s">
        <v>457</v>
      </c>
      <c r="GV619">
        <v>6253403.0003340105</v>
      </c>
      <c r="GW619">
        <v>388337291.31582803</v>
      </c>
      <c r="GX619">
        <v>394590694.31616199</v>
      </c>
      <c r="GY619">
        <v>0</v>
      </c>
      <c r="GZ619">
        <v>394590694.31616199</v>
      </c>
      <c r="HA619">
        <v>394590694.31616199</v>
      </c>
      <c r="HB619">
        <v>0</v>
      </c>
      <c r="HC619">
        <v>0</v>
      </c>
      <c r="HD619" t="s">
        <v>137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0.02</v>
      </c>
      <c r="HX619">
        <v>0.99098093957577105</v>
      </c>
      <c r="HY619">
        <v>1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125068.06000668</v>
      </c>
      <c r="IJ619">
        <v>7766745.8263165504</v>
      </c>
      <c r="IK619">
        <v>0</v>
      </c>
      <c r="IL619">
        <v>0</v>
      </c>
      <c r="IM619">
        <v>0</v>
      </c>
      <c r="IN619">
        <v>6378471.0603406904</v>
      </c>
      <c r="IO619">
        <v>396104037.14214402</v>
      </c>
      <c r="IP619">
        <v>402482508.20248502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</row>
    <row r="620" spans="2:268" customFormat="1" x14ac:dyDescent="0.25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3"/>
      <c r="N620" s="3"/>
      <c r="O620" s="3"/>
      <c r="P620" s="2"/>
      <c r="Q620" s="2"/>
      <c r="R620" s="2"/>
      <c r="S620" s="2"/>
      <c r="T620" s="2"/>
      <c r="U620" s="2"/>
      <c r="V620" s="3"/>
      <c r="W620" s="3"/>
      <c r="X620" s="3"/>
      <c r="Y620" s="3"/>
      <c r="Z620" s="3"/>
      <c r="AA620" s="3"/>
      <c r="AB620" s="3"/>
      <c r="AC620" s="2"/>
      <c r="AD620" s="2"/>
      <c r="AE620" s="2"/>
      <c r="AF620" s="2"/>
      <c r="AG620" s="2"/>
      <c r="AH620" s="2"/>
      <c r="AI620" s="2"/>
      <c r="AJ620" s="3"/>
      <c r="AK620" s="2"/>
      <c r="AL620" s="2"/>
      <c r="AM620" s="2"/>
      <c r="AN620" s="2"/>
      <c r="AO620" s="3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3"/>
      <c r="BC620" s="3"/>
      <c r="BD620" s="3"/>
      <c r="BE620" s="3"/>
      <c r="BF620" s="3"/>
      <c r="BG620" s="3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2"/>
      <c r="DI620" s="2"/>
      <c r="DJ620" s="3"/>
      <c r="DK620" s="3"/>
      <c r="DL620" s="2"/>
      <c r="DM620" s="2"/>
      <c r="DN620" s="2"/>
      <c r="DO620" s="3"/>
      <c r="DP620" s="3"/>
      <c r="GO620" t="s">
        <v>139</v>
      </c>
      <c r="GP620" t="s">
        <v>501</v>
      </c>
      <c r="GQ620" t="s">
        <v>502</v>
      </c>
      <c r="GR620">
        <v>100</v>
      </c>
      <c r="GS620">
        <v>99</v>
      </c>
      <c r="GT620">
        <v>1</v>
      </c>
      <c r="GU620" t="s">
        <v>457</v>
      </c>
      <c r="GV620">
        <v>6378471.0603406904</v>
      </c>
      <c r="GW620">
        <v>396104037.14214402</v>
      </c>
      <c r="GX620">
        <v>402482508.20248502</v>
      </c>
      <c r="GY620">
        <v>0</v>
      </c>
      <c r="GZ620">
        <v>402482508.20248502</v>
      </c>
      <c r="HA620">
        <v>402482508.20248502</v>
      </c>
      <c r="HB620">
        <v>0</v>
      </c>
      <c r="HC620">
        <v>0</v>
      </c>
      <c r="HD620" t="s">
        <v>137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0.02</v>
      </c>
      <c r="HX620">
        <v>0.99098093957577105</v>
      </c>
      <c r="HY620">
        <v>1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127569.421206814</v>
      </c>
      <c r="IJ620">
        <v>7922080.7428428801</v>
      </c>
      <c r="IK620">
        <v>0</v>
      </c>
      <c r="IL620">
        <v>0</v>
      </c>
      <c r="IM620">
        <v>0</v>
      </c>
      <c r="IN620">
        <v>6506040.4815475103</v>
      </c>
      <c r="IO620">
        <v>404026117.884987</v>
      </c>
      <c r="IP620">
        <v>410532158.36653501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</row>
  </sheetData>
  <mergeCells count="2">
    <mergeCell ref="BJ18:BQ18"/>
    <mergeCell ref="BT18:CB18"/>
  </mergeCells>
  <dataValidations count="3">
    <dataValidation type="list" allowBlank="1" showInputMessage="1" showErrorMessage="1" sqref="C9" xr:uid="{892CD2E5-D7E0-4D30-8632-2FEA7827B1F1}">
      <formula1>"Must-pay term, Policy term, Opted term"</formula1>
    </dataValidation>
    <dataValidation type="list" allowBlank="1" showInputMessage="1" showErrorMessage="1" sqref="C7" xr:uid="{86974196-BED9-466E-821E-91B00FA05D90}">
      <formula1>"High,Low,Guaranteed"</formula1>
      <formula2>0</formula2>
    </dataValidation>
    <dataValidation type="list" allowBlank="1" showInputMessage="1" showErrorMessage="1" sqref="C12" xr:uid="{CE58F955-AF05-4F7D-A0FD-E46D1CDC3D88}">
      <formula1>"Standard,Subrisk"</formula1>
    </dataValidation>
  </dataValidations>
  <pageMargins left="0.7" right="0.7" top="0.75" bottom="0.75" header="0.3" footer="0.3"/>
  <pageSetup orientation="portrait" r:id="rId1"/>
  <drawing r:id="rId2"/>
  <tableParts count="4"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722DC-2ED7-4179-904F-B48176644C2E}">
  <sheetPr codeName="Sheet4">
    <tabColor theme="4" tint="0.79998168889431442"/>
  </sheetPr>
  <dimension ref="B1:BR599"/>
  <sheetViews>
    <sheetView topLeftCell="BF1" zoomScale="55" zoomScaleNormal="55" workbookViewId="0">
      <selection activeCell="BG14" sqref="BG14:BR16"/>
    </sheetView>
  </sheetViews>
  <sheetFormatPr defaultRowHeight="15" x14ac:dyDescent="0.25"/>
  <cols>
    <col min="1" max="1" width="13.5703125" bestFit="1" customWidth="1"/>
    <col min="2" max="2" width="19.42578125" customWidth="1"/>
    <col min="3" max="3" width="18.28515625" bestFit="1" customWidth="1"/>
    <col min="4" max="4" width="11" bestFit="1" customWidth="1"/>
    <col min="5" max="5" width="22" bestFit="1" customWidth="1"/>
    <col min="6" max="6" width="21.5703125" bestFit="1" customWidth="1"/>
    <col min="7" max="7" width="21.7109375" bestFit="1" customWidth="1"/>
    <col min="8" max="8" width="22.85546875" bestFit="1" customWidth="1"/>
    <col min="9" max="9" width="21.7109375" customWidth="1"/>
    <col min="10" max="10" width="20" bestFit="1" customWidth="1"/>
    <col min="11" max="12" width="26.28515625" bestFit="1" customWidth="1"/>
    <col min="13" max="13" width="25.28515625" bestFit="1" customWidth="1"/>
    <col min="14" max="14" width="25.7109375" bestFit="1" customWidth="1"/>
    <col min="15" max="15" width="27.140625" bestFit="1" customWidth="1"/>
    <col min="16" max="16" width="26.28515625" bestFit="1" customWidth="1"/>
    <col min="17" max="17" width="27.140625" bestFit="1" customWidth="1"/>
    <col min="18" max="18" width="27.42578125" bestFit="1" customWidth="1"/>
    <col min="19" max="19" width="20.140625" bestFit="1" customWidth="1"/>
    <col min="20" max="20" width="32.85546875" bestFit="1" customWidth="1"/>
    <col min="21" max="21" width="23.85546875" bestFit="1" customWidth="1"/>
    <col min="22" max="22" width="12.42578125" bestFit="1" customWidth="1"/>
    <col min="23" max="23" width="13.5703125" bestFit="1" customWidth="1"/>
    <col min="24" max="24" width="11.42578125" bestFit="1" customWidth="1"/>
    <col min="25" max="25" width="11.140625" bestFit="1" customWidth="1"/>
    <col min="26" max="26" width="13.85546875" bestFit="1" customWidth="1"/>
    <col min="27" max="27" width="23.42578125" bestFit="1" customWidth="1"/>
    <col min="28" max="28" width="30" bestFit="1" customWidth="1"/>
    <col min="29" max="29" width="27.7109375" bestFit="1" customWidth="1"/>
    <col min="30" max="30" width="27.7109375" customWidth="1"/>
    <col min="31" max="31" width="30.140625" bestFit="1" customWidth="1"/>
    <col min="32" max="32" width="18.85546875" bestFit="1" customWidth="1"/>
    <col min="33" max="33" width="25.42578125" bestFit="1" customWidth="1"/>
    <col min="34" max="34" width="23.140625" bestFit="1" customWidth="1"/>
    <col min="35" max="36" width="23.140625" customWidth="1"/>
    <col min="37" max="37" width="16.42578125" bestFit="1" customWidth="1"/>
    <col min="38" max="38" width="22.42578125" bestFit="1" customWidth="1"/>
    <col min="39" max="39" width="20" bestFit="1" customWidth="1"/>
    <col min="40" max="40" width="16.42578125" bestFit="1" customWidth="1"/>
    <col min="41" max="41" width="22.42578125" bestFit="1" customWidth="1"/>
    <col min="42" max="43" width="9.28515625" customWidth="1"/>
    <col min="44" max="44" width="11.5703125" bestFit="1" customWidth="1"/>
    <col min="45" max="45" width="19.5703125" bestFit="1" customWidth="1"/>
    <col min="46" max="46" width="14.85546875" bestFit="1" customWidth="1"/>
    <col min="47" max="47" width="18.28515625" bestFit="1" customWidth="1"/>
    <col min="48" max="48" width="17.7109375" bestFit="1" customWidth="1"/>
    <col min="49" max="49" width="21.5703125" bestFit="1" customWidth="1"/>
    <col min="50" max="50" width="18.5703125" bestFit="1" customWidth="1"/>
    <col min="51" max="51" width="21.7109375" bestFit="1" customWidth="1"/>
    <col min="52" max="52" width="18.85546875" bestFit="1" customWidth="1"/>
    <col min="53" max="53" width="23.5703125" bestFit="1" customWidth="1"/>
    <col min="54" max="54" width="35.42578125" bestFit="1" customWidth="1"/>
    <col min="55" max="55" width="32.5703125" bestFit="1" customWidth="1"/>
    <col min="56" max="56" width="31.140625" bestFit="1" customWidth="1"/>
    <col min="57" max="58" width="19" customWidth="1"/>
    <col min="59" max="59" width="14.5703125" bestFit="1" customWidth="1"/>
    <col min="60" max="60" width="10.140625" bestFit="1" customWidth="1"/>
    <col min="61" max="61" width="6.7109375" bestFit="1" customWidth="1"/>
    <col min="62" max="62" width="6" bestFit="1" customWidth="1"/>
    <col min="63" max="63" width="10.5703125" bestFit="1" customWidth="1"/>
    <col min="64" max="64" width="6.7109375" bestFit="1" customWidth="1"/>
    <col min="65" max="65" width="12.140625" bestFit="1" customWidth="1"/>
    <col min="66" max="66" width="13.42578125" bestFit="1" customWidth="1"/>
    <col min="67" max="67" width="14.140625" bestFit="1" customWidth="1"/>
    <col min="68" max="68" width="28" bestFit="1" customWidth="1"/>
    <col min="69" max="69" width="25.5703125" bestFit="1" customWidth="1"/>
    <col min="70" max="70" width="24.28515625" bestFit="1" customWidth="1"/>
    <col min="71" max="71" width="23.85546875" bestFit="1" customWidth="1"/>
    <col min="72" max="72" width="22" bestFit="1" customWidth="1"/>
  </cols>
  <sheetData>
    <row r="1" spans="2:70" x14ac:dyDescent="0.25">
      <c r="B1" s="138" t="s">
        <v>511</v>
      </c>
    </row>
    <row r="2" spans="2:70" x14ac:dyDescent="0.25">
      <c r="B2" s="138" t="s">
        <v>512</v>
      </c>
    </row>
    <row r="3" spans="2:70" x14ac:dyDescent="0.25">
      <c r="B3" s="138" t="s">
        <v>510</v>
      </c>
    </row>
    <row r="4" spans="2:70" x14ac:dyDescent="0.25">
      <c r="B4" s="138"/>
    </row>
    <row r="5" spans="2:70" ht="39" x14ac:dyDescent="0.6">
      <c r="B5" s="139" t="s">
        <v>263</v>
      </c>
    </row>
    <row r="6" spans="2:70" x14ac:dyDescent="0.25">
      <c r="C6" s="140"/>
    </row>
    <row r="7" spans="2:70" x14ac:dyDescent="0.25">
      <c r="B7" s="141" t="s">
        <v>3</v>
      </c>
      <c r="C7" s="141" t="s">
        <v>160</v>
      </c>
      <c r="D7" s="141" t="s">
        <v>244</v>
      </c>
      <c r="E7" s="141" t="s">
        <v>264</v>
      </c>
      <c r="F7" s="141" t="s">
        <v>246</v>
      </c>
      <c r="G7" s="141" t="s">
        <v>265</v>
      </c>
      <c r="H7" s="141" t="s">
        <v>248</v>
      </c>
      <c r="I7" s="141" t="s">
        <v>266</v>
      </c>
      <c r="J7" s="141" t="s">
        <v>267</v>
      </c>
      <c r="K7" s="74" t="s">
        <v>172</v>
      </c>
      <c r="L7" s="74" t="s">
        <v>268</v>
      </c>
      <c r="M7" s="74" t="s">
        <v>490</v>
      </c>
      <c r="N7" s="74" t="s">
        <v>269</v>
      </c>
      <c r="O7" s="74" t="s">
        <v>270</v>
      </c>
      <c r="P7" s="74" t="s">
        <v>459</v>
      </c>
    </row>
    <row r="8" spans="2:70" x14ac:dyDescent="0.25">
      <c r="B8" s="11"/>
      <c r="C8" s="142"/>
      <c r="D8" s="142"/>
      <c r="E8" s="142"/>
      <c r="F8" s="142"/>
      <c r="G8" s="142"/>
      <c r="H8" s="142"/>
      <c r="I8" s="142"/>
      <c r="J8" s="142"/>
      <c r="K8" s="143" t="e">
        <f>INDEX(Input!O$26:O$42,MATCH($D8,Input!$M$26:$M$42,0))</f>
        <v>#N/A</v>
      </c>
      <c r="L8" s="143" t="e">
        <f>INDEX(Input!R$26:R$39,MATCH($D8,Input!$M$26:$M$42,0))</f>
        <v>#N/A</v>
      </c>
      <c r="M8" s="143" t="e">
        <f>INDEX(tblAgeValidation[Maturity],MATCH(rider,tblAgeValidation[Product],0))</f>
        <v>#N/A</v>
      </c>
      <c r="N8" s="143" t="e" cm="1">
        <f t="array" ref="N8">_xlfn.SWITCH(rider,
"SUP01",MIN(base_term,maturity_age-entry_age,17),
"WOP01",MIN(opted_tp_term,maturity_age-entry_age),
"WOP02",MIN(opted_tp_term,maturity_age-entry_age),
MIN(base_term,maturity_age-entry_age))</f>
        <v>#N/A</v>
      </c>
      <c r="O8" s="143" t="b">
        <f>LEFT(rider,3)="WOP"</f>
        <v>0</v>
      </c>
      <c r="P8" s="319">
        <f ca="1">Base_CF!tp</f>
        <v>1072000</v>
      </c>
    </row>
    <row r="10" spans="2:70" s="144" customFormat="1" x14ac:dyDescent="0.25">
      <c r="V10" s="145" t="e">
        <f>INDEX(tblModalFactor[],MATCH(rider,tblModalFactor[Product],0),MATCH(V$11,tblModalFactor[#Headers],0))</f>
        <v>#N/A</v>
      </c>
      <c r="W10" s="145" t="e">
        <f>INDEX(tblModalFactor[],MATCH(rider,tblModalFactor[Product],0),MATCH(W$11,tblModalFactor[#Headers],0))</f>
        <v>#N/A</v>
      </c>
      <c r="X10" s="145" t="e">
        <f>INDEX(tblModalFactor[],MATCH(rider,tblModalFactor[Product],0),MATCH(X$11,tblModalFactor[#Headers],0))</f>
        <v>#N/A</v>
      </c>
      <c r="AA10" s="145" t="e">
        <f>INDEX(tblModalFactor[],MATCH(rider,tblModalFactor[Product],0),MATCH(AA$11,tblModalFactor[#Headers],0))</f>
        <v>#N/A</v>
      </c>
      <c r="AB10" s="145" t="e">
        <f>INDEX(tblModalFactor[],MATCH(rider,tblModalFactor[Product],0),MATCH(AB$11,tblModalFactor[#Headers],0))</f>
        <v>#N/A</v>
      </c>
      <c r="AC10" s="145" t="e">
        <f>INDEX(tblModalFactor[],MATCH(rider,tblModalFactor[Product],0),MATCH(AC$11,tblModalFactor[#Headers],0))</f>
        <v>#N/A</v>
      </c>
      <c r="AF10" s="145" t="e">
        <f>INDEX(tblModalFactor[],MATCH(rider,tblModalFactor[Product],0),MATCH(AF$11,tblModalFactor[#Headers],0))</f>
        <v>#N/A</v>
      </c>
      <c r="AG10" s="145" t="e">
        <f>INDEX(tblModalFactor[],MATCH(rider,tblModalFactor[Product],0),MATCH(AG$11,tblModalFactor[#Headers],0))</f>
        <v>#N/A</v>
      </c>
      <c r="AH10" s="145" t="e">
        <f>INDEX(tblModalFactor[],MATCH(rider,tblModalFactor[Product],0),MATCH(AH$11,tblModalFactor[#Headers],0))</f>
        <v>#N/A</v>
      </c>
      <c r="AK10" s="145" t="e">
        <f>INDEX(tblModalFactor[],MATCH(rider,tblModalFactor[Product],0),MATCH(AK$11,tblModalFactor[#Headers],0))</f>
        <v>#N/A</v>
      </c>
      <c r="AL10" s="145" t="e">
        <f>INDEX(tblModalFactor[],MATCH(rider,tblModalFactor[Product],0),MATCH(AL$11,tblModalFactor[#Headers],0))</f>
        <v>#N/A</v>
      </c>
      <c r="AM10" s="145" t="e">
        <f>INDEX(tblModalFactor[],MATCH(rider,tblModalFactor[Product],0),MATCH(AM$11,tblModalFactor[#Headers],0))</f>
        <v>#N/A</v>
      </c>
    </row>
    <row r="11" spans="2:70" s="144" customFormat="1" x14ac:dyDescent="0.25">
      <c r="K11" s="146" t="s">
        <v>480</v>
      </c>
      <c r="L11" s="146" t="s">
        <v>485</v>
      </c>
      <c r="M11" s="146" t="s">
        <v>487</v>
      </c>
      <c r="N11" s="146" t="s">
        <v>483</v>
      </c>
      <c r="O11" s="146" t="s">
        <v>486</v>
      </c>
      <c r="P11" s="146" t="s">
        <v>484</v>
      </c>
      <c r="Q11" s="146" t="s">
        <v>482</v>
      </c>
      <c r="R11" s="146" t="s">
        <v>481</v>
      </c>
      <c r="S11" s="147"/>
      <c r="T11" s="147"/>
      <c r="U11" s="147"/>
      <c r="V11" s="146" t="s">
        <v>220</v>
      </c>
      <c r="W11" s="146" t="s">
        <v>220</v>
      </c>
      <c r="X11" s="146" t="s">
        <v>220</v>
      </c>
      <c r="AA11" s="146" t="s">
        <v>223</v>
      </c>
      <c r="AB11" s="146" t="s">
        <v>223</v>
      </c>
      <c r="AC11" s="146" t="s">
        <v>223</v>
      </c>
      <c r="AF11" s="146" t="s">
        <v>224</v>
      </c>
      <c r="AG11" s="146" t="s">
        <v>224</v>
      </c>
      <c r="AH11" s="146" t="s">
        <v>224</v>
      </c>
      <c r="AK11" s="146" t="s">
        <v>225</v>
      </c>
      <c r="AL11" s="146" t="s">
        <v>225</v>
      </c>
      <c r="AM11" s="146" t="s">
        <v>225</v>
      </c>
    </row>
    <row r="12" spans="2:70" x14ac:dyDescent="0.25">
      <c r="B12" s="25" t="s">
        <v>17</v>
      </c>
      <c r="C12" s="25" t="s">
        <v>272</v>
      </c>
      <c r="D12" s="25" t="s">
        <v>20</v>
      </c>
      <c r="E12" s="25" t="s">
        <v>26</v>
      </c>
      <c r="F12" s="25" t="s">
        <v>27</v>
      </c>
      <c r="G12" s="25" t="s">
        <v>28</v>
      </c>
      <c r="H12" s="25" t="s">
        <v>273</v>
      </c>
      <c r="I12" s="25" t="s">
        <v>274</v>
      </c>
      <c r="J12" s="25" t="s">
        <v>245</v>
      </c>
      <c r="K12" s="25" t="s">
        <v>275</v>
      </c>
      <c r="L12" s="25" t="s">
        <v>276</v>
      </c>
      <c r="M12" s="25" t="s">
        <v>277</v>
      </c>
      <c r="N12" s="25" t="s">
        <v>278</v>
      </c>
      <c r="O12" s="25" t="s">
        <v>279</v>
      </c>
      <c r="P12" s="25" t="s">
        <v>280</v>
      </c>
      <c r="Q12" s="25" t="s">
        <v>281</v>
      </c>
      <c r="R12" s="25" t="s">
        <v>282</v>
      </c>
      <c r="S12" s="25" t="s">
        <v>283</v>
      </c>
      <c r="T12" s="25" t="s">
        <v>284</v>
      </c>
      <c r="U12" s="25" t="s">
        <v>58</v>
      </c>
      <c r="V12" s="148" t="s">
        <v>285</v>
      </c>
      <c r="W12" s="25" t="s">
        <v>286</v>
      </c>
      <c r="X12" s="25" t="s">
        <v>60</v>
      </c>
      <c r="Y12" s="25" t="s">
        <v>61</v>
      </c>
      <c r="Z12" s="25" t="s">
        <v>64</v>
      </c>
      <c r="AA12" s="25" t="s">
        <v>287</v>
      </c>
      <c r="AB12" s="25" t="s">
        <v>288</v>
      </c>
      <c r="AC12" s="25" t="s">
        <v>115</v>
      </c>
      <c r="AD12" s="25" t="s">
        <v>116</v>
      </c>
      <c r="AE12" s="25" t="s">
        <v>117</v>
      </c>
      <c r="AF12" s="25" t="s">
        <v>289</v>
      </c>
      <c r="AG12" s="25" t="s">
        <v>290</v>
      </c>
      <c r="AH12" s="25" t="s">
        <v>121</v>
      </c>
      <c r="AI12" s="25" t="s">
        <v>122</v>
      </c>
      <c r="AJ12" s="25" t="s">
        <v>123</v>
      </c>
      <c r="AK12" s="25" t="s">
        <v>291</v>
      </c>
      <c r="AL12" s="25" t="s">
        <v>292</v>
      </c>
      <c r="AM12" s="25" t="s">
        <v>127</v>
      </c>
      <c r="AN12" s="25" t="s">
        <v>128</v>
      </c>
      <c r="AO12" s="25" t="s">
        <v>129</v>
      </c>
      <c r="AR12" s="149" t="s">
        <v>293</v>
      </c>
      <c r="AS12" s="144" t="s">
        <v>294</v>
      </c>
      <c r="AT12" s="144" t="s">
        <v>295</v>
      </c>
      <c r="AU12" s="144" t="str">
        <f>"#tblRiderCF["&amp;AU$13&amp;"]"</f>
        <v>#tblRiderCF[Year]</v>
      </c>
      <c r="AV12" s="144" t="str">
        <f t="shared" ref="AV12:BD12" si="0">"#tblRiderCF["&amp;AV$13&amp;"]"</f>
        <v>#tblRiderCF[Age]</v>
      </c>
      <c r="AW12" s="144" t="str">
        <f t="shared" si="0"/>
        <v>#tblRiderCF[Product]</v>
      </c>
      <c r="AX12" s="144" t="str">
        <f t="shared" si="0"/>
        <v>#tblRiderCF[Term]</v>
      </c>
      <c r="AY12" s="144" t="str">
        <f t="shared" si="0"/>
        <v>#tblRiderCF[IsWaiver]</v>
      </c>
      <c r="AZ12" s="144" t="str">
        <f t="shared" si="0"/>
        <v>#tblRiderCF[SI]</v>
      </c>
      <c r="BA12" s="144" t="str">
        <f t="shared" si="0"/>
        <v>#tblRiderCF[TotalPrem]</v>
      </c>
      <c r="BB12" s="144" t="str">
        <f t="shared" si="0"/>
        <v>#tblRiderCF[SemiAnnualTotalPrem]</v>
      </c>
      <c r="BC12" s="144" t="str">
        <f t="shared" si="0"/>
        <v>#tblRiderCF[QuarterlyTotalPrem]</v>
      </c>
      <c r="BD12" s="144" t="str">
        <f t="shared" si="0"/>
        <v>#tblRiderCF[MonthlyTotalPrem]</v>
      </c>
      <c r="BG12" s="16" t="str">
        <f>IF(COUNTIFS(tblRiderCFResult[],"#N/A")&gt;0,"Cash flow error. Please check input and rerun!","")</f>
        <v/>
      </c>
    </row>
    <row r="13" spans="2:70" x14ac:dyDescent="0.25">
      <c r="H13" s="47"/>
      <c r="I13" s="47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1"/>
      <c r="AS13" s="44" t="s">
        <v>131</v>
      </c>
      <c r="AT13" s="44" t="s">
        <v>244</v>
      </c>
      <c r="AU13" s="44" t="s">
        <v>17</v>
      </c>
      <c r="AV13" s="44" t="s">
        <v>20</v>
      </c>
      <c r="AW13" s="44" t="s">
        <v>160</v>
      </c>
      <c r="AX13" s="44" t="s">
        <v>269</v>
      </c>
      <c r="AY13" s="44" t="s">
        <v>296</v>
      </c>
      <c r="AZ13" s="44" t="s">
        <v>245</v>
      </c>
      <c r="BA13" s="44" t="s">
        <v>64</v>
      </c>
      <c r="BB13" s="44" t="s">
        <v>117</v>
      </c>
      <c r="BC13" s="44" t="s">
        <v>123</v>
      </c>
      <c r="BD13" s="44" t="s">
        <v>129</v>
      </c>
      <c r="BG13" s="44" t="s">
        <v>131</v>
      </c>
      <c r="BH13" s="44" t="s">
        <v>244</v>
      </c>
      <c r="BI13" s="44" t="s">
        <v>17</v>
      </c>
      <c r="BJ13" s="44" t="s">
        <v>20</v>
      </c>
      <c r="BK13" s="44" t="s">
        <v>160</v>
      </c>
      <c r="BL13" s="44" t="s">
        <v>269</v>
      </c>
      <c r="BM13" s="44" t="s">
        <v>296</v>
      </c>
      <c r="BN13" s="44" t="s">
        <v>245</v>
      </c>
      <c r="BO13" s="44" t="s">
        <v>64</v>
      </c>
      <c r="BP13" s="44" t="s">
        <v>117</v>
      </c>
      <c r="BQ13" s="44" t="s">
        <v>123</v>
      </c>
      <c r="BR13" s="44" t="s">
        <v>129</v>
      </c>
    </row>
    <row r="14" spans="2:70" x14ac:dyDescent="0.25">
      <c r="B14">
        <f ca="1">OFFSET(tblRiderCF[[#This Row],[Year]],-1,0)+1</f>
        <v>1</v>
      </c>
      <c r="C14" t="e">
        <f ca="1">(tblRiderCF[[#This Row],[Year]]&lt;=term)*1</f>
        <v>#N/A</v>
      </c>
      <c r="D14" t="e">
        <f ca="1">(entry_age+tblRiderCF[[#This Row],[Year]]-1)
*tblRiderCF[[#This Row],[RiderTermFlag]]</f>
        <v>#N/A</v>
      </c>
      <c r="E14" t="e">
        <f ca="1">(risk="Sub-standard")
*tblRiderCF[[#This Row],[RiderTermFlag]]</f>
        <v>#N/A</v>
      </c>
      <c r="F14" t="e">
        <f ca="1">(tblRiderCF[[#This Row],[Year]]&lt;=prem_load_term)
*tblRiderCF[[#This Row],[SubStandardFlag]]</f>
        <v>#N/A</v>
      </c>
      <c r="G14" t="e">
        <f ca="1">(tblRiderCF[[#This Row],[Year]]&lt;=pm_load_term)
*tblRiderCF[[#This Row],[SubStandardFlag]]</f>
        <v>#N/A</v>
      </c>
      <c r="H14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4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4" s="150" t="e" cm="1">
        <f t="array" aca="1" ref="J1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4" s="150" t="e">
        <f ca="1">add_rate*tblRiderCF[[#This Row],[SI]]*(rider=K$11)</f>
        <v>#N/A</v>
      </c>
      <c r="L14" s="150" t="e">
        <f ca="1">INDEX(tblPPDRate[Annualized GPR],MATCH(tblRiderCF[[#This Row],[Age]],tblPPDRate[Min age],1))*tblRiderCF[[#This Row],[SI]]
*(rider=L$11)</f>
        <v>#N/A</v>
      </c>
      <c r="M14" s="150" t="e">
        <f ca="1">INDEX(IF(gender="Male",tblCIR1Rate[Male],tblCIR1Rate[Female]),MATCH(tblRiderCF[[#This Row],[Age]],tblCIR1Rate[Age],0))/1000*tblRiderCF[[#This Row],[SI]]
*(rider=M$11)</f>
        <v>#N/A</v>
      </c>
      <c r="N14" s="150" t="e">
        <f ca="1">INDEX(IF(gender="Male",tblCIR2Rate[Male],tblCIR2Rate[Female]),MATCH(tblRiderCF[[#This Row],[Age]],tblCIR2Rate[Age],0))/1000*tblRiderCF[[#This Row],[SI]]
*(rider=N$11)</f>
        <v>#N/A</v>
      </c>
      <c r="O14" s="150" t="e">
        <f>INDEX(tblHOP2Rate[Premium],MATCH(hop2_option,tblHOP2Rate[Option],0))
*(rider=O$11)</f>
        <v>#N/A</v>
      </c>
      <c r="P14" s="150" t="e">
        <f ca="1">INDEX(Tariff!$CC$5:$CS$44,
MATCH(tblRiderCF[[#This Row],[Age]],Tariff!$CB$5:$CB$44,0),
MATCH(term+1-tblRiderCF[[#This Row],[Year]],Tariff!$CC$4:$CS$4,0))
*(rider=P$11)</f>
        <v>#N/A</v>
      </c>
      <c r="Q14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4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4" s="150" t="e">
        <f ca="1">INDEX(tblRiderCF[[#This Row],[ADD1UnroundedPrem]:[WOP2UnroundedPrem]],MATCH(rider,$K$11:$R$11,0))
*tblRiderCF[[#This Row],[RiderTermFlag]]</f>
        <v>#N/A</v>
      </c>
      <c r="T14" s="150" t="e">
        <f ca="1">tblRiderCF[[#This Row],[UnroundedPrem]]*prem_load</f>
        <v>#N/A</v>
      </c>
      <c r="U14" s="150" t="e">
        <f ca="1">pm_load/1000*tblRiderCF[[#This Row],[SI]]
*tblRiderCF[[#This Row],[RiderTermFlag]]</f>
        <v>#N/A</v>
      </c>
      <c r="V14" s="151" t="e">
        <f ca="1">ROUND(tblRiderCF[[#This Row],[UnroundedPrem]]*V$10,-3)</f>
        <v>#N/A</v>
      </c>
      <c r="W14" t="e">
        <f ca="1">ROUND(tblRiderCF[[#This Row],[UnroundedPremLoad]]*W$10,-3)</f>
        <v>#N/A</v>
      </c>
      <c r="X14" t="e">
        <f ca="1">ROUND(tblRiderCF[[#This Row],[UnroundedPMLoad]]*X$10,-3)</f>
        <v>#N/A</v>
      </c>
      <c r="Y14" t="e">
        <f ca="1">tblRiderCF[[#This Row],[PremLoad]]+tblRiderCF[[#This Row],[PMLoad]]</f>
        <v>#N/A</v>
      </c>
      <c r="Z14" t="e">
        <f ca="1">tblRiderCF[[#This Row],[Prem]]+tblRiderCF[[#This Row],[Load]]</f>
        <v>#N/A</v>
      </c>
      <c r="AA14" t="e">
        <f ca="1">ROUND(tblRiderCF[[#This Row],[UnroundedPrem]]*AA$10,-3)</f>
        <v>#N/A</v>
      </c>
      <c r="AB14" t="e">
        <f ca="1">ROUND(tblRiderCF[[#This Row],[UnroundedPremLoad]]*AB$10,-3)</f>
        <v>#N/A</v>
      </c>
      <c r="AC14" t="e">
        <f ca="1">ROUND(tblRiderCF[[#This Row],[UnroundedPMLoad]]*AC$10,-3)</f>
        <v>#N/A</v>
      </c>
      <c r="AD14" t="e">
        <f ca="1">tblRiderCF[[#This Row],[SemiAnnualPremLoad]]+tblRiderCF[[#This Row],[SemiAnnualPMLoad]]</f>
        <v>#N/A</v>
      </c>
      <c r="AE14" t="e">
        <f ca="1">tblRiderCF[[#This Row],[SemiAnnualPrem]]+tblRiderCF[[#This Row],[SemiAnnualLoad]]</f>
        <v>#N/A</v>
      </c>
      <c r="AF14" t="e">
        <f ca="1">ROUND(tblRiderCF[[#This Row],[UnroundedPrem]]*AF$10,-3)</f>
        <v>#N/A</v>
      </c>
      <c r="AG14" t="e">
        <f ca="1">ROUND(tblRiderCF[[#This Row],[UnroundedPremLoad]]*AG$10,-3)</f>
        <v>#N/A</v>
      </c>
      <c r="AH14" t="e">
        <f ca="1">ROUND(tblRiderCF[[#This Row],[UnroundedPMLoad]]*AH$10,-3)</f>
        <v>#N/A</v>
      </c>
      <c r="AI14" t="e">
        <f ca="1">tblRiderCF[[#This Row],[QuarterlyPremLoad]]+tblRiderCF[[#This Row],[QuarterlyPMLoad]]</f>
        <v>#N/A</v>
      </c>
      <c r="AJ14" t="e">
        <f ca="1">tblRiderCF[[#This Row],[QuarterlyPrem]]+tblRiderCF[[#This Row],[QuarterlyLoad]]</f>
        <v>#N/A</v>
      </c>
      <c r="AK14" t="e">
        <f ca="1">ROUND(tblRiderCF[[#This Row],[UnroundedPrem]]*AK$10,-3)</f>
        <v>#N/A</v>
      </c>
      <c r="AL14" t="e">
        <f ca="1">ROUND(tblRiderCF[[#This Row],[UnroundedPremLoad]]*AL$10,-3)</f>
        <v>#N/A</v>
      </c>
      <c r="AM14" t="e">
        <f ca="1">ROUND(tblRiderCF[[#This Row],[UnroundedPMLoad]]*AM$10,-3)</f>
        <v>#N/A</v>
      </c>
      <c r="AN14" t="e">
        <f ca="1">tblRiderCF[[#This Row],[MonthlyPremLoad]]+tblRiderCF[[#This Row],[MonthlyPMLoad]]</f>
        <v>#N/A</v>
      </c>
      <c r="AO14" t="e">
        <f ca="1">tblRiderCF[[#This Row],[MonthlyPrem]]+tblRiderCF[[#This Row],[MonthlyLoad]]</f>
        <v>#N/A</v>
      </c>
      <c r="AS14">
        <f>risk</f>
        <v>0</v>
      </c>
      <c r="AT14">
        <f t="shared" ref="AT14:AT45" si="1">insured</f>
        <v>0</v>
      </c>
      <c r="AU14">
        <f ca="1">tblRiderCF[[#This Row],[Year]]</f>
        <v>1</v>
      </c>
      <c r="AV14" t="e">
        <f ca="1">tblRiderCF[[#This Row],[Age]]</f>
        <v>#N/A</v>
      </c>
      <c r="AW14">
        <f t="shared" ref="AW14:AW77" si="2">rider</f>
        <v>0</v>
      </c>
      <c r="AX14" t="e">
        <f t="shared" ref="AX14:AX45" si="3">term</f>
        <v>#N/A</v>
      </c>
      <c r="AY14">
        <f t="shared" ref="AY14:AY77" si="4">is_waiver*1</f>
        <v>0</v>
      </c>
      <c r="AZ14" s="47" t="e">
        <f ca="1">tblRiderCF[[#This Row],[SI]]</f>
        <v>#N/A</v>
      </c>
      <c r="BA14" t="e">
        <f ca="1">tblRiderCF[[#This Row],[TotalPrem]]</f>
        <v>#N/A</v>
      </c>
      <c r="BB14" t="e">
        <f ca="1">tblRiderCF[[#This Row],[SemiAnnualTotalPrem]]</f>
        <v>#N/A</v>
      </c>
      <c r="BC14" t="e">
        <f ca="1">tblRiderCF[[#This Row],[QuarterlyTotalPrem]]</f>
        <v>#N/A</v>
      </c>
      <c r="BD14" t="e">
        <f ca="1">tblRiderCF[[#This Row],[MonthlyTotalPrem]]</f>
        <v>#N/A</v>
      </c>
      <c r="BG14" t="s">
        <v>135</v>
      </c>
      <c r="BH14" t="s">
        <v>188</v>
      </c>
      <c r="BI14">
        <v>1</v>
      </c>
      <c r="BJ14">
        <v>31</v>
      </c>
      <c r="BK14" t="s">
        <v>480</v>
      </c>
      <c r="BL14">
        <v>30</v>
      </c>
      <c r="BM14">
        <v>0</v>
      </c>
      <c r="BN14">
        <v>120000000</v>
      </c>
      <c r="BO14">
        <v>534000</v>
      </c>
      <c r="BP14">
        <v>267000</v>
      </c>
      <c r="BQ14">
        <v>134000</v>
      </c>
      <c r="BR14">
        <v>45000</v>
      </c>
    </row>
    <row r="15" spans="2:70" x14ac:dyDescent="0.25">
      <c r="B15">
        <f ca="1">OFFSET(tblRiderCF[[#This Row],[Year]],-1,0)+1</f>
        <v>2</v>
      </c>
      <c r="C15" t="e">
        <f ca="1">(tblRiderCF[[#This Row],[Year]]&lt;=term)*1</f>
        <v>#N/A</v>
      </c>
      <c r="D15" t="e">
        <f ca="1">(entry_age+tblRiderCF[[#This Row],[Year]]-1)
*tblRiderCF[[#This Row],[RiderTermFlag]]</f>
        <v>#N/A</v>
      </c>
      <c r="E15" t="e">
        <f ca="1">(risk="Sub-standard")
*tblRiderCF[[#This Row],[RiderTermFlag]]</f>
        <v>#N/A</v>
      </c>
      <c r="F15" t="e">
        <f ca="1">(tblRiderCF[[#This Row],[Year]]&lt;=prem_load_term)
*tblRiderCF[[#This Row],[SubStandardFlag]]</f>
        <v>#N/A</v>
      </c>
      <c r="G15" t="e">
        <f ca="1">(tblRiderCF[[#This Row],[Year]]&lt;=pm_load_term)
*tblRiderCF[[#This Row],[SubStandardFlag]]</f>
        <v>#N/A</v>
      </c>
      <c r="H15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5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5" s="150" t="e" cm="1">
        <f t="array" aca="1" ref="J1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5" s="150" t="e">
        <f ca="1">add_rate*tblRiderCF[[#This Row],[SI]]*(rider=K$11)</f>
        <v>#N/A</v>
      </c>
      <c r="L15" s="150" t="e">
        <f ca="1">INDEX(tblPPDRate[Annualized GPR],MATCH(tblRiderCF[[#This Row],[Age]],tblPPDRate[Min age],1))*tblRiderCF[[#This Row],[SI]]
*(rider=L$11)</f>
        <v>#N/A</v>
      </c>
      <c r="M15" s="150" t="e">
        <f ca="1">INDEX(IF(gender="Male",tblCIR1Rate[Male],tblCIR1Rate[Female]),MATCH(tblRiderCF[[#This Row],[Age]],tblCIR1Rate[Age],0))/1000*tblRiderCF[[#This Row],[SI]]
*(rider=M$11)</f>
        <v>#N/A</v>
      </c>
      <c r="N15" s="150" t="e">
        <f ca="1">INDEX(IF(gender="Male",tblCIR2Rate[Male],tblCIR2Rate[Female]),MATCH(tblRiderCF[[#This Row],[Age]],tblCIR2Rate[Age],0))/1000*tblRiderCF[[#This Row],[SI]]
*(rider=N$11)</f>
        <v>#N/A</v>
      </c>
      <c r="O15" s="150" t="e">
        <f>INDEX(tblHOP2Rate[Premium],MATCH(hop2_option,tblHOP2Rate[Option],0))
*(rider=O$11)</f>
        <v>#N/A</v>
      </c>
      <c r="P15" s="150" t="e">
        <f ca="1">INDEX(Tariff!$CC$5:$CS$44,
MATCH(tblRiderCF[[#This Row],[Age]],Tariff!$CB$5:$CB$44,0),
MATCH(term+1-tblRiderCF[[#This Row],[Year]],Tariff!$CC$4:$CS$4,0))
*(rider=P$11)</f>
        <v>#N/A</v>
      </c>
      <c r="Q15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5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5" s="150" t="e">
        <f ca="1">INDEX(tblRiderCF[[#This Row],[ADD1UnroundedPrem]:[WOP2UnroundedPrem]],MATCH(rider,$K$11:$R$11,0))
*tblRiderCF[[#This Row],[RiderTermFlag]]</f>
        <v>#N/A</v>
      </c>
      <c r="T15" s="150" t="e">
        <f ca="1">tblRiderCF[[#This Row],[UnroundedPrem]]*prem_load</f>
        <v>#N/A</v>
      </c>
      <c r="U15" s="150" t="e">
        <f ca="1">pm_load/1000*tblRiderCF[[#This Row],[SI]]
*tblRiderCF[[#This Row],[RiderTermFlag]]</f>
        <v>#N/A</v>
      </c>
      <c r="V15" s="151" t="e">
        <f ca="1">ROUND(tblRiderCF[[#This Row],[UnroundedPrem]]*V$10,-3)</f>
        <v>#N/A</v>
      </c>
      <c r="W15" t="e">
        <f ca="1">ROUND(tblRiderCF[[#This Row],[UnroundedPremLoad]]*W$10,-3)</f>
        <v>#N/A</v>
      </c>
      <c r="X15" t="e">
        <f ca="1">ROUND(tblRiderCF[[#This Row],[UnroundedPMLoad]]*X$10,-3)</f>
        <v>#N/A</v>
      </c>
      <c r="Y15" t="e">
        <f ca="1">tblRiderCF[[#This Row],[PremLoad]]+tblRiderCF[[#This Row],[PMLoad]]</f>
        <v>#N/A</v>
      </c>
      <c r="Z15" t="e">
        <f ca="1">tblRiderCF[[#This Row],[Prem]]+tblRiderCF[[#This Row],[Load]]</f>
        <v>#N/A</v>
      </c>
      <c r="AA15" t="e">
        <f ca="1">ROUND(tblRiderCF[[#This Row],[UnroundedPrem]]*AA$10,-3)</f>
        <v>#N/A</v>
      </c>
      <c r="AB15" t="e">
        <f ca="1">ROUND(tblRiderCF[[#This Row],[UnroundedPremLoad]]*AB$10,-3)</f>
        <v>#N/A</v>
      </c>
      <c r="AC15" t="e">
        <f ca="1">ROUND(tblRiderCF[[#This Row],[UnroundedPMLoad]]*AC$10,-3)</f>
        <v>#N/A</v>
      </c>
      <c r="AD15" t="e">
        <f ca="1">tblRiderCF[[#This Row],[SemiAnnualPremLoad]]+tblRiderCF[[#This Row],[SemiAnnualPMLoad]]</f>
        <v>#N/A</v>
      </c>
      <c r="AE15" t="e">
        <f ca="1">tblRiderCF[[#This Row],[SemiAnnualPrem]]+tblRiderCF[[#This Row],[SemiAnnualLoad]]</f>
        <v>#N/A</v>
      </c>
      <c r="AF15" t="e">
        <f ca="1">ROUND(tblRiderCF[[#This Row],[UnroundedPrem]]*AF$10,-3)</f>
        <v>#N/A</v>
      </c>
      <c r="AG15" t="e">
        <f ca="1">ROUND(tblRiderCF[[#This Row],[UnroundedPremLoad]]*AG$10,-3)</f>
        <v>#N/A</v>
      </c>
      <c r="AH15" t="e">
        <f ca="1">ROUND(tblRiderCF[[#This Row],[UnroundedPMLoad]]*AH$10,-3)</f>
        <v>#N/A</v>
      </c>
      <c r="AI15" t="e">
        <f ca="1">tblRiderCF[[#This Row],[QuarterlyPremLoad]]+tblRiderCF[[#This Row],[QuarterlyPMLoad]]</f>
        <v>#N/A</v>
      </c>
      <c r="AJ15" t="e">
        <f ca="1">tblRiderCF[[#This Row],[QuarterlyPrem]]+tblRiderCF[[#This Row],[QuarterlyLoad]]</f>
        <v>#N/A</v>
      </c>
      <c r="AK15" t="e">
        <f ca="1">ROUND(tblRiderCF[[#This Row],[UnroundedPrem]]*AK$10,-3)</f>
        <v>#N/A</v>
      </c>
      <c r="AL15" t="e">
        <f ca="1">ROUND(tblRiderCF[[#This Row],[UnroundedPremLoad]]*AL$10,-3)</f>
        <v>#N/A</v>
      </c>
      <c r="AM15" t="e">
        <f ca="1">ROUND(tblRiderCF[[#This Row],[UnroundedPMLoad]]*AM$10,-3)</f>
        <v>#N/A</v>
      </c>
      <c r="AN15" t="e">
        <f ca="1">tblRiderCF[[#This Row],[MonthlyPremLoad]]+tblRiderCF[[#This Row],[MonthlyPMLoad]]</f>
        <v>#N/A</v>
      </c>
      <c r="AO15" t="e">
        <f ca="1">tblRiderCF[[#This Row],[MonthlyPrem]]+tblRiderCF[[#This Row],[MonthlyLoad]]</f>
        <v>#N/A</v>
      </c>
      <c r="AS15">
        <f t="shared" ref="AS15:AS45" si="5">risk</f>
        <v>0</v>
      </c>
      <c r="AT15">
        <f t="shared" si="1"/>
        <v>0</v>
      </c>
      <c r="AU15">
        <f ca="1">tblRiderCF[[#This Row],[Year]]</f>
        <v>2</v>
      </c>
      <c r="AV15" t="e">
        <f ca="1">tblRiderCF[[#This Row],[Age]]</f>
        <v>#N/A</v>
      </c>
      <c r="AW15">
        <f t="shared" si="2"/>
        <v>0</v>
      </c>
      <c r="AX15" t="e">
        <f t="shared" si="3"/>
        <v>#N/A</v>
      </c>
      <c r="AY15">
        <f t="shared" si="4"/>
        <v>0</v>
      </c>
      <c r="AZ15" s="47" t="e">
        <f ca="1">tblRiderCF[[#This Row],[SI]]</f>
        <v>#N/A</v>
      </c>
      <c r="BA15" t="e">
        <f ca="1">tblRiderCF[[#This Row],[TotalPrem]]</f>
        <v>#N/A</v>
      </c>
      <c r="BB15" t="e">
        <f ca="1">tblRiderCF[[#This Row],[SemiAnnualTotalPrem]]</f>
        <v>#N/A</v>
      </c>
      <c r="BC15" t="e">
        <f ca="1">tblRiderCF[[#This Row],[QuarterlyTotalPrem]]</f>
        <v>#N/A</v>
      </c>
      <c r="BD15" t="e">
        <f ca="1">tblRiderCF[[#This Row],[MonthlyTotalPrem]]</f>
        <v>#N/A</v>
      </c>
      <c r="BG15" t="s">
        <v>135</v>
      </c>
      <c r="BH15" t="s">
        <v>188</v>
      </c>
      <c r="BI15">
        <v>2</v>
      </c>
      <c r="BJ15">
        <v>32</v>
      </c>
      <c r="BK15" t="s">
        <v>480</v>
      </c>
      <c r="BL15">
        <v>30</v>
      </c>
      <c r="BM15">
        <v>0</v>
      </c>
      <c r="BN15">
        <v>120000000</v>
      </c>
      <c r="BO15">
        <v>534000</v>
      </c>
      <c r="BP15">
        <v>267000</v>
      </c>
      <c r="BQ15">
        <v>134000</v>
      </c>
      <c r="BR15">
        <v>45000</v>
      </c>
    </row>
    <row r="16" spans="2:70" x14ac:dyDescent="0.25">
      <c r="B16">
        <f ca="1">OFFSET(tblRiderCF[[#This Row],[Year]],-1,0)+1</f>
        <v>3</v>
      </c>
      <c r="C16" t="e">
        <f ca="1">(tblRiderCF[[#This Row],[Year]]&lt;=term)*1</f>
        <v>#N/A</v>
      </c>
      <c r="D16" t="e">
        <f ca="1">(entry_age+tblRiderCF[[#This Row],[Year]]-1)
*tblRiderCF[[#This Row],[RiderTermFlag]]</f>
        <v>#N/A</v>
      </c>
      <c r="E16" t="e">
        <f ca="1">(risk="Sub-standard")
*tblRiderCF[[#This Row],[RiderTermFlag]]</f>
        <v>#N/A</v>
      </c>
      <c r="F16" t="e">
        <f ca="1">(tblRiderCF[[#This Row],[Year]]&lt;=prem_load_term)
*tblRiderCF[[#This Row],[SubStandardFlag]]</f>
        <v>#N/A</v>
      </c>
      <c r="G16" t="e">
        <f ca="1">(tblRiderCF[[#This Row],[Year]]&lt;=pm_load_term)
*tblRiderCF[[#This Row],[SubStandardFlag]]</f>
        <v>#N/A</v>
      </c>
      <c r="H16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6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6" s="150" t="e" cm="1">
        <f t="array" aca="1" ref="J1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6" s="150" t="e">
        <f ca="1">add_rate*tblRiderCF[[#This Row],[SI]]*(rider=K$11)</f>
        <v>#N/A</v>
      </c>
      <c r="L16" s="150" t="e">
        <f ca="1">INDEX(tblPPDRate[Annualized GPR],MATCH(tblRiderCF[[#This Row],[Age]],tblPPDRate[Min age],1))*tblRiderCF[[#This Row],[SI]]
*(rider=L$11)</f>
        <v>#N/A</v>
      </c>
      <c r="M16" s="150" t="e">
        <f ca="1">INDEX(IF(gender="Male",tblCIR1Rate[Male],tblCIR1Rate[Female]),MATCH(tblRiderCF[[#This Row],[Age]],tblCIR1Rate[Age],0))/1000*tblRiderCF[[#This Row],[SI]]
*(rider=M$11)</f>
        <v>#N/A</v>
      </c>
      <c r="N16" s="150" t="e">
        <f ca="1">INDEX(IF(gender="Male",tblCIR2Rate[Male],tblCIR2Rate[Female]),MATCH(tblRiderCF[[#This Row],[Age]],tblCIR2Rate[Age],0))/1000*tblRiderCF[[#This Row],[SI]]
*(rider=N$11)</f>
        <v>#N/A</v>
      </c>
      <c r="O16" s="150" t="e">
        <f>INDEX(tblHOP2Rate[Premium],MATCH(hop2_option,tblHOP2Rate[Option],0))
*(rider=O$11)</f>
        <v>#N/A</v>
      </c>
      <c r="P16" s="150" t="e">
        <f ca="1">INDEX(Tariff!$CC$5:$CS$44,
MATCH(tblRiderCF[[#This Row],[Age]],Tariff!$CB$5:$CB$44,0),
MATCH(term+1-tblRiderCF[[#This Row],[Year]],Tariff!$CC$4:$CS$4,0))
*(rider=P$11)</f>
        <v>#N/A</v>
      </c>
      <c r="Q16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6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6" s="150" t="e">
        <f ca="1">INDEX(tblRiderCF[[#This Row],[ADD1UnroundedPrem]:[WOP2UnroundedPrem]],MATCH(rider,$K$11:$R$11,0))
*tblRiderCF[[#This Row],[RiderTermFlag]]</f>
        <v>#N/A</v>
      </c>
      <c r="T16" s="150" t="e">
        <f ca="1">tblRiderCF[[#This Row],[UnroundedPrem]]*prem_load</f>
        <v>#N/A</v>
      </c>
      <c r="U16" s="150" t="e">
        <f ca="1">pm_load/1000*tblRiderCF[[#This Row],[SI]]
*tblRiderCF[[#This Row],[RiderTermFlag]]</f>
        <v>#N/A</v>
      </c>
      <c r="V16" s="151" t="e">
        <f ca="1">ROUND(tblRiderCF[[#This Row],[UnroundedPrem]]*V$10,-3)</f>
        <v>#N/A</v>
      </c>
      <c r="W16" t="e">
        <f ca="1">ROUND(tblRiderCF[[#This Row],[UnroundedPremLoad]]*W$10,-3)</f>
        <v>#N/A</v>
      </c>
      <c r="X16" t="e">
        <f ca="1">ROUND(tblRiderCF[[#This Row],[UnroundedPMLoad]]*X$10,-3)</f>
        <v>#N/A</v>
      </c>
      <c r="Y16" t="e">
        <f ca="1">tblRiderCF[[#This Row],[PremLoad]]+tblRiderCF[[#This Row],[PMLoad]]</f>
        <v>#N/A</v>
      </c>
      <c r="Z16" t="e">
        <f ca="1">tblRiderCF[[#This Row],[Prem]]+tblRiderCF[[#This Row],[Load]]</f>
        <v>#N/A</v>
      </c>
      <c r="AA16" t="e">
        <f ca="1">ROUND(tblRiderCF[[#This Row],[UnroundedPrem]]*AA$10,-3)</f>
        <v>#N/A</v>
      </c>
      <c r="AB16" t="e">
        <f ca="1">ROUND(tblRiderCF[[#This Row],[UnroundedPremLoad]]*AB$10,-3)</f>
        <v>#N/A</v>
      </c>
      <c r="AC16" t="e">
        <f ca="1">ROUND(tblRiderCF[[#This Row],[UnroundedPMLoad]]*AC$10,-3)</f>
        <v>#N/A</v>
      </c>
      <c r="AD16" t="e">
        <f ca="1">tblRiderCF[[#This Row],[SemiAnnualPremLoad]]+tblRiderCF[[#This Row],[SemiAnnualPMLoad]]</f>
        <v>#N/A</v>
      </c>
      <c r="AE16" t="e">
        <f ca="1">tblRiderCF[[#This Row],[SemiAnnualPrem]]+tblRiderCF[[#This Row],[SemiAnnualLoad]]</f>
        <v>#N/A</v>
      </c>
      <c r="AF16" t="e">
        <f ca="1">ROUND(tblRiderCF[[#This Row],[UnroundedPrem]]*AF$10,-3)</f>
        <v>#N/A</v>
      </c>
      <c r="AG16" t="e">
        <f ca="1">ROUND(tblRiderCF[[#This Row],[UnroundedPremLoad]]*AG$10,-3)</f>
        <v>#N/A</v>
      </c>
      <c r="AH16" t="e">
        <f ca="1">ROUND(tblRiderCF[[#This Row],[UnroundedPMLoad]]*AH$10,-3)</f>
        <v>#N/A</v>
      </c>
      <c r="AI16" t="e">
        <f ca="1">tblRiderCF[[#This Row],[QuarterlyPremLoad]]+tblRiderCF[[#This Row],[QuarterlyPMLoad]]</f>
        <v>#N/A</v>
      </c>
      <c r="AJ16" t="e">
        <f ca="1">tblRiderCF[[#This Row],[QuarterlyPrem]]+tblRiderCF[[#This Row],[QuarterlyLoad]]</f>
        <v>#N/A</v>
      </c>
      <c r="AK16" t="e">
        <f ca="1">ROUND(tblRiderCF[[#This Row],[UnroundedPrem]]*AK$10,-3)</f>
        <v>#N/A</v>
      </c>
      <c r="AL16" t="e">
        <f ca="1">ROUND(tblRiderCF[[#This Row],[UnroundedPremLoad]]*AL$10,-3)</f>
        <v>#N/A</v>
      </c>
      <c r="AM16" t="e">
        <f ca="1">ROUND(tblRiderCF[[#This Row],[UnroundedPMLoad]]*AM$10,-3)</f>
        <v>#N/A</v>
      </c>
      <c r="AN16" t="e">
        <f ca="1">tblRiderCF[[#This Row],[MonthlyPremLoad]]+tblRiderCF[[#This Row],[MonthlyPMLoad]]</f>
        <v>#N/A</v>
      </c>
      <c r="AO16" t="e">
        <f ca="1">tblRiderCF[[#This Row],[MonthlyPrem]]+tblRiderCF[[#This Row],[MonthlyLoad]]</f>
        <v>#N/A</v>
      </c>
      <c r="AS16">
        <f t="shared" si="5"/>
        <v>0</v>
      </c>
      <c r="AT16">
        <f t="shared" si="1"/>
        <v>0</v>
      </c>
      <c r="AU16">
        <f ca="1">tblRiderCF[[#This Row],[Year]]</f>
        <v>3</v>
      </c>
      <c r="AV16" t="e">
        <f ca="1">tblRiderCF[[#This Row],[Age]]</f>
        <v>#N/A</v>
      </c>
      <c r="AW16">
        <f t="shared" si="2"/>
        <v>0</v>
      </c>
      <c r="AX16" t="e">
        <f t="shared" si="3"/>
        <v>#N/A</v>
      </c>
      <c r="AY16">
        <f t="shared" si="4"/>
        <v>0</v>
      </c>
      <c r="AZ16" s="47" t="e">
        <f ca="1">tblRiderCF[[#This Row],[SI]]</f>
        <v>#N/A</v>
      </c>
      <c r="BA16" t="e">
        <f ca="1">tblRiderCF[[#This Row],[TotalPrem]]</f>
        <v>#N/A</v>
      </c>
      <c r="BB16" t="e">
        <f ca="1">tblRiderCF[[#This Row],[SemiAnnualTotalPrem]]</f>
        <v>#N/A</v>
      </c>
      <c r="BC16" t="e">
        <f ca="1">tblRiderCF[[#This Row],[QuarterlyTotalPrem]]</f>
        <v>#N/A</v>
      </c>
      <c r="BD16" t="e">
        <f ca="1">tblRiderCF[[#This Row],[MonthlyTotalPrem]]</f>
        <v>#N/A</v>
      </c>
      <c r="BG16" t="s">
        <v>135</v>
      </c>
      <c r="BH16" t="s">
        <v>188</v>
      </c>
      <c r="BI16">
        <v>3</v>
      </c>
      <c r="BJ16">
        <v>33</v>
      </c>
      <c r="BK16" t="s">
        <v>480</v>
      </c>
      <c r="BL16">
        <v>30</v>
      </c>
      <c r="BM16">
        <v>0</v>
      </c>
      <c r="BN16">
        <v>120000000</v>
      </c>
      <c r="BO16">
        <v>534000</v>
      </c>
      <c r="BP16">
        <v>267000</v>
      </c>
      <c r="BQ16">
        <v>134000</v>
      </c>
      <c r="BR16">
        <v>45000</v>
      </c>
    </row>
    <row r="17" spans="2:70" x14ac:dyDescent="0.25">
      <c r="B17">
        <f ca="1">OFFSET(tblRiderCF[[#This Row],[Year]],-1,0)+1</f>
        <v>4</v>
      </c>
      <c r="C17" t="e">
        <f ca="1">(tblRiderCF[[#This Row],[Year]]&lt;=term)*1</f>
        <v>#N/A</v>
      </c>
      <c r="D17" t="e">
        <f ca="1">(entry_age+tblRiderCF[[#This Row],[Year]]-1)
*tblRiderCF[[#This Row],[RiderTermFlag]]</f>
        <v>#N/A</v>
      </c>
      <c r="E17" t="e">
        <f ca="1">(risk="Sub-standard")
*tblRiderCF[[#This Row],[RiderTermFlag]]</f>
        <v>#N/A</v>
      </c>
      <c r="F17" t="e">
        <f ca="1">(tblRiderCF[[#This Row],[Year]]&lt;=prem_load_term)
*tblRiderCF[[#This Row],[SubStandardFlag]]</f>
        <v>#N/A</v>
      </c>
      <c r="G17" t="e">
        <f ca="1">(tblRiderCF[[#This Row],[Year]]&lt;=pm_load_term)
*tblRiderCF[[#This Row],[SubStandardFlag]]</f>
        <v>#N/A</v>
      </c>
      <c r="H17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7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7" s="150" t="e" cm="1">
        <f t="array" aca="1" ref="J1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7" s="150" t="e">
        <f ca="1">add_rate*tblRiderCF[[#This Row],[SI]]*(rider=K$11)</f>
        <v>#N/A</v>
      </c>
      <c r="L17" s="150" t="e">
        <f ca="1">INDEX(tblPPDRate[Annualized GPR],MATCH(tblRiderCF[[#This Row],[Age]],tblPPDRate[Min age],1))*tblRiderCF[[#This Row],[SI]]
*(rider=L$11)</f>
        <v>#N/A</v>
      </c>
      <c r="M17" s="150" t="e">
        <f ca="1">INDEX(IF(gender="Male",tblCIR1Rate[Male],tblCIR1Rate[Female]),MATCH(tblRiderCF[[#This Row],[Age]],tblCIR1Rate[Age],0))/1000*tblRiderCF[[#This Row],[SI]]
*(rider=M$11)</f>
        <v>#N/A</v>
      </c>
      <c r="N17" s="150" t="e">
        <f ca="1">INDEX(IF(gender="Male",tblCIR2Rate[Male],tblCIR2Rate[Female]),MATCH(tblRiderCF[[#This Row],[Age]],tblCIR2Rate[Age],0))/1000*tblRiderCF[[#This Row],[SI]]
*(rider=N$11)</f>
        <v>#N/A</v>
      </c>
      <c r="O17" s="150" t="e">
        <f>INDEX(tblHOP2Rate[Premium],MATCH(hop2_option,tblHOP2Rate[Option],0))
*(rider=O$11)</f>
        <v>#N/A</v>
      </c>
      <c r="P17" s="150" t="e">
        <f ca="1">INDEX(Tariff!$CC$5:$CS$44,
MATCH(tblRiderCF[[#This Row],[Age]],Tariff!$CB$5:$CB$44,0),
MATCH(term+1-tblRiderCF[[#This Row],[Year]],Tariff!$CC$4:$CS$4,0))
*(rider=P$11)</f>
        <v>#N/A</v>
      </c>
      <c r="Q17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7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7" s="150" t="e">
        <f ca="1">INDEX(tblRiderCF[[#This Row],[ADD1UnroundedPrem]:[WOP2UnroundedPrem]],MATCH(rider,$K$11:$R$11,0))
*tblRiderCF[[#This Row],[RiderTermFlag]]</f>
        <v>#N/A</v>
      </c>
      <c r="T17" s="150" t="e">
        <f ca="1">tblRiderCF[[#This Row],[UnroundedPrem]]*prem_load</f>
        <v>#N/A</v>
      </c>
      <c r="U17" s="150" t="e">
        <f ca="1">pm_load/1000*tblRiderCF[[#This Row],[SI]]
*tblRiderCF[[#This Row],[RiderTermFlag]]</f>
        <v>#N/A</v>
      </c>
      <c r="V17" s="151" t="e">
        <f ca="1">ROUND(tblRiderCF[[#This Row],[UnroundedPrem]]*V$10,-3)</f>
        <v>#N/A</v>
      </c>
      <c r="W17" t="e">
        <f ca="1">ROUND(tblRiderCF[[#This Row],[UnroundedPremLoad]]*W$10,-3)</f>
        <v>#N/A</v>
      </c>
      <c r="X17" t="e">
        <f ca="1">ROUND(tblRiderCF[[#This Row],[UnroundedPMLoad]]*X$10,-3)</f>
        <v>#N/A</v>
      </c>
      <c r="Y17" t="e">
        <f ca="1">tblRiderCF[[#This Row],[PremLoad]]+tblRiderCF[[#This Row],[PMLoad]]</f>
        <v>#N/A</v>
      </c>
      <c r="Z17" t="e">
        <f ca="1">tblRiderCF[[#This Row],[Prem]]+tblRiderCF[[#This Row],[Load]]</f>
        <v>#N/A</v>
      </c>
      <c r="AA17" t="e">
        <f ca="1">ROUND(tblRiderCF[[#This Row],[UnroundedPrem]]*AA$10,-3)</f>
        <v>#N/A</v>
      </c>
      <c r="AB17" t="e">
        <f ca="1">ROUND(tblRiderCF[[#This Row],[UnroundedPremLoad]]*AB$10,-3)</f>
        <v>#N/A</v>
      </c>
      <c r="AC17" t="e">
        <f ca="1">ROUND(tblRiderCF[[#This Row],[UnroundedPMLoad]]*AC$10,-3)</f>
        <v>#N/A</v>
      </c>
      <c r="AD17" t="e">
        <f ca="1">tblRiderCF[[#This Row],[SemiAnnualPremLoad]]+tblRiderCF[[#This Row],[SemiAnnualPMLoad]]</f>
        <v>#N/A</v>
      </c>
      <c r="AE17" t="e">
        <f ca="1">tblRiderCF[[#This Row],[SemiAnnualPrem]]+tblRiderCF[[#This Row],[SemiAnnualLoad]]</f>
        <v>#N/A</v>
      </c>
      <c r="AF17" t="e">
        <f ca="1">ROUND(tblRiderCF[[#This Row],[UnroundedPrem]]*AF$10,-3)</f>
        <v>#N/A</v>
      </c>
      <c r="AG17" t="e">
        <f ca="1">ROUND(tblRiderCF[[#This Row],[UnroundedPremLoad]]*AG$10,-3)</f>
        <v>#N/A</v>
      </c>
      <c r="AH17" t="e">
        <f ca="1">ROUND(tblRiderCF[[#This Row],[UnroundedPMLoad]]*AH$10,-3)</f>
        <v>#N/A</v>
      </c>
      <c r="AI17" t="e">
        <f ca="1">tblRiderCF[[#This Row],[QuarterlyPremLoad]]+tblRiderCF[[#This Row],[QuarterlyPMLoad]]</f>
        <v>#N/A</v>
      </c>
      <c r="AJ17" t="e">
        <f ca="1">tblRiderCF[[#This Row],[QuarterlyPrem]]+tblRiderCF[[#This Row],[QuarterlyLoad]]</f>
        <v>#N/A</v>
      </c>
      <c r="AK17" t="e">
        <f ca="1">ROUND(tblRiderCF[[#This Row],[UnroundedPrem]]*AK$10,-3)</f>
        <v>#N/A</v>
      </c>
      <c r="AL17" t="e">
        <f ca="1">ROUND(tblRiderCF[[#This Row],[UnroundedPremLoad]]*AL$10,-3)</f>
        <v>#N/A</v>
      </c>
      <c r="AM17" t="e">
        <f ca="1">ROUND(tblRiderCF[[#This Row],[UnroundedPMLoad]]*AM$10,-3)</f>
        <v>#N/A</v>
      </c>
      <c r="AN17" t="e">
        <f ca="1">tblRiderCF[[#This Row],[MonthlyPremLoad]]+tblRiderCF[[#This Row],[MonthlyPMLoad]]</f>
        <v>#N/A</v>
      </c>
      <c r="AO17" t="e">
        <f ca="1">tblRiderCF[[#This Row],[MonthlyPrem]]+tblRiderCF[[#This Row],[MonthlyLoad]]</f>
        <v>#N/A</v>
      </c>
      <c r="AS17">
        <f t="shared" si="5"/>
        <v>0</v>
      </c>
      <c r="AT17">
        <f t="shared" si="1"/>
        <v>0</v>
      </c>
      <c r="AU17">
        <f ca="1">tblRiderCF[[#This Row],[Year]]</f>
        <v>4</v>
      </c>
      <c r="AV17" t="e">
        <f ca="1">tblRiderCF[[#This Row],[Age]]</f>
        <v>#N/A</v>
      </c>
      <c r="AW17">
        <f t="shared" si="2"/>
        <v>0</v>
      </c>
      <c r="AX17" t="e">
        <f t="shared" si="3"/>
        <v>#N/A</v>
      </c>
      <c r="AY17">
        <f t="shared" si="4"/>
        <v>0</v>
      </c>
      <c r="AZ17" s="47" t="e">
        <f ca="1">tblRiderCF[[#This Row],[SI]]</f>
        <v>#N/A</v>
      </c>
      <c r="BA17" t="e">
        <f ca="1">tblRiderCF[[#This Row],[TotalPrem]]</f>
        <v>#N/A</v>
      </c>
      <c r="BB17" t="e">
        <f ca="1">tblRiderCF[[#This Row],[SemiAnnualTotalPrem]]</f>
        <v>#N/A</v>
      </c>
      <c r="BC17" t="e">
        <f ca="1">tblRiderCF[[#This Row],[QuarterlyTotalPrem]]</f>
        <v>#N/A</v>
      </c>
      <c r="BD17" t="e">
        <f ca="1">tblRiderCF[[#This Row],[MonthlyTotalPrem]]</f>
        <v>#N/A</v>
      </c>
      <c r="BG17" t="s">
        <v>135</v>
      </c>
      <c r="BH17" t="s">
        <v>188</v>
      </c>
      <c r="BI17">
        <v>4</v>
      </c>
      <c r="BJ17">
        <v>34</v>
      </c>
      <c r="BK17" t="s">
        <v>480</v>
      </c>
      <c r="BL17">
        <v>30</v>
      </c>
      <c r="BM17">
        <v>0</v>
      </c>
      <c r="BN17">
        <v>120000000</v>
      </c>
      <c r="BO17">
        <v>534000</v>
      </c>
      <c r="BP17">
        <v>267000</v>
      </c>
      <c r="BQ17">
        <v>134000</v>
      </c>
      <c r="BR17">
        <v>45000</v>
      </c>
    </row>
    <row r="18" spans="2:70" x14ac:dyDescent="0.25">
      <c r="B18">
        <f ca="1">OFFSET(tblRiderCF[[#This Row],[Year]],-1,0)+1</f>
        <v>5</v>
      </c>
      <c r="C18" t="e">
        <f ca="1">(tblRiderCF[[#This Row],[Year]]&lt;=term)*1</f>
        <v>#N/A</v>
      </c>
      <c r="D18" t="e">
        <f ca="1">(entry_age+tblRiderCF[[#This Row],[Year]]-1)
*tblRiderCF[[#This Row],[RiderTermFlag]]</f>
        <v>#N/A</v>
      </c>
      <c r="E18" t="e">
        <f ca="1">(risk="Sub-standard")
*tblRiderCF[[#This Row],[RiderTermFlag]]</f>
        <v>#N/A</v>
      </c>
      <c r="F18" t="e">
        <f ca="1">(tblRiderCF[[#This Row],[Year]]&lt;=prem_load_term)
*tblRiderCF[[#This Row],[SubStandardFlag]]</f>
        <v>#N/A</v>
      </c>
      <c r="G18" t="e">
        <f ca="1">(tblRiderCF[[#This Row],[Year]]&lt;=pm_load_term)
*tblRiderCF[[#This Row],[SubStandardFlag]]</f>
        <v>#N/A</v>
      </c>
      <c r="H18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8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8" s="150" t="e" cm="1">
        <f t="array" aca="1" ref="J1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8" s="150" t="e">
        <f ca="1">add_rate*tblRiderCF[[#This Row],[SI]]*(rider=K$11)</f>
        <v>#N/A</v>
      </c>
      <c r="L18" s="150" t="e">
        <f ca="1">INDEX(tblPPDRate[Annualized GPR],MATCH(tblRiderCF[[#This Row],[Age]],tblPPDRate[Min age],1))*tblRiderCF[[#This Row],[SI]]
*(rider=L$11)</f>
        <v>#N/A</v>
      </c>
      <c r="M18" s="150" t="e">
        <f ca="1">INDEX(IF(gender="Male",tblCIR1Rate[Male],tblCIR1Rate[Female]),MATCH(tblRiderCF[[#This Row],[Age]],tblCIR1Rate[Age],0))/1000*tblRiderCF[[#This Row],[SI]]
*(rider=M$11)</f>
        <v>#N/A</v>
      </c>
      <c r="N18" s="150" t="e">
        <f ca="1">INDEX(IF(gender="Male",tblCIR2Rate[Male],tblCIR2Rate[Female]),MATCH(tblRiderCF[[#This Row],[Age]],tblCIR2Rate[Age],0))/1000*tblRiderCF[[#This Row],[SI]]
*(rider=N$11)</f>
        <v>#N/A</v>
      </c>
      <c r="O18" s="150" t="e">
        <f>INDEX(tblHOP2Rate[Premium],MATCH(hop2_option,tblHOP2Rate[Option],0))
*(rider=O$11)</f>
        <v>#N/A</v>
      </c>
      <c r="P18" s="150" t="e">
        <f ca="1">INDEX(Tariff!$CC$5:$CS$44,
MATCH(tblRiderCF[[#This Row],[Age]],Tariff!$CB$5:$CB$44,0),
MATCH(term+1-tblRiderCF[[#This Row],[Year]],Tariff!$CC$4:$CS$4,0))
*(rider=P$11)</f>
        <v>#N/A</v>
      </c>
      <c r="Q18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8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8" s="150" t="e">
        <f ca="1">INDEX(tblRiderCF[[#This Row],[ADD1UnroundedPrem]:[WOP2UnroundedPrem]],MATCH(rider,$K$11:$R$11,0))
*tblRiderCF[[#This Row],[RiderTermFlag]]</f>
        <v>#N/A</v>
      </c>
      <c r="T18" s="150" t="e">
        <f ca="1">tblRiderCF[[#This Row],[UnroundedPrem]]*prem_load</f>
        <v>#N/A</v>
      </c>
      <c r="U18" s="150" t="e">
        <f ca="1">pm_load/1000*tblRiderCF[[#This Row],[SI]]
*tblRiderCF[[#This Row],[RiderTermFlag]]</f>
        <v>#N/A</v>
      </c>
      <c r="V18" s="151" t="e">
        <f ca="1">ROUND(tblRiderCF[[#This Row],[UnroundedPrem]]*V$10,-3)</f>
        <v>#N/A</v>
      </c>
      <c r="W18" t="e">
        <f ca="1">ROUND(tblRiderCF[[#This Row],[UnroundedPremLoad]]*W$10,-3)</f>
        <v>#N/A</v>
      </c>
      <c r="X18" t="e">
        <f ca="1">ROUND(tblRiderCF[[#This Row],[UnroundedPMLoad]]*X$10,-3)</f>
        <v>#N/A</v>
      </c>
      <c r="Y18" t="e">
        <f ca="1">tblRiderCF[[#This Row],[PremLoad]]+tblRiderCF[[#This Row],[PMLoad]]</f>
        <v>#N/A</v>
      </c>
      <c r="Z18" t="e">
        <f ca="1">tblRiderCF[[#This Row],[Prem]]+tblRiderCF[[#This Row],[Load]]</f>
        <v>#N/A</v>
      </c>
      <c r="AA18" t="e">
        <f ca="1">ROUND(tblRiderCF[[#This Row],[UnroundedPrem]]*AA$10,-3)</f>
        <v>#N/A</v>
      </c>
      <c r="AB18" t="e">
        <f ca="1">ROUND(tblRiderCF[[#This Row],[UnroundedPremLoad]]*AB$10,-3)</f>
        <v>#N/A</v>
      </c>
      <c r="AC18" t="e">
        <f ca="1">ROUND(tblRiderCF[[#This Row],[UnroundedPMLoad]]*AC$10,-3)</f>
        <v>#N/A</v>
      </c>
      <c r="AD18" t="e">
        <f ca="1">tblRiderCF[[#This Row],[SemiAnnualPremLoad]]+tblRiderCF[[#This Row],[SemiAnnualPMLoad]]</f>
        <v>#N/A</v>
      </c>
      <c r="AE18" t="e">
        <f ca="1">tblRiderCF[[#This Row],[SemiAnnualPrem]]+tblRiderCF[[#This Row],[SemiAnnualLoad]]</f>
        <v>#N/A</v>
      </c>
      <c r="AF18" t="e">
        <f ca="1">ROUND(tblRiderCF[[#This Row],[UnroundedPrem]]*AF$10,-3)</f>
        <v>#N/A</v>
      </c>
      <c r="AG18" t="e">
        <f ca="1">ROUND(tblRiderCF[[#This Row],[UnroundedPremLoad]]*AG$10,-3)</f>
        <v>#N/A</v>
      </c>
      <c r="AH18" t="e">
        <f ca="1">ROUND(tblRiderCF[[#This Row],[UnroundedPMLoad]]*AH$10,-3)</f>
        <v>#N/A</v>
      </c>
      <c r="AI18" t="e">
        <f ca="1">tblRiderCF[[#This Row],[QuarterlyPremLoad]]+tblRiderCF[[#This Row],[QuarterlyPMLoad]]</f>
        <v>#N/A</v>
      </c>
      <c r="AJ18" t="e">
        <f ca="1">tblRiderCF[[#This Row],[QuarterlyPrem]]+tblRiderCF[[#This Row],[QuarterlyLoad]]</f>
        <v>#N/A</v>
      </c>
      <c r="AK18" t="e">
        <f ca="1">ROUND(tblRiderCF[[#This Row],[UnroundedPrem]]*AK$10,-3)</f>
        <v>#N/A</v>
      </c>
      <c r="AL18" t="e">
        <f ca="1">ROUND(tblRiderCF[[#This Row],[UnroundedPremLoad]]*AL$10,-3)</f>
        <v>#N/A</v>
      </c>
      <c r="AM18" t="e">
        <f ca="1">ROUND(tblRiderCF[[#This Row],[UnroundedPMLoad]]*AM$10,-3)</f>
        <v>#N/A</v>
      </c>
      <c r="AN18" t="e">
        <f ca="1">tblRiderCF[[#This Row],[MonthlyPremLoad]]+tblRiderCF[[#This Row],[MonthlyPMLoad]]</f>
        <v>#N/A</v>
      </c>
      <c r="AO18" t="e">
        <f ca="1">tblRiderCF[[#This Row],[MonthlyPrem]]+tblRiderCF[[#This Row],[MonthlyLoad]]</f>
        <v>#N/A</v>
      </c>
      <c r="AS18">
        <f t="shared" si="5"/>
        <v>0</v>
      </c>
      <c r="AT18">
        <f t="shared" si="1"/>
        <v>0</v>
      </c>
      <c r="AU18">
        <f ca="1">tblRiderCF[[#This Row],[Year]]</f>
        <v>5</v>
      </c>
      <c r="AV18" t="e">
        <f ca="1">tblRiderCF[[#This Row],[Age]]</f>
        <v>#N/A</v>
      </c>
      <c r="AW18">
        <f t="shared" si="2"/>
        <v>0</v>
      </c>
      <c r="AX18" t="e">
        <f t="shared" si="3"/>
        <v>#N/A</v>
      </c>
      <c r="AY18">
        <f t="shared" si="4"/>
        <v>0</v>
      </c>
      <c r="AZ18" s="47" t="e">
        <f ca="1">tblRiderCF[[#This Row],[SI]]</f>
        <v>#N/A</v>
      </c>
      <c r="BA18" t="e">
        <f ca="1">tblRiderCF[[#This Row],[TotalPrem]]</f>
        <v>#N/A</v>
      </c>
      <c r="BB18" t="e">
        <f ca="1">tblRiderCF[[#This Row],[SemiAnnualTotalPrem]]</f>
        <v>#N/A</v>
      </c>
      <c r="BC18" t="e">
        <f ca="1">tblRiderCF[[#This Row],[QuarterlyTotalPrem]]</f>
        <v>#N/A</v>
      </c>
      <c r="BD18" t="e">
        <f ca="1">tblRiderCF[[#This Row],[MonthlyTotalPrem]]</f>
        <v>#N/A</v>
      </c>
      <c r="BG18" t="s">
        <v>135</v>
      </c>
      <c r="BH18" t="s">
        <v>188</v>
      </c>
      <c r="BI18">
        <v>5</v>
      </c>
      <c r="BJ18">
        <v>35</v>
      </c>
      <c r="BK18" t="s">
        <v>480</v>
      </c>
      <c r="BL18">
        <v>30</v>
      </c>
      <c r="BM18">
        <v>0</v>
      </c>
      <c r="BN18">
        <v>120000000</v>
      </c>
      <c r="BO18">
        <v>534000</v>
      </c>
      <c r="BP18">
        <v>267000</v>
      </c>
      <c r="BQ18">
        <v>134000</v>
      </c>
      <c r="BR18">
        <v>45000</v>
      </c>
    </row>
    <row r="19" spans="2:70" x14ac:dyDescent="0.25">
      <c r="B19">
        <f ca="1">OFFSET(tblRiderCF[[#This Row],[Year]],-1,0)+1</f>
        <v>6</v>
      </c>
      <c r="C19" t="e">
        <f ca="1">(tblRiderCF[[#This Row],[Year]]&lt;=term)*1</f>
        <v>#N/A</v>
      </c>
      <c r="D19" t="e">
        <f ca="1">(entry_age+tblRiderCF[[#This Row],[Year]]-1)
*tblRiderCF[[#This Row],[RiderTermFlag]]</f>
        <v>#N/A</v>
      </c>
      <c r="E19" t="e">
        <f ca="1">(risk="Sub-standard")
*tblRiderCF[[#This Row],[RiderTermFlag]]</f>
        <v>#N/A</v>
      </c>
      <c r="F19" t="e">
        <f ca="1">(tblRiderCF[[#This Row],[Year]]&lt;=prem_load_term)
*tblRiderCF[[#This Row],[SubStandardFlag]]</f>
        <v>#N/A</v>
      </c>
      <c r="G19" t="e">
        <f ca="1">(tblRiderCF[[#This Row],[Year]]&lt;=pm_load_term)
*tblRiderCF[[#This Row],[SubStandardFlag]]</f>
        <v>#N/A</v>
      </c>
      <c r="H19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9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9" s="150" t="e" cm="1">
        <f t="array" aca="1" ref="J1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9" s="150" t="e">
        <f ca="1">add_rate*tblRiderCF[[#This Row],[SI]]*(rider=K$11)</f>
        <v>#N/A</v>
      </c>
      <c r="L19" s="150" t="e">
        <f ca="1">INDEX(tblPPDRate[Annualized GPR],MATCH(tblRiderCF[[#This Row],[Age]],tblPPDRate[Min age],1))*tblRiderCF[[#This Row],[SI]]
*(rider=L$11)</f>
        <v>#N/A</v>
      </c>
      <c r="M19" s="150" t="e">
        <f ca="1">INDEX(IF(gender="Male",tblCIR1Rate[Male],tblCIR1Rate[Female]),MATCH(tblRiderCF[[#This Row],[Age]],tblCIR1Rate[Age],0))/1000*tblRiderCF[[#This Row],[SI]]
*(rider=M$11)</f>
        <v>#N/A</v>
      </c>
      <c r="N19" s="150" t="e">
        <f ca="1">INDEX(IF(gender="Male",tblCIR2Rate[Male],tblCIR2Rate[Female]),MATCH(tblRiderCF[[#This Row],[Age]],tblCIR2Rate[Age],0))/1000*tblRiderCF[[#This Row],[SI]]
*(rider=N$11)</f>
        <v>#N/A</v>
      </c>
      <c r="O19" s="150" t="e">
        <f>INDEX(tblHOP2Rate[Premium],MATCH(hop2_option,tblHOP2Rate[Option],0))
*(rider=O$11)</f>
        <v>#N/A</v>
      </c>
      <c r="P19" s="150" t="e">
        <f ca="1">INDEX(Tariff!$CC$5:$CS$44,
MATCH(tblRiderCF[[#This Row],[Age]],Tariff!$CB$5:$CB$44,0),
MATCH(term+1-tblRiderCF[[#This Row],[Year]],Tariff!$CC$4:$CS$4,0))
*(rider=P$11)</f>
        <v>#N/A</v>
      </c>
      <c r="Q19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9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9" s="150" t="e">
        <f ca="1">INDEX(tblRiderCF[[#This Row],[ADD1UnroundedPrem]:[WOP2UnroundedPrem]],MATCH(rider,$K$11:$R$11,0))
*tblRiderCF[[#This Row],[RiderTermFlag]]</f>
        <v>#N/A</v>
      </c>
      <c r="T19" s="150" t="e">
        <f ca="1">tblRiderCF[[#This Row],[UnroundedPrem]]*prem_load</f>
        <v>#N/A</v>
      </c>
      <c r="U19" s="150" t="e">
        <f ca="1">pm_load/1000*tblRiderCF[[#This Row],[SI]]
*tblRiderCF[[#This Row],[RiderTermFlag]]</f>
        <v>#N/A</v>
      </c>
      <c r="V19" s="151" t="e">
        <f ca="1">ROUND(tblRiderCF[[#This Row],[UnroundedPrem]]*V$10,-3)</f>
        <v>#N/A</v>
      </c>
      <c r="W19" t="e">
        <f ca="1">ROUND(tblRiderCF[[#This Row],[UnroundedPremLoad]]*W$10,-3)</f>
        <v>#N/A</v>
      </c>
      <c r="X19" t="e">
        <f ca="1">ROUND(tblRiderCF[[#This Row],[UnroundedPMLoad]]*X$10,-3)</f>
        <v>#N/A</v>
      </c>
      <c r="Y19" t="e">
        <f ca="1">tblRiderCF[[#This Row],[PremLoad]]+tblRiderCF[[#This Row],[PMLoad]]</f>
        <v>#N/A</v>
      </c>
      <c r="Z19" t="e">
        <f ca="1">tblRiderCF[[#This Row],[Prem]]+tblRiderCF[[#This Row],[Load]]</f>
        <v>#N/A</v>
      </c>
      <c r="AA19" t="e">
        <f ca="1">ROUND(tblRiderCF[[#This Row],[UnroundedPrem]]*AA$10,-3)</f>
        <v>#N/A</v>
      </c>
      <c r="AB19" t="e">
        <f ca="1">ROUND(tblRiderCF[[#This Row],[UnroundedPremLoad]]*AB$10,-3)</f>
        <v>#N/A</v>
      </c>
      <c r="AC19" t="e">
        <f ca="1">ROUND(tblRiderCF[[#This Row],[UnroundedPMLoad]]*AC$10,-3)</f>
        <v>#N/A</v>
      </c>
      <c r="AD19" t="e">
        <f ca="1">tblRiderCF[[#This Row],[SemiAnnualPremLoad]]+tblRiderCF[[#This Row],[SemiAnnualPMLoad]]</f>
        <v>#N/A</v>
      </c>
      <c r="AE19" t="e">
        <f ca="1">tblRiderCF[[#This Row],[SemiAnnualPrem]]+tblRiderCF[[#This Row],[SemiAnnualLoad]]</f>
        <v>#N/A</v>
      </c>
      <c r="AF19" t="e">
        <f ca="1">ROUND(tblRiderCF[[#This Row],[UnroundedPrem]]*AF$10,-3)</f>
        <v>#N/A</v>
      </c>
      <c r="AG19" t="e">
        <f ca="1">ROUND(tblRiderCF[[#This Row],[UnroundedPremLoad]]*AG$10,-3)</f>
        <v>#N/A</v>
      </c>
      <c r="AH19" t="e">
        <f ca="1">ROUND(tblRiderCF[[#This Row],[UnroundedPMLoad]]*AH$10,-3)</f>
        <v>#N/A</v>
      </c>
      <c r="AI19" t="e">
        <f ca="1">tblRiderCF[[#This Row],[QuarterlyPremLoad]]+tblRiderCF[[#This Row],[QuarterlyPMLoad]]</f>
        <v>#N/A</v>
      </c>
      <c r="AJ19" t="e">
        <f ca="1">tblRiderCF[[#This Row],[QuarterlyPrem]]+tblRiderCF[[#This Row],[QuarterlyLoad]]</f>
        <v>#N/A</v>
      </c>
      <c r="AK19" t="e">
        <f ca="1">ROUND(tblRiderCF[[#This Row],[UnroundedPrem]]*AK$10,-3)</f>
        <v>#N/A</v>
      </c>
      <c r="AL19" t="e">
        <f ca="1">ROUND(tblRiderCF[[#This Row],[UnroundedPremLoad]]*AL$10,-3)</f>
        <v>#N/A</v>
      </c>
      <c r="AM19" t="e">
        <f ca="1">ROUND(tblRiderCF[[#This Row],[UnroundedPMLoad]]*AM$10,-3)</f>
        <v>#N/A</v>
      </c>
      <c r="AN19" t="e">
        <f ca="1">tblRiderCF[[#This Row],[MonthlyPremLoad]]+tblRiderCF[[#This Row],[MonthlyPMLoad]]</f>
        <v>#N/A</v>
      </c>
      <c r="AO19" t="e">
        <f ca="1">tblRiderCF[[#This Row],[MonthlyPrem]]+tblRiderCF[[#This Row],[MonthlyLoad]]</f>
        <v>#N/A</v>
      </c>
      <c r="AS19">
        <f t="shared" si="5"/>
        <v>0</v>
      </c>
      <c r="AT19">
        <f t="shared" si="1"/>
        <v>0</v>
      </c>
      <c r="AU19">
        <f ca="1">tblRiderCF[[#This Row],[Year]]</f>
        <v>6</v>
      </c>
      <c r="AV19" t="e">
        <f ca="1">tblRiderCF[[#This Row],[Age]]</f>
        <v>#N/A</v>
      </c>
      <c r="AW19">
        <f t="shared" si="2"/>
        <v>0</v>
      </c>
      <c r="AX19" t="e">
        <f t="shared" si="3"/>
        <v>#N/A</v>
      </c>
      <c r="AY19">
        <f t="shared" si="4"/>
        <v>0</v>
      </c>
      <c r="AZ19" s="47" t="e">
        <f ca="1">tblRiderCF[[#This Row],[SI]]</f>
        <v>#N/A</v>
      </c>
      <c r="BA19" t="e">
        <f ca="1">tblRiderCF[[#This Row],[TotalPrem]]</f>
        <v>#N/A</v>
      </c>
      <c r="BB19" t="e">
        <f ca="1">tblRiderCF[[#This Row],[SemiAnnualTotalPrem]]</f>
        <v>#N/A</v>
      </c>
      <c r="BC19" t="e">
        <f ca="1">tblRiderCF[[#This Row],[QuarterlyTotalPrem]]</f>
        <v>#N/A</v>
      </c>
      <c r="BD19" t="e">
        <f ca="1">tblRiderCF[[#This Row],[MonthlyTotalPrem]]</f>
        <v>#N/A</v>
      </c>
      <c r="BG19" t="s">
        <v>135</v>
      </c>
      <c r="BH19" t="s">
        <v>188</v>
      </c>
      <c r="BI19">
        <v>6</v>
      </c>
      <c r="BJ19">
        <v>36</v>
      </c>
      <c r="BK19" t="s">
        <v>480</v>
      </c>
      <c r="BL19">
        <v>30</v>
      </c>
      <c r="BM19">
        <v>0</v>
      </c>
      <c r="BN19">
        <v>120000000</v>
      </c>
      <c r="BO19">
        <v>534000</v>
      </c>
      <c r="BP19">
        <v>267000</v>
      </c>
      <c r="BQ19">
        <v>134000</v>
      </c>
      <c r="BR19">
        <v>45000</v>
      </c>
    </row>
    <row r="20" spans="2:70" x14ac:dyDescent="0.25">
      <c r="B20">
        <f ca="1">OFFSET(tblRiderCF[[#This Row],[Year]],-1,0)+1</f>
        <v>7</v>
      </c>
      <c r="C20" t="e">
        <f ca="1">(tblRiderCF[[#This Row],[Year]]&lt;=term)*1</f>
        <v>#N/A</v>
      </c>
      <c r="D20" t="e">
        <f ca="1">(entry_age+tblRiderCF[[#This Row],[Year]]-1)
*tblRiderCF[[#This Row],[RiderTermFlag]]</f>
        <v>#N/A</v>
      </c>
      <c r="E20" t="e">
        <f ca="1">(risk="Sub-standard")
*tblRiderCF[[#This Row],[RiderTermFlag]]</f>
        <v>#N/A</v>
      </c>
      <c r="F20" t="e">
        <f ca="1">(tblRiderCF[[#This Row],[Year]]&lt;=prem_load_term)
*tblRiderCF[[#This Row],[SubStandardFlag]]</f>
        <v>#N/A</v>
      </c>
      <c r="G20" t="e">
        <f ca="1">(tblRiderCF[[#This Row],[Year]]&lt;=pm_load_term)
*tblRiderCF[[#This Row],[SubStandardFlag]]</f>
        <v>#N/A</v>
      </c>
      <c r="H20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0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0" s="150" t="e" cm="1">
        <f t="array" aca="1" ref="J2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0" s="150" t="e">
        <f ca="1">add_rate*tblRiderCF[[#This Row],[SI]]*(rider=K$11)</f>
        <v>#N/A</v>
      </c>
      <c r="L20" s="150" t="e">
        <f ca="1">INDEX(tblPPDRate[Annualized GPR],MATCH(tblRiderCF[[#This Row],[Age]],tblPPDRate[Min age],1))*tblRiderCF[[#This Row],[SI]]
*(rider=L$11)</f>
        <v>#N/A</v>
      </c>
      <c r="M20" s="150" t="e">
        <f ca="1">INDEX(IF(gender="Male",tblCIR1Rate[Male],tblCIR1Rate[Female]),MATCH(tblRiderCF[[#This Row],[Age]],tblCIR1Rate[Age],0))/1000*tblRiderCF[[#This Row],[SI]]
*(rider=M$11)</f>
        <v>#N/A</v>
      </c>
      <c r="N20" s="150" t="e">
        <f ca="1">INDEX(IF(gender="Male",tblCIR2Rate[Male],tblCIR2Rate[Female]),MATCH(tblRiderCF[[#This Row],[Age]],tblCIR2Rate[Age],0))/1000*tblRiderCF[[#This Row],[SI]]
*(rider=N$11)</f>
        <v>#N/A</v>
      </c>
      <c r="O20" s="150" t="e">
        <f>INDEX(tblHOP2Rate[Premium],MATCH(hop2_option,tblHOP2Rate[Option],0))
*(rider=O$11)</f>
        <v>#N/A</v>
      </c>
      <c r="P20" s="150" t="e">
        <f ca="1">INDEX(Tariff!$CC$5:$CS$44,
MATCH(tblRiderCF[[#This Row],[Age]],Tariff!$CB$5:$CB$44,0),
MATCH(term+1-tblRiderCF[[#This Row],[Year]],Tariff!$CC$4:$CS$4,0))
*(rider=P$11)</f>
        <v>#N/A</v>
      </c>
      <c r="Q20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0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0" s="150" t="e">
        <f ca="1">INDEX(tblRiderCF[[#This Row],[ADD1UnroundedPrem]:[WOP2UnroundedPrem]],MATCH(rider,$K$11:$R$11,0))
*tblRiderCF[[#This Row],[RiderTermFlag]]</f>
        <v>#N/A</v>
      </c>
      <c r="T20" s="150" t="e">
        <f ca="1">tblRiderCF[[#This Row],[UnroundedPrem]]*prem_load</f>
        <v>#N/A</v>
      </c>
      <c r="U20" s="150" t="e">
        <f ca="1">pm_load/1000*tblRiderCF[[#This Row],[SI]]
*tblRiderCF[[#This Row],[RiderTermFlag]]</f>
        <v>#N/A</v>
      </c>
      <c r="V20" s="151" t="e">
        <f ca="1">ROUND(tblRiderCF[[#This Row],[UnroundedPrem]]*V$10,-3)</f>
        <v>#N/A</v>
      </c>
      <c r="W20" t="e">
        <f ca="1">ROUND(tblRiderCF[[#This Row],[UnroundedPremLoad]]*W$10,-3)</f>
        <v>#N/A</v>
      </c>
      <c r="X20" t="e">
        <f ca="1">ROUND(tblRiderCF[[#This Row],[UnroundedPMLoad]]*X$10,-3)</f>
        <v>#N/A</v>
      </c>
      <c r="Y20" t="e">
        <f ca="1">tblRiderCF[[#This Row],[PremLoad]]+tblRiderCF[[#This Row],[PMLoad]]</f>
        <v>#N/A</v>
      </c>
      <c r="Z20" t="e">
        <f ca="1">tblRiderCF[[#This Row],[Prem]]+tblRiderCF[[#This Row],[Load]]</f>
        <v>#N/A</v>
      </c>
      <c r="AA20" t="e">
        <f ca="1">ROUND(tblRiderCF[[#This Row],[UnroundedPrem]]*AA$10,-3)</f>
        <v>#N/A</v>
      </c>
      <c r="AB20" t="e">
        <f ca="1">ROUND(tblRiderCF[[#This Row],[UnroundedPremLoad]]*AB$10,-3)</f>
        <v>#N/A</v>
      </c>
      <c r="AC20" t="e">
        <f ca="1">ROUND(tblRiderCF[[#This Row],[UnroundedPMLoad]]*AC$10,-3)</f>
        <v>#N/A</v>
      </c>
      <c r="AD20" t="e">
        <f ca="1">tblRiderCF[[#This Row],[SemiAnnualPremLoad]]+tblRiderCF[[#This Row],[SemiAnnualPMLoad]]</f>
        <v>#N/A</v>
      </c>
      <c r="AE20" t="e">
        <f ca="1">tblRiderCF[[#This Row],[SemiAnnualPrem]]+tblRiderCF[[#This Row],[SemiAnnualLoad]]</f>
        <v>#N/A</v>
      </c>
      <c r="AF20" t="e">
        <f ca="1">ROUND(tblRiderCF[[#This Row],[UnroundedPrem]]*AF$10,-3)</f>
        <v>#N/A</v>
      </c>
      <c r="AG20" t="e">
        <f ca="1">ROUND(tblRiderCF[[#This Row],[UnroundedPremLoad]]*AG$10,-3)</f>
        <v>#N/A</v>
      </c>
      <c r="AH20" t="e">
        <f ca="1">ROUND(tblRiderCF[[#This Row],[UnroundedPMLoad]]*AH$10,-3)</f>
        <v>#N/A</v>
      </c>
      <c r="AI20" t="e">
        <f ca="1">tblRiderCF[[#This Row],[QuarterlyPremLoad]]+tblRiderCF[[#This Row],[QuarterlyPMLoad]]</f>
        <v>#N/A</v>
      </c>
      <c r="AJ20" t="e">
        <f ca="1">tblRiderCF[[#This Row],[QuarterlyPrem]]+tblRiderCF[[#This Row],[QuarterlyLoad]]</f>
        <v>#N/A</v>
      </c>
      <c r="AK20" t="e">
        <f ca="1">ROUND(tblRiderCF[[#This Row],[UnroundedPrem]]*AK$10,-3)</f>
        <v>#N/A</v>
      </c>
      <c r="AL20" t="e">
        <f ca="1">ROUND(tblRiderCF[[#This Row],[UnroundedPremLoad]]*AL$10,-3)</f>
        <v>#N/A</v>
      </c>
      <c r="AM20" t="e">
        <f ca="1">ROUND(tblRiderCF[[#This Row],[UnroundedPMLoad]]*AM$10,-3)</f>
        <v>#N/A</v>
      </c>
      <c r="AN20" t="e">
        <f ca="1">tblRiderCF[[#This Row],[MonthlyPremLoad]]+tblRiderCF[[#This Row],[MonthlyPMLoad]]</f>
        <v>#N/A</v>
      </c>
      <c r="AO20" t="e">
        <f ca="1">tblRiderCF[[#This Row],[MonthlyPrem]]+tblRiderCF[[#This Row],[MonthlyLoad]]</f>
        <v>#N/A</v>
      </c>
      <c r="AS20">
        <f t="shared" si="5"/>
        <v>0</v>
      </c>
      <c r="AT20">
        <f t="shared" si="1"/>
        <v>0</v>
      </c>
      <c r="AU20">
        <f ca="1">tblRiderCF[[#This Row],[Year]]</f>
        <v>7</v>
      </c>
      <c r="AV20" t="e">
        <f ca="1">tblRiderCF[[#This Row],[Age]]</f>
        <v>#N/A</v>
      </c>
      <c r="AW20">
        <f t="shared" si="2"/>
        <v>0</v>
      </c>
      <c r="AX20" t="e">
        <f t="shared" si="3"/>
        <v>#N/A</v>
      </c>
      <c r="AY20">
        <f t="shared" si="4"/>
        <v>0</v>
      </c>
      <c r="AZ20" s="47" t="e">
        <f ca="1">tblRiderCF[[#This Row],[SI]]</f>
        <v>#N/A</v>
      </c>
      <c r="BA20" t="e">
        <f ca="1">tblRiderCF[[#This Row],[TotalPrem]]</f>
        <v>#N/A</v>
      </c>
      <c r="BB20" t="e">
        <f ca="1">tblRiderCF[[#This Row],[SemiAnnualTotalPrem]]</f>
        <v>#N/A</v>
      </c>
      <c r="BC20" t="e">
        <f ca="1">tblRiderCF[[#This Row],[QuarterlyTotalPrem]]</f>
        <v>#N/A</v>
      </c>
      <c r="BD20" t="e">
        <f ca="1">tblRiderCF[[#This Row],[MonthlyTotalPrem]]</f>
        <v>#N/A</v>
      </c>
      <c r="BG20" t="s">
        <v>135</v>
      </c>
      <c r="BH20" t="s">
        <v>188</v>
      </c>
      <c r="BI20">
        <v>7</v>
      </c>
      <c r="BJ20">
        <v>37</v>
      </c>
      <c r="BK20" t="s">
        <v>480</v>
      </c>
      <c r="BL20">
        <v>30</v>
      </c>
      <c r="BM20">
        <v>0</v>
      </c>
      <c r="BN20">
        <v>120000000</v>
      </c>
      <c r="BO20">
        <v>534000</v>
      </c>
      <c r="BP20">
        <v>267000</v>
      </c>
      <c r="BQ20">
        <v>134000</v>
      </c>
      <c r="BR20">
        <v>45000</v>
      </c>
    </row>
    <row r="21" spans="2:70" x14ac:dyDescent="0.25">
      <c r="B21">
        <f ca="1">OFFSET(tblRiderCF[[#This Row],[Year]],-1,0)+1</f>
        <v>8</v>
      </c>
      <c r="C21" t="e">
        <f ca="1">(tblRiderCF[[#This Row],[Year]]&lt;=term)*1</f>
        <v>#N/A</v>
      </c>
      <c r="D21" t="e">
        <f ca="1">(entry_age+tblRiderCF[[#This Row],[Year]]-1)
*tblRiderCF[[#This Row],[RiderTermFlag]]</f>
        <v>#N/A</v>
      </c>
      <c r="E21" t="e">
        <f ca="1">(risk="Sub-standard")
*tblRiderCF[[#This Row],[RiderTermFlag]]</f>
        <v>#N/A</v>
      </c>
      <c r="F21" t="e">
        <f ca="1">(tblRiderCF[[#This Row],[Year]]&lt;=prem_load_term)
*tblRiderCF[[#This Row],[SubStandardFlag]]</f>
        <v>#N/A</v>
      </c>
      <c r="G21" t="e">
        <f ca="1">(tblRiderCF[[#This Row],[Year]]&lt;=pm_load_term)
*tblRiderCF[[#This Row],[SubStandardFlag]]</f>
        <v>#N/A</v>
      </c>
      <c r="H21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1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1" s="150" t="e" cm="1">
        <f t="array" aca="1" ref="J2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1" s="150" t="e">
        <f ca="1">add_rate*tblRiderCF[[#This Row],[SI]]*(rider=K$11)</f>
        <v>#N/A</v>
      </c>
      <c r="L21" s="150" t="e">
        <f ca="1">INDEX(tblPPDRate[Annualized GPR],MATCH(tblRiderCF[[#This Row],[Age]],tblPPDRate[Min age],1))*tblRiderCF[[#This Row],[SI]]
*(rider=L$11)</f>
        <v>#N/A</v>
      </c>
      <c r="M21" s="150" t="e">
        <f ca="1">INDEX(IF(gender="Male",tblCIR1Rate[Male],tblCIR1Rate[Female]),MATCH(tblRiderCF[[#This Row],[Age]],tblCIR1Rate[Age],0))/1000*tblRiderCF[[#This Row],[SI]]
*(rider=M$11)</f>
        <v>#N/A</v>
      </c>
      <c r="N21" s="150" t="e">
        <f ca="1">INDEX(IF(gender="Male",tblCIR2Rate[Male],tblCIR2Rate[Female]),MATCH(tblRiderCF[[#This Row],[Age]],tblCIR2Rate[Age],0))/1000*tblRiderCF[[#This Row],[SI]]
*(rider=N$11)</f>
        <v>#N/A</v>
      </c>
      <c r="O21" s="150" t="e">
        <f>INDEX(tblHOP2Rate[Premium],MATCH(hop2_option,tblHOP2Rate[Option],0))
*(rider=O$11)</f>
        <v>#N/A</v>
      </c>
      <c r="P21" s="150" t="e">
        <f ca="1">INDEX(Tariff!$CC$5:$CS$44,
MATCH(tblRiderCF[[#This Row],[Age]],Tariff!$CB$5:$CB$44,0),
MATCH(term+1-tblRiderCF[[#This Row],[Year]],Tariff!$CC$4:$CS$4,0))
*(rider=P$11)</f>
        <v>#N/A</v>
      </c>
      <c r="Q21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1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1" s="150" t="e">
        <f ca="1">INDEX(tblRiderCF[[#This Row],[ADD1UnroundedPrem]:[WOP2UnroundedPrem]],MATCH(rider,$K$11:$R$11,0))
*tblRiderCF[[#This Row],[RiderTermFlag]]</f>
        <v>#N/A</v>
      </c>
      <c r="T21" s="150" t="e">
        <f ca="1">tblRiderCF[[#This Row],[UnroundedPrem]]*prem_load</f>
        <v>#N/A</v>
      </c>
      <c r="U21" s="150" t="e">
        <f ca="1">pm_load/1000*tblRiderCF[[#This Row],[SI]]
*tblRiderCF[[#This Row],[RiderTermFlag]]</f>
        <v>#N/A</v>
      </c>
      <c r="V21" s="151" t="e">
        <f ca="1">ROUND(tblRiderCF[[#This Row],[UnroundedPrem]]*V$10,-3)</f>
        <v>#N/A</v>
      </c>
      <c r="W21" t="e">
        <f ca="1">ROUND(tblRiderCF[[#This Row],[UnroundedPremLoad]]*W$10,-3)</f>
        <v>#N/A</v>
      </c>
      <c r="X21" t="e">
        <f ca="1">ROUND(tblRiderCF[[#This Row],[UnroundedPMLoad]]*X$10,-3)</f>
        <v>#N/A</v>
      </c>
      <c r="Y21" t="e">
        <f ca="1">tblRiderCF[[#This Row],[PremLoad]]+tblRiderCF[[#This Row],[PMLoad]]</f>
        <v>#N/A</v>
      </c>
      <c r="Z21" t="e">
        <f ca="1">tblRiderCF[[#This Row],[Prem]]+tblRiderCF[[#This Row],[Load]]</f>
        <v>#N/A</v>
      </c>
      <c r="AA21" t="e">
        <f ca="1">ROUND(tblRiderCF[[#This Row],[UnroundedPrem]]*AA$10,-3)</f>
        <v>#N/A</v>
      </c>
      <c r="AB21" t="e">
        <f ca="1">ROUND(tblRiderCF[[#This Row],[UnroundedPremLoad]]*AB$10,-3)</f>
        <v>#N/A</v>
      </c>
      <c r="AC21" t="e">
        <f ca="1">ROUND(tblRiderCF[[#This Row],[UnroundedPMLoad]]*AC$10,-3)</f>
        <v>#N/A</v>
      </c>
      <c r="AD21" t="e">
        <f ca="1">tblRiderCF[[#This Row],[SemiAnnualPremLoad]]+tblRiderCF[[#This Row],[SemiAnnualPMLoad]]</f>
        <v>#N/A</v>
      </c>
      <c r="AE21" t="e">
        <f ca="1">tblRiderCF[[#This Row],[SemiAnnualPrem]]+tblRiderCF[[#This Row],[SemiAnnualLoad]]</f>
        <v>#N/A</v>
      </c>
      <c r="AF21" t="e">
        <f ca="1">ROUND(tblRiderCF[[#This Row],[UnroundedPrem]]*AF$10,-3)</f>
        <v>#N/A</v>
      </c>
      <c r="AG21" t="e">
        <f ca="1">ROUND(tblRiderCF[[#This Row],[UnroundedPremLoad]]*AG$10,-3)</f>
        <v>#N/A</v>
      </c>
      <c r="AH21" t="e">
        <f ca="1">ROUND(tblRiderCF[[#This Row],[UnroundedPMLoad]]*AH$10,-3)</f>
        <v>#N/A</v>
      </c>
      <c r="AI21" t="e">
        <f ca="1">tblRiderCF[[#This Row],[QuarterlyPremLoad]]+tblRiderCF[[#This Row],[QuarterlyPMLoad]]</f>
        <v>#N/A</v>
      </c>
      <c r="AJ21" t="e">
        <f ca="1">tblRiderCF[[#This Row],[QuarterlyPrem]]+tblRiderCF[[#This Row],[QuarterlyLoad]]</f>
        <v>#N/A</v>
      </c>
      <c r="AK21" t="e">
        <f ca="1">ROUND(tblRiderCF[[#This Row],[UnroundedPrem]]*AK$10,-3)</f>
        <v>#N/A</v>
      </c>
      <c r="AL21" t="e">
        <f ca="1">ROUND(tblRiderCF[[#This Row],[UnroundedPremLoad]]*AL$10,-3)</f>
        <v>#N/A</v>
      </c>
      <c r="AM21" t="e">
        <f ca="1">ROUND(tblRiderCF[[#This Row],[UnroundedPMLoad]]*AM$10,-3)</f>
        <v>#N/A</v>
      </c>
      <c r="AN21" t="e">
        <f ca="1">tblRiderCF[[#This Row],[MonthlyPremLoad]]+tblRiderCF[[#This Row],[MonthlyPMLoad]]</f>
        <v>#N/A</v>
      </c>
      <c r="AO21" t="e">
        <f ca="1">tblRiderCF[[#This Row],[MonthlyPrem]]+tblRiderCF[[#This Row],[MonthlyLoad]]</f>
        <v>#N/A</v>
      </c>
      <c r="AS21">
        <f t="shared" si="5"/>
        <v>0</v>
      </c>
      <c r="AT21">
        <f t="shared" si="1"/>
        <v>0</v>
      </c>
      <c r="AU21">
        <f ca="1">tblRiderCF[[#This Row],[Year]]</f>
        <v>8</v>
      </c>
      <c r="AV21" t="e">
        <f ca="1">tblRiderCF[[#This Row],[Age]]</f>
        <v>#N/A</v>
      </c>
      <c r="AW21">
        <f t="shared" si="2"/>
        <v>0</v>
      </c>
      <c r="AX21" t="e">
        <f t="shared" si="3"/>
        <v>#N/A</v>
      </c>
      <c r="AY21">
        <f t="shared" si="4"/>
        <v>0</v>
      </c>
      <c r="AZ21" s="47" t="e">
        <f ca="1">tblRiderCF[[#This Row],[SI]]</f>
        <v>#N/A</v>
      </c>
      <c r="BA21" t="e">
        <f ca="1">tblRiderCF[[#This Row],[TotalPrem]]</f>
        <v>#N/A</v>
      </c>
      <c r="BB21" t="e">
        <f ca="1">tblRiderCF[[#This Row],[SemiAnnualTotalPrem]]</f>
        <v>#N/A</v>
      </c>
      <c r="BC21" t="e">
        <f ca="1">tblRiderCF[[#This Row],[QuarterlyTotalPrem]]</f>
        <v>#N/A</v>
      </c>
      <c r="BD21" t="e">
        <f ca="1">tblRiderCF[[#This Row],[MonthlyTotalPrem]]</f>
        <v>#N/A</v>
      </c>
      <c r="BG21" t="s">
        <v>135</v>
      </c>
      <c r="BH21" t="s">
        <v>188</v>
      </c>
      <c r="BI21">
        <v>8</v>
      </c>
      <c r="BJ21">
        <v>38</v>
      </c>
      <c r="BK21" t="s">
        <v>480</v>
      </c>
      <c r="BL21">
        <v>30</v>
      </c>
      <c r="BM21">
        <v>0</v>
      </c>
      <c r="BN21">
        <v>120000000</v>
      </c>
      <c r="BO21">
        <v>534000</v>
      </c>
      <c r="BP21">
        <v>267000</v>
      </c>
      <c r="BQ21">
        <v>134000</v>
      </c>
      <c r="BR21">
        <v>45000</v>
      </c>
    </row>
    <row r="22" spans="2:70" x14ac:dyDescent="0.25">
      <c r="B22">
        <f ca="1">OFFSET(tblRiderCF[[#This Row],[Year]],-1,0)+1</f>
        <v>9</v>
      </c>
      <c r="C22" t="e">
        <f ca="1">(tblRiderCF[[#This Row],[Year]]&lt;=term)*1</f>
        <v>#N/A</v>
      </c>
      <c r="D22" t="e">
        <f ca="1">(entry_age+tblRiderCF[[#This Row],[Year]]-1)
*tblRiderCF[[#This Row],[RiderTermFlag]]</f>
        <v>#N/A</v>
      </c>
      <c r="E22" t="e">
        <f ca="1">(risk="Sub-standard")
*tblRiderCF[[#This Row],[RiderTermFlag]]</f>
        <v>#N/A</v>
      </c>
      <c r="F22" t="e">
        <f ca="1">(tblRiderCF[[#This Row],[Year]]&lt;=prem_load_term)
*tblRiderCF[[#This Row],[SubStandardFlag]]</f>
        <v>#N/A</v>
      </c>
      <c r="G22" t="e">
        <f ca="1">(tblRiderCF[[#This Row],[Year]]&lt;=pm_load_term)
*tblRiderCF[[#This Row],[SubStandardFlag]]</f>
        <v>#N/A</v>
      </c>
      <c r="H22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2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2" s="150" t="e" cm="1">
        <f t="array" aca="1" ref="J2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2" s="150" t="e">
        <f ca="1">add_rate*tblRiderCF[[#This Row],[SI]]*(rider=K$11)</f>
        <v>#N/A</v>
      </c>
      <c r="L22" s="150" t="e">
        <f ca="1">INDEX(tblPPDRate[Annualized GPR],MATCH(tblRiderCF[[#This Row],[Age]],tblPPDRate[Min age],1))*tblRiderCF[[#This Row],[SI]]
*(rider=L$11)</f>
        <v>#N/A</v>
      </c>
      <c r="M22" s="150" t="e">
        <f ca="1">INDEX(IF(gender="Male",tblCIR1Rate[Male],tblCIR1Rate[Female]),MATCH(tblRiderCF[[#This Row],[Age]],tblCIR1Rate[Age],0))/1000*tblRiderCF[[#This Row],[SI]]
*(rider=M$11)</f>
        <v>#N/A</v>
      </c>
      <c r="N22" s="150" t="e">
        <f ca="1">INDEX(IF(gender="Male",tblCIR2Rate[Male],tblCIR2Rate[Female]),MATCH(tblRiderCF[[#This Row],[Age]],tblCIR2Rate[Age],0))/1000*tblRiderCF[[#This Row],[SI]]
*(rider=N$11)</f>
        <v>#N/A</v>
      </c>
      <c r="O22" s="150" t="e">
        <f>INDEX(tblHOP2Rate[Premium],MATCH(hop2_option,tblHOP2Rate[Option],0))
*(rider=O$11)</f>
        <v>#N/A</v>
      </c>
      <c r="P22" s="150" t="e">
        <f ca="1">INDEX(Tariff!$CC$5:$CS$44,
MATCH(tblRiderCF[[#This Row],[Age]],Tariff!$CB$5:$CB$44,0),
MATCH(term+1-tblRiderCF[[#This Row],[Year]],Tariff!$CC$4:$CS$4,0))
*(rider=P$11)</f>
        <v>#N/A</v>
      </c>
      <c r="Q22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2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2" s="150" t="e">
        <f ca="1">INDEX(tblRiderCF[[#This Row],[ADD1UnroundedPrem]:[WOP2UnroundedPrem]],MATCH(rider,$K$11:$R$11,0))
*tblRiderCF[[#This Row],[RiderTermFlag]]</f>
        <v>#N/A</v>
      </c>
      <c r="T22" s="150" t="e">
        <f ca="1">tblRiderCF[[#This Row],[UnroundedPrem]]*prem_load</f>
        <v>#N/A</v>
      </c>
      <c r="U22" s="150" t="e">
        <f ca="1">pm_load/1000*tblRiderCF[[#This Row],[SI]]
*tblRiderCF[[#This Row],[RiderTermFlag]]</f>
        <v>#N/A</v>
      </c>
      <c r="V22" s="151" t="e">
        <f ca="1">ROUND(tblRiderCF[[#This Row],[UnroundedPrem]]*V$10,-3)</f>
        <v>#N/A</v>
      </c>
      <c r="W22" t="e">
        <f ca="1">ROUND(tblRiderCF[[#This Row],[UnroundedPremLoad]]*W$10,-3)</f>
        <v>#N/A</v>
      </c>
      <c r="X22" t="e">
        <f ca="1">ROUND(tblRiderCF[[#This Row],[UnroundedPMLoad]]*X$10,-3)</f>
        <v>#N/A</v>
      </c>
      <c r="Y22" t="e">
        <f ca="1">tblRiderCF[[#This Row],[PremLoad]]+tblRiderCF[[#This Row],[PMLoad]]</f>
        <v>#N/A</v>
      </c>
      <c r="Z22" t="e">
        <f ca="1">tblRiderCF[[#This Row],[Prem]]+tblRiderCF[[#This Row],[Load]]</f>
        <v>#N/A</v>
      </c>
      <c r="AA22" t="e">
        <f ca="1">ROUND(tblRiderCF[[#This Row],[UnroundedPrem]]*AA$10,-3)</f>
        <v>#N/A</v>
      </c>
      <c r="AB22" t="e">
        <f ca="1">ROUND(tblRiderCF[[#This Row],[UnroundedPremLoad]]*AB$10,-3)</f>
        <v>#N/A</v>
      </c>
      <c r="AC22" t="e">
        <f ca="1">ROUND(tblRiderCF[[#This Row],[UnroundedPMLoad]]*AC$10,-3)</f>
        <v>#N/A</v>
      </c>
      <c r="AD22" t="e">
        <f ca="1">tblRiderCF[[#This Row],[SemiAnnualPremLoad]]+tblRiderCF[[#This Row],[SemiAnnualPMLoad]]</f>
        <v>#N/A</v>
      </c>
      <c r="AE22" t="e">
        <f ca="1">tblRiderCF[[#This Row],[SemiAnnualPrem]]+tblRiderCF[[#This Row],[SemiAnnualLoad]]</f>
        <v>#N/A</v>
      </c>
      <c r="AF22" t="e">
        <f ca="1">ROUND(tblRiderCF[[#This Row],[UnroundedPrem]]*AF$10,-3)</f>
        <v>#N/A</v>
      </c>
      <c r="AG22" t="e">
        <f ca="1">ROUND(tblRiderCF[[#This Row],[UnroundedPremLoad]]*AG$10,-3)</f>
        <v>#N/A</v>
      </c>
      <c r="AH22" t="e">
        <f ca="1">ROUND(tblRiderCF[[#This Row],[UnroundedPMLoad]]*AH$10,-3)</f>
        <v>#N/A</v>
      </c>
      <c r="AI22" t="e">
        <f ca="1">tblRiderCF[[#This Row],[QuarterlyPremLoad]]+tblRiderCF[[#This Row],[QuarterlyPMLoad]]</f>
        <v>#N/A</v>
      </c>
      <c r="AJ22" t="e">
        <f ca="1">tblRiderCF[[#This Row],[QuarterlyPrem]]+tblRiderCF[[#This Row],[QuarterlyLoad]]</f>
        <v>#N/A</v>
      </c>
      <c r="AK22" t="e">
        <f ca="1">ROUND(tblRiderCF[[#This Row],[UnroundedPrem]]*AK$10,-3)</f>
        <v>#N/A</v>
      </c>
      <c r="AL22" t="e">
        <f ca="1">ROUND(tblRiderCF[[#This Row],[UnroundedPremLoad]]*AL$10,-3)</f>
        <v>#N/A</v>
      </c>
      <c r="AM22" t="e">
        <f ca="1">ROUND(tblRiderCF[[#This Row],[UnroundedPMLoad]]*AM$10,-3)</f>
        <v>#N/A</v>
      </c>
      <c r="AN22" t="e">
        <f ca="1">tblRiderCF[[#This Row],[MonthlyPremLoad]]+tblRiderCF[[#This Row],[MonthlyPMLoad]]</f>
        <v>#N/A</v>
      </c>
      <c r="AO22" t="e">
        <f ca="1">tblRiderCF[[#This Row],[MonthlyPrem]]+tblRiderCF[[#This Row],[MonthlyLoad]]</f>
        <v>#N/A</v>
      </c>
      <c r="AS22">
        <f t="shared" si="5"/>
        <v>0</v>
      </c>
      <c r="AT22">
        <f t="shared" si="1"/>
        <v>0</v>
      </c>
      <c r="AU22">
        <f ca="1">tblRiderCF[[#This Row],[Year]]</f>
        <v>9</v>
      </c>
      <c r="AV22" t="e">
        <f ca="1">tblRiderCF[[#This Row],[Age]]</f>
        <v>#N/A</v>
      </c>
      <c r="AW22">
        <f t="shared" si="2"/>
        <v>0</v>
      </c>
      <c r="AX22" t="e">
        <f t="shared" si="3"/>
        <v>#N/A</v>
      </c>
      <c r="AY22">
        <f t="shared" si="4"/>
        <v>0</v>
      </c>
      <c r="AZ22" s="47" t="e">
        <f ca="1">tblRiderCF[[#This Row],[SI]]</f>
        <v>#N/A</v>
      </c>
      <c r="BA22" t="e">
        <f ca="1">tblRiderCF[[#This Row],[TotalPrem]]</f>
        <v>#N/A</v>
      </c>
      <c r="BB22" t="e">
        <f ca="1">tblRiderCF[[#This Row],[SemiAnnualTotalPrem]]</f>
        <v>#N/A</v>
      </c>
      <c r="BC22" t="e">
        <f ca="1">tblRiderCF[[#This Row],[QuarterlyTotalPrem]]</f>
        <v>#N/A</v>
      </c>
      <c r="BD22" t="e">
        <f ca="1">tblRiderCF[[#This Row],[MonthlyTotalPrem]]</f>
        <v>#N/A</v>
      </c>
      <c r="BG22" t="s">
        <v>135</v>
      </c>
      <c r="BH22" t="s">
        <v>188</v>
      </c>
      <c r="BI22">
        <v>9</v>
      </c>
      <c r="BJ22">
        <v>39</v>
      </c>
      <c r="BK22" t="s">
        <v>480</v>
      </c>
      <c r="BL22">
        <v>30</v>
      </c>
      <c r="BM22">
        <v>0</v>
      </c>
      <c r="BN22">
        <v>120000000</v>
      </c>
      <c r="BO22">
        <v>534000</v>
      </c>
      <c r="BP22">
        <v>267000</v>
      </c>
      <c r="BQ22">
        <v>134000</v>
      </c>
      <c r="BR22">
        <v>45000</v>
      </c>
    </row>
    <row r="23" spans="2:70" x14ac:dyDescent="0.25">
      <c r="B23">
        <f ca="1">OFFSET(tblRiderCF[[#This Row],[Year]],-1,0)+1</f>
        <v>10</v>
      </c>
      <c r="C23" t="e">
        <f ca="1">(tblRiderCF[[#This Row],[Year]]&lt;=term)*1</f>
        <v>#N/A</v>
      </c>
      <c r="D23" t="e">
        <f ca="1">(entry_age+tblRiderCF[[#This Row],[Year]]-1)
*tblRiderCF[[#This Row],[RiderTermFlag]]</f>
        <v>#N/A</v>
      </c>
      <c r="E23" t="e">
        <f ca="1">(risk="Sub-standard")
*tblRiderCF[[#This Row],[RiderTermFlag]]</f>
        <v>#N/A</v>
      </c>
      <c r="F23" t="e">
        <f ca="1">(tblRiderCF[[#This Row],[Year]]&lt;=prem_load_term)
*tblRiderCF[[#This Row],[SubStandardFlag]]</f>
        <v>#N/A</v>
      </c>
      <c r="G23" t="e">
        <f ca="1">(tblRiderCF[[#This Row],[Year]]&lt;=pm_load_term)
*tblRiderCF[[#This Row],[SubStandardFlag]]</f>
        <v>#N/A</v>
      </c>
      <c r="H23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3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3" s="150" t="e" cm="1">
        <f t="array" aca="1" ref="J2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3" s="150" t="e">
        <f ca="1">add_rate*tblRiderCF[[#This Row],[SI]]*(rider=K$11)</f>
        <v>#N/A</v>
      </c>
      <c r="L23" s="150" t="e">
        <f ca="1">INDEX(tblPPDRate[Annualized GPR],MATCH(tblRiderCF[[#This Row],[Age]],tblPPDRate[Min age],1))*tblRiderCF[[#This Row],[SI]]
*(rider=L$11)</f>
        <v>#N/A</v>
      </c>
      <c r="M23" s="150" t="e">
        <f ca="1">INDEX(IF(gender="Male",tblCIR1Rate[Male],tblCIR1Rate[Female]),MATCH(tblRiderCF[[#This Row],[Age]],tblCIR1Rate[Age],0))/1000*tblRiderCF[[#This Row],[SI]]
*(rider=M$11)</f>
        <v>#N/A</v>
      </c>
      <c r="N23" s="150" t="e">
        <f ca="1">INDEX(IF(gender="Male",tblCIR2Rate[Male],tblCIR2Rate[Female]),MATCH(tblRiderCF[[#This Row],[Age]],tblCIR2Rate[Age],0))/1000*tblRiderCF[[#This Row],[SI]]
*(rider=N$11)</f>
        <v>#N/A</v>
      </c>
      <c r="O23" s="150" t="e">
        <f>INDEX(tblHOP2Rate[Premium],MATCH(hop2_option,tblHOP2Rate[Option],0))
*(rider=O$11)</f>
        <v>#N/A</v>
      </c>
      <c r="P23" s="150" t="e">
        <f ca="1">INDEX(Tariff!$CC$5:$CS$44,
MATCH(tblRiderCF[[#This Row],[Age]],Tariff!$CB$5:$CB$44,0),
MATCH(term+1-tblRiderCF[[#This Row],[Year]],Tariff!$CC$4:$CS$4,0))
*(rider=P$11)</f>
        <v>#N/A</v>
      </c>
      <c r="Q23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3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3" s="150" t="e">
        <f ca="1">INDEX(tblRiderCF[[#This Row],[ADD1UnroundedPrem]:[WOP2UnroundedPrem]],MATCH(rider,$K$11:$R$11,0))
*tblRiderCF[[#This Row],[RiderTermFlag]]</f>
        <v>#N/A</v>
      </c>
      <c r="T23" s="150" t="e">
        <f ca="1">tblRiderCF[[#This Row],[UnroundedPrem]]*prem_load</f>
        <v>#N/A</v>
      </c>
      <c r="U23" s="150" t="e">
        <f ca="1">pm_load/1000*tblRiderCF[[#This Row],[SI]]
*tblRiderCF[[#This Row],[RiderTermFlag]]</f>
        <v>#N/A</v>
      </c>
      <c r="V23" s="151" t="e">
        <f ca="1">ROUND(tblRiderCF[[#This Row],[UnroundedPrem]]*V$10,-3)</f>
        <v>#N/A</v>
      </c>
      <c r="W23" t="e">
        <f ca="1">ROUND(tblRiderCF[[#This Row],[UnroundedPremLoad]]*W$10,-3)</f>
        <v>#N/A</v>
      </c>
      <c r="X23" t="e">
        <f ca="1">ROUND(tblRiderCF[[#This Row],[UnroundedPMLoad]]*X$10,-3)</f>
        <v>#N/A</v>
      </c>
      <c r="Y23" t="e">
        <f ca="1">tblRiderCF[[#This Row],[PremLoad]]+tblRiderCF[[#This Row],[PMLoad]]</f>
        <v>#N/A</v>
      </c>
      <c r="Z23" t="e">
        <f ca="1">tblRiderCF[[#This Row],[Prem]]+tblRiderCF[[#This Row],[Load]]</f>
        <v>#N/A</v>
      </c>
      <c r="AA23" t="e">
        <f ca="1">ROUND(tblRiderCF[[#This Row],[UnroundedPrem]]*AA$10,-3)</f>
        <v>#N/A</v>
      </c>
      <c r="AB23" t="e">
        <f ca="1">ROUND(tblRiderCF[[#This Row],[UnroundedPremLoad]]*AB$10,-3)</f>
        <v>#N/A</v>
      </c>
      <c r="AC23" t="e">
        <f ca="1">ROUND(tblRiderCF[[#This Row],[UnroundedPMLoad]]*AC$10,-3)</f>
        <v>#N/A</v>
      </c>
      <c r="AD23" t="e">
        <f ca="1">tblRiderCF[[#This Row],[SemiAnnualPremLoad]]+tblRiderCF[[#This Row],[SemiAnnualPMLoad]]</f>
        <v>#N/A</v>
      </c>
      <c r="AE23" t="e">
        <f ca="1">tblRiderCF[[#This Row],[SemiAnnualPrem]]+tblRiderCF[[#This Row],[SemiAnnualLoad]]</f>
        <v>#N/A</v>
      </c>
      <c r="AF23" t="e">
        <f ca="1">ROUND(tblRiderCF[[#This Row],[UnroundedPrem]]*AF$10,-3)</f>
        <v>#N/A</v>
      </c>
      <c r="AG23" t="e">
        <f ca="1">ROUND(tblRiderCF[[#This Row],[UnroundedPremLoad]]*AG$10,-3)</f>
        <v>#N/A</v>
      </c>
      <c r="AH23" t="e">
        <f ca="1">ROUND(tblRiderCF[[#This Row],[UnroundedPMLoad]]*AH$10,-3)</f>
        <v>#N/A</v>
      </c>
      <c r="AI23" t="e">
        <f ca="1">tblRiderCF[[#This Row],[QuarterlyPremLoad]]+tblRiderCF[[#This Row],[QuarterlyPMLoad]]</f>
        <v>#N/A</v>
      </c>
      <c r="AJ23" t="e">
        <f ca="1">tblRiderCF[[#This Row],[QuarterlyPrem]]+tblRiderCF[[#This Row],[QuarterlyLoad]]</f>
        <v>#N/A</v>
      </c>
      <c r="AK23" t="e">
        <f ca="1">ROUND(tblRiderCF[[#This Row],[UnroundedPrem]]*AK$10,-3)</f>
        <v>#N/A</v>
      </c>
      <c r="AL23" t="e">
        <f ca="1">ROUND(tblRiderCF[[#This Row],[UnroundedPremLoad]]*AL$10,-3)</f>
        <v>#N/A</v>
      </c>
      <c r="AM23" t="e">
        <f ca="1">ROUND(tblRiderCF[[#This Row],[UnroundedPMLoad]]*AM$10,-3)</f>
        <v>#N/A</v>
      </c>
      <c r="AN23" t="e">
        <f ca="1">tblRiderCF[[#This Row],[MonthlyPremLoad]]+tblRiderCF[[#This Row],[MonthlyPMLoad]]</f>
        <v>#N/A</v>
      </c>
      <c r="AO23" t="e">
        <f ca="1">tblRiderCF[[#This Row],[MonthlyPrem]]+tblRiderCF[[#This Row],[MonthlyLoad]]</f>
        <v>#N/A</v>
      </c>
      <c r="AS23">
        <f t="shared" si="5"/>
        <v>0</v>
      </c>
      <c r="AT23">
        <f t="shared" si="1"/>
        <v>0</v>
      </c>
      <c r="AU23">
        <f ca="1">tblRiderCF[[#This Row],[Year]]</f>
        <v>10</v>
      </c>
      <c r="AV23" t="e">
        <f ca="1">tblRiderCF[[#This Row],[Age]]</f>
        <v>#N/A</v>
      </c>
      <c r="AW23">
        <f t="shared" si="2"/>
        <v>0</v>
      </c>
      <c r="AX23" t="e">
        <f t="shared" si="3"/>
        <v>#N/A</v>
      </c>
      <c r="AY23">
        <f t="shared" si="4"/>
        <v>0</v>
      </c>
      <c r="AZ23" s="47" t="e">
        <f ca="1">tblRiderCF[[#This Row],[SI]]</f>
        <v>#N/A</v>
      </c>
      <c r="BA23" t="e">
        <f ca="1">tblRiderCF[[#This Row],[TotalPrem]]</f>
        <v>#N/A</v>
      </c>
      <c r="BB23" t="e">
        <f ca="1">tblRiderCF[[#This Row],[SemiAnnualTotalPrem]]</f>
        <v>#N/A</v>
      </c>
      <c r="BC23" t="e">
        <f ca="1">tblRiderCF[[#This Row],[QuarterlyTotalPrem]]</f>
        <v>#N/A</v>
      </c>
      <c r="BD23" t="e">
        <f ca="1">tblRiderCF[[#This Row],[MonthlyTotalPrem]]</f>
        <v>#N/A</v>
      </c>
      <c r="BG23" t="s">
        <v>135</v>
      </c>
      <c r="BH23" t="s">
        <v>188</v>
      </c>
      <c r="BI23">
        <v>10</v>
      </c>
      <c r="BJ23">
        <v>40</v>
      </c>
      <c r="BK23" t="s">
        <v>480</v>
      </c>
      <c r="BL23">
        <v>30</v>
      </c>
      <c r="BM23">
        <v>0</v>
      </c>
      <c r="BN23">
        <v>120000000</v>
      </c>
      <c r="BO23">
        <v>534000</v>
      </c>
      <c r="BP23">
        <v>267000</v>
      </c>
      <c r="BQ23">
        <v>134000</v>
      </c>
      <c r="BR23">
        <v>45000</v>
      </c>
    </row>
    <row r="24" spans="2:70" x14ac:dyDescent="0.25">
      <c r="B24">
        <f ca="1">OFFSET(tblRiderCF[[#This Row],[Year]],-1,0)+1</f>
        <v>11</v>
      </c>
      <c r="C24" t="e">
        <f ca="1">(tblRiderCF[[#This Row],[Year]]&lt;=term)*1</f>
        <v>#N/A</v>
      </c>
      <c r="D24" t="e">
        <f ca="1">(entry_age+tblRiderCF[[#This Row],[Year]]-1)
*tblRiderCF[[#This Row],[RiderTermFlag]]</f>
        <v>#N/A</v>
      </c>
      <c r="E24" t="e">
        <f ca="1">(risk="Sub-standard")
*tblRiderCF[[#This Row],[RiderTermFlag]]</f>
        <v>#N/A</v>
      </c>
      <c r="F24" t="e">
        <f ca="1">(tblRiderCF[[#This Row],[Year]]&lt;=prem_load_term)
*tblRiderCF[[#This Row],[SubStandardFlag]]</f>
        <v>#N/A</v>
      </c>
      <c r="G24" t="e">
        <f ca="1">(tblRiderCF[[#This Row],[Year]]&lt;=pm_load_term)
*tblRiderCF[[#This Row],[SubStandardFlag]]</f>
        <v>#N/A</v>
      </c>
      <c r="H24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4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4" s="150" t="e" cm="1">
        <f t="array" aca="1" ref="J2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4" s="150" t="e">
        <f ca="1">add_rate*tblRiderCF[[#This Row],[SI]]*(rider=K$11)</f>
        <v>#N/A</v>
      </c>
      <c r="L24" s="150" t="e">
        <f ca="1">INDEX(tblPPDRate[Annualized GPR],MATCH(tblRiderCF[[#This Row],[Age]],tblPPDRate[Min age],1))*tblRiderCF[[#This Row],[SI]]
*(rider=L$11)</f>
        <v>#N/A</v>
      </c>
      <c r="M24" s="150" t="e">
        <f ca="1">INDEX(IF(gender="Male",tblCIR1Rate[Male],tblCIR1Rate[Female]),MATCH(tblRiderCF[[#This Row],[Age]],tblCIR1Rate[Age],0))/1000*tblRiderCF[[#This Row],[SI]]
*(rider=M$11)</f>
        <v>#N/A</v>
      </c>
      <c r="N24" s="150" t="e">
        <f ca="1">INDEX(IF(gender="Male",tblCIR2Rate[Male],tblCIR2Rate[Female]),MATCH(tblRiderCF[[#This Row],[Age]],tblCIR2Rate[Age],0))/1000*tblRiderCF[[#This Row],[SI]]
*(rider=N$11)</f>
        <v>#N/A</v>
      </c>
      <c r="O24" s="150" t="e">
        <f>INDEX(tblHOP2Rate[Premium],MATCH(hop2_option,tblHOP2Rate[Option],0))
*(rider=O$11)</f>
        <v>#N/A</v>
      </c>
      <c r="P24" s="150" t="e">
        <f ca="1">INDEX(Tariff!$CC$5:$CS$44,
MATCH(tblRiderCF[[#This Row],[Age]],Tariff!$CB$5:$CB$44,0),
MATCH(term+1-tblRiderCF[[#This Row],[Year]],Tariff!$CC$4:$CS$4,0))
*(rider=P$11)</f>
        <v>#N/A</v>
      </c>
      <c r="Q24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4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4" s="150" t="e">
        <f ca="1">INDEX(tblRiderCF[[#This Row],[ADD1UnroundedPrem]:[WOP2UnroundedPrem]],MATCH(rider,$K$11:$R$11,0))
*tblRiderCF[[#This Row],[RiderTermFlag]]</f>
        <v>#N/A</v>
      </c>
      <c r="T24" s="150" t="e">
        <f ca="1">tblRiderCF[[#This Row],[UnroundedPrem]]*prem_load</f>
        <v>#N/A</v>
      </c>
      <c r="U24" s="150" t="e">
        <f ca="1">pm_load/1000*tblRiderCF[[#This Row],[SI]]
*tblRiderCF[[#This Row],[RiderTermFlag]]</f>
        <v>#N/A</v>
      </c>
      <c r="V24" s="151" t="e">
        <f ca="1">ROUND(tblRiderCF[[#This Row],[UnroundedPrem]]*V$10,-3)</f>
        <v>#N/A</v>
      </c>
      <c r="W24" t="e">
        <f ca="1">ROUND(tblRiderCF[[#This Row],[UnroundedPremLoad]]*W$10,-3)</f>
        <v>#N/A</v>
      </c>
      <c r="X24" t="e">
        <f ca="1">ROUND(tblRiderCF[[#This Row],[UnroundedPMLoad]]*X$10,-3)</f>
        <v>#N/A</v>
      </c>
      <c r="Y24" t="e">
        <f ca="1">tblRiderCF[[#This Row],[PremLoad]]+tblRiderCF[[#This Row],[PMLoad]]</f>
        <v>#N/A</v>
      </c>
      <c r="Z24" t="e">
        <f ca="1">tblRiderCF[[#This Row],[Prem]]+tblRiderCF[[#This Row],[Load]]</f>
        <v>#N/A</v>
      </c>
      <c r="AA24" t="e">
        <f ca="1">ROUND(tblRiderCF[[#This Row],[UnroundedPrem]]*AA$10,-3)</f>
        <v>#N/A</v>
      </c>
      <c r="AB24" t="e">
        <f ca="1">ROUND(tblRiderCF[[#This Row],[UnroundedPremLoad]]*AB$10,-3)</f>
        <v>#N/A</v>
      </c>
      <c r="AC24" t="e">
        <f ca="1">ROUND(tblRiderCF[[#This Row],[UnroundedPMLoad]]*AC$10,-3)</f>
        <v>#N/A</v>
      </c>
      <c r="AD24" t="e">
        <f ca="1">tblRiderCF[[#This Row],[SemiAnnualPremLoad]]+tblRiderCF[[#This Row],[SemiAnnualPMLoad]]</f>
        <v>#N/A</v>
      </c>
      <c r="AE24" t="e">
        <f ca="1">tblRiderCF[[#This Row],[SemiAnnualPrem]]+tblRiderCF[[#This Row],[SemiAnnualLoad]]</f>
        <v>#N/A</v>
      </c>
      <c r="AF24" t="e">
        <f ca="1">ROUND(tblRiderCF[[#This Row],[UnroundedPrem]]*AF$10,-3)</f>
        <v>#N/A</v>
      </c>
      <c r="AG24" t="e">
        <f ca="1">ROUND(tblRiderCF[[#This Row],[UnroundedPremLoad]]*AG$10,-3)</f>
        <v>#N/A</v>
      </c>
      <c r="AH24" t="e">
        <f ca="1">ROUND(tblRiderCF[[#This Row],[UnroundedPMLoad]]*AH$10,-3)</f>
        <v>#N/A</v>
      </c>
      <c r="AI24" t="e">
        <f ca="1">tblRiderCF[[#This Row],[QuarterlyPremLoad]]+tblRiderCF[[#This Row],[QuarterlyPMLoad]]</f>
        <v>#N/A</v>
      </c>
      <c r="AJ24" t="e">
        <f ca="1">tblRiderCF[[#This Row],[QuarterlyPrem]]+tblRiderCF[[#This Row],[QuarterlyLoad]]</f>
        <v>#N/A</v>
      </c>
      <c r="AK24" t="e">
        <f ca="1">ROUND(tblRiderCF[[#This Row],[UnroundedPrem]]*AK$10,-3)</f>
        <v>#N/A</v>
      </c>
      <c r="AL24" t="e">
        <f ca="1">ROUND(tblRiderCF[[#This Row],[UnroundedPremLoad]]*AL$10,-3)</f>
        <v>#N/A</v>
      </c>
      <c r="AM24" t="e">
        <f ca="1">ROUND(tblRiderCF[[#This Row],[UnroundedPMLoad]]*AM$10,-3)</f>
        <v>#N/A</v>
      </c>
      <c r="AN24" t="e">
        <f ca="1">tblRiderCF[[#This Row],[MonthlyPremLoad]]+tblRiderCF[[#This Row],[MonthlyPMLoad]]</f>
        <v>#N/A</v>
      </c>
      <c r="AO24" t="e">
        <f ca="1">tblRiderCF[[#This Row],[MonthlyPrem]]+tblRiderCF[[#This Row],[MonthlyLoad]]</f>
        <v>#N/A</v>
      </c>
      <c r="AS24">
        <f t="shared" si="5"/>
        <v>0</v>
      </c>
      <c r="AT24">
        <f t="shared" si="1"/>
        <v>0</v>
      </c>
      <c r="AU24">
        <f ca="1">tblRiderCF[[#This Row],[Year]]</f>
        <v>11</v>
      </c>
      <c r="AV24" t="e">
        <f ca="1">tblRiderCF[[#This Row],[Age]]</f>
        <v>#N/A</v>
      </c>
      <c r="AW24">
        <f t="shared" si="2"/>
        <v>0</v>
      </c>
      <c r="AX24" t="e">
        <f t="shared" si="3"/>
        <v>#N/A</v>
      </c>
      <c r="AY24">
        <f t="shared" si="4"/>
        <v>0</v>
      </c>
      <c r="AZ24" s="47" t="e">
        <f ca="1">tblRiderCF[[#This Row],[SI]]</f>
        <v>#N/A</v>
      </c>
      <c r="BA24" t="e">
        <f ca="1">tblRiderCF[[#This Row],[TotalPrem]]</f>
        <v>#N/A</v>
      </c>
      <c r="BB24" t="e">
        <f ca="1">tblRiderCF[[#This Row],[SemiAnnualTotalPrem]]</f>
        <v>#N/A</v>
      </c>
      <c r="BC24" t="e">
        <f ca="1">tblRiderCF[[#This Row],[QuarterlyTotalPrem]]</f>
        <v>#N/A</v>
      </c>
      <c r="BD24" t="e">
        <f ca="1">tblRiderCF[[#This Row],[MonthlyTotalPrem]]</f>
        <v>#N/A</v>
      </c>
      <c r="BG24" t="s">
        <v>135</v>
      </c>
      <c r="BH24" t="s">
        <v>188</v>
      </c>
      <c r="BI24">
        <v>11</v>
      </c>
      <c r="BJ24">
        <v>41</v>
      </c>
      <c r="BK24" t="s">
        <v>480</v>
      </c>
      <c r="BL24">
        <v>30</v>
      </c>
      <c r="BM24">
        <v>0</v>
      </c>
      <c r="BN24">
        <v>120000000</v>
      </c>
      <c r="BO24">
        <v>534000</v>
      </c>
      <c r="BP24">
        <v>267000</v>
      </c>
      <c r="BQ24">
        <v>134000</v>
      </c>
      <c r="BR24">
        <v>45000</v>
      </c>
    </row>
    <row r="25" spans="2:70" x14ac:dyDescent="0.25">
      <c r="B25">
        <f ca="1">OFFSET(tblRiderCF[[#This Row],[Year]],-1,0)+1</f>
        <v>12</v>
      </c>
      <c r="C25" t="e">
        <f ca="1">(tblRiderCF[[#This Row],[Year]]&lt;=term)*1</f>
        <v>#N/A</v>
      </c>
      <c r="D25" t="e">
        <f ca="1">(entry_age+tblRiderCF[[#This Row],[Year]]-1)
*tblRiderCF[[#This Row],[RiderTermFlag]]</f>
        <v>#N/A</v>
      </c>
      <c r="E25" t="e">
        <f ca="1">(risk="Sub-standard")
*tblRiderCF[[#This Row],[RiderTermFlag]]</f>
        <v>#N/A</v>
      </c>
      <c r="F25" t="e">
        <f ca="1">(tblRiderCF[[#This Row],[Year]]&lt;=prem_load_term)
*tblRiderCF[[#This Row],[SubStandardFlag]]</f>
        <v>#N/A</v>
      </c>
      <c r="G25" t="e">
        <f ca="1">(tblRiderCF[[#This Row],[Year]]&lt;=pm_load_term)
*tblRiderCF[[#This Row],[SubStandardFlag]]</f>
        <v>#N/A</v>
      </c>
      <c r="H25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5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5" s="150" t="e" cm="1">
        <f t="array" aca="1" ref="J2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5" s="150" t="e">
        <f ca="1">add_rate*tblRiderCF[[#This Row],[SI]]*(rider=K$11)</f>
        <v>#N/A</v>
      </c>
      <c r="L25" s="150" t="e">
        <f ca="1">INDEX(tblPPDRate[Annualized GPR],MATCH(tblRiderCF[[#This Row],[Age]],tblPPDRate[Min age],1))*tblRiderCF[[#This Row],[SI]]
*(rider=L$11)</f>
        <v>#N/A</v>
      </c>
      <c r="M25" s="150" t="e">
        <f ca="1">INDEX(IF(gender="Male",tblCIR1Rate[Male],tblCIR1Rate[Female]),MATCH(tblRiderCF[[#This Row],[Age]],tblCIR1Rate[Age],0))/1000*tblRiderCF[[#This Row],[SI]]
*(rider=M$11)</f>
        <v>#N/A</v>
      </c>
      <c r="N25" s="150" t="e">
        <f ca="1">INDEX(IF(gender="Male",tblCIR2Rate[Male],tblCIR2Rate[Female]),MATCH(tblRiderCF[[#This Row],[Age]],tblCIR2Rate[Age],0))/1000*tblRiderCF[[#This Row],[SI]]
*(rider=N$11)</f>
        <v>#N/A</v>
      </c>
      <c r="O25" s="150" t="e">
        <f>INDEX(tblHOP2Rate[Premium],MATCH(hop2_option,tblHOP2Rate[Option],0))
*(rider=O$11)</f>
        <v>#N/A</v>
      </c>
      <c r="P25" s="150" t="e">
        <f ca="1">INDEX(Tariff!$CC$5:$CS$44,
MATCH(tblRiderCF[[#This Row],[Age]],Tariff!$CB$5:$CB$44,0),
MATCH(term+1-tblRiderCF[[#This Row],[Year]],Tariff!$CC$4:$CS$4,0))
*(rider=P$11)</f>
        <v>#N/A</v>
      </c>
      <c r="Q25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5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5" s="150" t="e">
        <f ca="1">INDEX(tblRiderCF[[#This Row],[ADD1UnroundedPrem]:[WOP2UnroundedPrem]],MATCH(rider,$K$11:$R$11,0))
*tblRiderCF[[#This Row],[RiderTermFlag]]</f>
        <v>#N/A</v>
      </c>
      <c r="T25" s="150" t="e">
        <f ca="1">tblRiderCF[[#This Row],[UnroundedPrem]]*prem_load</f>
        <v>#N/A</v>
      </c>
      <c r="U25" s="150" t="e">
        <f ca="1">pm_load/1000*tblRiderCF[[#This Row],[SI]]
*tblRiderCF[[#This Row],[RiderTermFlag]]</f>
        <v>#N/A</v>
      </c>
      <c r="V25" s="151" t="e">
        <f ca="1">ROUND(tblRiderCF[[#This Row],[UnroundedPrem]]*V$10,-3)</f>
        <v>#N/A</v>
      </c>
      <c r="W25" t="e">
        <f ca="1">ROUND(tblRiderCF[[#This Row],[UnroundedPremLoad]]*W$10,-3)</f>
        <v>#N/A</v>
      </c>
      <c r="X25" t="e">
        <f ca="1">ROUND(tblRiderCF[[#This Row],[UnroundedPMLoad]]*X$10,-3)</f>
        <v>#N/A</v>
      </c>
      <c r="Y25" t="e">
        <f ca="1">tblRiderCF[[#This Row],[PremLoad]]+tblRiderCF[[#This Row],[PMLoad]]</f>
        <v>#N/A</v>
      </c>
      <c r="Z25" t="e">
        <f ca="1">tblRiderCF[[#This Row],[Prem]]+tblRiderCF[[#This Row],[Load]]</f>
        <v>#N/A</v>
      </c>
      <c r="AA25" t="e">
        <f ca="1">ROUND(tblRiderCF[[#This Row],[UnroundedPrem]]*AA$10,-3)</f>
        <v>#N/A</v>
      </c>
      <c r="AB25" t="e">
        <f ca="1">ROUND(tblRiderCF[[#This Row],[UnroundedPremLoad]]*AB$10,-3)</f>
        <v>#N/A</v>
      </c>
      <c r="AC25" t="e">
        <f ca="1">ROUND(tblRiderCF[[#This Row],[UnroundedPMLoad]]*AC$10,-3)</f>
        <v>#N/A</v>
      </c>
      <c r="AD25" t="e">
        <f ca="1">tblRiderCF[[#This Row],[SemiAnnualPremLoad]]+tblRiderCF[[#This Row],[SemiAnnualPMLoad]]</f>
        <v>#N/A</v>
      </c>
      <c r="AE25" t="e">
        <f ca="1">tblRiderCF[[#This Row],[SemiAnnualPrem]]+tblRiderCF[[#This Row],[SemiAnnualLoad]]</f>
        <v>#N/A</v>
      </c>
      <c r="AF25" t="e">
        <f ca="1">ROUND(tblRiderCF[[#This Row],[UnroundedPrem]]*AF$10,-3)</f>
        <v>#N/A</v>
      </c>
      <c r="AG25" t="e">
        <f ca="1">ROUND(tblRiderCF[[#This Row],[UnroundedPremLoad]]*AG$10,-3)</f>
        <v>#N/A</v>
      </c>
      <c r="AH25" t="e">
        <f ca="1">ROUND(tblRiderCF[[#This Row],[UnroundedPMLoad]]*AH$10,-3)</f>
        <v>#N/A</v>
      </c>
      <c r="AI25" t="e">
        <f ca="1">tblRiderCF[[#This Row],[QuarterlyPremLoad]]+tblRiderCF[[#This Row],[QuarterlyPMLoad]]</f>
        <v>#N/A</v>
      </c>
      <c r="AJ25" t="e">
        <f ca="1">tblRiderCF[[#This Row],[QuarterlyPrem]]+tblRiderCF[[#This Row],[QuarterlyLoad]]</f>
        <v>#N/A</v>
      </c>
      <c r="AK25" t="e">
        <f ca="1">ROUND(tblRiderCF[[#This Row],[UnroundedPrem]]*AK$10,-3)</f>
        <v>#N/A</v>
      </c>
      <c r="AL25" t="e">
        <f ca="1">ROUND(tblRiderCF[[#This Row],[UnroundedPremLoad]]*AL$10,-3)</f>
        <v>#N/A</v>
      </c>
      <c r="AM25" t="e">
        <f ca="1">ROUND(tblRiderCF[[#This Row],[UnroundedPMLoad]]*AM$10,-3)</f>
        <v>#N/A</v>
      </c>
      <c r="AN25" t="e">
        <f ca="1">tblRiderCF[[#This Row],[MonthlyPremLoad]]+tblRiderCF[[#This Row],[MonthlyPMLoad]]</f>
        <v>#N/A</v>
      </c>
      <c r="AO25" t="e">
        <f ca="1">tblRiderCF[[#This Row],[MonthlyPrem]]+tblRiderCF[[#This Row],[MonthlyLoad]]</f>
        <v>#N/A</v>
      </c>
      <c r="AS25">
        <f t="shared" si="5"/>
        <v>0</v>
      </c>
      <c r="AT25">
        <f t="shared" si="1"/>
        <v>0</v>
      </c>
      <c r="AU25">
        <f ca="1">tblRiderCF[[#This Row],[Year]]</f>
        <v>12</v>
      </c>
      <c r="AV25" t="e">
        <f ca="1">tblRiderCF[[#This Row],[Age]]</f>
        <v>#N/A</v>
      </c>
      <c r="AW25">
        <f t="shared" si="2"/>
        <v>0</v>
      </c>
      <c r="AX25" t="e">
        <f t="shared" si="3"/>
        <v>#N/A</v>
      </c>
      <c r="AY25">
        <f t="shared" si="4"/>
        <v>0</v>
      </c>
      <c r="AZ25" s="47" t="e">
        <f ca="1">tblRiderCF[[#This Row],[SI]]</f>
        <v>#N/A</v>
      </c>
      <c r="BA25" t="e">
        <f ca="1">tblRiderCF[[#This Row],[TotalPrem]]</f>
        <v>#N/A</v>
      </c>
      <c r="BB25" t="e">
        <f ca="1">tblRiderCF[[#This Row],[SemiAnnualTotalPrem]]</f>
        <v>#N/A</v>
      </c>
      <c r="BC25" t="e">
        <f ca="1">tblRiderCF[[#This Row],[QuarterlyTotalPrem]]</f>
        <v>#N/A</v>
      </c>
      <c r="BD25" t="e">
        <f ca="1">tblRiderCF[[#This Row],[MonthlyTotalPrem]]</f>
        <v>#N/A</v>
      </c>
      <c r="BG25" t="s">
        <v>135</v>
      </c>
      <c r="BH25" t="s">
        <v>188</v>
      </c>
      <c r="BI25">
        <v>12</v>
      </c>
      <c r="BJ25">
        <v>42</v>
      </c>
      <c r="BK25" t="s">
        <v>480</v>
      </c>
      <c r="BL25">
        <v>30</v>
      </c>
      <c r="BM25">
        <v>0</v>
      </c>
      <c r="BN25">
        <v>120000000</v>
      </c>
      <c r="BO25">
        <v>534000</v>
      </c>
      <c r="BP25">
        <v>267000</v>
      </c>
      <c r="BQ25">
        <v>134000</v>
      </c>
      <c r="BR25">
        <v>45000</v>
      </c>
    </row>
    <row r="26" spans="2:70" x14ac:dyDescent="0.25">
      <c r="B26">
        <f ca="1">OFFSET(tblRiderCF[[#This Row],[Year]],-1,0)+1</f>
        <v>13</v>
      </c>
      <c r="C26" t="e">
        <f ca="1">(tblRiderCF[[#This Row],[Year]]&lt;=term)*1</f>
        <v>#N/A</v>
      </c>
      <c r="D26" t="e">
        <f ca="1">(entry_age+tblRiderCF[[#This Row],[Year]]-1)
*tblRiderCF[[#This Row],[RiderTermFlag]]</f>
        <v>#N/A</v>
      </c>
      <c r="E26" t="e">
        <f ca="1">(risk="Sub-standard")
*tblRiderCF[[#This Row],[RiderTermFlag]]</f>
        <v>#N/A</v>
      </c>
      <c r="F26" t="e">
        <f ca="1">(tblRiderCF[[#This Row],[Year]]&lt;=prem_load_term)
*tblRiderCF[[#This Row],[SubStandardFlag]]</f>
        <v>#N/A</v>
      </c>
      <c r="G26" t="e">
        <f ca="1">(tblRiderCF[[#This Row],[Year]]&lt;=pm_load_term)
*tblRiderCF[[#This Row],[SubStandardFlag]]</f>
        <v>#N/A</v>
      </c>
      <c r="H26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6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6" s="150" t="e" cm="1">
        <f t="array" aca="1" ref="J2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6" s="150" t="e">
        <f ca="1">add_rate*tblRiderCF[[#This Row],[SI]]*(rider=K$11)</f>
        <v>#N/A</v>
      </c>
      <c r="L26" s="150" t="e">
        <f ca="1">INDEX(tblPPDRate[Annualized GPR],MATCH(tblRiderCF[[#This Row],[Age]],tblPPDRate[Min age],1))*tblRiderCF[[#This Row],[SI]]
*(rider=L$11)</f>
        <v>#N/A</v>
      </c>
      <c r="M26" s="150" t="e">
        <f ca="1">INDEX(IF(gender="Male",tblCIR1Rate[Male],tblCIR1Rate[Female]),MATCH(tblRiderCF[[#This Row],[Age]],tblCIR1Rate[Age],0))/1000*tblRiderCF[[#This Row],[SI]]
*(rider=M$11)</f>
        <v>#N/A</v>
      </c>
      <c r="N26" s="150" t="e">
        <f ca="1">INDEX(IF(gender="Male",tblCIR2Rate[Male],tblCIR2Rate[Female]),MATCH(tblRiderCF[[#This Row],[Age]],tblCIR2Rate[Age],0))/1000*tblRiderCF[[#This Row],[SI]]
*(rider=N$11)</f>
        <v>#N/A</v>
      </c>
      <c r="O26" s="150" t="e">
        <f>INDEX(tblHOP2Rate[Premium],MATCH(hop2_option,tblHOP2Rate[Option],0))
*(rider=O$11)</f>
        <v>#N/A</v>
      </c>
      <c r="P26" s="150" t="e">
        <f ca="1">INDEX(Tariff!$CC$5:$CS$44,
MATCH(tblRiderCF[[#This Row],[Age]],Tariff!$CB$5:$CB$44,0),
MATCH(term+1-tblRiderCF[[#This Row],[Year]],Tariff!$CC$4:$CS$4,0))
*(rider=P$11)</f>
        <v>#N/A</v>
      </c>
      <c r="Q26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6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6" s="150" t="e">
        <f ca="1">INDEX(tblRiderCF[[#This Row],[ADD1UnroundedPrem]:[WOP2UnroundedPrem]],MATCH(rider,$K$11:$R$11,0))
*tblRiderCF[[#This Row],[RiderTermFlag]]</f>
        <v>#N/A</v>
      </c>
      <c r="T26" s="150" t="e">
        <f ca="1">tblRiderCF[[#This Row],[UnroundedPrem]]*prem_load</f>
        <v>#N/A</v>
      </c>
      <c r="U26" s="150" t="e">
        <f ca="1">pm_load/1000*tblRiderCF[[#This Row],[SI]]
*tblRiderCF[[#This Row],[RiderTermFlag]]</f>
        <v>#N/A</v>
      </c>
      <c r="V26" s="151" t="e">
        <f ca="1">ROUND(tblRiderCF[[#This Row],[UnroundedPrem]]*V$10,-3)</f>
        <v>#N/A</v>
      </c>
      <c r="W26" t="e">
        <f ca="1">ROUND(tblRiderCF[[#This Row],[UnroundedPremLoad]]*W$10,-3)</f>
        <v>#N/A</v>
      </c>
      <c r="X26" t="e">
        <f ca="1">ROUND(tblRiderCF[[#This Row],[UnroundedPMLoad]]*X$10,-3)</f>
        <v>#N/A</v>
      </c>
      <c r="Y26" t="e">
        <f ca="1">tblRiderCF[[#This Row],[PremLoad]]+tblRiderCF[[#This Row],[PMLoad]]</f>
        <v>#N/A</v>
      </c>
      <c r="Z26" t="e">
        <f ca="1">tblRiderCF[[#This Row],[Prem]]+tblRiderCF[[#This Row],[Load]]</f>
        <v>#N/A</v>
      </c>
      <c r="AA26" t="e">
        <f ca="1">ROUND(tblRiderCF[[#This Row],[UnroundedPrem]]*AA$10,-3)</f>
        <v>#N/A</v>
      </c>
      <c r="AB26" t="e">
        <f ca="1">ROUND(tblRiderCF[[#This Row],[UnroundedPremLoad]]*AB$10,-3)</f>
        <v>#N/A</v>
      </c>
      <c r="AC26" t="e">
        <f ca="1">ROUND(tblRiderCF[[#This Row],[UnroundedPMLoad]]*AC$10,-3)</f>
        <v>#N/A</v>
      </c>
      <c r="AD26" t="e">
        <f ca="1">tblRiderCF[[#This Row],[SemiAnnualPremLoad]]+tblRiderCF[[#This Row],[SemiAnnualPMLoad]]</f>
        <v>#N/A</v>
      </c>
      <c r="AE26" t="e">
        <f ca="1">tblRiderCF[[#This Row],[SemiAnnualPrem]]+tblRiderCF[[#This Row],[SemiAnnualLoad]]</f>
        <v>#N/A</v>
      </c>
      <c r="AF26" t="e">
        <f ca="1">ROUND(tblRiderCF[[#This Row],[UnroundedPrem]]*AF$10,-3)</f>
        <v>#N/A</v>
      </c>
      <c r="AG26" t="e">
        <f ca="1">ROUND(tblRiderCF[[#This Row],[UnroundedPremLoad]]*AG$10,-3)</f>
        <v>#N/A</v>
      </c>
      <c r="AH26" t="e">
        <f ca="1">ROUND(tblRiderCF[[#This Row],[UnroundedPMLoad]]*AH$10,-3)</f>
        <v>#N/A</v>
      </c>
      <c r="AI26" t="e">
        <f ca="1">tblRiderCF[[#This Row],[QuarterlyPremLoad]]+tblRiderCF[[#This Row],[QuarterlyPMLoad]]</f>
        <v>#N/A</v>
      </c>
      <c r="AJ26" t="e">
        <f ca="1">tblRiderCF[[#This Row],[QuarterlyPrem]]+tblRiderCF[[#This Row],[QuarterlyLoad]]</f>
        <v>#N/A</v>
      </c>
      <c r="AK26" t="e">
        <f ca="1">ROUND(tblRiderCF[[#This Row],[UnroundedPrem]]*AK$10,-3)</f>
        <v>#N/A</v>
      </c>
      <c r="AL26" t="e">
        <f ca="1">ROUND(tblRiderCF[[#This Row],[UnroundedPremLoad]]*AL$10,-3)</f>
        <v>#N/A</v>
      </c>
      <c r="AM26" t="e">
        <f ca="1">ROUND(tblRiderCF[[#This Row],[UnroundedPMLoad]]*AM$10,-3)</f>
        <v>#N/A</v>
      </c>
      <c r="AN26" t="e">
        <f ca="1">tblRiderCF[[#This Row],[MonthlyPremLoad]]+tblRiderCF[[#This Row],[MonthlyPMLoad]]</f>
        <v>#N/A</v>
      </c>
      <c r="AO26" t="e">
        <f ca="1">tblRiderCF[[#This Row],[MonthlyPrem]]+tblRiderCF[[#This Row],[MonthlyLoad]]</f>
        <v>#N/A</v>
      </c>
      <c r="AS26">
        <f t="shared" si="5"/>
        <v>0</v>
      </c>
      <c r="AT26">
        <f t="shared" si="1"/>
        <v>0</v>
      </c>
      <c r="AU26">
        <f ca="1">tblRiderCF[[#This Row],[Year]]</f>
        <v>13</v>
      </c>
      <c r="AV26" t="e">
        <f ca="1">tblRiderCF[[#This Row],[Age]]</f>
        <v>#N/A</v>
      </c>
      <c r="AW26">
        <f t="shared" si="2"/>
        <v>0</v>
      </c>
      <c r="AX26" t="e">
        <f t="shared" si="3"/>
        <v>#N/A</v>
      </c>
      <c r="AY26">
        <f t="shared" si="4"/>
        <v>0</v>
      </c>
      <c r="AZ26" s="47" t="e">
        <f ca="1">tblRiderCF[[#This Row],[SI]]</f>
        <v>#N/A</v>
      </c>
      <c r="BA26" t="e">
        <f ca="1">tblRiderCF[[#This Row],[TotalPrem]]</f>
        <v>#N/A</v>
      </c>
      <c r="BB26" t="e">
        <f ca="1">tblRiderCF[[#This Row],[SemiAnnualTotalPrem]]</f>
        <v>#N/A</v>
      </c>
      <c r="BC26" t="e">
        <f ca="1">tblRiderCF[[#This Row],[QuarterlyTotalPrem]]</f>
        <v>#N/A</v>
      </c>
      <c r="BD26" t="e">
        <f ca="1">tblRiderCF[[#This Row],[MonthlyTotalPrem]]</f>
        <v>#N/A</v>
      </c>
      <c r="BG26" t="s">
        <v>135</v>
      </c>
      <c r="BH26" t="s">
        <v>188</v>
      </c>
      <c r="BI26">
        <v>13</v>
      </c>
      <c r="BJ26">
        <v>43</v>
      </c>
      <c r="BK26" t="s">
        <v>480</v>
      </c>
      <c r="BL26">
        <v>30</v>
      </c>
      <c r="BM26">
        <v>0</v>
      </c>
      <c r="BN26">
        <v>120000000</v>
      </c>
      <c r="BO26">
        <v>534000</v>
      </c>
      <c r="BP26">
        <v>267000</v>
      </c>
      <c r="BQ26">
        <v>134000</v>
      </c>
      <c r="BR26">
        <v>45000</v>
      </c>
    </row>
    <row r="27" spans="2:70" x14ac:dyDescent="0.25">
      <c r="B27">
        <f ca="1">OFFSET(tblRiderCF[[#This Row],[Year]],-1,0)+1</f>
        <v>14</v>
      </c>
      <c r="C27" t="e">
        <f ca="1">(tblRiderCF[[#This Row],[Year]]&lt;=term)*1</f>
        <v>#N/A</v>
      </c>
      <c r="D27" t="e">
        <f ca="1">(entry_age+tblRiderCF[[#This Row],[Year]]-1)
*tblRiderCF[[#This Row],[RiderTermFlag]]</f>
        <v>#N/A</v>
      </c>
      <c r="E27" t="e">
        <f ca="1">(risk="Sub-standard")
*tblRiderCF[[#This Row],[RiderTermFlag]]</f>
        <v>#N/A</v>
      </c>
      <c r="F27" t="e">
        <f ca="1">(tblRiderCF[[#This Row],[Year]]&lt;=prem_load_term)
*tblRiderCF[[#This Row],[SubStandardFlag]]</f>
        <v>#N/A</v>
      </c>
      <c r="G27" t="e">
        <f ca="1">(tblRiderCF[[#This Row],[Year]]&lt;=pm_load_term)
*tblRiderCF[[#This Row],[SubStandardFlag]]</f>
        <v>#N/A</v>
      </c>
      <c r="H27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7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7" s="150" t="e" cm="1">
        <f t="array" aca="1" ref="J2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7" s="150" t="e">
        <f ca="1">add_rate*tblRiderCF[[#This Row],[SI]]*(rider=K$11)</f>
        <v>#N/A</v>
      </c>
      <c r="L27" s="150" t="e">
        <f ca="1">INDEX(tblPPDRate[Annualized GPR],MATCH(tblRiderCF[[#This Row],[Age]],tblPPDRate[Min age],1))*tblRiderCF[[#This Row],[SI]]
*(rider=L$11)</f>
        <v>#N/A</v>
      </c>
      <c r="M27" s="150" t="e">
        <f ca="1">INDEX(IF(gender="Male",tblCIR1Rate[Male],tblCIR1Rate[Female]),MATCH(tblRiderCF[[#This Row],[Age]],tblCIR1Rate[Age],0))/1000*tblRiderCF[[#This Row],[SI]]
*(rider=M$11)</f>
        <v>#N/A</v>
      </c>
      <c r="N27" s="150" t="e">
        <f ca="1">INDEX(IF(gender="Male",tblCIR2Rate[Male],tblCIR2Rate[Female]),MATCH(tblRiderCF[[#This Row],[Age]],tblCIR2Rate[Age],0))/1000*tblRiderCF[[#This Row],[SI]]
*(rider=N$11)</f>
        <v>#N/A</v>
      </c>
      <c r="O27" s="150" t="e">
        <f>INDEX(tblHOP2Rate[Premium],MATCH(hop2_option,tblHOP2Rate[Option],0))
*(rider=O$11)</f>
        <v>#N/A</v>
      </c>
      <c r="P27" s="150" t="e">
        <f ca="1">INDEX(Tariff!$CC$5:$CS$44,
MATCH(tblRiderCF[[#This Row],[Age]],Tariff!$CB$5:$CB$44,0),
MATCH(term+1-tblRiderCF[[#This Row],[Year]],Tariff!$CC$4:$CS$4,0))
*(rider=P$11)</f>
        <v>#N/A</v>
      </c>
      <c r="Q27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7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7" s="150" t="e">
        <f ca="1">INDEX(tblRiderCF[[#This Row],[ADD1UnroundedPrem]:[WOP2UnroundedPrem]],MATCH(rider,$K$11:$R$11,0))
*tblRiderCF[[#This Row],[RiderTermFlag]]</f>
        <v>#N/A</v>
      </c>
      <c r="T27" s="150" t="e">
        <f ca="1">tblRiderCF[[#This Row],[UnroundedPrem]]*prem_load</f>
        <v>#N/A</v>
      </c>
      <c r="U27" s="150" t="e">
        <f ca="1">pm_load/1000*tblRiderCF[[#This Row],[SI]]
*tblRiderCF[[#This Row],[RiderTermFlag]]</f>
        <v>#N/A</v>
      </c>
      <c r="V27" s="151" t="e">
        <f ca="1">ROUND(tblRiderCF[[#This Row],[UnroundedPrem]]*V$10,-3)</f>
        <v>#N/A</v>
      </c>
      <c r="W27" t="e">
        <f ca="1">ROUND(tblRiderCF[[#This Row],[UnroundedPremLoad]]*W$10,-3)</f>
        <v>#N/A</v>
      </c>
      <c r="X27" t="e">
        <f ca="1">ROUND(tblRiderCF[[#This Row],[UnroundedPMLoad]]*X$10,-3)</f>
        <v>#N/A</v>
      </c>
      <c r="Y27" t="e">
        <f ca="1">tblRiderCF[[#This Row],[PremLoad]]+tblRiderCF[[#This Row],[PMLoad]]</f>
        <v>#N/A</v>
      </c>
      <c r="Z27" t="e">
        <f ca="1">tblRiderCF[[#This Row],[Prem]]+tblRiderCF[[#This Row],[Load]]</f>
        <v>#N/A</v>
      </c>
      <c r="AA27" t="e">
        <f ca="1">ROUND(tblRiderCF[[#This Row],[UnroundedPrem]]*AA$10,-3)</f>
        <v>#N/A</v>
      </c>
      <c r="AB27" t="e">
        <f ca="1">ROUND(tblRiderCF[[#This Row],[UnroundedPremLoad]]*AB$10,-3)</f>
        <v>#N/A</v>
      </c>
      <c r="AC27" t="e">
        <f ca="1">ROUND(tblRiderCF[[#This Row],[UnroundedPMLoad]]*AC$10,-3)</f>
        <v>#N/A</v>
      </c>
      <c r="AD27" t="e">
        <f ca="1">tblRiderCF[[#This Row],[SemiAnnualPremLoad]]+tblRiderCF[[#This Row],[SemiAnnualPMLoad]]</f>
        <v>#N/A</v>
      </c>
      <c r="AE27" t="e">
        <f ca="1">tblRiderCF[[#This Row],[SemiAnnualPrem]]+tblRiderCF[[#This Row],[SemiAnnualLoad]]</f>
        <v>#N/A</v>
      </c>
      <c r="AF27" t="e">
        <f ca="1">ROUND(tblRiderCF[[#This Row],[UnroundedPrem]]*AF$10,-3)</f>
        <v>#N/A</v>
      </c>
      <c r="AG27" t="e">
        <f ca="1">ROUND(tblRiderCF[[#This Row],[UnroundedPremLoad]]*AG$10,-3)</f>
        <v>#N/A</v>
      </c>
      <c r="AH27" t="e">
        <f ca="1">ROUND(tblRiderCF[[#This Row],[UnroundedPMLoad]]*AH$10,-3)</f>
        <v>#N/A</v>
      </c>
      <c r="AI27" t="e">
        <f ca="1">tblRiderCF[[#This Row],[QuarterlyPremLoad]]+tblRiderCF[[#This Row],[QuarterlyPMLoad]]</f>
        <v>#N/A</v>
      </c>
      <c r="AJ27" t="e">
        <f ca="1">tblRiderCF[[#This Row],[QuarterlyPrem]]+tblRiderCF[[#This Row],[QuarterlyLoad]]</f>
        <v>#N/A</v>
      </c>
      <c r="AK27" t="e">
        <f ca="1">ROUND(tblRiderCF[[#This Row],[UnroundedPrem]]*AK$10,-3)</f>
        <v>#N/A</v>
      </c>
      <c r="AL27" t="e">
        <f ca="1">ROUND(tblRiderCF[[#This Row],[UnroundedPremLoad]]*AL$10,-3)</f>
        <v>#N/A</v>
      </c>
      <c r="AM27" t="e">
        <f ca="1">ROUND(tblRiderCF[[#This Row],[UnroundedPMLoad]]*AM$10,-3)</f>
        <v>#N/A</v>
      </c>
      <c r="AN27" t="e">
        <f ca="1">tblRiderCF[[#This Row],[MonthlyPremLoad]]+tblRiderCF[[#This Row],[MonthlyPMLoad]]</f>
        <v>#N/A</v>
      </c>
      <c r="AO27" t="e">
        <f ca="1">tblRiderCF[[#This Row],[MonthlyPrem]]+tblRiderCF[[#This Row],[MonthlyLoad]]</f>
        <v>#N/A</v>
      </c>
      <c r="AS27">
        <f t="shared" si="5"/>
        <v>0</v>
      </c>
      <c r="AT27">
        <f t="shared" si="1"/>
        <v>0</v>
      </c>
      <c r="AU27">
        <f ca="1">tblRiderCF[[#This Row],[Year]]</f>
        <v>14</v>
      </c>
      <c r="AV27" t="e">
        <f ca="1">tblRiderCF[[#This Row],[Age]]</f>
        <v>#N/A</v>
      </c>
      <c r="AW27">
        <f t="shared" si="2"/>
        <v>0</v>
      </c>
      <c r="AX27" t="e">
        <f t="shared" si="3"/>
        <v>#N/A</v>
      </c>
      <c r="AY27">
        <f t="shared" si="4"/>
        <v>0</v>
      </c>
      <c r="AZ27" s="47" t="e">
        <f ca="1">tblRiderCF[[#This Row],[SI]]</f>
        <v>#N/A</v>
      </c>
      <c r="BA27" t="e">
        <f ca="1">tblRiderCF[[#This Row],[TotalPrem]]</f>
        <v>#N/A</v>
      </c>
      <c r="BB27" t="e">
        <f ca="1">tblRiderCF[[#This Row],[SemiAnnualTotalPrem]]</f>
        <v>#N/A</v>
      </c>
      <c r="BC27" t="e">
        <f ca="1">tblRiderCF[[#This Row],[QuarterlyTotalPrem]]</f>
        <v>#N/A</v>
      </c>
      <c r="BD27" t="e">
        <f ca="1">tblRiderCF[[#This Row],[MonthlyTotalPrem]]</f>
        <v>#N/A</v>
      </c>
      <c r="BG27" t="s">
        <v>135</v>
      </c>
      <c r="BH27" t="s">
        <v>188</v>
      </c>
      <c r="BI27">
        <v>14</v>
      </c>
      <c r="BJ27">
        <v>44</v>
      </c>
      <c r="BK27" t="s">
        <v>480</v>
      </c>
      <c r="BL27">
        <v>30</v>
      </c>
      <c r="BM27">
        <v>0</v>
      </c>
      <c r="BN27">
        <v>120000000</v>
      </c>
      <c r="BO27">
        <v>534000</v>
      </c>
      <c r="BP27">
        <v>267000</v>
      </c>
      <c r="BQ27">
        <v>134000</v>
      </c>
      <c r="BR27">
        <v>45000</v>
      </c>
    </row>
    <row r="28" spans="2:70" x14ac:dyDescent="0.25">
      <c r="B28">
        <f ca="1">OFFSET(tblRiderCF[[#This Row],[Year]],-1,0)+1</f>
        <v>15</v>
      </c>
      <c r="C28" t="e">
        <f ca="1">(tblRiderCF[[#This Row],[Year]]&lt;=term)*1</f>
        <v>#N/A</v>
      </c>
      <c r="D28" t="e">
        <f ca="1">(entry_age+tblRiderCF[[#This Row],[Year]]-1)
*tblRiderCF[[#This Row],[RiderTermFlag]]</f>
        <v>#N/A</v>
      </c>
      <c r="E28" t="e">
        <f ca="1">(risk="Sub-standard")
*tblRiderCF[[#This Row],[RiderTermFlag]]</f>
        <v>#N/A</v>
      </c>
      <c r="F28" t="e">
        <f ca="1">(tblRiderCF[[#This Row],[Year]]&lt;=prem_load_term)
*tblRiderCF[[#This Row],[SubStandardFlag]]</f>
        <v>#N/A</v>
      </c>
      <c r="G28" t="e">
        <f ca="1">(tblRiderCF[[#This Row],[Year]]&lt;=pm_load_term)
*tblRiderCF[[#This Row],[SubStandardFlag]]</f>
        <v>#N/A</v>
      </c>
      <c r="H28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8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8" s="150" t="e" cm="1">
        <f t="array" aca="1" ref="J2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8" s="150" t="e">
        <f ca="1">add_rate*tblRiderCF[[#This Row],[SI]]*(rider=K$11)</f>
        <v>#N/A</v>
      </c>
      <c r="L28" s="150" t="e">
        <f ca="1">INDEX(tblPPDRate[Annualized GPR],MATCH(tblRiderCF[[#This Row],[Age]],tblPPDRate[Min age],1))*tblRiderCF[[#This Row],[SI]]
*(rider=L$11)</f>
        <v>#N/A</v>
      </c>
      <c r="M28" s="150" t="e">
        <f ca="1">INDEX(IF(gender="Male",tblCIR1Rate[Male],tblCIR1Rate[Female]),MATCH(tblRiderCF[[#This Row],[Age]],tblCIR1Rate[Age],0))/1000*tblRiderCF[[#This Row],[SI]]
*(rider=M$11)</f>
        <v>#N/A</v>
      </c>
      <c r="N28" s="150" t="e">
        <f ca="1">INDEX(IF(gender="Male",tblCIR2Rate[Male],tblCIR2Rate[Female]),MATCH(tblRiderCF[[#This Row],[Age]],tblCIR2Rate[Age],0))/1000*tblRiderCF[[#This Row],[SI]]
*(rider=N$11)</f>
        <v>#N/A</v>
      </c>
      <c r="O28" s="150" t="e">
        <f>INDEX(tblHOP2Rate[Premium],MATCH(hop2_option,tblHOP2Rate[Option],0))
*(rider=O$11)</f>
        <v>#N/A</v>
      </c>
      <c r="P28" s="150" t="e">
        <f ca="1">INDEX(Tariff!$CC$5:$CS$44,
MATCH(tblRiderCF[[#This Row],[Age]],Tariff!$CB$5:$CB$44,0),
MATCH(term+1-tblRiderCF[[#This Row],[Year]],Tariff!$CC$4:$CS$4,0))
*(rider=P$11)</f>
        <v>#N/A</v>
      </c>
      <c r="Q28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8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8" s="150" t="e">
        <f ca="1">INDEX(tblRiderCF[[#This Row],[ADD1UnroundedPrem]:[WOP2UnroundedPrem]],MATCH(rider,$K$11:$R$11,0))
*tblRiderCF[[#This Row],[RiderTermFlag]]</f>
        <v>#N/A</v>
      </c>
      <c r="T28" s="150" t="e">
        <f ca="1">tblRiderCF[[#This Row],[UnroundedPrem]]*prem_load</f>
        <v>#N/A</v>
      </c>
      <c r="U28" s="150" t="e">
        <f ca="1">pm_load/1000*tblRiderCF[[#This Row],[SI]]
*tblRiderCF[[#This Row],[RiderTermFlag]]</f>
        <v>#N/A</v>
      </c>
      <c r="V28" s="151" t="e">
        <f ca="1">ROUND(tblRiderCF[[#This Row],[UnroundedPrem]]*V$10,-3)</f>
        <v>#N/A</v>
      </c>
      <c r="W28" t="e">
        <f ca="1">ROUND(tblRiderCF[[#This Row],[UnroundedPremLoad]]*W$10,-3)</f>
        <v>#N/A</v>
      </c>
      <c r="X28" t="e">
        <f ca="1">ROUND(tblRiderCF[[#This Row],[UnroundedPMLoad]]*X$10,-3)</f>
        <v>#N/A</v>
      </c>
      <c r="Y28" t="e">
        <f ca="1">tblRiderCF[[#This Row],[PremLoad]]+tblRiderCF[[#This Row],[PMLoad]]</f>
        <v>#N/A</v>
      </c>
      <c r="Z28" t="e">
        <f ca="1">tblRiderCF[[#This Row],[Prem]]+tblRiderCF[[#This Row],[Load]]</f>
        <v>#N/A</v>
      </c>
      <c r="AA28" t="e">
        <f ca="1">ROUND(tblRiderCF[[#This Row],[UnroundedPrem]]*AA$10,-3)</f>
        <v>#N/A</v>
      </c>
      <c r="AB28" t="e">
        <f ca="1">ROUND(tblRiderCF[[#This Row],[UnroundedPremLoad]]*AB$10,-3)</f>
        <v>#N/A</v>
      </c>
      <c r="AC28" t="e">
        <f ca="1">ROUND(tblRiderCF[[#This Row],[UnroundedPMLoad]]*AC$10,-3)</f>
        <v>#N/A</v>
      </c>
      <c r="AD28" t="e">
        <f ca="1">tblRiderCF[[#This Row],[SemiAnnualPremLoad]]+tblRiderCF[[#This Row],[SemiAnnualPMLoad]]</f>
        <v>#N/A</v>
      </c>
      <c r="AE28" t="e">
        <f ca="1">tblRiderCF[[#This Row],[SemiAnnualPrem]]+tblRiderCF[[#This Row],[SemiAnnualLoad]]</f>
        <v>#N/A</v>
      </c>
      <c r="AF28" t="e">
        <f ca="1">ROUND(tblRiderCF[[#This Row],[UnroundedPrem]]*AF$10,-3)</f>
        <v>#N/A</v>
      </c>
      <c r="AG28" t="e">
        <f ca="1">ROUND(tblRiderCF[[#This Row],[UnroundedPremLoad]]*AG$10,-3)</f>
        <v>#N/A</v>
      </c>
      <c r="AH28" t="e">
        <f ca="1">ROUND(tblRiderCF[[#This Row],[UnroundedPMLoad]]*AH$10,-3)</f>
        <v>#N/A</v>
      </c>
      <c r="AI28" t="e">
        <f ca="1">tblRiderCF[[#This Row],[QuarterlyPremLoad]]+tblRiderCF[[#This Row],[QuarterlyPMLoad]]</f>
        <v>#N/A</v>
      </c>
      <c r="AJ28" t="e">
        <f ca="1">tblRiderCF[[#This Row],[QuarterlyPrem]]+tblRiderCF[[#This Row],[QuarterlyLoad]]</f>
        <v>#N/A</v>
      </c>
      <c r="AK28" t="e">
        <f ca="1">ROUND(tblRiderCF[[#This Row],[UnroundedPrem]]*AK$10,-3)</f>
        <v>#N/A</v>
      </c>
      <c r="AL28" t="e">
        <f ca="1">ROUND(tblRiderCF[[#This Row],[UnroundedPremLoad]]*AL$10,-3)</f>
        <v>#N/A</v>
      </c>
      <c r="AM28" t="e">
        <f ca="1">ROUND(tblRiderCF[[#This Row],[UnroundedPMLoad]]*AM$10,-3)</f>
        <v>#N/A</v>
      </c>
      <c r="AN28" t="e">
        <f ca="1">tblRiderCF[[#This Row],[MonthlyPremLoad]]+tblRiderCF[[#This Row],[MonthlyPMLoad]]</f>
        <v>#N/A</v>
      </c>
      <c r="AO28" t="e">
        <f ca="1">tblRiderCF[[#This Row],[MonthlyPrem]]+tblRiderCF[[#This Row],[MonthlyLoad]]</f>
        <v>#N/A</v>
      </c>
      <c r="AS28">
        <f t="shared" si="5"/>
        <v>0</v>
      </c>
      <c r="AT28">
        <f t="shared" si="1"/>
        <v>0</v>
      </c>
      <c r="AU28">
        <f ca="1">tblRiderCF[[#This Row],[Year]]</f>
        <v>15</v>
      </c>
      <c r="AV28" t="e">
        <f ca="1">tblRiderCF[[#This Row],[Age]]</f>
        <v>#N/A</v>
      </c>
      <c r="AW28">
        <f t="shared" si="2"/>
        <v>0</v>
      </c>
      <c r="AX28" t="e">
        <f t="shared" si="3"/>
        <v>#N/A</v>
      </c>
      <c r="AY28">
        <f t="shared" si="4"/>
        <v>0</v>
      </c>
      <c r="AZ28" s="47" t="e">
        <f ca="1">tblRiderCF[[#This Row],[SI]]</f>
        <v>#N/A</v>
      </c>
      <c r="BA28" t="e">
        <f ca="1">tblRiderCF[[#This Row],[TotalPrem]]</f>
        <v>#N/A</v>
      </c>
      <c r="BB28" t="e">
        <f ca="1">tblRiderCF[[#This Row],[SemiAnnualTotalPrem]]</f>
        <v>#N/A</v>
      </c>
      <c r="BC28" t="e">
        <f ca="1">tblRiderCF[[#This Row],[QuarterlyTotalPrem]]</f>
        <v>#N/A</v>
      </c>
      <c r="BD28" t="e">
        <f ca="1">tblRiderCF[[#This Row],[MonthlyTotalPrem]]</f>
        <v>#N/A</v>
      </c>
      <c r="BG28" t="s">
        <v>135</v>
      </c>
      <c r="BH28" t="s">
        <v>188</v>
      </c>
      <c r="BI28">
        <v>15</v>
      </c>
      <c r="BJ28">
        <v>45</v>
      </c>
      <c r="BK28" t="s">
        <v>480</v>
      </c>
      <c r="BL28">
        <v>30</v>
      </c>
      <c r="BM28">
        <v>0</v>
      </c>
      <c r="BN28">
        <v>120000000</v>
      </c>
      <c r="BO28">
        <v>534000</v>
      </c>
      <c r="BP28">
        <v>267000</v>
      </c>
      <c r="BQ28">
        <v>134000</v>
      </c>
      <c r="BR28">
        <v>45000</v>
      </c>
    </row>
    <row r="29" spans="2:70" x14ac:dyDescent="0.25">
      <c r="B29">
        <f ca="1">OFFSET(tblRiderCF[[#This Row],[Year]],-1,0)+1</f>
        <v>16</v>
      </c>
      <c r="C29" t="e">
        <f ca="1">(tblRiderCF[[#This Row],[Year]]&lt;=term)*1</f>
        <v>#N/A</v>
      </c>
      <c r="D29" t="e">
        <f ca="1">(entry_age+tblRiderCF[[#This Row],[Year]]-1)
*tblRiderCF[[#This Row],[RiderTermFlag]]</f>
        <v>#N/A</v>
      </c>
      <c r="E29" t="e">
        <f ca="1">(risk="Sub-standard")
*tblRiderCF[[#This Row],[RiderTermFlag]]</f>
        <v>#N/A</v>
      </c>
      <c r="F29" t="e">
        <f ca="1">(tblRiderCF[[#This Row],[Year]]&lt;=prem_load_term)
*tblRiderCF[[#This Row],[SubStandardFlag]]</f>
        <v>#N/A</v>
      </c>
      <c r="G29" t="e">
        <f ca="1">(tblRiderCF[[#This Row],[Year]]&lt;=pm_load_term)
*tblRiderCF[[#This Row],[SubStandardFlag]]</f>
        <v>#N/A</v>
      </c>
      <c r="H29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29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29" s="150" t="e" cm="1">
        <f t="array" aca="1" ref="J2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29" s="150" t="e">
        <f ca="1">add_rate*tblRiderCF[[#This Row],[SI]]*(rider=K$11)</f>
        <v>#N/A</v>
      </c>
      <c r="L29" s="150" t="e">
        <f ca="1">INDEX(tblPPDRate[Annualized GPR],MATCH(tblRiderCF[[#This Row],[Age]],tblPPDRate[Min age],1))*tblRiderCF[[#This Row],[SI]]
*(rider=L$11)</f>
        <v>#N/A</v>
      </c>
      <c r="M29" s="150" t="e">
        <f ca="1">INDEX(IF(gender="Male",tblCIR1Rate[Male],tblCIR1Rate[Female]),MATCH(tblRiderCF[[#This Row],[Age]],tblCIR1Rate[Age],0))/1000*tblRiderCF[[#This Row],[SI]]
*(rider=M$11)</f>
        <v>#N/A</v>
      </c>
      <c r="N29" s="150" t="e">
        <f ca="1">INDEX(IF(gender="Male",tblCIR2Rate[Male],tblCIR2Rate[Female]),MATCH(tblRiderCF[[#This Row],[Age]],tblCIR2Rate[Age],0))/1000*tblRiderCF[[#This Row],[SI]]
*(rider=N$11)</f>
        <v>#N/A</v>
      </c>
      <c r="O29" s="150" t="e">
        <f>INDEX(tblHOP2Rate[Premium],MATCH(hop2_option,tblHOP2Rate[Option],0))
*(rider=O$11)</f>
        <v>#N/A</v>
      </c>
      <c r="P29" s="150" t="e">
        <f ca="1">INDEX(Tariff!$CC$5:$CS$44,
MATCH(tblRiderCF[[#This Row],[Age]],Tariff!$CB$5:$CB$44,0),
MATCH(term+1-tblRiderCF[[#This Row],[Year]],Tariff!$CC$4:$CS$4,0))
*(rider=P$11)</f>
        <v>#N/A</v>
      </c>
      <c r="Q29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29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29" s="150" t="e">
        <f ca="1">INDEX(tblRiderCF[[#This Row],[ADD1UnroundedPrem]:[WOP2UnroundedPrem]],MATCH(rider,$K$11:$R$11,0))
*tblRiderCF[[#This Row],[RiderTermFlag]]</f>
        <v>#N/A</v>
      </c>
      <c r="T29" s="150" t="e">
        <f ca="1">tblRiderCF[[#This Row],[UnroundedPrem]]*prem_load</f>
        <v>#N/A</v>
      </c>
      <c r="U29" s="150" t="e">
        <f ca="1">pm_load/1000*tblRiderCF[[#This Row],[SI]]
*tblRiderCF[[#This Row],[RiderTermFlag]]</f>
        <v>#N/A</v>
      </c>
      <c r="V29" s="151" t="e">
        <f ca="1">ROUND(tblRiderCF[[#This Row],[UnroundedPrem]]*V$10,-3)</f>
        <v>#N/A</v>
      </c>
      <c r="W29" t="e">
        <f ca="1">ROUND(tblRiderCF[[#This Row],[UnroundedPremLoad]]*W$10,-3)</f>
        <v>#N/A</v>
      </c>
      <c r="X29" t="e">
        <f ca="1">ROUND(tblRiderCF[[#This Row],[UnroundedPMLoad]]*X$10,-3)</f>
        <v>#N/A</v>
      </c>
      <c r="Y29" t="e">
        <f ca="1">tblRiderCF[[#This Row],[PremLoad]]+tblRiderCF[[#This Row],[PMLoad]]</f>
        <v>#N/A</v>
      </c>
      <c r="Z29" t="e">
        <f ca="1">tblRiderCF[[#This Row],[Prem]]+tblRiderCF[[#This Row],[Load]]</f>
        <v>#N/A</v>
      </c>
      <c r="AA29" t="e">
        <f ca="1">ROUND(tblRiderCF[[#This Row],[UnroundedPrem]]*AA$10,-3)</f>
        <v>#N/A</v>
      </c>
      <c r="AB29" t="e">
        <f ca="1">ROUND(tblRiderCF[[#This Row],[UnroundedPremLoad]]*AB$10,-3)</f>
        <v>#N/A</v>
      </c>
      <c r="AC29" t="e">
        <f ca="1">ROUND(tblRiderCF[[#This Row],[UnroundedPMLoad]]*AC$10,-3)</f>
        <v>#N/A</v>
      </c>
      <c r="AD29" t="e">
        <f ca="1">tblRiderCF[[#This Row],[SemiAnnualPremLoad]]+tblRiderCF[[#This Row],[SemiAnnualPMLoad]]</f>
        <v>#N/A</v>
      </c>
      <c r="AE29" t="e">
        <f ca="1">tblRiderCF[[#This Row],[SemiAnnualPrem]]+tblRiderCF[[#This Row],[SemiAnnualLoad]]</f>
        <v>#N/A</v>
      </c>
      <c r="AF29" t="e">
        <f ca="1">ROUND(tblRiderCF[[#This Row],[UnroundedPrem]]*AF$10,-3)</f>
        <v>#N/A</v>
      </c>
      <c r="AG29" t="e">
        <f ca="1">ROUND(tblRiderCF[[#This Row],[UnroundedPremLoad]]*AG$10,-3)</f>
        <v>#N/A</v>
      </c>
      <c r="AH29" t="e">
        <f ca="1">ROUND(tblRiderCF[[#This Row],[UnroundedPMLoad]]*AH$10,-3)</f>
        <v>#N/A</v>
      </c>
      <c r="AI29" t="e">
        <f ca="1">tblRiderCF[[#This Row],[QuarterlyPremLoad]]+tblRiderCF[[#This Row],[QuarterlyPMLoad]]</f>
        <v>#N/A</v>
      </c>
      <c r="AJ29" t="e">
        <f ca="1">tblRiderCF[[#This Row],[QuarterlyPrem]]+tblRiderCF[[#This Row],[QuarterlyLoad]]</f>
        <v>#N/A</v>
      </c>
      <c r="AK29" t="e">
        <f ca="1">ROUND(tblRiderCF[[#This Row],[UnroundedPrem]]*AK$10,-3)</f>
        <v>#N/A</v>
      </c>
      <c r="AL29" t="e">
        <f ca="1">ROUND(tblRiderCF[[#This Row],[UnroundedPremLoad]]*AL$10,-3)</f>
        <v>#N/A</v>
      </c>
      <c r="AM29" t="e">
        <f ca="1">ROUND(tblRiderCF[[#This Row],[UnroundedPMLoad]]*AM$10,-3)</f>
        <v>#N/A</v>
      </c>
      <c r="AN29" t="e">
        <f ca="1">tblRiderCF[[#This Row],[MonthlyPremLoad]]+tblRiderCF[[#This Row],[MonthlyPMLoad]]</f>
        <v>#N/A</v>
      </c>
      <c r="AO29" t="e">
        <f ca="1">tblRiderCF[[#This Row],[MonthlyPrem]]+tblRiderCF[[#This Row],[MonthlyLoad]]</f>
        <v>#N/A</v>
      </c>
      <c r="AS29">
        <f t="shared" si="5"/>
        <v>0</v>
      </c>
      <c r="AT29">
        <f t="shared" si="1"/>
        <v>0</v>
      </c>
      <c r="AU29">
        <f ca="1">tblRiderCF[[#This Row],[Year]]</f>
        <v>16</v>
      </c>
      <c r="AV29" t="e">
        <f ca="1">tblRiderCF[[#This Row],[Age]]</f>
        <v>#N/A</v>
      </c>
      <c r="AW29">
        <f t="shared" si="2"/>
        <v>0</v>
      </c>
      <c r="AX29" t="e">
        <f t="shared" si="3"/>
        <v>#N/A</v>
      </c>
      <c r="AY29">
        <f t="shared" si="4"/>
        <v>0</v>
      </c>
      <c r="AZ29" s="47" t="e">
        <f ca="1">tblRiderCF[[#This Row],[SI]]</f>
        <v>#N/A</v>
      </c>
      <c r="BA29" t="e">
        <f ca="1">tblRiderCF[[#This Row],[TotalPrem]]</f>
        <v>#N/A</v>
      </c>
      <c r="BB29" t="e">
        <f ca="1">tblRiderCF[[#This Row],[SemiAnnualTotalPrem]]</f>
        <v>#N/A</v>
      </c>
      <c r="BC29" t="e">
        <f ca="1">tblRiderCF[[#This Row],[QuarterlyTotalPrem]]</f>
        <v>#N/A</v>
      </c>
      <c r="BD29" t="e">
        <f ca="1">tblRiderCF[[#This Row],[MonthlyTotalPrem]]</f>
        <v>#N/A</v>
      </c>
      <c r="BG29" t="s">
        <v>135</v>
      </c>
      <c r="BH29" t="s">
        <v>188</v>
      </c>
      <c r="BI29">
        <v>16</v>
      </c>
      <c r="BJ29">
        <v>46</v>
      </c>
      <c r="BK29" t="s">
        <v>480</v>
      </c>
      <c r="BL29">
        <v>30</v>
      </c>
      <c r="BM29">
        <v>0</v>
      </c>
      <c r="BN29">
        <v>120000000</v>
      </c>
      <c r="BO29">
        <v>534000</v>
      </c>
      <c r="BP29">
        <v>267000</v>
      </c>
      <c r="BQ29">
        <v>134000</v>
      </c>
      <c r="BR29">
        <v>45000</v>
      </c>
    </row>
    <row r="30" spans="2:70" x14ac:dyDescent="0.25">
      <c r="B30">
        <f ca="1">OFFSET(tblRiderCF[[#This Row],[Year]],-1,0)+1</f>
        <v>17</v>
      </c>
      <c r="C30" t="e">
        <f ca="1">(tblRiderCF[[#This Row],[Year]]&lt;=term)*1</f>
        <v>#N/A</v>
      </c>
      <c r="D30" t="e">
        <f ca="1">(entry_age+tblRiderCF[[#This Row],[Year]]-1)
*tblRiderCF[[#This Row],[RiderTermFlag]]</f>
        <v>#N/A</v>
      </c>
      <c r="E30" t="e">
        <f ca="1">(risk="Sub-standard")
*tblRiderCF[[#This Row],[RiderTermFlag]]</f>
        <v>#N/A</v>
      </c>
      <c r="F30" t="e">
        <f ca="1">(tblRiderCF[[#This Row],[Year]]&lt;=prem_load_term)
*tblRiderCF[[#This Row],[SubStandardFlag]]</f>
        <v>#N/A</v>
      </c>
      <c r="G30" t="e">
        <f ca="1">(tblRiderCF[[#This Row],[Year]]&lt;=pm_load_term)
*tblRiderCF[[#This Row],[SubStandardFlag]]</f>
        <v>#N/A</v>
      </c>
      <c r="H30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0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0" s="150" t="e" cm="1">
        <f t="array" aca="1" ref="J3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0" s="150" t="e">
        <f ca="1">add_rate*tblRiderCF[[#This Row],[SI]]*(rider=K$11)</f>
        <v>#N/A</v>
      </c>
      <c r="L30" s="150" t="e">
        <f ca="1">INDEX(tblPPDRate[Annualized GPR],MATCH(tblRiderCF[[#This Row],[Age]],tblPPDRate[Min age],1))*tblRiderCF[[#This Row],[SI]]
*(rider=L$11)</f>
        <v>#N/A</v>
      </c>
      <c r="M30" s="150" t="e">
        <f ca="1">INDEX(IF(gender="Male",tblCIR1Rate[Male],tblCIR1Rate[Female]),MATCH(tblRiderCF[[#This Row],[Age]],tblCIR1Rate[Age],0))/1000*tblRiderCF[[#This Row],[SI]]
*(rider=M$11)</f>
        <v>#N/A</v>
      </c>
      <c r="N30" s="150" t="e">
        <f ca="1">INDEX(IF(gender="Male",tblCIR2Rate[Male],tblCIR2Rate[Female]),MATCH(tblRiderCF[[#This Row],[Age]],tblCIR2Rate[Age],0))/1000*tblRiderCF[[#This Row],[SI]]
*(rider=N$11)</f>
        <v>#N/A</v>
      </c>
      <c r="O30" s="150" t="e">
        <f>INDEX(tblHOP2Rate[Premium],MATCH(hop2_option,tblHOP2Rate[Option],0))
*(rider=O$11)</f>
        <v>#N/A</v>
      </c>
      <c r="P30" s="150" t="e">
        <f ca="1">INDEX(Tariff!$CC$5:$CS$44,
MATCH(tblRiderCF[[#This Row],[Age]],Tariff!$CB$5:$CB$44,0),
MATCH(term+1-tblRiderCF[[#This Row],[Year]],Tariff!$CC$4:$CS$4,0))
*(rider=P$11)</f>
        <v>#N/A</v>
      </c>
      <c r="Q30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0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0" s="150" t="e">
        <f ca="1">INDEX(tblRiderCF[[#This Row],[ADD1UnroundedPrem]:[WOP2UnroundedPrem]],MATCH(rider,$K$11:$R$11,0))
*tblRiderCF[[#This Row],[RiderTermFlag]]</f>
        <v>#N/A</v>
      </c>
      <c r="T30" s="150" t="e">
        <f ca="1">tblRiderCF[[#This Row],[UnroundedPrem]]*prem_load</f>
        <v>#N/A</v>
      </c>
      <c r="U30" s="150" t="e">
        <f ca="1">pm_load/1000*tblRiderCF[[#This Row],[SI]]
*tblRiderCF[[#This Row],[RiderTermFlag]]</f>
        <v>#N/A</v>
      </c>
      <c r="V30" s="151" t="e">
        <f ca="1">ROUND(tblRiderCF[[#This Row],[UnroundedPrem]]*V$10,-3)</f>
        <v>#N/A</v>
      </c>
      <c r="W30" t="e">
        <f ca="1">ROUND(tblRiderCF[[#This Row],[UnroundedPremLoad]]*W$10,-3)</f>
        <v>#N/A</v>
      </c>
      <c r="X30" t="e">
        <f ca="1">ROUND(tblRiderCF[[#This Row],[UnroundedPMLoad]]*X$10,-3)</f>
        <v>#N/A</v>
      </c>
      <c r="Y30" t="e">
        <f ca="1">tblRiderCF[[#This Row],[PremLoad]]+tblRiderCF[[#This Row],[PMLoad]]</f>
        <v>#N/A</v>
      </c>
      <c r="Z30" t="e">
        <f ca="1">tblRiderCF[[#This Row],[Prem]]+tblRiderCF[[#This Row],[Load]]</f>
        <v>#N/A</v>
      </c>
      <c r="AA30" t="e">
        <f ca="1">ROUND(tblRiderCF[[#This Row],[UnroundedPrem]]*AA$10,-3)</f>
        <v>#N/A</v>
      </c>
      <c r="AB30" t="e">
        <f ca="1">ROUND(tblRiderCF[[#This Row],[UnroundedPremLoad]]*AB$10,-3)</f>
        <v>#N/A</v>
      </c>
      <c r="AC30" t="e">
        <f ca="1">ROUND(tblRiderCF[[#This Row],[UnroundedPMLoad]]*AC$10,-3)</f>
        <v>#N/A</v>
      </c>
      <c r="AD30" t="e">
        <f ca="1">tblRiderCF[[#This Row],[SemiAnnualPremLoad]]+tblRiderCF[[#This Row],[SemiAnnualPMLoad]]</f>
        <v>#N/A</v>
      </c>
      <c r="AE30" t="e">
        <f ca="1">tblRiderCF[[#This Row],[SemiAnnualPrem]]+tblRiderCF[[#This Row],[SemiAnnualLoad]]</f>
        <v>#N/A</v>
      </c>
      <c r="AF30" t="e">
        <f ca="1">ROUND(tblRiderCF[[#This Row],[UnroundedPrem]]*AF$10,-3)</f>
        <v>#N/A</v>
      </c>
      <c r="AG30" t="e">
        <f ca="1">ROUND(tblRiderCF[[#This Row],[UnroundedPremLoad]]*AG$10,-3)</f>
        <v>#N/A</v>
      </c>
      <c r="AH30" t="e">
        <f ca="1">ROUND(tblRiderCF[[#This Row],[UnroundedPMLoad]]*AH$10,-3)</f>
        <v>#N/A</v>
      </c>
      <c r="AI30" t="e">
        <f ca="1">tblRiderCF[[#This Row],[QuarterlyPremLoad]]+tblRiderCF[[#This Row],[QuarterlyPMLoad]]</f>
        <v>#N/A</v>
      </c>
      <c r="AJ30" t="e">
        <f ca="1">tblRiderCF[[#This Row],[QuarterlyPrem]]+tblRiderCF[[#This Row],[QuarterlyLoad]]</f>
        <v>#N/A</v>
      </c>
      <c r="AK30" t="e">
        <f ca="1">ROUND(tblRiderCF[[#This Row],[UnroundedPrem]]*AK$10,-3)</f>
        <v>#N/A</v>
      </c>
      <c r="AL30" t="e">
        <f ca="1">ROUND(tblRiderCF[[#This Row],[UnroundedPremLoad]]*AL$10,-3)</f>
        <v>#N/A</v>
      </c>
      <c r="AM30" t="e">
        <f ca="1">ROUND(tblRiderCF[[#This Row],[UnroundedPMLoad]]*AM$10,-3)</f>
        <v>#N/A</v>
      </c>
      <c r="AN30" t="e">
        <f ca="1">tblRiderCF[[#This Row],[MonthlyPremLoad]]+tblRiderCF[[#This Row],[MonthlyPMLoad]]</f>
        <v>#N/A</v>
      </c>
      <c r="AO30" t="e">
        <f ca="1">tblRiderCF[[#This Row],[MonthlyPrem]]+tblRiderCF[[#This Row],[MonthlyLoad]]</f>
        <v>#N/A</v>
      </c>
      <c r="AS30">
        <f t="shared" si="5"/>
        <v>0</v>
      </c>
      <c r="AT30">
        <f t="shared" si="1"/>
        <v>0</v>
      </c>
      <c r="AU30">
        <f ca="1">tblRiderCF[[#This Row],[Year]]</f>
        <v>17</v>
      </c>
      <c r="AV30" t="e">
        <f ca="1">tblRiderCF[[#This Row],[Age]]</f>
        <v>#N/A</v>
      </c>
      <c r="AW30">
        <f t="shared" si="2"/>
        <v>0</v>
      </c>
      <c r="AX30" t="e">
        <f t="shared" si="3"/>
        <v>#N/A</v>
      </c>
      <c r="AY30">
        <f t="shared" si="4"/>
        <v>0</v>
      </c>
      <c r="AZ30" s="47" t="e">
        <f ca="1">tblRiderCF[[#This Row],[SI]]</f>
        <v>#N/A</v>
      </c>
      <c r="BA30" t="e">
        <f ca="1">tblRiderCF[[#This Row],[TotalPrem]]</f>
        <v>#N/A</v>
      </c>
      <c r="BB30" t="e">
        <f ca="1">tblRiderCF[[#This Row],[SemiAnnualTotalPrem]]</f>
        <v>#N/A</v>
      </c>
      <c r="BC30" t="e">
        <f ca="1">tblRiderCF[[#This Row],[QuarterlyTotalPrem]]</f>
        <v>#N/A</v>
      </c>
      <c r="BD30" t="e">
        <f ca="1">tblRiderCF[[#This Row],[MonthlyTotalPrem]]</f>
        <v>#N/A</v>
      </c>
      <c r="BG30" t="s">
        <v>135</v>
      </c>
      <c r="BH30" t="s">
        <v>188</v>
      </c>
      <c r="BI30">
        <v>17</v>
      </c>
      <c r="BJ30">
        <v>47</v>
      </c>
      <c r="BK30" t="s">
        <v>480</v>
      </c>
      <c r="BL30">
        <v>30</v>
      </c>
      <c r="BM30">
        <v>0</v>
      </c>
      <c r="BN30">
        <v>120000000</v>
      </c>
      <c r="BO30">
        <v>534000</v>
      </c>
      <c r="BP30">
        <v>267000</v>
      </c>
      <c r="BQ30">
        <v>134000</v>
      </c>
      <c r="BR30">
        <v>45000</v>
      </c>
    </row>
    <row r="31" spans="2:70" x14ac:dyDescent="0.25">
      <c r="B31">
        <f ca="1">OFFSET(tblRiderCF[[#This Row],[Year]],-1,0)+1</f>
        <v>18</v>
      </c>
      <c r="C31" t="e">
        <f ca="1">(tblRiderCF[[#This Row],[Year]]&lt;=term)*1</f>
        <v>#N/A</v>
      </c>
      <c r="D31" t="e">
        <f ca="1">(entry_age+tblRiderCF[[#This Row],[Year]]-1)
*tblRiderCF[[#This Row],[RiderTermFlag]]</f>
        <v>#N/A</v>
      </c>
      <c r="E31" t="e">
        <f ca="1">(risk="Sub-standard")
*tblRiderCF[[#This Row],[RiderTermFlag]]</f>
        <v>#N/A</v>
      </c>
      <c r="F31" t="e">
        <f ca="1">(tblRiderCF[[#This Row],[Year]]&lt;=prem_load_term)
*tblRiderCF[[#This Row],[SubStandardFlag]]</f>
        <v>#N/A</v>
      </c>
      <c r="G31" t="e">
        <f ca="1">(tblRiderCF[[#This Row],[Year]]&lt;=pm_load_term)
*tblRiderCF[[#This Row],[SubStandardFlag]]</f>
        <v>#N/A</v>
      </c>
      <c r="H31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1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1" s="150" t="e" cm="1">
        <f t="array" aca="1" ref="J3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1" s="150" t="e">
        <f ca="1">add_rate*tblRiderCF[[#This Row],[SI]]*(rider=K$11)</f>
        <v>#N/A</v>
      </c>
      <c r="L31" s="150" t="e">
        <f ca="1">INDEX(tblPPDRate[Annualized GPR],MATCH(tblRiderCF[[#This Row],[Age]],tblPPDRate[Min age],1))*tblRiderCF[[#This Row],[SI]]
*(rider=L$11)</f>
        <v>#N/A</v>
      </c>
      <c r="M31" s="150" t="e">
        <f ca="1">INDEX(IF(gender="Male",tblCIR1Rate[Male],tblCIR1Rate[Female]),MATCH(tblRiderCF[[#This Row],[Age]],tblCIR1Rate[Age],0))/1000*tblRiderCF[[#This Row],[SI]]
*(rider=M$11)</f>
        <v>#N/A</v>
      </c>
      <c r="N31" s="150" t="e">
        <f ca="1">INDEX(IF(gender="Male",tblCIR2Rate[Male],tblCIR2Rate[Female]),MATCH(tblRiderCF[[#This Row],[Age]],tblCIR2Rate[Age],0))/1000*tblRiderCF[[#This Row],[SI]]
*(rider=N$11)</f>
        <v>#N/A</v>
      </c>
      <c r="O31" s="150" t="e">
        <f>INDEX(tblHOP2Rate[Premium],MATCH(hop2_option,tblHOP2Rate[Option],0))
*(rider=O$11)</f>
        <v>#N/A</v>
      </c>
      <c r="P31" s="150" t="e">
        <f ca="1">INDEX(Tariff!$CC$5:$CS$44,
MATCH(tblRiderCF[[#This Row],[Age]],Tariff!$CB$5:$CB$44,0),
MATCH(term+1-tblRiderCF[[#This Row],[Year]],Tariff!$CC$4:$CS$4,0))
*(rider=P$11)</f>
        <v>#N/A</v>
      </c>
      <c r="Q31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1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1" s="150" t="e">
        <f ca="1">INDEX(tblRiderCF[[#This Row],[ADD1UnroundedPrem]:[WOP2UnroundedPrem]],MATCH(rider,$K$11:$R$11,0))
*tblRiderCF[[#This Row],[RiderTermFlag]]</f>
        <v>#N/A</v>
      </c>
      <c r="T31" s="150" t="e">
        <f ca="1">tblRiderCF[[#This Row],[UnroundedPrem]]*prem_load</f>
        <v>#N/A</v>
      </c>
      <c r="U31" s="150" t="e">
        <f ca="1">pm_load/1000*tblRiderCF[[#This Row],[SI]]
*tblRiderCF[[#This Row],[RiderTermFlag]]</f>
        <v>#N/A</v>
      </c>
      <c r="V31" s="151" t="e">
        <f ca="1">ROUND(tblRiderCF[[#This Row],[UnroundedPrem]]*V$10,-3)</f>
        <v>#N/A</v>
      </c>
      <c r="W31" t="e">
        <f ca="1">ROUND(tblRiderCF[[#This Row],[UnroundedPremLoad]]*W$10,-3)</f>
        <v>#N/A</v>
      </c>
      <c r="X31" t="e">
        <f ca="1">ROUND(tblRiderCF[[#This Row],[UnroundedPMLoad]]*X$10,-3)</f>
        <v>#N/A</v>
      </c>
      <c r="Y31" t="e">
        <f ca="1">tblRiderCF[[#This Row],[PremLoad]]+tblRiderCF[[#This Row],[PMLoad]]</f>
        <v>#N/A</v>
      </c>
      <c r="Z31" t="e">
        <f ca="1">tblRiderCF[[#This Row],[Prem]]+tblRiderCF[[#This Row],[Load]]</f>
        <v>#N/A</v>
      </c>
      <c r="AA31" t="e">
        <f ca="1">ROUND(tblRiderCF[[#This Row],[UnroundedPrem]]*AA$10,-3)</f>
        <v>#N/A</v>
      </c>
      <c r="AB31" t="e">
        <f ca="1">ROUND(tblRiderCF[[#This Row],[UnroundedPremLoad]]*AB$10,-3)</f>
        <v>#N/A</v>
      </c>
      <c r="AC31" t="e">
        <f ca="1">ROUND(tblRiderCF[[#This Row],[UnroundedPMLoad]]*AC$10,-3)</f>
        <v>#N/A</v>
      </c>
      <c r="AD31" t="e">
        <f ca="1">tblRiderCF[[#This Row],[SemiAnnualPremLoad]]+tblRiderCF[[#This Row],[SemiAnnualPMLoad]]</f>
        <v>#N/A</v>
      </c>
      <c r="AE31" t="e">
        <f ca="1">tblRiderCF[[#This Row],[SemiAnnualPrem]]+tblRiderCF[[#This Row],[SemiAnnualLoad]]</f>
        <v>#N/A</v>
      </c>
      <c r="AF31" t="e">
        <f ca="1">ROUND(tblRiderCF[[#This Row],[UnroundedPrem]]*AF$10,-3)</f>
        <v>#N/A</v>
      </c>
      <c r="AG31" t="e">
        <f ca="1">ROUND(tblRiderCF[[#This Row],[UnroundedPremLoad]]*AG$10,-3)</f>
        <v>#N/A</v>
      </c>
      <c r="AH31" t="e">
        <f ca="1">ROUND(tblRiderCF[[#This Row],[UnroundedPMLoad]]*AH$10,-3)</f>
        <v>#N/A</v>
      </c>
      <c r="AI31" t="e">
        <f ca="1">tblRiderCF[[#This Row],[QuarterlyPremLoad]]+tblRiderCF[[#This Row],[QuarterlyPMLoad]]</f>
        <v>#N/A</v>
      </c>
      <c r="AJ31" t="e">
        <f ca="1">tblRiderCF[[#This Row],[QuarterlyPrem]]+tblRiderCF[[#This Row],[QuarterlyLoad]]</f>
        <v>#N/A</v>
      </c>
      <c r="AK31" t="e">
        <f ca="1">ROUND(tblRiderCF[[#This Row],[UnroundedPrem]]*AK$10,-3)</f>
        <v>#N/A</v>
      </c>
      <c r="AL31" t="e">
        <f ca="1">ROUND(tblRiderCF[[#This Row],[UnroundedPremLoad]]*AL$10,-3)</f>
        <v>#N/A</v>
      </c>
      <c r="AM31" t="e">
        <f ca="1">ROUND(tblRiderCF[[#This Row],[UnroundedPMLoad]]*AM$10,-3)</f>
        <v>#N/A</v>
      </c>
      <c r="AN31" t="e">
        <f ca="1">tblRiderCF[[#This Row],[MonthlyPremLoad]]+tblRiderCF[[#This Row],[MonthlyPMLoad]]</f>
        <v>#N/A</v>
      </c>
      <c r="AO31" t="e">
        <f ca="1">tblRiderCF[[#This Row],[MonthlyPrem]]+tblRiderCF[[#This Row],[MonthlyLoad]]</f>
        <v>#N/A</v>
      </c>
      <c r="AS31">
        <f t="shared" si="5"/>
        <v>0</v>
      </c>
      <c r="AT31">
        <f t="shared" si="1"/>
        <v>0</v>
      </c>
      <c r="AU31">
        <f ca="1">tblRiderCF[[#This Row],[Year]]</f>
        <v>18</v>
      </c>
      <c r="AV31" t="e">
        <f ca="1">tblRiderCF[[#This Row],[Age]]</f>
        <v>#N/A</v>
      </c>
      <c r="AW31">
        <f t="shared" si="2"/>
        <v>0</v>
      </c>
      <c r="AX31" t="e">
        <f t="shared" si="3"/>
        <v>#N/A</v>
      </c>
      <c r="AY31">
        <f t="shared" si="4"/>
        <v>0</v>
      </c>
      <c r="AZ31" s="47" t="e">
        <f ca="1">tblRiderCF[[#This Row],[SI]]</f>
        <v>#N/A</v>
      </c>
      <c r="BA31" t="e">
        <f ca="1">tblRiderCF[[#This Row],[TotalPrem]]</f>
        <v>#N/A</v>
      </c>
      <c r="BB31" t="e">
        <f ca="1">tblRiderCF[[#This Row],[SemiAnnualTotalPrem]]</f>
        <v>#N/A</v>
      </c>
      <c r="BC31" t="e">
        <f ca="1">tblRiderCF[[#This Row],[QuarterlyTotalPrem]]</f>
        <v>#N/A</v>
      </c>
      <c r="BD31" t="e">
        <f ca="1">tblRiderCF[[#This Row],[MonthlyTotalPrem]]</f>
        <v>#N/A</v>
      </c>
      <c r="BG31" t="s">
        <v>135</v>
      </c>
      <c r="BH31" t="s">
        <v>188</v>
      </c>
      <c r="BI31">
        <v>18</v>
      </c>
      <c r="BJ31">
        <v>48</v>
      </c>
      <c r="BK31" t="s">
        <v>480</v>
      </c>
      <c r="BL31">
        <v>30</v>
      </c>
      <c r="BM31">
        <v>0</v>
      </c>
      <c r="BN31">
        <v>120000000</v>
      </c>
      <c r="BO31">
        <v>534000</v>
      </c>
      <c r="BP31">
        <v>267000</v>
      </c>
      <c r="BQ31">
        <v>134000</v>
      </c>
      <c r="BR31">
        <v>45000</v>
      </c>
    </row>
    <row r="32" spans="2:70" x14ac:dyDescent="0.25">
      <c r="B32">
        <f ca="1">OFFSET(tblRiderCF[[#This Row],[Year]],-1,0)+1</f>
        <v>19</v>
      </c>
      <c r="C32" t="e">
        <f ca="1">(tblRiderCF[[#This Row],[Year]]&lt;=term)*1</f>
        <v>#N/A</v>
      </c>
      <c r="D32" t="e">
        <f ca="1">(entry_age+tblRiderCF[[#This Row],[Year]]-1)
*tblRiderCF[[#This Row],[RiderTermFlag]]</f>
        <v>#N/A</v>
      </c>
      <c r="E32" t="e">
        <f ca="1">(risk="Sub-standard")
*tblRiderCF[[#This Row],[RiderTermFlag]]</f>
        <v>#N/A</v>
      </c>
      <c r="F32" t="e">
        <f ca="1">(tblRiderCF[[#This Row],[Year]]&lt;=prem_load_term)
*tblRiderCF[[#This Row],[SubStandardFlag]]</f>
        <v>#N/A</v>
      </c>
      <c r="G32" t="e">
        <f ca="1">(tblRiderCF[[#This Row],[Year]]&lt;=pm_load_term)
*tblRiderCF[[#This Row],[SubStandardFlag]]</f>
        <v>#N/A</v>
      </c>
      <c r="H32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2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2" s="150" t="e" cm="1">
        <f t="array" aca="1" ref="J3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2" s="150" t="e">
        <f ca="1">add_rate*tblRiderCF[[#This Row],[SI]]*(rider=K$11)</f>
        <v>#N/A</v>
      </c>
      <c r="L32" s="150" t="e">
        <f ca="1">INDEX(tblPPDRate[Annualized GPR],MATCH(tblRiderCF[[#This Row],[Age]],tblPPDRate[Min age],1))*tblRiderCF[[#This Row],[SI]]
*(rider=L$11)</f>
        <v>#N/A</v>
      </c>
      <c r="M32" s="150" t="e">
        <f ca="1">INDEX(IF(gender="Male",tblCIR1Rate[Male],tblCIR1Rate[Female]),MATCH(tblRiderCF[[#This Row],[Age]],tblCIR1Rate[Age],0))/1000*tblRiderCF[[#This Row],[SI]]
*(rider=M$11)</f>
        <v>#N/A</v>
      </c>
      <c r="N32" s="150" t="e">
        <f ca="1">INDEX(IF(gender="Male",tblCIR2Rate[Male],tblCIR2Rate[Female]),MATCH(tblRiderCF[[#This Row],[Age]],tblCIR2Rate[Age],0))/1000*tblRiderCF[[#This Row],[SI]]
*(rider=N$11)</f>
        <v>#N/A</v>
      </c>
      <c r="O32" s="150" t="e">
        <f>INDEX(tblHOP2Rate[Premium],MATCH(hop2_option,tblHOP2Rate[Option],0))
*(rider=O$11)</f>
        <v>#N/A</v>
      </c>
      <c r="P32" s="150" t="e">
        <f ca="1">INDEX(Tariff!$CC$5:$CS$44,
MATCH(tblRiderCF[[#This Row],[Age]],Tariff!$CB$5:$CB$44,0),
MATCH(term+1-tblRiderCF[[#This Row],[Year]],Tariff!$CC$4:$CS$4,0))
*(rider=P$11)</f>
        <v>#N/A</v>
      </c>
      <c r="Q32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2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2" s="150" t="e">
        <f ca="1">INDEX(tblRiderCF[[#This Row],[ADD1UnroundedPrem]:[WOP2UnroundedPrem]],MATCH(rider,$K$11:$R$11,0))
*tblRiderCF[[#This Row],[RiderTermFlag]]</f>
        <v>#N/A</v>
      </c>
      <c r="T32" s="150" t="e">
        <f ca="1">tblRiderCF[[#This Row],[UnroundedPrem]]*prem_load</f>
        <v>#N/A</v>
      </c>
      <c r="U32" s="150" t="e">
        <f ca="1">pm_load/1000*tblRiderCF[[#This Row],[SI]]
*tblRiderCF[[#This Row],[RiderTermFlag]]</f>
        <v>#N/A</v>
      </c>
      <c r="V32" s="151" t="e">
        <f ca="1">ROUND(tblRiderCF[[#This Row],[UnroundedPrem]]*V$10,-3)</f>
        <v>#N/A</v>
      </c>
      <c r="W32" t="e">
        <f ca="1">ROUND(tblRiderCF[[#This Row],[UnroundedPremLoad]]*W$10,-3)</f>
        <v>#N/A</v>
      </c>
      <c r="X32" t="e">
        <f ca="1">ROUND(tblRiderCF[[#This Row],[UnroundedPMLoad]]*X$10,-3)</f>
        <v>#N/A</v>
      </c>
      <c r="Y32" t="e">
        <f ca="1">tblRiderCF[[#This Row],[PremLoad]]+tblRiderCF[[#This Row],[PMLoad]]</f>
        <v>#N/A</v>
      </c>
      <c r="Z32" t="e">
        <f ca="1">tblRiderCF[[#This Row],[Prem]]+tblRiderCF[[#This Row],[Load]]</f>
        <v>#N/A</v>
      </c>
      <c r="AA32" t="e">
        <f ca="1">ROUND(tblRiderCF[[#This Row],[UnroundedPrem]]*AA$10,-3)</f>
        <v>#N/A</v>
      </c>
      <c r="AB32" t="e">
        <f ca="1">ROUND(tblRiderCF[[#This Row],[UnroundedPremLoad]]*AB$10,-3)</f>
        <v>#N/A</v>
      </c>
      <c r="AC32" t="e">
        <f ca="1">ROUND(tblRiderCF[[#This Row],[UnroundedPMLoad]]*AC$10,-3)</f>
        <v>#N/A</v>
      </c>
      <c r="AD32" t="e">
        <f ca="1">tblRiderCF[[#This Row],[SemiAnnualPremLoad]]+tblRiderCF[[#This Row],[SemiAnnualPMLoad]]</f>
        <v>#N/A</v>
      </c>
      <c r="AE32" t="e">
        <f ca="1">tblRiderCF[[#This Row],[SemiAnnualPrem]]+tblRiderCF[[#This Row],[SemiAnnualLoad]]</f>
        <v>#N/A</v>
      </c>
      <c r="AF32" t="e">
        <f ca="1">ROUND(tblRiderCF[[#This Row],[UnroundedPrem]]*AF$10,-3)</f>
        <v>#N/A</v>
      </c>
      <c r="AG32" t="e">
        <f ca="1">ROUND(tblRiderCF[[#This Row],[UnroundedPremLoad]]*AG$10,-3)</f>
        <v>#N/A</v>
      </c>
      <c r="AH32" t="e">
        <f ca="1">ROUND(tblRiderCF[[#This Row],[UnroundedPMLoad]]*AH$10,-3)</f>
        <v>#N/A</v>
      </c>
      <c r="AI32" t="e">
        <f ca="1">tblRiderCF[[#This Row],[QuarterlyPremLoad]]+tblRiderCF[[#This Row],[QuarterlyPMLoad]]</f>
        <v>#N/A</v>
      </c>
      <c r="AJ32" t="e">
        <f ca="1">tblRiderCF[[#This Row],[QuarterlyPrem]]+tblRiderCF[[#This Row],[QuarterlyLoad]]</f>
        <v>#N/A</v>
      </c>
      <c r="AK32" t="e">
        <f ca="1">ROUND(tblRiderCF[[#This Row],[UnroundedPrem]]*AK$10,-3)</f>
        <v>#N/A</v>
      </c>
      <c r="AL32" t="e">
        <f ca="1">ROUND(tblRiderCF[[#This Row],[UnroundedPremLoad]]*AL$10,-3)</f>
        <v>#N/A</v>
      </c>
      <c r="AM32" t="e">
        <f ca="1">ROUND(tblRiderCF[[#This Row],[UnroundedPMLoad]]*AM$10,-3)</f>
        <v>#N/A</v>
      </c>
      <c r="AN32" t="e">
        <f ca="1">tblRiderCF[[#This Row],[MonthlyPremLoad]]+tblRiderCF[[#This Row],[MonthlyPMLoad]]</f>
        <v>#N/A</v>
      </c>
      <c r="AO32" t="e">
        <f ca="1">tblRiderCF[[#This Row],[MonthlyPrem]]+tblRiderCF[[#This Row],[MonthlyLoad]]</f>
        <v>#N/A</v>
      </c>
      <c r="AS32">
        <f t="shared" si="5"/>
        <v>0</v>
      </c>
      <c r="AT32">
        <f t="shared" si="1"/>
        <v>0</v>
      </c>
      <c r="AU32">
        <f ca="1">tblRiderCF[[#This Row],[Year]]</f>
        <v>19</v>
      </c>
      <c r="AV32" t="e">
        <f ca="1">tblRiderCF[[#This Row],[Age]]</f>
        <v>#N/A</v>
      </c>
      <c r="AW32">
        <f t="shared" si="2"/>
        <v>0</v>
      </c>
      <c r="AX32" t="e">
        <f t="shared" si="3"/>
        <v>#N/A</v>
      </c>
      <c r="AY32">
        <f t="shared" si="4"/>
        <v>0</v>
      </c>
      <c r="AZ32" s="47" t="e">
        <f ca="1">tblRiderCF[[#This Row],[SI]]</f>
        <v>#N/A</v>
      </c>
      <c r="BA32" t="e">
        <f ca="1">tblRiderCF[[#This Row],[TotalPrem]]</f>
        <v>#N/A</v>
      </c>
      <c r="BB32" t="e">
        <f ca="1">tblRiderCF[[#This Row],[SemiAnnualTotalPrem]]</f>
        <v>#N/A</v>
      </c>
      <c r="BC32" t="e">
        <f ca="1">tblRiderCF[[#This Row],[QuarterlyTotalPrem]]</f>
        <v>#N/A</v>
      </c>
      <c r="BD32" t="e">
        <f ca="1">tblRiderCF[[#This Row],[MonthlyTotalPrem]]</f>
        <v>#N/A</v>
      </c>
      <c r="BG32" t="s">
        <v>135</v>
      </c>
      <c r="BH32" t="s">
        <v>188</v>
      </c>
      <c r="BI32">
        <v>19</v>
      </c>
      <c r="BJ32">
        <v>49</v>
      </c>
      <c r="BK32" t="s">
        <v>480</v>
      </c>
      <c r="BL32">
        <v>30</v>
      </c>
      <c r="BM32">
        <v>0</v>
      </c>
      <c r="BN32">
        <v>120000000</v>
      </c>
      <c r="BO32">
        <v>534000</v>
      </c>
      <c r="BP32">
        <v>267000</v>
      </c>
      <c r="BQ32">
        <v>134000</v>
      </c>
      <c r="BR32">
        <v>45000</v>
      </c>
    </row>
    <row r="33" spans="2:70" x14ac:dyDescent="0.25">
      <c r="B33">
        <f ca="1">OFFSET(tblRiderCF[[#This Row],[Year]],-1,0)+1</f>
        <v>20</v>
      </c>
      <c r="C33" t="e">
        <f ca="1">(tblRiderCF[[#This Row],[Year]]&lt;=term)*1</f>
        <v>#N/A</v>
      </c>
      <c r="D33" t="e">
        <f ca="1">(entry_age+tblRiderCF[[#This Row],[Year]]-1)
*tblRiderCF[[#This Row],[RiderTermFlag]]</f>
        <v>#N/A</v>
      </c>
      <c r="E33" t="e">
        <f ca="1">(risk="Sub-standard")
*tblRiderCF[[#This Row],[RiderTermFlag]]</f>
        <v>#N/A</v>
      </c>
      <c r="F33" t="e">
        <f ca="1">(tblRiderCF[[#This Row],[Year]]&lt;=prem_load_term)
*tblRiderCF[[#This Row],[SubStandardFlag]]</f>
        <v>#N/A</v>
      </c>
      <c r="G33" t="e">
        <f ca="1">(tblRiderCF[[#This Row],[Year]]&lt;=pm_load_term)
*tblRiderCF[[#This Row],[SubStandardFlag]]</f>
        <v>#N/A</v>
      </c>
      <c r="H33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3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3" s="150" t="e" cm="1">
        <f t="array" aca="1" ref="J3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3" s="150" t="e">
        <f ca="1">add_rate*tblRiderCF[[#This Row],[SI]]*(rider=K$11)</f>
        <v>#N/A</v>
      </c>
      <c r="L33" s="150" t="e">
        <f ca="1">INDEX(tblPPDRate[Annualized GPR],MATCH(tblRiderCF[[#This Row],[Age]],tblPPDRate[Min age],1))*tblRiderCF[[#This Row],[SI]]
*(rider=L$11)</f>
        <v>#N/A</v>
      </c>
      <c r="M33" s="150" t="e">
        <f ca="1">INDEX(IF(gender="Male",tblCIR1Rate[Male],tblCIR1Rate[Female]),MATCH(tblRiderCF[[#This Row],[Age]],tblCIR1Rate[Age],0))/1000*tblRiderCF[[#This Row],[SI]]
*(rider=M$11)</f>
        <v>#N/A</v>
      </c>
      <c r="N33" s="150" t="e">
        <f ca="1">INDEX(IF(gender="Male",tblCIR2Rate[Male],tblCIR2Rate[Female]),MATCH(tblRiderCF[[#This Row],[Age]],tblCIR2Rate[Age],0))/1000*tblRiderCF[[#This Row],[SI]]
*(rider=N$11)</f>
        <v>#N/A</v>
      </c>
      <c r="O33" s="150" t="e">
        <f>INDEX(tblHOP2Rate[Premium],MATCH(hop2_option,tblHOP2Rate[Option],0))
*(rider=O$11)</f>
        <v>#N/A</v>
      </c>
      <c r="P33" s="150" t="e">
        <f ca="1">INDEX(Tariff!$CC$5:$CS$44,
MATCH(tblRiderCF[[#This Row],[Age]],Tariff!$CB$5:$CB$44,0),
MATCH(term+1-tblRiderCF[[#This Row],[Year]],Tariff!$CC$4:$CS$4,0))
*(rider=P$11)</f>
        <v>#N/A</v>
      </c>
      <c r="Q33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3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3" s="150" t="e">
        <f ca="1">INDEX(tblRiderCF[[#This Row],[ADD1UnroundedPrem]:[WOP2UnroundedPrem]],MATCH(rider,$K$11:$R$11,0))
*tblRiderCF[[#This Row],[RiderTermFlag]]</f>
        <v>#N/A</v>
      </c>
      <c r="T33" s="150" t="e">
        <f ca="1">tblRiderCF[[#This Row],[UnroundedPrem]]*prem_load</f>
        <v>#N/A</v>
      </c>
      <c r="U33" s="150" t="e">
        <f ca="1">pm_load/1000*tblRiderCF[[#This Row],[SI]]
*tblRiderCF[[#This Row],[RiderTermFlag]]</f>
        <v>#N/A</v>
      </c>
      <c r="V33" s="151" t="e">
        <f ca="1">ROUND(tblRiderCF[[#This Row],[UnroundedPrem]]*V$10,-3)</f>
        <v>#N/A</v>
      </c>
      <c r="W33" t="e">
        <f ca="1">ROUND(tblRiderCF[[#This Row],[UnroundedPremLoad]]*W$10,-3)</f>
        <v>#N/A</v>
      </c>
      <c r="X33" t="e">
        <f ca="1">ROUND(tblRiderCF[[#This Row],[UnroundedPMLoad]]*X$10,-3)</f>
        <v>#N/A</v>
      </c>
      <c r="Y33" t="e">
        <f ca="1">tblRiderCF[[#This Row],[PremLoad]]+tblRiderCF[[#This Row],[PMLoad]]</f>
        <v>#N/A</v>
      </c>
      <c r="Z33" t="e">
        <f ca="1">tblRiderCF[[#This Row],[Prem]]+tblRiderCF[[#This Row],[Load]]</f>
        <v>#N/A</v>
      </c>
      <c r="AA33" t="e">
        <f ca="1">ROUND(tblRiderCF[[#This Row],[UnroundedPrem]]*AA$10,-3)</f>
        <v>#N/A</v>
      </c>
      <c r="AB33" t="e">
        <f ca="1">ROUND(tblRiderCF[[#This Row],[UnroundedPremLoad]]*AB$10,-3)</f>
        <v>#N/A</v>
      </c>
      <c r="AC33" t="e">
        <f ca="1">ROUND(tblRiderCF[[#This Row],[UnroundedPMLoad]]*AC$10,-3)</f>
        <v>#N/A</v>
      </c>
      <c r="AD33" t="e">
        <f ca="1">tblRiderCF[[#This Row],[SemiAnnualPremLoad]]+tblRiderCF[[#This Row],[SemiAnnualPMLoad]]</f>
        <v>#N/A</v>
      </c>
      <c r="AE33" t="e">
        <f ca="1">tblRiderCF[[#This Row],[SemiAnnualPrem]]+tblRiderCF[[#This Row],[SemiAnnualLoad]]</f>
        <v>#N/A</v>
      </c>
      <c r="AF33" t="e">
        <f ca="1">ROUND(tblRiderCF[[#This Row],[UnroundedPrem]]*AF$10,-3)</f>
        <v>#N/A</v>
      </c>
      <c r="AG33" t="e">
        <f ca="1">ROUND(tblRiderCF[[#This Row],[UnroundedPremLoad]]*AG$10,-3)</f>
        <v>#N/A</v>
      </c>
      <c r="AH33" t="e">
        <f ca="1">ROUND(tblRiderCF[[#This Row],[UnroundedPMLoad]]*AH$10,-3)</f>
        <v>#N/A</v>
      </c>
      <c r="AI33" t="e">
        <f ca="1">tblRiderCF[[#This Row],[QuarterlyPremLoad]]+tblRiderCF[[#This Row],[QuarterlyPMLoad]]</f>
        <v>#N/A</v>
      </c>
      <c r="AJ33" t="e">
        <f ca="1">tblRiderCF[[#This Row],[QuarterlyPrem]]+tblRiderCF[[#This Row],[QuarterlyLoad]]</f>
        <v>#N/A</v>
      </c>
      <c r="AK33" t="e">
        <f ca="1">ROUND(tblRiderCF[[#This Row],[UnroundedPrem]]*AK$10,-3)</f>
        <v>#N/A</v>
      </c>
      <c r="AL33" t="e">
        <f ca="1">ROUND(tblRiderCF[[#This Row],[UnroundedPremLoad]]*AL$10,-3)</f>
        <v>#N/A</v>
      </c>
      <c r="AM33" t="e">
        <f ca="1">ROUND(tblRiderCF[[#This Row],[UnroundedPMLoad]]*AM$10,-3)</f>
        <v>#N/A</v>
      </c>
      <c r="AN33" t="e">
        <f ca="1">tblRiderCF[[#This Row],[MonthlyPremLoad]]+tblRiderCF[[#This Row],[MonthlyPMLoad]]</f>
        <v>#N/A</v>
      </c>
      <c r="AO33" t="e">
        <f ca="1">tblRiderCF[[#This Row],[MonthlyPrem]]+tblRiderCF[[#This Row],[MonthlyLoad]]</f>
        <v>#N/A</v>
      </c>
      <c r="AS33">
        <f t="shared" si="5"/>
        <v>0</v>
      </c>
      <c r="AT33">
        <f t="shared" si="1"/>
        <v>0</v>
      </c>
      <c r="AU33">
        <f ca="1">tblRiderCF[[#This Row],[Year]]</f>
        <v>20</v>
      </c>
      <c r="AV33" t="e">
        <f ca="1">tblRiderCF[[#This Row],[Age]]</f>
        <v>#N/A</v>
      </c>
      <c r="AW33">
        <f t="shared" si="2"/>
        <v>0</v>
      </c>
      <c r="AX33" t="e">
        <f t="shared" si="3"/>
        <v>#N/A</v>
      </c>
      <c r="AY33">
        <f t="shared" si="4"/>
        <v>0</v>
      </c>
      <c r="AZ33" s="47" t="e">
        <f ca="1">tblRiderCF[[#This Row],[SI]]</f>
        <v>#N/A</v>
      </c>
      <c r="BA33" t="e">
        <f ca="1">tblRiderCF[[#This Row],[TotalPrem]]</f>
        <v>#N/A</v>
      </c>
      <c r="BB33" t="e">
        <f ca="1">tblRiderCF[[#This Row],[SemiAnnualTotalPrem]]</f>
        <v>#N/A</v>
      </c>
      <c r="BC33" t="e">
        <f ca="1">tblRiderCF[[#This Row],[QuarterlyTotalPrem]]</f>
        <v>#N/A</v>
      </c>
      <c r="BD33" t="e">
        <f ca="1">tblRiderCF[[#This Row],[MonthlyTotalPrem]]</f>
        <v>#N/A</v>
      </c>
      <c r="BG33" t="s">
        <v>135</v>
      </c>
      <c r="BH33" t="s">
        <v>188</v>
      </c>
      <c r="BI33">
        <v>20</v>
      </c>
      <c r="BJ33">
        <v>50</v>
      </c>
      <c r="BK33" t="s">
        <v>480</v>
      </c>
      <c r="BL33">
        <v>30</v>
      </c>
      <c r="BM33">
        <v>0</v>
      </c>
      <c r="BN33">
        <v>120000000</v>
      </c>
      <c r="BO33">
        <v>534000</v>
      </c>
      <c r="BP33">
        <v>267000</v>
      </c>
      <c r="BQ33">
        <v>134000</v>
      </c>
      <c r="BR33">
        <v>45000</v>
      </c>
    </row>
    <row r="34" spans="2:70" x14ac:dyDescent="0.25">
      <c r="B34">
        <f ca="1">OFFSET(tblRiderCF[[#This Row],[Year]],-1,0)+1</f>
        <v>21</v>
      </c>
      <c r="C34" t="e">
        <f ca="1">(tblRiderCF[[#This Row],[Year]]&lt;=term)*1</f>
        <v>#N/A</v>
      </c>
      <c r="D34" t="e">
        <f ca="1">(entry_age+tblRiderCF[[#This Row],[Year]]-1)
*tblRiderCF[[#This Row],[RiderTermFlag]]</f>
        <v>#N/A</v>
      </c>
      <c r="E34" t="e">
        <f ca="1">(risk="Sub-standard")
*tblRiderCF[[#This Row],[RiderTermFlag]]</f>
        <v>#N/A</v>
      </c>
      <c r="F34" t="e">
        <f ca="1">(tblRiderCF[[#This Row],[Year]]&lt;=prem_load_term)
*tblRiderCF[[#This Row],[SubStandardFlag]]</f>
        <v>#N/A</v>
      </c>
      <c r="G34" t="e">
        <f ca="1">(tblRiderCF[[#This Row],[Year]]&lt;=pm_load_term)
*tblRiderCF[[#This Row],[SubStandardFlag]]</f>
        <v>#N/A</v>
      </c>
      <c r="H34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4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4" s="150" t="e" cm="1">
        <f t="array" aca="1" ref="J3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4" s="150" t="e">
        <f ca="1">add_rate*tblRiderCF[[#This Row],[SI]]*(rider=K$11)</f>
        <v>#N/A</v>
      </c>
      <c r="L34" s="150" t="e">
        <f ca="1">INDEX(tblPPDRate[Annualized GPR],MATCH(tblRiderCF[[#This Row],[Age]],tblPPDRate[Min age],1))*tblRiderCF[[#This Row],[SI]]
*(rider=L$11)</f>
        <v>#N/A</v>
      </c>
      <c r="M34" s="150" t="e">
        <f ca="1">INDEX(IF(gender="Male",tblCIR1Rate[Male],tblCIR1Rate[Female]),MATCH(tblRiderCF[[#This Row],[Age]],tblCIR1Rate[Age],0))/1000*tblRiderCF[[#This Row],[SI]]
*(rider=M$11)</f>
        <v>#N/A</v>
      </c>
      <c r="N34" s="150" t="e">
        <f ca="1">INDEX(IF(gender="Male",tblCIR2Rate[Male],tblCIR2Rate[Female]),MATCH(tblRiderCF[[#This Row],[Age]],tblCIR2Rate[Age],0))/1000*tblRiderCF[[#This Row],[SI]]
*(rider=N$11)</f>
        <v>#N/A</v>
      </c>
      <c r="O34" s="150" t="e">
        <f>INDEX(tblHOP2Rate[Premium],MATCH(hop2_option,tblHOP2Rate[Option],0))
*(rider=O$11)</f>
        <v>#N/A</v>
      </c>
      <c r="P34" s="150" t="e">
        <f ca="1">INDEX(Tariff!$CC$5:$CS$44,
MATCH(tblRiderCF[[#This Row],[Age]],Tariff!$CB$5:$CB$44,0),
MATCH(term+1-tblRiderCF[[#This Row],[Year]],Tariff!$CC$4:$CS$4,0))
*(rider=P$11)</f>
        <v>#N/A</v>
      </c>
      <c r="Q34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4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4" s="150" t="e">
        <f ca="1">INDEX(tblRiderCF[[#This Row],[ADD1UnroundedPrem]:[WOP2UnroundedPrem]],MATCH(rider,$K$11:$R$11,0))
*tblRiderCF[[#This Row],[RiderTermFlag]]</f>
        <v>#N/A</v>
      </c>
      <c r="T34" s="150" t="e">
        <f ca="1">tblRiderCF[[#This Row],[UnroundedPrem]]*prem_load</f>
        <v>#N/A</v>
      </c>
      <c r="U34" s="150" t="e">
        <f ca="1">pm_load/1000*tblRiderCF[[#This Row],[SI]]
*tblRiderCF[[#This Row],[RiderTermFlag]]</f>
        <v>#N/A</v>
      </c>
      <c r="V34" s="151" t="e">
        <f ca="1">ROUND(tblRiderCF[[#This Row],[UnroundedPrem]]*V$10,-3)</f>
        <v>#N/A</v>
      </c>
      <c r="W34" t="e">
        <f ca="1">ROUND(tblRiderCF[[#This Row],[UnroundedPremLoad]]*W$10,-3)</f>
        <v>#N/A</v>
      </c>
      <c r="X34" t="e">
        <f ca="1">ROUND(tblRiderCF[[#This Row],[UnroundedPMLoad]]*X$10,-3)</f>
        <v>#N/A</v>
      </c>
      <c r="Y34" t="e">
        <f ca="1">tblRiderCF[[#This Row],[PremLoad]]+tblRiderCF[[#This Row],[PMLoad]]</f>
        <v>#N/A</v>
      </c>
      <c r="Z34" t="e">
        <f ca="1">tblRiderCF[[#This Row],[Prem]]+tblRiderCF[[#This Row],[Load]]</f>
        <v>#N/A</v>
      </c>
      <c r="AA34" t="e">
        <f ca="1">ROUND(tblRiderCF[[#This Row],[UnroundedPrem]]*AA$10,-3)</f>
        <v>#N/A</v>
      </c>
      <c r="AB34" t="e">
        <f ca="1">ROUND(tblRiderCF[[#This Row],[UnroundedPremLoad]]*AB$10,-3)</f>
        <v>#N/A</v>
      </c>
      <c r="AC34" t="e">
        <f ca="1">ROUND(tblRiderCF[[#This Row],[UnroundedPMLoad]]*AC$10,-3)</f>
        <v>#N/A</v>
      </c>
      <c r="AD34" t="e">
        <f ca="1">tblRiderCF[[#This Row],[SemiAnnualPremLoad]]+tblRiderCF[[#This Row],[SemiAnnualPMLoad]]</f>
        <v>#N/A</v>
      </c>
      <c r="AE34" t="e">
        <f ca="1">tblRiderCF[[#This Row],[SemiAnnualPrem]]+tblRiderCF[[#This Row],[SemiAnnualLoad]]</f>
        <v>#N/A</v>
      </c>
      <c r="AF34" t="e">
        <f ca="1">ROUND(tblRiderCF[[#This Row],[UnroundedPrem]]*AF$10,-3)</f>
        <v>#N/A</v>
      </c>
      <c r="AG34" t="e">
        <f ca="1">ROUND(tblRiderCF[[#This Row],[UnroundedPremLoad]]*AG$10,-3)</f>
        <v>#N/A</v>
      </c>
      <c r="AH34" t="e">
        <f ca="1">ROUND(tblRiderCF[[#This Row],[UnroundedPMLoad]]*AH$10,-3)</f>
        <v>#N/A</v>
      </c>
      <c r="AI34" t="e">
        <f ca="1">tblRiderCF[[#This Row],[QuarterlyPremLoad]]+tblRiderCF[[#This Row],[QuarterlyPMLoad]]</f>
        <v>#N/A</v>
      </c>
      <c r="AJ34" t="e">
        <f ca="1">tblRiderCF[[#This Row],[QuarterlyPrem]]+tblRiderCF[[#This Row],[QuarterlyLoad]]</f>
        <v>#N/A</v>
      </c>
      <c r="AK34" t="e">
        <f ca="1">ROUND(tblRiderCF[[#This Row],[UnroundedPrem]]*AK$10,-3)</f>
        <v>#N/A</v>
      </c>
      <c r="AL34" t="e">
        <f ca="1">ROUND(tblRiderCF[[#This Row],[UnroundedPremLoad]]*AL$10,-3)</f>
        <v>#N/A</v>
      </c>
      <c r="AM34" t="e">
        <f ca="1">ROUND(tblRiderCF[[#This Row],[UnroundedPMLoad]]*AM$10,-3)</f>
        <v>#N/A</v>
      </c>
      <c r="AN34" t="e">
        <f ca="1">tblRiderCF[[#This Row],[MonthlyPremLoad]]+tblRiderCF[[#This Row],[MonthlyPMLoad]]</f>
        <v>#N/A</v>
      </c>
      <c r="AO34" t="e">
        <f ca="1">tblRiderCF[[#This Row],[MonthlyPrem]]+tblRiderCF[[#This Row],[MonthlyLoad]]</f>
        <v>#N/A</v>
      </c>
      <c r="AS34">
        <f t="shared" si="5"/>
        <v>0</v>
      </c>
      <c r="AT34">
        <f t="shared" si="1"/>
        <v>0</v>
      </c>
      <c r="AU34">
        <f ca="1">tblRiderCF[[#This Row],[Year]]</f>
        <v>21</v>
      </c>
      <c r="AV34" t="e">
        <f ca="1">tblRiderCF[[#This Row],[Age]]</f>
        <v>#N/A</v>
      </c>
      <c r="AW34">
        <f t="shared" si="2"/>
        <v>0</v>
      </c>
      <c r="AX34" t="e">
        <f t="shared" si="3"/>
        <v>#N/A</v>
      </c>
      <c r="AY34">
        <f t="shared" si="4"/>
        <v>0</v>
      </c>
      <c r="AZ34" s="47" t="e">
        <f ca="1">tblRiderCF[[#This Row],[SI]]</f>
        <v>#N/A</v>
      </c>
      <c r="BA34" t="e">
        <f ca="1">tblRiderCF[[#This Row],[TotalPrem]]</f>
        <v>#N/A</v>
      </c>
      <c r="BB34" t="e">
        <f ca="1">tblRiderCF[[#This Row],[SemiAnnualTotalPrem]]</f>
        <v>#N/A</v>
      </c>
      <c r="BC34" t="e">
        <f ca="1">tblRiderCF[[#This Row],[QuarterlyTotalPrem]]</f>
        <v>#N/A</v>
      </c>
      <c r="BD34" t="e">
        <f ca="1">tblRiderCF[[#This Row],[MonthlyTotalPrem]]</f>
        <v>#N/A</v>
      </c>
      <c r="BG34" t="s">
        <v>135</v>
      </c>
      <c r="BH34" t="s">
        <v>188</v>
      </c>
      <c r="BI34">
        <v>21</v>
      </c>
      <c r="BJ34">
        <v>51</v>
      </c>
      <c r="BK34" t="s">
        <v>480</v>
      </c>
      <c r="BL34">
        <v>30</v>
      </c>
      <c r="BM34">
        <v>0</v>
      </c>
      <c r="BN34">
        <v>120000000</v>
      </c>
      <c r="BO34">
        <v>534000</v>
      </c>
      <c r="BP34">
        <v>267000</v>
      </c>
      <c r="BQ34">
        <v>134000</v>
      </c>
      <c r="BR34">
        <v>45000</v>
      </c>
    </row>
    <row r="35" spans="2:70" x14ac:dyDescent="0.25">
      <c r="B35">
        <f ca="1">OFFSET(tblRiderCF[[#This Row],[Year]],-1,0)+1</f>
        <v>22</v>
      </c>
      <c r="C35" t="e">
        <f ca="1">(tblRiderCF[[#This Row],[Year]]&lt;=term)*1</f>
        <v>#N/A</v>
      </c>
      <c r="D35" t="e">
        <f ca="1">(entry_age+tblRiderCF[[#This Row],[Year]]-1)
*tblRiderCF[[#This Row],[RiderTermFlag]]</f>
        <v>#N/A</v>
      </c>
      <c r="E35" t="e">
        <f ca="1">(risk="Sub-standard")
*tblRiderCF[[#This Row],[RiderTermFlag]]</f>
        <v>#N/A</v>
      </c>
      <c r="F35" t="e">
        <f ca="1">(tblRiderCF[[#This Row],[Year]]&lt;=prem_load_term)
*tblRiderCF[[#This Row],[SubStandardFlag]]</f>
        <v>#N/A</v>
      </c>
      <c r="G35" t="e">
        <f ca="1">(tblRiderCF[[#This Row],[Year]]&lt;=pm_load_term)
*tblRiderCF[[#This Row],[SubStandardFlag]]</f>
        <v>#N/A</v>
      </c>
      <c r="H35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5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5" s="150" t="e" cm="1">
        <f t="array" aca="1" ref="J3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5" s="150" t="e">
        <f ca="1">add_rate*tblRiderCF[[#This Row],[SI]]*(rider=K$11)</f>
        <v>#N/A</v>
      </c>
      <c r="L35" s="150" t="e">
        <f ca="1">INDEX(tblPPDRate[Annualized GPR],MATCH(tblRiderCF[[#This Row],[Age]],tblPPDRate[Min age],1))*tblRiderCF[[#This Row],[SI]]
*(rider=L$11)</f>
        <v>#N/A</v>
      </c>
      <c r="M35" s="150" t="e">
        <f ca="1">INDEX(IF(gender="Male",tblCIR1Rate[Male],tblCIR1Rate[Female]),MATCH(tblRiderCF[[#This Row],[Age]],tblCIR1Rate[Age],0))/1000*tblRiderCF[[#This Row],[SI]]
*(rider=M$11)</f>
        <v>#N/A</v>
      </c>
      <c r="N35" s="150" t="e">
        <f ca="1">INDEX(IF(gender="Male",tblCIR2Rate[Male],tblCIR2Rate[Female]),MATCH(tblRiderCF[[#This Row],[Age]],tblCIR2Rate[Age],0))/1000*tblRiderCF[[#This Row],[SI]]
*(rider=N$11)</f>
        <v>#N/A</v>
      </c>
      <c r="O35" s="150" t="e">
        <f>INDEX(tblHOP2Rate[Premium],MATCH(hop2_option,tblHOP2Rate[Option],0))
*(rider=O$11)</f>
        <v>#N/A</v>
      </c>
      <c r="P35" s="150" t="e">
        <f ca="1">INDEX(Tariff!$CC$5:$CS$44,
MATCH(tblRiderCF[[#This Row],[Age]],Tariff!$CB$5:$CB$44,0),
MATCH(term+1-tblRiderCF[[#This Row],[Year]],Tariff!$CC$4:$CS$4,0))
*(rider=P$11)</f>
        <v>#N/A</v>
      </c>
      <c r="Q35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5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5" s="150" t="e">
        <f ca="1">INDEX(tblRiderCF[[#This Row],[ADD1UnroundedPrem]:[WOP2UnroundedPrem]],MATCH(rider,$K$11:$R$11,0))
*tblRiderCF[[#This Row],[RiderTermFlag]]</f>
        <v>#N/A</v>
      </c>
      <c r="T35" s="150" t="e">
        <f ca="1">tblRiderCF[[#This Row],[UnroundedPrem]]*prem_load</f>
        <v>#N/A</v>
      </c>
      <c r="U35" s="150" t="e">
        <f ca="1">pm_load/1000*tblRiderCF[[#This Row],[SI]]
*tblRiderCF[[#This Row],[RiderTermFlag]]</f>
        <v>#N/A</v>
      </c>
      <c r="V35" s="151" t="e">
        <f ca="1">ROUND(tblRiderCF[[#This Row],[UnroundedPrem]]*V$10,-3)</f>
        <v>#N/A</v>
      </c>
      <c r="W35" t="e">
        <f ca="1">ROUND(tblRiderCF[[#This Row],[UnroundedPremLoad]]*W$10,-3)</f>
        <v>#N/A</v>
      </c>
      <c r="X35" t="e">
        <f ca="1">ROUND(tblRiderCF[[#This Row],[UnroundedPMLoad]]*X$10,-3)</f>
        <v>#N/A</v>
      </c>
      <c r="Y35" t="e">
        <f ca="1">tblRiderCF[[#This Row],[PremLoad]]+tblRiderCF[[#This Row],[PMLoad]]</f>
        <v>#N/A</v>
      </c>
      <c r="Z35" t="e">
        <f ca="1">tblRiderCF[[#This Row],[Prem]]+tblRiderCF[[#This Row],[Load]]</f>
        <v>#N/A</v>
      </c>
      <c r="AA35" t="e">
        <f ca="1">ROUND(tblRiderCF[[#This Row],[UnroundedPrem]]*AA$10,-3)</f>
        <v>#N/A</v>
      </c>
      <c r="AB35" t="e">
        <f ca="1">ROUND(tblRiderCF[[#This Row],[UnroundedPremLoad]]*AB$10,-3)</f>
        <v>#N/A</v>
      </c>
      <c r="AC35" t="e">
        <f ca="1">ROUND(tblRiderCF[[#This Row],[UnroundedPMLoad]]*AC$10,-3)</f>
        <v>#N/A</v>
      </c>
      <c r="AD35" t="e">
        <f ca="1">tblRiderCF[[#This Row],[SemiAnnualPremLoad]]+tblRiderCF[[#This Row],[SemiAnnualPMLoad]]</f>
        <v>#N/A</v>
      </c>
      <c r="AE35" t="e">
        <f ca="1">tblRiderCF[[#This Row],[SemiAnnualPrem]]+tblRiderCF[[#This Row],[SemiAnnualLoad]]</f>
        <v>#N/A</v>
      </c>
      <c r="AF35" t="e">
        <f ca="1">ROUND(tblRiderCF[[#This Row],[UnroundedPrem]]*AF$10,-3)</f>
        <v>#N/A</v>
      </c>
      <c r="AG35" t="e">
        <f ca="1">ROUND(tblRiderCF[[#This Row],[UnroundedPremLoad]]*AG$10,-3)</f>
        <v>#N/A</v>
      </c>
      <c r="AH35" t="e">
        <f ca="1">ROUND(tblRiderCF[[#This Row],[UnroundedPMLoad]]*AH$10,-3)</f>
        <v>#N/A</v>
      </c>
      <c r="AI35" t="e">
        <f ca="1">tblRiderCF[[#This Row],[QuarterlyPremLoad]]+tblRiderCF[[#This Row],[QuarterlyPMLoad]]</f>
        <v>#N/A</v>
      </c>
      <c r="AJ35" t="e">
        <f ca="1">tblRiderCF[[#This Row],[QuarterlyPrem]]+tblRiderCF[[#This Row],[QuarterlyLoad]]</f>
        <v>#N/A</v>
      </c>
      <c r="AK35" t="e">
        <f ca="1">ROUND(tblRiderCF[[#This Row],[UnroundedPrem]]*AK$10,-3)</f>
        <v>#N/A</v>
      </c>
      <c r="AL35" t="e">
        <f ca="1">ROUND(tblRiderCF[[#This Row],[UnroundedPremLoad]]*AL$10,-3)</f>
        <v>#N/A</v>
      </c>
      <c r="AM35" t="e">
        <f ca="1">ROUND(tblRiderCF[[#This Row],[UnroundedPMLoad]]*AM$10,-3)</f>
        <v>#N/A</v>
      </c>
      <c r="AN35" t="e">
        <f ca="1">tblRiderCF[[#This Row],[MonthlyPremLoad]]+tblRiderCF[[#This Row],[MonthlyPMLoad]]</f>
        <v>#N/A</v>
      </c>
      <c r="AO35" t="e">
        <f ca="1">tblRiderCF[[#This Row],[MonthlyPrem]]+tblRiderCF[[#This Row],[MonthlyLoad]]</f>
        <v>#N/A</v>
      </c>
      <c r="AS35">
        <f t="shared" si="5"/>
        <v>0</v>
      </c>
      <c r="AT35">
        <f t="shared" si="1"/>
        <v>0</v>
      </c>
      <c r="AU35">
        <f ca="1">tblRiderCF[[#This Row],[Year]]</f>
        <v>22</v>
      </c>
      <c r="AV35" t="e">
        <f ca="1">tblRiderCF[[#This Row],[Age]]</f>
        <v>#N/A</v>
      </c>
      <c r="AW35">
        <f t="shared" si="2"/>
        <v>0</v>
      </c>
      <c r="AX35" t="e">
        <f t="shared" si="3"/>
        <v>#N/A</v>
      </c>
      <c r="AY35">
        <f t="shared" si="4"/>
        <v>0</v>
      </c>
      <c r="AZ35" s="47" t="e">
        <f ca="1">tblRiderCF[[#This Row],[SI]]</f>
        <v>#N/A</v>
      </c>
      <c r="BA35" t="e">
        <f ca="1">tblRiderCF[[#This Row],[TotalPrem]]</f>
        <v>#N/A</v>
      </c>
      <c r="BB35" t="e">
        <f ca="1">tblRiderCF[[#This Row],[SemiAnnualTotalPrem]]</f>
        <v>#N/A</v>
      </c>
      <c r="BC35" t="e">
        <f ca="1">tblRiderCF[[#This Row],[QuarterlyTotalPrem]]</f>
        <v>#N/A</v>
      </c>
      <c r="BD35" t="e">
        <f ca="1">tblRiderCF[[#This Row],[MonthlyTotalPrem]]</f>
        <v>#N/A</v>
      </c>
      <c r="BG35" t="s">
        <v>135</v>
      </c>
      <c r="BH35" t="s">
        <v>188</v>
      </c>
      <c r="BI35">
        <v>22</v>
      </c>
      <c r="BJ35">
        <v>52</v>
      </c>
      <c r="BK35" t="s">
        <v>480</v>
      </c>
      <c r="BL35">
        <v>30</v>
      </c>
      <c r="BM35">
        <v>0</v>
      </c>
      <c r="BN35">
        <v>120000000</v>
      </c>
      <c r="BO35">
        <v>534000</v>
      </c>
      <c r="BP35">
        <v>267000</v>
      </c>
      <c r="BQ35">
        <v>134000</v>
      </c>
      <c r="BR35">
        <v>45000</v>
      </c>
    </row>
    <row r="36" spans="2:70" x14ac:dyDescent="0.25">
      <c r="B36">
        <f ca="1">OFFSET(tblRiderCF[[#This Row],[Year]],-1,0)+1</f>
        <v>23</v>
      </c>
      <c r="C36" t="e">
        <f ca="1">(tblRiderCF[[#This Row],[Year]]&lt;=term)*1</f>
        <v>#N/A</v>
      </c>
      <c r="D36" t="e">
        <f ca="1">(entry_age+tblRiderCF[[#This Row],[Year]]-1)
*tblRiderCF[[#This Row],[RiderTermFlag]]</f>
        <v>#N/A</v>
      </c>
      <c r="E36" t="e">
        <f ca="1">(risk="Sub-standard")
*tblRiderCF[[#This Row],[RiderTermFlag]]</f>
        <v>#N/A</v>
      </c>
      <c r="F36" t="e">
        <f ca="1">(tblRiderCF[[#This Row],[Year]]&lt;=prem_load_term)
*tblRiderCF[[#This Row],[SubStandardFlag]]</f>
        <v>#N/A</v>
      </c>
      <c r="G36" t="e">
        <f ca="1">(tblRiderCF[[#This Row],[Year]]&lt;=pm_load_term)
*tblRiderCF[[#This Row],[SubStandardFlag]]</f>
        <v>#N/A</v>
      </c>
      <c r="H36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6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6" s="150" t="e" cm="1">
        <f t="array" aca="1" ref="J3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6" s="150" t="e">
        <f ca="1">add_rate*tblRiderCF[[#This Row],[SI]]*(rider=K$11)</f>
        <v>#N/A</v>
      </c>
      <c r="L36" s="150" t="e">
        <f ca="1">INDEX(tblPPDRate[Annualized GPR],MATCH(tblRiderCF[[#This Row],[Age]],tblPPDRate[Min age],1))*tblRiderCF[[#This Row],[SI]]
*(rider=L$11)</f>
        <v>#N/A</v>
      </c>
      <c r="M36" s="150" t="e">
        <f ca="1">INDEX(IF(gender="Male",tblCIR1Rate[Male],tblCIR1Rate[Female]),MATCH(tblRiderCF[[#This Row],[Age]],tblCIR1Rate[Age],0))/1000*tblRiderCF[[#This Row],[SI]]
*(rider=M$11)</f>
        <v>#N/A</v>
      </c>
      <c r="N36" s="150" t="e">
        <f ca="1">INDEX(IF(gender="Male",tblCIR2Rate[Male],tblCIR2Rate[Female]),MATCH(tblRiderCF[[#This Row],[Age]],tblCIR2Rate[Age],0))/1000*tblRiderCF[[#This Row],[SI]]
*(rider=N$11)</f>
        <v>#N/A</v>
      </c>
      <c r="O36" s="150" t="e">
        <f>INDEX(tblHOP2Rate[Premium],MATCH(hop2_option,tblHOP2Rate[Option],0))
*(rider=O$11)</f>
        <v>#N/A</v>
      </c>
      <c r="P36" s="150" t="e">
        <f ca="1">INDEX(Tariff!$CC$5:$CS$44,
MATCH(tblRiderCF[[#This Row],[Age]],Tariff!$CB$5:$CB$44,0),
MATCH(term+1-tblRiderCF[[#This Row],[Year]],Tariff!$CC$4:$CS$4,0))
*(rider=P$11)</f>
        <v>#N/A</v>
      </c>
      <c r="Q36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6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6" s="150" t="e">
        <f ca="1">INDEX(tblRiderCF[[#This Row],[ADD1UnroundedPrem]:[WOP2UnroundedPrem]],MATCH(rider,$K$11:$R$11,0))
*tblRiderCF[[#This Row],[RiderTermFlag]]</f>
        <v>#N/A</v>
      </c>
      <c r="T36" s="150" t="e">
        <f ca="1">tblRiderCF[[#This Row],[UnroundedPrem]]*prem_load</f>
        <v>#N/A</v>
      </c>
      <c r="U36" s="150" t="e">
        <f ca="1">pm_load/1000*tblRiderCF[[#This Row],[SI]]
*tblRiderCF[[#This Row],[RiderTermFlag]]</f>
        <v>#N/A</v>
      </c>
      <c r="V36" s="151" t="e">
        <f ca="1">ROUND(tblRiderCF[[#This Row],[UnroundedPrem]]*V$10,-3)</f>
        <v>#N/A</v>
      </c>
      <c r="W36" t="e">
        <f ca="1">ROUND(tblRiderCF[[#This Row],[UnroundedPremLoad]]*W$10,-3)</f>
        <v>#N/A</v>
      </c>
      <c r="X36" t="e">
        <f ca="1">ROUND(tblRiderCF[[#This Row],[UnroundedPMLoad]]*X$10,-3)</f>
        <v>#N/A</v>
      </c>
      <c r="Y36" t="e">
        <f ca="1">tblRiderCF[[#This Row],[PremLoad]]+tblRiderCF[[#This Row],[PMLoad]]</f>
        <v>#N/A</v>
      </c>
      <c r="Z36" t="e">
        <f ca="1">tblRiderCF[[#This Row],[Prem]]+tblRiderCF[[#This Row],[Load]]</f>
        <v>#N/A</v>
      </c>
      <c r="AA36" t="e">
        <f ca="1">ROUND(tblRiderCF[[#This Row],[UnroundedPrem]]*AA$10,-3)</f>
        <v>#N/A</v>
      </c>
      <c r="AB36" t="e">
        <f ca="1">ROUND(tblRiderCF[[#This Row],[UnroundedPremLoad]]*AB$10,-3)</f>
        <v>#N/A</v>
      </c>
      <c r="AC36" t="e">
        <f ca="1">ROUND(tblRiderCF[[#This Row],[UnroundedPMLoad]]*AC$10,-3)</f>
        <v>#N/A</v>
      </c>
      <c r="AD36" t="e">
        <f ca="1">tblRiderCF[[#This Row],[SemiAnnualPremLoad]]+tblRiderCF[[#This Row],[SemiAnnualPMLoad]]</f>
        <v>#N/A</v>
      </c>
      <c r="AE36" t="e">
        <f ca="1">tblRiderCF[[#This Row],[SemiAnnualPrem]]+tblRiderCF[[#This Row],[SemiAnnualLoad]]</f>
        <v>#N/A</v>
      </c>
      <c r="AF36" t="e">
        <f ca="1">ROUND(tblRiderCF[[#This Row],[UnroundedPrem]]*AF$10,-3)</f>
        <v>#N/A</v>
      </c>
      <c r="AG36" t="e">
        <f ca="1">ROUND(tblRiderCF[[#This Row],[UnroundedPremLoad]]*AG$10,-3)</f>
        <v>#N/A</v>
      </c>
      <c r="AH36" t="e">
        <f ca="1">ROUND(tblRiderCF[[#This Row],[UnroundedPMLoad]]*AH$10,-3)</f>
        <v>#N/A</v>
      </c>
      <c r="AI36" t="e">
        <f ca="1">tblRiderCF[[#This Row],[QuarterlyPremLoad]]+tblRiderCF[[#This Row],[QuarterlyPMLoad]]</f>
        <v>#N/A</v>
      </c>
      <c r="AJ36" t="e">
        <f ca="1">tblRiderCF[[#This Row],[QuarterlyPrem]]+tblRiderCF[[#This Row],[QuarterlyLoad]]</f>
        <v>#N/A</v>
      </c>
      <c r="AK36" t="e">
        <f ca="1">ROUND(tblRiderCF[[#This Row],[UnroundedPrem]]*AK$10,-3)</f>
        <v>#N/A</v>
      </c>
      <c r="AL36" t="e">
        <f ca="1">ROUND(tblRiderCF[[#This Row],[UnroundedPremLoad]]*AL$10,-3)</f>
        <v>#N/A</v>
      </c>
      <c r="AM36" t="e">
        <f ca="1">ROUND(tblRiderCF[[#This Row],[UnroundedPMLoad]]*AM$10,-3)</f>
        <v>#N/A</v>
      </c>
      <c r="AN36" t="e">
        <f ca="1">tblRiderCF[[#This Row],[MonthlyPremLoad]]+tblRiderCF[[#This Row],[MonthlyPMLoad]]</f>
        <v>#N/A</v>
      </c>
      <c r="AO36" t="e">
        <f ca="1">tblRiderCF[[#This Row],[MonthlyPrem]]+tblRiderCF[[#This Row],[MonthlyLoad]]</f>
        <v>#N/A</v>
      </c>
      <c r="AS36">
        <f t="shared" si="5"/>
        <v>0</v>
      </c>
      <c r="AT36">
        <f t="shared" si="1"/>
        <v>0</v>
      </c>
      <c r="AU36">
        <f ca="1">tblRiderCF[[#This Row],[Year]]</f>
        <v>23</v>
      </c>
      <c r="AV36" t="e">
        <f ca="1">tblRiderCF[[#This Row],[Age]]</f>
        <v>#N/A</v>
      </c>
      <c r="AW36">
        <f t="shared" si="2"/>
        <v>0</v>
      </c>
      <c r="AX36" t="e">
        <f t="shared" si="3"/>
        <v>#N/A</v>
      </c>
      <c r="AY36">
        <f t="shared" si="4"/>
        <v>0</v>
      </c>
      <c r="AZ36" s="47" t="e">
        <f ca="1">tblRiderCF[[#This Row],[SI]]</f>
        <v>#N/A</v>
      </c>
      <c r="BA36" t="e">
        <f ca="1">tblRiderCF[[#This Row],[TotalPrem]]</f>
        <v>#N/A</v>
      </c>
      <c r="BB36" t="e">
        <f ca="1">tblRiderCF[[#This Row],[SemiAnnualTotalPrem]]</f>
        <v>#N/A</v>
      </c>
      <c r="BC36" t="e">
        <f ca="1">tblRiderCF[[#This Row],[QuarterlyTotalPrem]]</f>
        <v>#N/A</v>
      </c>
      <c r="BD36" t="e">
        <f ca="1">tblRiderCF[[#This Row],[MonthlyTotalPrem]]</f>
        <v>#N/A</v>
      </c>
      <c r="BG36" t="s">
        <v>135</v>
      </c>
      <c r="BH36" t="s">
        <v>188</v>
      </c>
      <c r="BI36">
        <v>23</v>
      </c>
      <c r="BJ36">
        <v>53</v>
      </c>
      <c r="BK36" t="s">
        <v>480</v>
      </c>
      <c r="BL36">
        <v>30</v>
      </c>
      <c r="BM36">
        <v>0</v>
      </c>
      <c r="BN36">
        <v>120000000</v>
      </c>
      <c r="BO36">
        <v>534000</v>
      </c>
      <c r="BP36">
        <v>267000</v>
      </c>
      <c r="BQ36">
        <v>134000</v>
      </c>
      <c r="BR36">
        <v>45000</v>
      </c>
    </row>
    <row r="37" spans="2:70" x14ac:dyDescent="0.25">
      <c r="B37">
        <f ca="1">OFFSET(tblRiderCF[[#This Row],[Year]],-1,0)+1</f>
        <v>24</v>
      </c>
      <c r="C37" t="e">
        <f ca="1">(tblRiderCF[[#This Row],[Year]]&lt;=term)*1</f>
        <v>#N/A</v>
      </c>
      <c r="D37" t="e">
        <f ca="1">(entry_age+tblRiderCF[[#This Row],[Year]]-1)
*tblRiderCF[[#This Row],[RiderTermFlag]]</f>
        <v>#N/A</v>
      </c>
      <c r="E37" t="e">
        <f ca="1">(risk="Sub-standard")
*tblRiderCF[[#This Row],[RiderTermFlag]]</f>
        <v>#N/A</v>
      </c>
      <c r="F37" t="e">
        <f ca="1">(tblRiderCF[[#This Row],[Year]]&lt;=prem_load_term)
*tblRiderCF[[#This Row],[SubStandardFlag]]</f>
        <v>#N/A</v>
      </c>
      <c r="G37" t="e">
        <f ca="1">(tblRiderCF[[#This Row],[Year]]&lt;=pm_load_term)
*tblRiderCF[[#This Row],[SubStandardFlag]]</f>
        <v>#N/A</v>
      </c>
      <c r="H37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7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7" s="150" t="e" cm="1">
        <f t="array" aca="1" ref="J3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7" s="150" t="e">
        <f ca="1">add_rate*tblRiderCF[[#This Row],[SI]]*(rider=K$11)</f>
        <v>#N/A</v>
      </c>
      <c r="L37" s="150" t="e">
        <f ca="1">INDEX(tblPPDRate[Annualized GPR],MATCH(tblRiderCF[[#This Row],[Age]],tblPPDRate[Min age],1))*tblRiderCF[[#This Row],[SI]]
*(rider=L$11)</f>
        <v>#N/A</v>
      </c>
      <c r="M37" s="150" t="e">
        <f ca="1">INDEX(IF(gender="Male",tblCIR1Rate[Male],tblCIR1Rate[Female]),MATCH(tblRiderCF[[#This Row],[Age]],tblCIR1Rate[Age],0))/1000*tblRiderCF[[#This Row],[SI]]
*(rider=M$11)</f>
        <v>#N/A</v>
      </c>
      <c r="N37" s="150" t="e">
        <f ca="1">INDEX(IF(gender="Male",tblCIR2Rate[Male],tblCIR2Rate[Female]),MATCH(tblRiderCF[[#This Row],[Age]],tblCIR2Rate[Age],0))/1000*tblRiderCF[[#This Row],[SI]]
*(rider=N$11)</f>
        <v>#N/A</v>
      </c>
      <c r="O37" s="150" t="e">
        <f>INDEX(tblHOP2Rate[Premium],MATCH(hop2_option,tblHOP2Rate[Option],0))
*(rider=O$11)</f>
        <v>#N/A</v>
      </c>
      <c r="P37" s="150" t="e">
        <f ca="1">INDEX(Tariff!$CC$5:$CS$44,
MATCH(tblRiderCF[[#This Row],[Age]],Tariff!$CB$5:$CB$44,0),
MATCH(term+1-tblRiderCF[[#This Row],[Year]],Tariff!$CC$4:$CS$4,0))
*(rider=P$11)</f>
        <v>#N/A</v>
      </c>
      <c r="Q37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7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7" s="150" t="e">
        <f ca="1">INDEX(tblRiderCF[[#This Row],[ADD1UnroundedPrem]:[WOP2UnroundedPrem]],MATCH(rider,$K$11:$R$11,0))
*tblRiderCF[[#This Row],[RiderTermFlag]]</f>
        <v>#N/A</v>
      </c>
      <c r="T37" s="150" t="e">
        <f ca="1">tblRiderCF[[#This Row],[UnroundedPrem]]*prem_load</f>
        <v>#N/A</v>
      </c>
      <c r="U37" s="150" t="e">
        <f ca="1">pm_load/1000*tblRiderCF[[#This Row],[SI]]
*tblRiderCF[[#This Row],[RiderTermFlag]]</f>
        <v>#N/A</v>
      </c>
      <c r="V37" s="151" t="e">
        <f ca="1">ROUND(tblRiderCF[[#This Row],[UnroundedPrem]]*V$10,-3)</f>
        <v>#N/A</v>
      </c>
      <c r="W37" t="e">
        <f ca="1">ROUND(tblRiderCF[[#This Row],[UnroundedPremLoad]]*W$10,-3)</f>
        <v>#N/A</v>
      </c>
      <c r="X37" t="e">
        <f ca="1">ROUND(tblRiderCF[[#This Row],[UnroundedPMLoad]]*X$10,-3)</f>
        <v>#N/A</v>
      </c>
      <c r="Y37" t="e">
        <f ca="1">tblRiderCF[[#This Row],[PremLoad]]+tblRiderCF[[#This Row],[PMLoad]]</f>
        <v>#N/A</v>
      </c>
      <c r="Z37" t="e">
        <f ca="1">tblRiderCF[[#This Row],[Prem]]+tblRiderCF[[#This Row],[Load]]</f>
        <v>#N/A</v>
      </c>
      <c r="AA37" t="e">
        <f ca="1">ROUND(tblRiderCF[[#This Row],[UnroundedPrem]]*AA$10,-3)</f>
        <v>#N/A</v>
      </c>
      <c r="AB37" t="e">
        <f ca="1">ROUND(tblRiderCF[[#This Row],[UnroundedPremLoad]]*AB$10,-3)</f>
        <v>#N/A</v>
      </c>
      <c r="AC37" t="e">
        <f ca="1">ROUND(tblRiderCF[[#This Row],[UnroundedPMLoad]]*AC$10,-3)</f>
        <v>#N/A</v>
      </c>
      <c r="AD37" t="e">
        <f ca="1">tblRiderCF[[#This Row],[SemiAnnualPremLoad]]+tblRiderCF[[#This Row],[SemiAnnualPMLoad]]</f>
        <v>#N/A</v>
      </c>
      <c r="AE37" t="e">
        <f ca="1">tblRiderCF[[#This Row],[SemiAnnualPrem]]+tblRiderCF[[#This Row],[SemiAnnualLoad]]</f>
        <v>#N/A</v>
      </c>
      <c r="AF37" t="e">
        <f ca="1">ROUND(tblRiderCF[[#This Row],[UnroundedPrem]]*AF$10,-3)</f>
        <v>#N/A</v>
      </c>
      <c r="AG37" t="e">
        <f ca="1">ROUND(tblRiderCF[[#This Row],[UnroundedPremLoad]]*AG$10,-3)</f>
        <v>#N/A</v>
      </c>
      <c r="AH37" t="e">
        <f ca="1">ROUND(tblRiderCF[[#This Row],[UnroundedPMLoad]]*AH$10,-3)</f>
        <v>#N/A</v>
      </c>
      <c r="AI37" t="e">
        <f ca="1">tblRiderCF[[#This Row],[QuarterlyPremLoad]]+tblRiderCF[[#This Row],[QuarterlyPMLoad]]</f>
        <v>#N/A</v>
      </c>
      <c r="AJ37" t="e">
        <f ca="1">tblRiderCF[[#This Row],[QuarterlyPrem]]+tblRiderCF[[#This Row],[QuarterlyLoad]]</f>
        <v>#N/A</v>
      </c>
      <c r="AK37" t="e">
        <f ca="1">ROUND(tblRiderCF[[#This Row],[UnroundedPrem]]*AK$10,-3)</f>
        <v>#N/A</v>
      </c>
      <c r="AL37" t="e">
        <f ca="1">ROUND(tblRiderCF[[#This Row],[UnroundedPremLoad]]*AL$10,-3)</f>
        <v>#N/A</v>
      </c>
      <c r="AM37" t="e">
        <f ca="1">ROUND(tblRiderCF[[#This Row],[UnroundedPMLoad]]*AM$10,-3)</f>
        <v>#N/A</v>
      </c>
      <c r="AN37" t="e">
        <f ca="1">tblRiderCF[[#This Row],[MonthlyPremLoad]]+tblRiderCF[[#This Row],[MonthlyPMLoad]]</f>
        <v>#N/A</v>
      </c>
      <c r="AO37" t="e">
        <f ca="1">tblRiderCF[[#This Row],[MonthlyPrem]]+tblRiderCF[[#This Row],[MonthlyLoad]]</f>
        <v>#N/A</v>
      </c>
      <c r="AS37">
        <f t="shared" si="5"/>
        <v>0</v>
      </c>
      <c r="AT37">
        <f t="shared" si="1"/>
        <v>0</v>
      </c>
      <c r="AU37">
        <f ca="1">tblRiderCF[[#This Row],[Year]]</f>
        <v>24</v>
      </c>
      <c r="AV37" t="e">
        <f ca="1">tblRiderCF[[#This Row],[Age]]</f>
        <v>#N/A</v>
      </c>
      <c r="AW37">
        <f t="shared" si="2"/>
        <v>0</v>
      </c>
      <c r="AX37" t="e">
        <f t="shared" si="3"/>
        <v>#N/A</v>
      </c>
      <c r="AY37">
        <f t="shared" si="4"/>
        <v>0</v>
      </c>
      <c r="AZ37" s="47" t="e">
        <f ca="1">tblRiderCF[[#This Row],[SI]]</f>
        <v>#N/A</v>
      </c>
      <c r="BA37" t="e">
        <f ca="1">tblRiderCF[[#This Row],[TotalPrem]]</f>
        <v>#N/A</v>
      </c>
      <c r="BB37" t="e">
        <f ca="1">tblRiderCF[[#This Row],[SemiAnnualTotalPrem]]</f>
        <v>#N/A</v>
      </c>
      <c r="BC37" t="e">
        <f ca="1">tblRiderCF[[#This Row],[QuarterlyTotalPrem]]</f>
        <v>#N/A</v>
      </c>
      <c r="BD37" t="e">
        <f ca="1">tblRiderCF[[#This Row],[MonthlyTotalPrem]]</f>
        <v>#N/A</v>
      </c>
      <c r="BG37" t="s">
        <v>135</v>
      </c>
      <c r="BH37" t="s">
        <v>188</v>
      </c>
      <c r="BI37">
        <v>24</v>
      </c>
      <c r="BJ37">
        <v>54</v>
      </c>
      <c r="BK37" t="s">
        <v>480</v>
      </c>
      <c r="BL37">
        <v>30</v>
      </c>
      <c r="BM37">
        <v>0</v>
      </c>
      <c r="BN37">
        <v>120000000</v>
      </c>
      <c r="BO37">
        <v>534000</v>
      </c>
      <c r="BP37">
        <v>267000</v>
      </c>
      <c r="BQ37">
        <v>134000</v>
      </c>
      <c r="BR37">
        <v>45000</v>
      </c>
    </row>
    <row r="38" spans="2:70" x14ac:dyDescent="0.25">
      <c r="B38">
        <f ca="1">OFFSET(tblRiderCF[[#This Row],[Year]],-1,0)+1</f>
        <v>25</v>
      </c>
      <c r="C38" t="e">
        <f ca="1">(tblRiderCF[[#This Row],[Year]]&lt;=term)*1</f>
        <v>#N/A</v>
      </c>
      <c r="D38" t="e">
        <f ca="1">(entry_age+tblRiderCF[[#This Row],[Year]]-1)
*tblRiderCF[[#This Row],[RiderTermFlag]]</f>
        <v>#N/A</v>
      </c>
      <c r="E38" t="e">
        <f ca="1">(risk="Sub-standard")
*tblRiderCF[[#This Row],[RiderTermFlag]]</f>
        <v>#N/A</v>
      </c>
      <c r="F38" t="e">
        <f ca="1">(tblRiderCF[[#This Row],[Year]]&lt;=prem_load_term)
*tblRiderCF[[#This Row],[SubStandardFlag]]</f>
        <v>#N/A</v>
      </c>
      <c r="G38" t="e">
        <f ca="1">(tblRiderCF[[#This Row],[Year]]&lt;=pm_load_term)
*tblRiderCF[[#This Row],[SubStandardFlag]]</f>
        <v>#N/A</v>
      </c>
      <c r="H38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8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8" s="150" t="e" cm="1">
        <f t="array" aca="1" ref="J3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8" s="150" t="e">
        <f ca="1">add_rate*tblRiderCF[[#This Row],[SI]]*(rider=K$11)</f>
        <v>#N/A</v>
      </c>
      <c r="L38" s="150" t="e">
        <f ca="1">INDEX(tblPPDRate[Annualized GPR],MATCH(tblRiderCF[[#This Row],[Age]],tblPPDRate[Min age],1))*tblRiderCF[[#This Row],[SI]]
*(rider=L$11)</f>
        <v>#N/A</v>
      </c>
      <c r="M38" s="150" t="e">
        <f ca="1">INDEX(IF(gender="Male",tblCIR1Rate[Male],tblCIR1Rate[Female]),MATCH(tblRiderCF[[#This Row],[Age]],tblCIR1Rate[Age],0))/1000*tblRiderCF[[#This Row],[SI]]
*(rider=M$11)</f>
        <v>#N/A</v>
      </c>
      <c r="N38" s="150" t="e">
        <f ca="1">INDEX(IF(gender="Male",tblCIR2Rate[Male],tblCIR2Rate[Female]),MATCH(tblRiderCF[[#This Row],[Age]],tblCIR2Rate[Age],0))/1000*tblRiderCF[[#This Row],[SI]]
*(rider=N$11)</f>
        <v>#N/A</v>
      </c>
      <c r="O38" s="150" t="e">
        <f>INDEX(tblHOP2Rate[Premium],MATCH(hop2_option,tblHOP2Rate[Option],0))
*(rider=O$11)</f>
        <v>#N/A</v>
      </c>
      <c r="P38" s="150" t="e">
        <f ca="1">INDEX(Tariff!$CC$5:$CS$44,
MATCH(tblRiderCF[[#This Row],[Age]],Tariff!$CB$5:$CB$44,0),
MATCH(term+1-tblRiderCF[[#This Row],[Year]],Tariff!$CC$4:$CS$4,0))
*(rider=P$11)</f>
        <v>#N/A</v>
      </c>
      <c r="Q38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8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8" s="150" t="e">
        <f ca="1">INDEX(tblRiderCF[[#This Row],[ADD1UnroundedPrem]:[WOP2UnroundedPrem]],MATCH(rider,$K$11:$R$11,0))
*tblRiderCF[[#This Row],[RiderTermFlag]]</f>
        <v>#N/A</v>
      </c>
      <c r="T38" s="150" t="e">
        <f ca="1">tblRiderCF[[#This Row],[UnroundedPrem]]*prem_load</f>
        <v>#N/A</v>
      </c>
      <c r="U38" s="150" t="e">
        <f ca="1">pm_load/1000*tblRiderCF[[#This Row],[SI]]
*tblRiderCF[[#This Row],[RiderTermFlag]]</f>
        <v>#N/A</v>
      </c>
      <c r="V38" s="151" t="e">
        <f ca="1">ROUND(tblRiderCF[[#This Row],[UnroundedPrem]]*V$10,-3)</f>
        <v>#N/A</v>
      </c>
      <c r="W38" t="e">
        <f ca="1">ROUND(tblRiderCF[[#This Row],[UnroundedPremLoad]]*W$10,-3)</f>
        <v>#N/A</v>
      </c>
      <c r="X38" t="e">
        <f ca="1">ROUND(tblRiderCF[[#This Row],[UnroundedPMLoad]]*X$10,-3)</f>
        <v>#N/A</v>
      </c>
      <c r="Y38" t="e">
        <f ca="1">tblRiderCF[[#This Row],[PremLoad]]+tblRiderCF[[#This Row],[PMLoad]]</f>
        <v>#N/A</v>
      </c>
      <c r="Z38" t="e">
        <f ca="1">tblRiderCF[[#This Row],[Prem]]+tblRiderCF[[#This Row],[Load]]</f>
        <v>#N/A</v>
      </c>
      <c r="AA38" t="e">
        <f ca="1">ROUND(tblRiderCF[[#This Row],[UnroundedPrem]]*AA$10,-3)</f>
        <v>#N/A</v>
      </c>
      <c r="AB38" t="e">
        <f ca="1">ROUND(tblRiderCF[[#This Row],[UnroundedPremLoad]]*AB$10,-3)</f>
        <v>#N/A</v>
      </c>
      <c r="AC38" t="e">
        <f ca="1">ROUND(tblRiderCF[[#This Row],[UnroundedPMLoad]]*AC$10,-3)</f>
        <v>#N/A</v>
      </c>
      <c r="AD38" t="e">
        <f ca="1">tblRiderCF[[#This Row],[SemiAnnualPremLoad]]+tblRiderCF[[#This Row],[SemiAnnualPMLoad]]</f>
        <v>#N/A</v>
      </c>
      <c r="AE38" t="e">
        <f ca="1">tblRiderCF[[#This Row],[SemiAnnualPrem]]+tblRiderCF[[#This Row],[SemiAnnualLoad]]</f>
        <v>#N/A</v>
      </c>
      <c r="AF38" t="e">
        <f ca="1">ROUND(tblRiderCF[[#This Row],[UnroundedPrem]]*AF$10,-3)</f>
        <v>#N/A</v>
      </c>
      <c r="AG38" t="e">
        <f ca="1">ROUND(tblRiderCF[[#This Row],[UnroundedPremLoad]]*AG$10,-3)</f>
        <v>#N/A</v>
      </c>
      <c r="AH38" t="e">
        <f ca="1">ROUND(tblRiderCF[[#This Row],[UnroundedPMLoad]]*AH$10,-3)</f>
        <v>#N/A</v>
      </c>
      <c r="AI38" t="e">
        <f ca="1">tblRiderCF[[#This Row],[QuarterlyPremLoad]]+tblRiderCF[[#This Row],[QuarterlyPMLoad]]</f>
        <v>#N/A</v>
      </c>
      <c r="AJ38" t="e">
        <f ca="1">tblRiderCF[[#This Row],[QuarterlyPrem]]+tblRiderCF[[#This Row],[QuarterlyLoad]]</f>
        <v>#N/A</v>
      </c>
      <c r="AK38" t="e">
        <f ca="1">ROUND(tblRiderCF[[#This Row],[UnroundedPrem]]*AK$10,-3)</f>
        <v>#N/A</v>
      </c>
      <c r="AL38" t="e">
        <f ca="1">ROUND(tblRiderCF[[#This Row],[UnroundedPremLoad]]*AL$10,-3)</f>
        <v>#N/A</v>
      </c>
      <c r="AM38" t="e">
        <f ca="1">ROUND(tblRiderCF[[#This Row],[UnroundedPMLoad]]*AM$10,-3)</f>
        <v>#N/A</v>
      </c>
      <c r="AN38" t="e">
        <f ca="1">tblRiderCF[[#This Row],[MonthlyPremLoad]]+tblRiderCF[[#This Row],[MonthlyPMLoad]]</f>
        <v>#N/A</v>
      </c>
      <c r="AO38" t="e">
        <f ca="1">tblRiderCF[[#This Row],[MonthlyPrem]]+tblRiderCF[[#This Row],[MonthlyLoad]]</f>
        <v>#N/A</v>
      </c>
      <c r="AS38">
        <f t="shared" si="5"/>
        <v>0</v>
      </c>
      <c r="AT38">
        <f t="shared" si="1"/>
        <v>0</v>
      </c>
      <c r="AU38">
        <f ca="1">tblRiderCF[[#This Row],[Year]]</f>
        <v>25</v>
      </c>
      <c r="AV38" t="e">
        <f ca="1">tblRiderCF[[#This Row],[Age]]</f>
        <v>#N/A</v>
      </c>
      <c r="AW38">
        <f t="shared" si="2"/>
        <v>0</v>
      </c>
      <c r="AX38" t="e">
        <f t="shared" si="3"/>
        <v>#N/A</v>
      </c>
      <c r="AY38">
        <f t="shared" si="4"/>
        <v>0</v>
      </c>
      <c r="AZ38" s="47" t="e">
        <f ca="1">tblRiderCF[[#This Row],[SI]]</f>
        <v>#N/A</v>
      </c>
      <c r="BA38" t="e">
        <f ca="1">tblRiderCF[[#This Row],[TotalPrem]]</f>
        <v>#N/A</v>
      </c>
      <c r="BB38" t="e">
        <f ca="1">tblRiderCF[[#This Row],[SemiAnnualTotalPrem]]</f>
        <v>#N/A</v>
      </c>
      <c r="BC38" t="e">
        <f ca="1">tblRiderCF[[#This Row],[QuarterlyTotalPrem]]</f>
        <v>#N/A</v>
      </c>
      <c r="BD38" t="e">
        <f ca="1">tblRiderCF[[#This Row],[MonthlyTotalPrem]]</f>
        <v>#N/A</v>
      </c>
      <c r="BG38" t="s">
        <v>135</v>
      </c>
      <c r="BH38" t="s">
        <v>188</v>
      </c>
      <c r="BI38">
        <v>25</v>
      </c>
      <c r="BJ38">
        <v>55</v>
      </c>
      <c r="BK38" t="s">
        <v>480</v>
      </c>
      <c r="BL38">
        <v>30</v>
      </c>
      <c r="BM38">
        <v>0</v>
      </c>
      <c r="BN38">
        <v>120000000</v>
      </c>
      <c r="BO38">
        <v>534000</v>
      </c>
      <c r="BP38">
        <v>267000</v>
      </c>
      <c r="BQ38">
        <v>134000</v>
      </c>
      <c r="BR38">
        <v>45000</v>
      </c>
    </row>
    <row r="39" spans="2:70" x14ac:dyDescent="0.25">
      <c r="B39">
        <f ca="1">OFFSET(tblRiderCF[[#This Row],[Year]],-1,0)+1</f>
        <v>26</v>
      </c>
      <c r="C39" t="e">
        <f ca="1">(tblRiderCF[[#This Row],[Year]]&lt;=term)*1</f>
        <v>#N/A</v>
      </c>
      <c r="D39" t="e">
        <f ca="1">(entry_age+tblRiderCF[[#This Row],[Year]]-1)
*tblRiderCF[[#This Row],[RiderTermFlag]]</f>
        <v>#N/A</v>
      </c>
      <c r="E39" t="e">
        <f ca="1">(risk="Sub-standard")
*tblRiderCF[[#This Row],[RiderTermFlag]]</f>
        <v>#N/A</v>
      </c>
      <c r="F39" t="e">
        <f ca="1">(tblRiderCF[[#This Row],[Year]]&lt;=prem_load_term)
*tblRiderCF[[#This Row],[SubStandardFlag]]</f>
        <v>#N/A</v>
      </c>
      <c r="G39" t="e">
        <f ca="1">(tblRiderCF[[#This Row],[Year]]&lt;=pm_load_term)
*tblRiderCF[[#This Row],[SubStandardFlag]]</f>
        <v>#N/A</v>
      </c>
      <c r="H39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39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39" s="150" t="e" cm="1">
        <f t="array" aca="1" ref="J3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39" s="150" t="e">
        <f ca="1">add_rate*tblRiderCF[[#This Row],[SI]]*(rider=K$11)</f>
        <v>#N/A</v>
      </c>
      <c r="L39" s="150" t="e">
        <f ca="1">INDEX(tblPPDRate[Annualized GPR],MATCH(tblRiderCF[[#This Row],[Age]],tblPPDRate[Min age],1))*tblRiderCF[[#This Row],[SI]]
*(rider=L$11)</f>
        <v>#N/A</v>
      </c>
      <c r="M39" s="150" t="e">
        <f ca="1">INDEX(IF(gender="Male",tblCIR1Rate[Male],tblCIR1Rate[Female]),MATCH(tblRiderCF[[#This Row],[Age]],tblCIR1Rate[Age],0))/1000*tblRiderCF[[#This Row],[SI]]
*(rider=M$11)</f>
        <v>#N/A</v>
      </c>
      <c r="N39" s="150" t="e">
        <f ca="1">INDEX(IF(gender="Male",tblCIR2Rate[Male],tblCIR2Rate[Female]),MATCH(tblRiderCF[[#This Row],[Age]],tblCIR2Rate[Age],0))/1000*tblRiderCF[[#This Row],[SI]]
*(rider=N$11)</f>
        <v>#N/A</v>
      </c>
      <c r="O39" s="150" t="e">
        <f>INDEX(tblHOP2Rate[Premium],MATCH(hop2_option,tblHOP2Rate[Option],0))
*(rider=O$11)</f>
        <v>#N/A</v>
      </c>
      <c r="P39" s="150" t="e">
        <f ca="1">INDEX(Tariff!$CC$5:$CS$44,
MATCH(tblRiderCF[[#This Row],[Age]],Tariff!$CB$5:$CB$44,0),
MATCH(term+1-tblRiderCF[[#This Row],[Year]],Tariff!$CC$4:$CS$4,0))
*(rider=P$11)</f>
        <v>#N/A</v>
      </c>
      <c r="Q39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39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39" s="150" t="e">
        <f ca="1">INDEX(tblRiderCF[[#This Row],[ADD1UnroundedPrem]:[WOP2UnroundedPrem]],MATCH(rider,$K$11:$R$11,0))
*tblRiderCF[[#This Row],[RiderTermFlag]]</f>
        <v>#N/A</v>
      </c>
      <c r="T39" s="150" t="e">
        <f ca="1">tblRiderCF[[#This Row],[UnroundedPrem]]*prem_load</f>
        <v>#N/A</v>
      </c>
      <c r="U39" s="150" t="e">
        <f ca="1">pm_load/1000*tblRiderCF[[#This Row],[SI]]
*tblRiderCF[[#This Row],[RiderTermFlag]]</f>
        <v>#N/A</v>
      </c>
      <c r="V39" s="151" t="e">
        <f ca="1">ROUND(tblRiderCF[[#This Row],[UnroundedPrem]]*V$10,-3)</f>
        <v>#N/A</v>
      </c>
      <c r="W39" t="e">
        <f ca="1">ROUND(tblRiderCF[[#This Row],[UnroundedPremLoad]]*W$10,-3)</f>
        <v>#N/A</v>
      </c>
      <c r="X39" t="e">
        <f ca="1">ROUND(tblRiderCF[[#This Row],[UnroundedPMLoad]]*X$10,-3)</f>
        <v>#N/A</v>
      </c>
      <c r="Y39" t="e">
        <f ca="1">tblRiderCF[[#This Row],[PremLoad]]+tblRiderCF[[#This Row],[PMLoad]]</f>
        <v>#N/A</v>
      </c>
      <c r="Z39" t="e">
        <f ca="1">tblRiderCF[[#This Row],[Prem]]+tblRiderCF[[#This Row],[Load]]</f>
        <v>#N/A</v>
      </c>
      <c r="AA39" t="e">
        <f ca="1">ROUND(tblRiderCF[[#This Row],[UnroundedPrem]]*AA$10,-3)</f>
        <v>#N/A</v>
      </c>
      <c r="AB39" t="e">
        <f ca="1">ROUND(tblRiderCF[[#This Row],[UnroundedPremLoad]]*AB$10,-3)</f>
        <v>#N/A</v>
      </c>
      <c r="AC39" t="e">
        <f ca="1">ROUND(tblRiderCF[[#This Row],[UnroundedPMLoad]]*AC$10,-3)</f>
        <v>#N/A</v>
      </c>
      <c r="AD39" t="e">
        <f ca="1">tblRiderCF[[#This Row],[SemiAnnualPremLoad]]+tblRiderCF[[#This Row],[SemiAnnualPMLoad]]</f>
        <v>#N/A</v>
      </c>
      <c r="AE39" t="e">
        <f ca="1">tblRiderCF[[#This Row],[SemiAnnualPrem]]+tblRiderCF[[#This Row],[SemiAnnualLoad]]</f>
        <v>#N/A</v>
      </c>
      <c r="AF39" t="e">
        <f ca="1">ROUND(tblRiderCF[[#This Row],[UnroundedPrem]]*AF$10,-3)</f>
        <v>#N/A</v>
      </c>
      <c r="AG39" t="e">
        <f ca="1">ROUND(tblRiderCF[[#This Row],[UnroundedPremLoad]]*AG$10,-3)</f>
        <v>#N/A</v>
      </c>
      <c r="AH39" t="e">
        <f ca="1">ROUND(tblRiderCF[[#This Row],[UnroundedPMLoad]]*AH$10,-3)</f>
        <v>#N/A</v>
      </c>
      <c r="AI39" t="e">
        <f ca="1">tblRiderCF[[#This Row],[QuarterlyPremLoad]]+tblRiderCF[[#This Row],[QuarterlyPMLoad]]</f>
        <v>#N/A</v>
      </c>
      <c r="AJ39" t="e">
        <f ca="1">tblRiderCF[[#This Row],[QuarterlyPrem]]+tblRiderCF[[#This Row],[QuarterlyLoad]]</f>
        <v>#N/A</v>
      </c>
      <c r="AK39" t="e">
        <f ca="1">ROUND(tblRiderCF[[#This Row],[UnroundedPrem]]*AK$10,-3)</f>
        <v>#N/A</v>
      </c>
      <c r="AL39" t="e">
        <f ca="1">ROUND(tblRiderCF[[#This Row],[UnroundedPremLoad]]*AL$10,-3)</f>
        <v>#N/A</v>
      </c>
      <c r="AM39" t="e">
        <f ca="1">ROUND(tblRiderCF[[#This Row],[UnroundedPMLoad]]*AM$10,-3)</f>
        <v>#N/A</v>
      </c>
      <c r="AN39" t="e">
        <f ca="1">tblRiderCF[[#This Row],[MonthlyPremLoad]]+tblRiderCF[[#This Row],[MonthlyPMLoad]]</f>
        <v>#N/A</v>
      </c>
      <c r="AO39" t="e">
        <f ca="1">tblRiderCF[[#This Row],[MonthlyPrem]]+tblRiderCF[[#This Row],[MonthlyLoad]]</f>
        <v>#N/A</v>
      </c>
      <c r="AS39">
        <f t="shared" si="5"/>
        <v>0</v>
      </c>
      <c r="AT39">
        <f t="shared" si="1"/>
        <v>0</v>
      </c>
      <c r="AU39">
        <f ca="1">tblRiderCF[[#This Row],[Year]]</f>
        <v>26</v>
      </c>
      <c r="AV39" t="e">
        <f ca="1">tblRiderCF[[#This Row],[Age]]</f>
        <v>#N/A</v>
      </c>
      <c r="AW39">
        <f t="shared" si="2"/>
        <v>0</v>
      </c>
      <c r="AX39" t="e">
        <f t="shared" si="3"/>
        <v>#N/A</v>
      </c>
      <c r="AY39">
        <f t="shared" si="4"/>
        <v>0</v>
      </c>
      <c r="AZ39" s="47" t="e">
        <f ca="1">tblRiderCF[[#This Row],[SI]]</f>
        <v>#N/A</v>
      </c>
      <c r="BA39" t="e">
        <f ca="1">tblRiderCF[[#This Row],[TotalPrem]]</f>
        <v>#N/A</v>
      </c>
      <c r="BB39" t="e">
        <f ca="1">tblRiderCF[[#This Row],[SemiAnnualTotalPrem]]</f>
        <v>#N/A</v>
      </c>
      <c r="BC39" t="e">
        <f ca="1">tblRiderCF[[#This Row],[QuarterlyTotalPrem]]</f>
        <v>#N/A</v>
      </c>
      <c r="BD39" t="e">
        <f ca="1">tblRiderCF[[#This Row],[MonthlyTotalPrem]]</f>
        <v>#N/A</v>
      </c>
      <c r="BG39" t="s">
        <v>135</v>
      </c>
      <c r="BH39" t="s">
        <v>188</v>
      </c>
      <c r="BI39">
        <v>26</v>
      </c>
      <c r="BJ39">
        <v>56</v>
      </c>
      <c r="BK39" t="s">
        <v>480</v>
      </c>
      <c r="BL39">
        <v>30</v>
      </c>
      <c r="BM39">
        <v>0</v>
      </c>
      <c r="BN39">
        <v>120000000</v>
      </c>
      <c r="BO39">
        <v>534000</v>
      </c>
      <c r="BP39">
        <v>267000</v>
      </c>
      <c r="BQ39">
        <v>134000</v>
      </c>
      <c r="BR39">
        <v>45000</v>
      </c>
    </row>
    <row r="40" spans="2:70" x14ac:dyDescent="0.25">
      <c r="B40">
        <f ca="1">OFFSET(tblRiderCF[[#This Row],[Year]],-1,0)+1</f>
        <v>27</v>
      </c>
      <c r="C40" t="e">
        <f ca="1">(tblRiderCF[[#This Row],[Year]]&lt;=term)*1</f>
        <v>#N/A</v>
      </c>
      <c r="D40" t="e">
        <f ca="1">(entry_age+tblRiderCF[[#This Row],[Year]]-1)
*tblRiderCF[[#This Row],[RiderTermFlag]]</f>
        <v>#N/A</v>
      </c>
      <c r="E40" t="e">
        <f ca="1">(risk="Sub-standard")
*tblRiderCF[[#This Row],[RiderTermFlag]]</f>
        <v>#N/A</v>
      </c>
      <c r="F40" t="e">
        <f ca="1">(tblRiderCF[[#This Row],[Year]]&lt;=prem_load_term)
*tblRiderCF[[#This Row],[SubStandardFlag]]</f>
        <v>#N/A</v>
      </c>
      <c r="G40" t="e">
        <f ca="1">(tblRiderCF[[#This Row],[Year]]&lt;=pm_load_term)
*tblRiderCF[[#This Row],[SubStandardFlag]]</f>
        <v>#N/A</v>
      </c>
      <c r="H40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0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0" s="150" t="e" cm="1">
        <f t="array" aca="1" ref="J4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0" s="150" t="e">
        <f ca="1">add_rate*tblRiderCF[[#This Row],[SI]]*(rider=K$11)</f>
        <v>#N/A</v>
      </c>
      <c r="L40" s="150" t="e">
        <f ca="1">INDEX(tblPPDRate[Annualized GPR],MATCH(tblRiderCF[[#This Row],[Age]],tblPPDRate[Min age],1))*tblRiderCF[[#This Row],[SI]]
*(rider=L$11)</f>
        <v>#N/A</v>
      </c>
      <c r="M40" s="150" t="e">
        <f ca="1">INDEX(IF(gender="Male",tblCIR1Rate[Male],tblCIR1Rate[Female]),MATCH(tblRiderCF[[#This Row],[Age]],tblCIR1Rate[Age],0))/1000*tblRiderCF[[#This Row],[SI]]
*(rider=M$11)</f>
        <v>#N/A</v>
      </c>
      <c r="N40" s="150" t="e">
        <f ca="1">INDEX(IF(gender="Male",tblCIR2Rate[Male],tblCIR2Rate[Female]),MATCH(tblRiderCF[[#This Row],[Age]],tblCIR2Rate[Age],0))/1000*tblRiderCF[[#This Row],[SI]]
*(rider=N$11)</f>
        <v>#N/A</v>
      </c>
      <c r="O40" s="150" t="e">
        <f>INDEX(tblHOP2Rate[Premium],MATCH(hop2_option,tblHOP2Rate[Option],0))
*(rider=O$11)</f>
        <v>#N/A</v>
      </c>
      <c r="P40" s="150" t="e">
        <f ca="1">INDEX(Tariff!$CC$5:$CS$44,
MATCH(tblRiderCF[[#This Row],[Age]],Tariff!$CB$5:$CB$44,0),
MATCH(term+1-tblRiderCF[[#This Row],[Year]],Tariff!$CC$4:$CS$4,0))
*(rider=P$11)</f>
        <v>#N/A</v>
      </c>
      <c r="Q40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0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0" s="150" t="e">
        <f ca="1">INDEX(tblRiderCF[[#This Row],[ADD1UnroundedPrem]:[WOP2UnroundedPrem]],MATCH(rider,$K$11:$R$11,0))
*tblRiderCF[[#This Row],[RiderTermFlag]]</f>
        <v>#N/A</v>
      </c>
      <c r="T40" s="150" t="e">
        <f ca="1">tblRiderCF[[#This Row],[UnroundedPrem]]*prem_load</f>
        <v>#N/A</v>
      </c>
      <c r="U40" s="150" t="e">
        <f ca="1">pm_load/1000*tblRiderCF[[#This Row],[SI]]
*tblRiderCF[[#This Row],[RiderTermFlag]]</f>
        <v>#N/A</v>
      </c>
      <c r="V40" s="151" t="e">
        <f ca="1">ROUND(tblRiderCF[[#This Row],[UnroundedPrem]]*V$10,-3)</f>
        <v>#N/A</v>
      </c>
      <c r="W40" t="e">
        <f ca="1">ROUND(tblRiderCF[[#This Row],[UnroundedPremLoad]]*W$10,-3)</f>
        <v>#N/A</v>
      </c>
      <c r="X40" t="e">
        <f ca="1">ROUND(tblRiderCF[[#This Row],[UnroundedPMLoad]]*X$10,-3)</f>
        <v>#N/A</v>
      </c>
      <c r="Y40" t="e">
        <f ca="1">tblRiderCF[[#This Row],[PremLoad]]+tblRiderCF[[#This Row],[PMLoad]]</f>
        <v>#N/A</v>
      </c>
      <c r="Z40" t="e">
        <f ca="1">tblRiderCF[[#This Row],[Prem]]+tblRiderCF[[#This Row],[Load]]</f>
        <v>#N/A</v>
      </c>
      <c r="AA40" t="e">
        <f ca="1">ROUND(tblRiderCF[[#This Row],[UnroundedPrem]]*AA$10,-3)</f>
        <v>#N/A</v>
      </c>
      <c r="AB40" t="e">
        <f ca="1">ROUND(tblRiderCF[[#This Row],[UnroundedPremLoad]]*AB$10,-3)</f>
        <v>#N/A</v>
      </c>
      <c r="AC40" t="e">
        <f ca="1">ROUND(tblRiderCF[[#This Row],[UnroundedPMLoad]]*AC$10,-3)</f>
        <v>#N/A</v>
      </c>
      <c r="AD40" t="e">
        <f ca="1">tblRiderCF[[#This Row],[SemiAnnualPremLoad]]+tblRiderCF[[#This Row],[SemiAnnualPMLoad]]</f>
        <v>#N/A</v>
      </c>
      <c r="AE40" t="e">
        <f ca="1">tblRiderCF[[#This Row],[SemiAnnualPrem]]+tblRiderCF[[#This Row],[SemiAnnualLoad]]</f>
        <v>#N/A</v>
      </c>
      <c r="AF40" t="e">
        <f ca="1">ROUND(tblRiderCF[[#This Row],[UnroundedPrem]]*AF$10,-3)</f>
        <v>#N/A</v>
      </c>
      <c r="AG40" t="e">
        <f ca="1">ROUND(tblRiderCF[[#This Row],[UnroundedPremLoad]]*AG$10,-3)</f>
        <v>#N/A</v>
      </c>
      <c r="AH40" t="e">
        <f ca="1">ROUND(tblRiderCF[[#This Row],[UnroundedPMLoad]]*AH$10,-3)</f>
        <v>#N/A</v>
      </c>
      <c r="AI40" t="e">
        <f ca="1">tblRiderCF[[#This Row],[QuarterlyPremLoad]]+tblRiderCF[[#This Row],[QuarterlyPMLoad]]</f>
        <v>#N/A</v>
      </c>
      <c r="AJ40" t="e">
        <f ca="1">tblRiderCF[[#This Row],[QuarterlyPrem]]+tblRiderCF[[#This Row],[QuarterlyLoad]]</f>
        <v>#N/A</v>
      </c>
      <c r="AK40" t="e">
        <f ca="1">ROUND(tblRiderCF[[#This Row],[UnroundedPrem]]*AK$10,-3)</f>
        <v>#N/A</v>
      </c>
      <c r="AL40" t="e">
        <f ca="1">ROUND(tblRiderCF[[#This Row],[UnroundedPremLoad]]*AL$10,-3)</f>
        <v>#N/A</v>
      </c>
      <c r="AM40" t="e">
        <f ca="1">ROUND(tblRiderCF[[#This Row],[UnroundedPMLoad]]*AM$10,-3)</f>
        <v>#N/A</v>
      </c>
      <c r="AN40" t="e">
        <f ca="1">tblRiderCF[[#This Row],[MonthlyPremLoad]]+tblRiderCF[[#This Row],[MonthlyPMLoad]]</f>
        <v>#N/A</v>
      </c>
      <c r="AO40" t="e">
        <f ca="1">tblRiderCF[[#This Row],[MonthlyPrem]]+tblRiderCF[[#This Row],[MonthlyLoad]]</f>
        <v>#N/A</v>
      </c>
      <c r="AS40">
        <f t="shared" si="5"/>
        <v>0</v>
      </c>
      <c r="AT40">
        <f t="shared" si="1"/>
        <v>0</v>
      </c>
      <c r="AU40">
        <f ca="1">tblRiderCF[[#This Row],[Year]]</f>
        <v>27</v>
      </c>
      <c r="AV40" t="e">
        <f ca="1">tblRiderCF[[#This Row],[Age]]</f>
        <v>#N/A</v>
      </c>
      <c r="AW40">
        <f t="shared" si="2"/>
        <v>0</v>
      </c>
      <c r="AX40" t="e">
        <f t="shared" si="3"/>
        <v>#N/A</v>
      </c>
      <c r="AY40">
        <f t="shared" si="4"/>
        <v>0</v>
      </c>
      <c r="AZ40" s="47" t="e">
        <f ca="1">tblRiderCF[[#This Row],[SI]]</f>
        <v>#N/A</v>
      </c>
      <c r="BA40" t="e">
        <f ca="1">tblRiderCF[[#This Row],[TotalPrem]]</f>
        <v>#N/A</v>
      </c>
      <c r="BB40" t="e">
        <f ca="1">tblRiderCF[[#This Row],[SemiAnnualTotalPrem]]</f>
        <v>#N/A</v>
      </c>
      <c r="BC40" t="e">
        <f ca="1">tblRiderCF[[#This Row],[QuarterlyTotalPrem]]</f>
        <v>#N/A</v>
      </c>
      <c r="BD40" t="e">
        <f ca="1">tblRiderCF[[#This Row],[MonthlyTotalPrem]]</f>
        <v>#N/A</v>
      </c>
      <c r="BG40" t="s">
        <v>135</v>
      </c>
      <c r="BH40" t="s">
        <v>188</v>
      </c>
      <c r="BI40">
        <v>27</v>
      </c>
      <c r="BJ40">
        <v>57</v>
      </c>
      <c r="BK40" t="s">
        <v>480</v>
      </c>
      <c r="BL40">
        <v>30</v>
      </c>
      <c r="BM40">
        <v>0</v>
      </c>
      <c r="BN40">
        <v>120000000</v>
      </c>
      <c r="BO40">
        <v>534000</v>
      </c>
      <c r="BP40">
        <v>267000</v>
      </c>
      <c r="BQ40">
        <v>134000</v>
      </c>
      <c r="BR40">
        <v>45000</v>
      </c>
    </row>
    <row r="41" spans="2:70" x14ac:dyDescent="0.25">
      <c r="B41">
        <f ca="1">OFFSET(tblRiderCF[[#This Row],[Year]],-1,0)+1</f>
        <v>28</v>
      </c>
      <c r="C41" t="e">
        <f ca="1">(tblRiderCF[[#This Row],[Year]]&lt;=term)*1</f>
        <v>#N/A</v>
      </c>
      <c r="D41" t="e">
        <f ca="1">(entry_age+tblRiderCF[[#This Row],[Year]]-1)
*tblRiderCF[[#This Row],[RiderTermFlag]]</f>
        <v>#N/A</v>
      </c>
      <c r="E41" t="e">
        <f ca="1">(risk="Sub-standard")
*tblRiderCF[[#This Row],[RiderTermFlag]]</f>
        <v>#N/A</v>
      </c>
      <c r="F41" t="e">
        <f ca="1">(tblRiderCF[[#This Row],[Year]]&lt;=prem_load_term)
*tblRiderCF[[#This Row],[SubStandardFlag]]</f>
        <v>#N/A</v>
      </c>
      <c r="G41" t="e">
        <f ca="1">(tblRiderCF[[#This Row],[Year]]&lt;=pm_load_term)
*tblRiderCF[[#This Row],[SubStandardFlag]]</f>
        <v>#N/A</v>
      </c>
      <c r="H41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1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1" s="150" t="e" cm="1">
        <f t="array" aca="1" ref="J4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1" s="150" t="e">
        <f ca="1">add_rate*tblRiderCF[[#This Row],[SI]]*(rider=K$11)</f>
        <v>#N/A</v>
      </c>
      <c r="L41" s="150" t="e">
        <f ca="1">INDEX(tblPPDRate[Annualized GPR],MATCH(tblRiderCF[[#This Row],[Age]],tblPPDRate[Min age],1))*tblRiderCF[[#This Row],[SI]]
*(rider=L$11)</f>
        <v>#N/A</v>
      </c>
      <c r="M41" s="150" t="e">
        <f ca="1">INDEX(IF(gender="Male",tblCIR1Rate[Male],tblCIR1Rate[Female]),MATCH(tblRiderCF[[#This Row],[Age]],tblCIR1Rate[Age],0))/1000*tblRiderCF[[#This Row],[SI]]
*(rider=M$11)</f>
        <v>#N/A</v>
      </c>
      <c r="N41" s="150" t="e">
        <f ca="1">INDEX(IF(gender="Male",tblCIR2Rate[Male],tblCIR2Rate[Female]),MATCH(tblRiderCF[[#This Row],[Age]],tblCIR2Rate[Age],0))/1000*tblRiderCF[[#This Row],[SI]]
*(rider=N$11)</f>
        <v>#N/A</v>
      </c>
      <c r="O41" s="150" t="e">
        <f>INDEX(tblHOP2Rate[Premium],MATCH(hop2_option,tblHOP2Rate[Option],0))
*(rider=O$11)</f>
        <v>#N/A</v>
      </c>
      <c r="P41" s="150" t="e">
        <f ca="1">INDEX(Tariff!$CC$5:$CS$44,
MATCH(tblRiderCF[[#This Row],[Age]],Tariff!$CB$5:$CB$44,0),
MATCH(term+1-tblRiderCF[[#This Row],[Year]],Tariff!$CC$4:$CS$4,0))
*(rider=P$11)</f>
        <v>#N/A</v>
      </c>
      <c r="Q41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1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1" s="150" t="e">
        <f ca="1">INDEX(tblRiderCF[[#This Row],[ADD1UnroundedPrem]:[WOP2UnroundedPrem]],MATCH(rider,$K$11:$R$11,0))
*tblRiderCF[[#This Row],[RiderTermFlag]]</f>
        <v>#N/A</v>
      </c>
      <c r="T41" s="150" t="e">
        <f ca="1">tblRiderCF[[#This Row],[UnroundedPrem]]*prem_load</f>
        <v>#N/A</v>
      </c>
      <c r="U41" s="150" t="e">
        <f ca="1">pm_load/1000*tblRiderCF[[#This Row],[SI]]
*tblRiderCF[[#This Row],[RiderTermFlag]]</f>
        <v>#N/A</v>
      </c>
      <c r="V41" s="151" t="e">
        <f ca="1">ROUND(tblRiderCF[[#This Row],[UnroundedPrem]]*V$10,-3)</f>
        <v>#N/A</v>
      </c>
      <c r="W41" t="e">
        <f ca="1">ROUND(tblRiderCF[[#This Row],[UnroundedPremLoad]]*W$10,-3)</f>
        <v>#N/A</v>
      </c>
      <c r="X41" t="e">
        <f ca="1">ROUND(tblRiderCF[[#This Row],[UnroundedPMLoad]]*X$10,-3)</f>
        <v>#N/A</v>
      </c>
      <c r="Y41" t="e">
        <f ca="1">tblRiderCF[[#This Row],[PremLoad]]+tblRiderCF[[#This Row],[PMLoad]]</f>
        <v>#N/A</v>
      </c>
      <c r="Z41" t="e">
        <f ca="1">tblRiderCF[[#This Row],[Prem]]+tblRiderCF[[#This Row],[Load]]</f>
        <v>#N/A</v>
      </c>
      <c r="AA41" t="e">
        <f ca="1">ROUND(tblRiderCF[[#This Row],[UnroundedPrem]]*AA$10,-3)</f>
        <v>#N/A</v>
      </c>
      <c r="AB41" t="e">
        <f ca="1">ROUND(tblRiderCF[[#This Row],[UnroundedPremLoad]]*AB$10,-3)</f>
        <v>#N/A</v>
      </c>
      <c r="AC41" t="e">
        <f ca="1">ROUND(tblRiderCF[[#This Row],[UnroundedPMLoad]]*AC$10,-3)</f>
        <v>#N/A</v>
      </c>
      <c r="AD41" t="e">
        <f ca="1">tblRiderCF[[#This Row],[SemiAnnualPremLoad]]+tblRiderCF[[#This Row],[SemiAnnualPMLoad]]</f>
        <v>#N/A</v>
      </c>
      <c r="AE41" t="e">
        <f ca="1">tblRiderCF[[#This Row],[SemiAnnualPrem]]+tblRiderCF[[#This Row],[SemiAnnualLoad]]</f>
        <v>#N/A</v>
      </c>
      <c r="AF41" t="e">
        <f ca="1">ROUND(tblRiderCF[[#This Row],[UnroundedPrem]]*AF$10,-3)</f>
        <v>#N/A</v>
      </c>
      <c r="AG41" t="e">
        <f ca="1">ROUND(tblRiderCF[[#This Row],[UnroundedPremLoad]]*AG$10,-3)</f>
        <v>#N/A</v>
      </c>
      <c r="AH41" t="e">
        <f ca="1">ROUND(tblRiderCF[[#This Row],[UnroundedPMLoad]]*AH$10,-3)</f>
        <v>#N/A</v>
      </c>
      <c r="AI41" t="e">
        <f ca="1">tblRiderCF[[#This Row],[QuarterlyPremLoad]]+tblRiderCF[[#This Row],[QuarterlyPMLoad]]</f>
        <v>#N/A</v>
      </c>
      <c r="AJ41" t="e">
        <f ca="1">tblRiderCF[[#This Row],[QuarterlyPrem]]+tblRiderCF[[#This Row],[QuarterlyLoad]]</f>
        <v>#N/A</v>
      </c>
      <c r="AK41" t="e">
        <f ca="1">ROUND(tblRiderCF[[#This Row],[UnroundedPrem]]*AK$10,-3)</f>
        <v>#N/A</v>
      </c>
      <c r="AL41" t="e">
        <f ca="1">ROUND(tblRiderCF[[#This Row],[UnroundedPremLoad]]*AL$10,-3)</f>
        <v>#N/A</v>
      </c>
      <c r="AM41" t="e">
        <f ca="1">ROUND(tblRiderCF[[#This Row],[UnroundedPMLoad]]*AM$10,-3)</f>
        <v>#N/A</v>
      </c>
      <c r="AN41" t="e">
        <f ca="1">tblRiderCF[[#This Row],[MonthlyPremLoad]]+tblRiderCF[[#This Row],[MonthlyPMLoad]]</f>
        <v>#N/A</v>
      </c>
      <c r="AO41" t="e">
        <f ca="1">tblRiderCF[[#This Row],[MonthlyPrem]]+tblRiderCF[[#This Row],[MonthlyLoad]]</f>
        <v>#N/A</v>
      </c>
      <c r="AS41">
        <f t="shared" si="5"/>
        <v>0</v>
      </c>
      <c r="AT41">
        <f t="shared" si="1"/>
        <v>0</v>
      </c>
      <c r="AU41">
        <f ca="1">tblRiderCF[[#This Row],[Year]]</f>
        <v>28</v>
      </c>
      <c r="AV41" t="e">
        <f ca="1">tblRiderCF[[#This Row],[Age]]</f>
        <v>#N/A</v>
      </c>
      <c r="AW41">
        <f t="shared" si="2"/>
        <v>0</v>
      </c>
      <c r="AX41" t="e">
        <f t="shared" si="3"/>
        <v>#N/A</v>
      </c>
      <c r="AY41">
        <f t="shared" si="4"/>
        <v>0</v>
      </c>
      <c r="AZ41" s="47" t="e">
        <f ca="1">tblRiderCF[[#This Row],[SI]]</f>
        <v>#N/A</v>
      </c>
      <c r="BA41" t="e">
        <f ca="1">tblRiderCF[[#This Row],[TotalPrem]]</f>
        <v>#N/A</v>
      </c>
      <c r="BB41" t="e">
        <f ca="1">tblRiderCF[[#This Row],[SemiAnnualTotalPrem]]</f>
        <v>#N/A</v>
      </c>
      <c r="BC41" t="e">
        <f ca="1">tblRiderCF[[#This Row],[QuarterlyTotalPrem]]</f>
        <v>#N/A</v>
      </c>
      <c r="BD41" t="e">
        <f ca="1">tblRiderCF[[#This Row],[MonthlyTotalPrem]]</f>
        <v>#N/A</v>
      </c>
      <c r="BG41" t="s">
        <v>135</v>
      </c>
      <c r="BH41" t="s">
        <v>188</v>
      </c>
      <c r="BI41">
        <v>28</v>
      </c>
      <c r="BJ41">
        <v>58</v>
      </c>
      <c r="BK41" t="s">
        <v>480</v>
      </c>
      <c r="BL41">
        <v>30</v>
      </c>
      <c r="BM41">
        <v>0</v>
      </c>
      <c r="BN41">
        <v>120000000</v>
      </c>
      <c r="BO41">
        <v>534000</v>
      </c>
      <c r="BP41">
        <v>267000</v>
      </c>
      <c r="BQ41">
        <v>134000</v>
      </c>
      <c r="BR41">
        <v>45000</v>
      </c>
    </row>
    <row r="42" spans="2:70" x14ac:dyDescent="0.25">
      <c r="B42">
        <f ca="1">OFFSET(tblRiderCF[[#This Row],[Year]],-1,0)+1</f>
        <v>29</v>
      </c>
      <c r="C42" t="e">
        <f ca="1">(tblRiderCF[[#This Row],[Year]]&lt;=term)*1</f>
        <v>#N/A</v>
      </c>
      <c r="D42" t="e">
        <f ca="1">(entry_age+tblRiderCF[[#This Row],[Year]]-1)
*tblRiderCF[[#This Row],[RiderTermFlag]]</f>
        <v>#N/A</v>
      </c>
      <c r="E42" t="e">
        <f ca="1">(risk="Sub-standard")
*tblRiderCF[[#This Row],[RiderTermFlag]]</f>
        <v>#N/A</v>
      </c>
      <c r="F42" t="e">
        <f ca="1">(tblRiderCF[[#This Row],[Year]]&lt;=prem_load_term)
*tblRiderCF[[#This Row],[SubStandardFlag]]</f>
        <v>#N/A</v>
      </c>
      <c r="G42" t="e">
        <f ca="1">(tblRiderCF[[#This Row],[Year]]&lt;=pm_load_term)
*tblRiderCF[[#This Row],[SubStandardFlag]]</f>
        <v>#N/A</v>
      </c>
      <c r="H42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2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2" s="150" t="e" cm="1">
        <f t="array" aca="1" ref="J4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2" s="150" t="e">
        <f ca="1">add_rate*tblRiderCF[[#This Row],[SI]]*(rider=K$11)</f>
        <v>#N/A</v>
      </c>
      <c r="L42" s="150" t="e">
        <f ca="1">INDEX(tblPPDRate[Annualized GPR],MATCH(tblRiderCF[[#This Row],[Age]],tblPPDRate[Min age],1))*tblRiderCF[[#This Row],[SI]]
*(rider=L$11)</f>
        <v>#N/A</v>
      </c>
      <c r="M42" s="150" t="e">
        <f ca="1">INDEX(IF(gender="Male",tblCIR1Rate[Male],tblCIR1Rate[Female]),MATCH(tblRiderCF[[#This Row],[Age]],tblCIR1Rate[Age],0))/1000*tblRiderCF[[#This Row],[SI]]
*(rider=M$11)</f>
        <v>#N/A</v>
      </c>
      <c r="N42" s="150" t="e">
        <f ca="1">INDEX(IF(gender="Male",tblCIR2Rate[Male],tblCIR2Rate[Female]),MATCH(tblRiderCF[[#This Row],[Age]],tblCIR2Rate[Age],0))/1000*tblRiderCF[[#This Row],[SI]]
*(rider=N$11)</f>
        <v>#N/A</v>
      </c>
      <c r="O42" s="150" t="e">
        <f>INDEX(tblHOP2Rate[Premium],MATCH(hop2_option,tblHOP2Rate[Option],0))
*(rider=O$11)</f>
        <v>#N/A</v>
      </c>
      <c r="P42" s="150" t="e">
        <f ca="1">INDEX(Tariff!$CC$5:$CS$44,
MATCH(tblRiderCF[[#This Row],[Age]],Tariff!$CB$5:$CB$44,0),
MATCH(term+1-tblRiderCF[[#This Row],[Year]],Tariff!$CC$4:$CS$4,0))
*(rider=P$11)</f>
        <v>#N/A</v>
      </c>
      <c r="Q42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2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2" s="150" t="e">
        <f ca="1">INDEX(tblRiderCF[[#This Row],[ADD1UnroundedPrem]:[WOP2UnroundedPrem]],MATCH(rider,$K$11:$R$11,0))
*tblRiderCF[[#This Row],[RiderTermFlag]]</f>
        <v>#N/A</v>
      </c>
      <c r="T42" s="150" t="e">
        <f ca="1">tblRiderCF[[#This Row],[UnroundedPrem]]*prem_load</f>
        <v>#N/A</v>
      </c>
      <c r="U42" s="150" t="e">
        <f ca="1">pm_load/1000*tblRiderCF[[#This Row],[SI]]
*tblRiderCF[[#This Row],[RiderTermFlag]]</f>
        <v>#N/A</v>
      </c>
      <c r="V42" s="151" t="e">
        <f ca="1">ROUND(tblRiderCF[[#This Row],[UnroundedPrem]]*V$10,-3)</f>
        <v>#N/A</v>
      </c>
      <c r="W42" t="e">
        <f ca="1">ROUND(tblRiderCF[[#This Row],[UnroundedPremLoad]]*W$10,-3)</f>
        <v>#N/A</v>
      </c>
      <c r="X42" t="e">
        <f ca="1">ROUND(tblRiderCF[[#This Row],[UnroundedPMLoad]]*X$10,-3)</f>
        <v>#N/A</v>
      </c>
      <c r="Y42" t="e">
        <f ca="1">tblRiderCF[[#This Row],[PremLoad]]+tblRiderCF[[#This Row],[PMLoad]]</f>
        <v>#N/A</v>
      </c>
      <c r="Z42" t="e">
        <f ca="1">tblRiderCF[[#This Row],[Prem]]+tblRiderCF[[#This Row],[Load]]</f>
        <v>#N/A</v>
      </c>
      <c r="AA42" t="e">
        <f ca="1">ROUND(tblRiderCF[[#This Row],[UnroundedPrem]]*AA$10,-3)</f>
        <v>#N/A</v>
      </c>
      <c r="AB42" t="e">
        <f ca="1">ROUND(tblRiderCF[[#This Row],[UnroundedPremLoad]]*AB$10,-3)</f>
        <v>#N/A</v>
      </c>
      <c r="AC42" t="e">
        <f ca="1">ROUND(tblRiderCF[[#This Row],[UnroundedPMLoad]]*AC$10,-3)</f>
        <v>#N/A</v>
      </c>
      <c r="AD42" t="e">
        <f ca="1">tblRiderCF[[#This Row],[SemiAnnualPremLoad]]+tblRiderCF[[#This Row],[SemiAnnualPMLoad]]</f>
        <v>#N/A</v>
      </c>
      <c r="AE42" t="e">
        <f ca="1">tblRiderCF[[#This Row],[SemiAnnualPrem]]+tblRiderCF[[#This Row],[SemiAnnualLoad]]</f>
        <v>#N/A</v>
      </c>
      <c r="AF42" t="e">
        <f ca="1">ROUND(tblRiderCF[[#This Row],[UnroundedPrem]]*AF$10,-3)</f>
        <v>#N/A</v>
      </c>
      <c r="AG42" t="e">
        <f ca="1">ROUND(tblRiderCF[[#This Row],[UnroundedPremLoad]]*AG$10,-3)</f>
        <v>#N/A</v>
      </c>
      <c r="AH42" t="e">
        <f ca="1">ROUND(tblRiderCF[[#This Row],[UnroundedPMLoad]]*AH$10,-3)</f>
        <v>#N/A</v>
      </c>
      <c r="AI42" t="e">
        <f ca="1">tblRiderCF[[#This Row],[QuarterlyPremLoad]]+tblRiderCF[[#This Row],[QuarterlyPMLoad]]</f>
        <v>#N/A</v>
      </c>
      <c r="AJ42" t="e">
        <f ca="1">tblRiderCF[[#This Row],[QuarterlyPrem]]+tblRiderCF[[#This Row],[QuarterlyLoad]]</f>
        <v>#N/A</v>
      </c>
      <c r="AK42" t="e">
        <f ca="1">ROUND(tblRiderCF[[#This Row],[UnroundedPrem]]*AK$10,-3)</f>
        <v>#N/A</v>
      </c>
      <c r="AL42" t="e">
        <f ca="1">ROUND(tblRiderCF[[#This Row],[UnroundedPremLoad]]*AL$10,-3)</f>
        <v>#N/A</v>
      </c>
      <c r="AM42" t="e">
        <f ca="1">ROUND(tblRiderCF[[#This Row],[UnroundedPMLoad]]*AM$10,-3)</f>
        <v>#N/A</v>
      </c>
      <c r="AN42" t="e">
        <f ca="1">tblRiderCF[[#This Row],[MonthlyPremLoad]]+tblRiderCF[[#This Row],[MonthlyPMLoad]]</f>
        <v>#N/A</v>
      </c>
      <c r="AO42" t="e">
        <f ca="1">tblRiderCF[[#This Row],[MonthlyPrem]]+tblRiderCF[[#This Row],[MonthlyLoad]]</f>
        <v>#N/A</v>
      </c>
      <c r="AS42">
        <f t="shared" si="5"/>
        <v>0</v>
      </c>
      <c r="AT42">
        <f t="shared" si="1"/>
        <v>0</v>
      </c>
      <c r="AU42">
        <f ca="1">tblRiderCF[[#This Row],[Year]]</f>
        <v>29</v>
      </c>
      <c r="AV42" t="e">
        <f ca="1">tblRiderCF[[#This Row],[Age]]</f>
        <v>#N/A</v>
      </c>
      <c r="AW42">
        <f t="shared" si="2"/>
        <v>0</v>
      </c>
      <c r="AX42" t="e">
        <f t="shared" si="3"/>
        <v>#N/A</v>
      </c>
      <c r="AY42">
        <f t="shared" si="4"/>
        <v>0</v>
      </c>
      <c r="AZ42" s="47" t="e">
        <f ca="1">tblRiderCF[[#This Row],[SI]]</f>
        <v>#N/A</v>
      </c>
      <c r="BA42" t="e">
        <f ca="1">tblRiderCF[[#This Row],[TotalPrem]]</f>
        <v>#N/A</v>
      </c>
      <c r="BB42" t="e">
        <f ca="1">tblRiderCF[[#This Row],[SemiAnnualTotalPrem]]</f>
        <v>#N/A</v>
      </c>
      <c r="BC42" t="e">
        <f ca="1">tblRiderCF[[#This Row],[QuarterlyTotalPrem]]</f>
        <v>#N/A</v>
      </c>
      <c r="BD42" t="e">
        <f ca="1">tblRiderCF[[#This Row],[MonthlyTotalPrem]]</f>
        <v>#N/A</v>
      </c>
      <c r="BG42" t="s">
        <v>135</v>
      </c>
      <c r="BH42" t="s">
        <v>188</v>
      </c>
      <c r="BI42">
        <v>29</v>
      </c>
      <c r="BJ42">
        <v>59</v>
      </c>
      <c r="BK42" t="s">
        <v>480</v>
      </c>
      <c r="BL42">
        <v>30</v>
      </c>
      <c r="BM42">
        <v>0</v>
      </c>
      <c r="BN42">
        <v>120000000</v>
      </c>
      <c r="BO42">
        <v>534000</v>
      </c>
      <c r="BP42">
        <v>267000</v>
      </c>
      <c r="BQ42">
        <v>134000</v>
      </c>
      <c r="BR42">
        <v>45000</v>
      </c>
    </row>
    <row r="43" spans="2:70" x14ac:dyDescent="0.25">
      <c r="B43">
        <f ca="1">OFFSET(tblRiderCF[[#This Row],[Year]],-1,0)+1</f>
        <v>30</v>
      </c>
      <c r="C43" t="e">
        <f ca="1">(tblRiderCF[[#This Row],[Year]]&lt;=term)*1</f>
        <v>#N/A</v>
      </c>
      <c r="D43" t="e">
        <f ca="1">(entry_age+tblRiderCF[[#This Row],[Year]]-1)
*tblRiderCF[[#This Row],[RiderTermFlag]]</f>
        <v>#N/A</v>
      </c>
      <c r="E43" t="e">
        <f ca="1">(risk="Sub-standard")
*tblRiderCF[[#This Row],[RiderTermFlag]]</f>
        <v>#N/A</v>
      </c>
      <c r="F43" t="e">
        <f ca="1">(tblRiderCF[[#This Row],[Year]]&lt;=prem_load_term)
*tblRiderCF[[#This Row],[SubStandardFlag]]</f>
        <v>#N/A</v>
      </c>
      <c r="G43" t="e">
        <f ca="1">(tblRiderCF[[#This Row],[Year]]&lt;=pm_load_term)
*tblRiderCF[[#This Row],[SubStandardFlag]]</f>
        <v>#N/A</v>
      </c>
      <c r="H43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3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3" s="150" t="e" cm="1">
        <f t="array" aca="1" ref="J4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3" s="150" t="e">
        <f ca="1">add_rate*tblRiderCF[[#This Row],[SI]]*(rider=K$11)</f>
        <v>#N/A</v>
      </c>
      <c r="L43" s="150" t="e">
        <f ca="1">INDEX(tblPPDRate[Annualized GPR],MATCH(tblRiderCF[[#This Row],[Age]],tblPPDRate[Min age],1))*tblRiderCF[[#This Row],[SI]]
*(rider=L$11)</f>
        <v>#N/A</v>
      </c>
      <c r="M43" s="150" t="e">
        <f ca="1">INDEX(IF(gender="Male",tblCIR1Rate[Male],tblCIR1Rate[Female]),MATCH(tblRiderCF[[#This Row],[Age]],tblCIR1Rate[Age],0))/1000*tblRiderCF[[#This Row],[SI]]
*(rider=M$11)</f>
        <v>#N/A</v>
      </c>
      <c r="N43" s="150" t="e">
        <f ca="1">INDEX(IF(gender="Male",tblCIR2Rate[Male],tblCIR2Rate[Female]),MATCH(tblRiderCF[[#This Row],[Age]],tblCIR2Rate[Age],0))/1000*tblRiderCF[[#This Row],[SI]]
*(rider=N$11)</f>
        <v>#N/A</v>
      </c>
      <c r="O43" s="150" t="e">
        <f>INDEX(tblHOP2Rate[Premium],MATCH(hop2_option,tblHOP2Rate[Option],0))
*(rider=O$11)</f>
        <v>#N/A</v>
      </c>
      <c r="P43" s="150" t="e">
        <f ca="1">INDEX(Tariff!$CC$5:$CS$44,
MATCH(tblRiderCF[[#This Row],[Age]],Tariff!$CB$5:$CB$44,0),
MATCH(term+1-tblRiderCF[[#This Row],[Year]],Tariff!$CC$4:$CS$4,0))
*(rider=P$11)</f>
        <v>#N/A</v>
      </c>
      <c r="Q43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3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3" s="150" t="e">
        <f ca="1">INDEX(tblRiderCF[[#This Row],[ADD1UnroundedPrem]:[WOP2UnroundedPrem]],MATCH(rider,$K$11:$R$11,0))
*tblRiderCF[[#This Row],[RiderTermFlag]]</f>
        <v>#N/A</v>
      </c>
      <c r="T43" s="150" t="e">
        <f ca="1">tblRiderCF[[#This Row],[UnroundedPrem]]*prem_load</f>
        <v>#N/A</v>
      </c>
      <c r="U43" s="150" t="e">
        <f ca="1">pm_load/1000*tblRiderCF[[#This Row],[SI]]
*tblRiderCF[[#This Row],[RiderTermFlag]]</f>
        <v>#N/A</v>
      </c>
      <c r="V43" s="151" t="e">
        <f ca="1">ROUND(tblRiderCF[[#This Row],[UnroundedPrem]]*V$10,-3)</f>
        <v>#N/A</v>
      </c>
      <c r="W43" t="e">
        <f ca="1">ROUND(tblRiderCF[[#This Row],[UnroundedPremLoad]]*W$10,-3)</f>
        <v>#N/A</v>
      </c>
      <c r="X43" t="e">
        <f ca="1">ROUND(tblRiderCF[[#This Row],[UnroundedPMLoad]]*X$10,-3)</f>
        <v>#N/A</v>
      </c>
      <c r="Y43" t="e">
        <f ca="1">tblRiderCF[[#This Row],[PremLoad]]+tblRiderCF[[#This Row],[PMLoad]]</f>
        <v>#N/A</v>
      </c>
      <c r="Z43" t="e">
        <f ca="1">tblRiderCF[[#This Row],[Prem]]+tblRiderCF[[#This Row],[Load]]</f>
        <v>#N/A</v>
      </c>
      <c r="AA43" t="e">
        <f ca="1">ROUND(tblRiderCF[[#This Row],[UnroundedPrem]]*AA$10,-3)</f>
        <v>#N/A</v>
      </c>
      <c r="AB43" t="e">
        <f ca="1">ROUND(tblRiderCF[[#This Row],[UnroundedPremLoad]]*AB$10,-3)</f>
        <v>#N/A</v>
      </c>
      <c r="AC43" t="e">
        <f ca="1">ROUND(tblRiderCF[[#This Row],[UnroundedPMLoad]]*AC$10,-3)</f>
        <v>#N/A</v>
      </c>
      <c r="AD43" t="e">
        <f ca="1">tblRiderCF[[#This Row],[SemiAnnualPremLoad]]+tblRiderCF[[#This Row],[SemiAnnualPMLoad]]</f>
        <v>#N/A</v>
      </c>
      <c r="AE43" t="e">
        <f ca="1">tblRiderCF[[#This Row],[SemiAnnualPrem]]+tblRiderCF[[#This Row],[SemiAnnualLoad]]</f>
        <v>#N/A</v>
      </c>
      <c r="AF43" t="e">
        <f ca="1">ROUND(tblRiderCF[[#This Row],[UnroundedPrem]]*AF$10,-3)</f>
        <v>#N/A</v>
      </c>
      <c r="AG43" t="e">
        <f ca="1">ROUND(tblRiderCF[[#This Row],[UnroundedPremLoad]]*AG$10,-3)</f>
        <v>#N/A</v>
      </c>
      <c r="AH43" t="e">
        <f ca="1">ROUND(tblRiderCF[[#This Row],[UnroundedPMLoad]]*AH$10,-3)</f>
        <v>#N/A</v>
      </c>
      <c r="AI43" t="e">
        <f ca="1">tblRiderCF[[#This Row],[QuarterlyPremLoad]]+tblRiderCF[[#This Row],[QuarterlyPMLoad]]</f>
        <v>#N/A</v>
      </c>
      <c r="AJ43" t="e">
        <f ca="1">tblRiderCF[[#This Row],[QuarterlyPrem]]+tblRiderCF[[#This Row],[QuarterlyLoad]]</f>
        <v>#N/A</v>
      </c>
      <c r="AK43" t="e">
        <f ca="1">ROUND(tblRiderCF[[#This Row],[UnroundedPrem]]*AK$10,-3)</f>
        <v>#N/A</v>
      </c>
      <c r="AL43" t="e">
        <f ca="1">ROUND(tblRiderCF[[#This Row],[UnroundedPremLoad]]*AL$10,-3)</f>
        <v>#N/A</v>
      </c>
      <c r="AM43" t="e">
        <f ca="1">ROUND(tblRiderCF[[#This Row],[UnroundedPMLoad]]*AM$10,-3)</f>
        <v>#N/A</v>
      </c>
      <c r="AN43" t="e">
        <f ca="1">tblRiderCF[[#This Row],[MonthlyPremLoad]]+tblRiderCF[[#This Row],[MonthlyPMLoad]]</f>
        <v>#N/A</v>
      </c>
      <c r="AO43" t="e">
        <f ca="1">tblRiderCF[[#This Row],[MonthlyPrem]]+tblRiderCF[[#This Row],[MonthlyLoad]]</f>
        <v>#N/A</v>
      </c>
      <c r="AS43">
        <f t="shared" si="5"/>
        <v>0</v>
      </c>
      <c r="AT43">
        <f t="shared" si="1"/>
        <v>0</v>
      </c>
      <c r="AU43">
        <f ca="1">tblRiderCF[[#This Row],[Year]]</f>
        <v>30</v>
      </c>
      <c r="AV43" t="e">
        <f ca="1">tblRiderCF[[#This Row],[Age]]</f>
        <v>#N/A</v>
      </c>
      <c r="AW43">
        <f t="shared" si="2"/>
        <v>0</v>
      </c>
      <c r="AX43" t="e">
        <f t="shared" si="3"/>
        <v>#N/A</v>
      </c>
      <c r="AY43">
        <f t="shared" si="4"/>
        <v>0</v>
      </c>
      <c r="AZ43" s="47" t="e">
        <f ca="1">tblRiderCF[[#This Row],[SI]]</f>
        <v>#N/A</v>
      </c>
      <c r="BA43" t="e">
        <f ca="1">tblRiderCF[[#This Row],[TotalPrem]]</f>
        <v>#N/A</v>
      </c>
      <c r="BB43" t="e">
        <f ca="1">tblRiderCF[[#This Row],[SemiAnnualTotalPrem]]</f>
        <v>#N/A</v>
      </c>
      <c r="BC43" t="e">
        <f ca="1">tblRiderCF[[#This Row],[QuarterlyTotalPrem]]</f>
        <v>#N/A</v>
      </c>
      <c r="BD43" t="e">
        <f ca="1">tblRiderCF[[#This Row],[MonthlyTotalPrem]]</f>
        <v>#N/A</v>
      </c>
      <c r="BG43" t="s">
        <v>135</v>
      </c>
      <c r="BH43" t="s">
        <v>188</v>
      </c>
      <c r="BI43">
        <v>30</v>
      </c>
      <c r="BJ43">
        <v>60</v>
      </c>
      <c r="BK43" t="s">
        <v>480</v>
      </c>
      <c r="BL43">
        <v>30</v>
      </c>
      <c r="BM43">
        <v>0</v>
      </c>
      <c r="BN43">
        <v>120000000</v>
      </c>
      <c r="BO43">
        <v>534000</v>
      </c>
      <c r="BP43">
        <v>267000</v>
      </c>
      <c r="BQ43">
        <v>134000</v>
      </c>
      <c r="BR43">
        <v>45000</v>
      </c>
    </row>
    <row r="44" spans="2:70" x14ac:dyDescent="0.25">
      <c r="B44">
        <f ca="1">OFFSET(tblRiderCF[[#This Row],[Year]],-1,0)+1</f>
        <v>31</v>
      </c>
      <c r="C44" t="e">
        <f ca="1">(tblRiderCF[[#This Row],[Year]]&lt;=term)*1</f>
        <v>#N/A</v>
      </c>
      <c r="D44" t="e">
        <f ca="1">(entry_age+tblRiderCF[[#This Row],[Year]]-1)
*tblRiderCF[[#This Row],[RiderTermFlag]]</f>
        <v>#N/A</v>
      </c>
      <c r="E44" t="e">
        <f ca="1">(risk="Sub-standard")
*tblRiderCF[[#This Row],[RiderTermFlag]]</f>
        <v>#N/A</v>
      </c>
      <c r="F44" t="e">
        <f ca="1">(tblRiderCF[[#This Row],[Year]]&lt;=prem_load_term)
*tblRiderCF[[#This Row],[SubStandardFlag]]</f>
        <v>#N/A</v>
      </c>
      <c r="G44" t="e">
        <f ca="1">(tblRiderCF[[#This Row],[Year]]&lt;=pm_load_term)
*tblRiderCF[[#This Row],[SubStandardFlag]]</f>
        <v>#N/A</v>
      </c>
      <c r="H44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4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4" s="150" t="e" cm="1">
        <f t="array" aca="1" ref="J4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4" s="150" t="e">
        <f ca="1">add_rate*tblRiderCF[[#This Row],[SI]]*(rider=K$11)</f>
        <v>#N/A</v>
      </c>
      <c r="L44" s="150" t="e">
        <f ca="1">INDEX(tblPPDRate[Annualized GPR],MATCH(tblRiderCF[[#This Row],[Age]],tblPPDRate[Min age],1))*tblRiderCF[[#This Row],[SI]]
*(rider=L$11)</f>
        <v>#N/A</v>
      </c>
      <c r="M44" s="150" t="e">
        <f ca="1">INDEX(IF(gender="Male",tblCIR1Rate[Male],tblCIR1Rate[Female]),MATCH(tblRiderCF[[#This Row],[Age]],tblCIR1Rate[Age],0))/1000*tblRiderCF[[#This Row],[SI]]
*(rider=M$11)</f>
        <v>#N/A</v>
      </c>
      <c r="N44" s="150" t="e">
        <f ca="1">INDEX(IF(gender="Male",tblCIR2Rate[Male],tblCIR2Rate[Female]),MATCH(tblRiderCF[[#This Row],[Age]],tblCIR2Rate[Age],0))/1000*tblRiderCF[[#This Row],[SI]]
*(rider=N$11)</f>
        <v>#N/A</v>
      </c>
      <c r="O44" s="150" t="e">
        <f>INDEX(tblHOP2Rate[Premium],MATCH(hop2_option,tblHOP2Rate[Option],0))
*(rider=O$11)</f>
        <v>#N/A</v>
      </c>
      <c r="P44" s="150" t="e">
        <f ca="1">INDEX(Tariff!$CC$5:$CS$44,
MATCH(tblRiderCF[[#This Row],[Age]],Tariff!$CB$5:$CB$44,0),
MATCH(term+1-tblRiderCF[[#This Row],[Year]],Tariff!$CC$4:$CS$4,0))
*(rider=P$11)</f>
        <v>#N/A</v>
      </c>
      <c r="Q44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4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4" s="150" t="e">
        <f ca="1">INDEX(tblRiderCF[[#This Row],[ADD1UnroundedPrem]:[WOP2UnroundedPrem]],MATCH(rider,$K$11:$R$11,0))
*tblRiderCF[[#This Row],[RiderTermFlag]]</f>
        <v>#N/A</v>
      </c>
      <c r="T44" s="150" t="e">
        <f ca="1">tblRiderCF[[#This Row],[UnroundedPrem]]*prem_load</f>
        <v>#N/A</v>
      </c>
      <c r="U44" s="150" t="e">
        <f ca="1">pm_load/1000*tblRiderCF[[#This Row],[SI]]
*tblRiderCF[[#This Row],[RiderTermFlag]]</f>
        <v>#N/A</v>
      </c>
      <c r="V44" s="151" t="e">
        <f ca="1">ROUND(tblRiderCF[[#This Row],[UnroundedPrem]]*V$10,-3)</f>
        <v>#N/A</v>
      </c>
      <c r="W44" t="e">
        <f ca="1">ROUND(tblRiderCF[[#This Row],[UnroundedPremLoad]]*W$10,-3)</f>
        <v>#N/A</v>
      </c>
      <c r="X44" t="e">
        <f ca="1">ROUND(tblRiderCF[[#This Row],[UnroundedPMLoad]]*X$10,-3)</f>
        <v>#N/A</v>
      </c>
      <c r="Y44" t="e">
        <f ca="1">tblRiderCF[[#This Row],[PremLoad]]+tblRiderCF[[#This Row],[PMLoad]]</f>
        <v>#N/A</v>
      </c>
      <c r="Z44" t="e">
        <f ca="1">tblRiderCF[[#This Row],[Prem]]+tblRiderCF[[#This Row],[Load]]</f>
        <v>#N/A</v>
      </c>
      <c r="AA44" t="e">
        <f ca="1">ROUND(tblRiderCF[[#This Row],[UnroundedPrem]]*AA$10,-3)</f>
        <v>#N/A</v>
      </c>
      <c r="AB44" t="e">
        <f ca="1">ROUND(tblRiderCF[[#This Row],[UnroundedPremLoad]]*AB$10,-3)</f>
        <v>#N/A</v>
      </c>
      <c r="AC44" t="e">
        <f ca="1">ROUND(tblRiderCF[[#This Row],[UnroundedPMLoad]]*AC$10,-3)</f>
        <v>#N/A</v>
      </c>
      <c r="AD44" t="e">
        <f ca="1">tblRiderCF[[#This Row],[SemiAnnualPremLoad]]+tblRiderCF[[#This Row],[SemiAnnualPMLoad]]</f>
        <v>#N/A</v>
      </c>
      <c r="AE44" t="e">
        <f ca="1">tblRiderCF[[#This Row],[SemiAnnualPrem]]+tblRiderCF[[#This Row],[SemiAnnualLoad]]</f>
        <v>#N/A</v>
      </c>
      <c r="AF44" t="e">
        <f ca="1">ROUND(tblRiderCF[[#This Row],[UnroundedPrem]]*AF$10,-3)</f>
        <v>#N/A</v>
      </c>
      <c r="AG44" t="e">
        <f ca="1">ROUND(tblRiderCF[[#This Row],[UnroundedPremLoad]]*AG$10,-3)</f>
        <v>#N/A</v>
      </c>
      <c r="AH44" t="e">
        <f ca="1">ROUND(tblRiderCF[[#This Row],[UnroundedPMLoad]]*AH$10,-3)</f>
        <v>#N/A</v>
      </c>
      <c r="AI44" t="e">
        <f ca="1">tblRiderCF[[#This Row],[QuarterlyPremLoad]]+tblRiderCF[[#This Row],[QuarterlyPMLoad]]</f>
        <v>#N/A</v>
      </c>
      <c r="AJ44" t="e">
        <f ca="1">tblRiderCF[[#This Row],[QuarterlyPrem]]+tblRiderCF[[#This Row],[QuarterlyLoad]]</f>
        <v>#N/A</v>
      </c>
      <c r="AK44" t="e">
        <f ca="1">ROUND(tblRiderCF[[#This Row],[UnroundedPrem]]*AK$10,-3)</f>
        <v>#N/A</v>
      </c>
      <c r="AL44" t="e">
        <f ca="1">ROUND(tblRiderCF[[#This Row],[UnroundedPremLoad]]*AL$10,-3)</f>
        <v>#N/A</v>
      </c>
      <c r="AM44" t="e">
        <f ca="1">ROUND(tblRiderCF[[#This Row],[UnroundedPMLoad]]*AM$10,-3)</f>
        <v>#N/A</v>
      </c>
      <c r="AN44" t="e">
        <f ca="1">tblRiderCF[[#This Row],[MonthlyPremLoad]]+tblRiderCF[[#This Row],[MonthlyPMLoad]]</f>
        <v>#N/A</v>
      </c>
      <c r="AO44" t="e">
        <f ca="1">tblRiderCF[[#This Row],[MonthlyPrem]]+tblRiderCF[[#This Row],[MonthlyLoad]]</f>
        <v>#N/A</v>
      </c>
      <c r="AS44">
        <f t="shared" si="5"/>
        <v>0</v>
      </c>
      <c r="AT44">
        <f t="shared" si="1"/>
        <v>0</v>
      </c>
      <c r="AU44">
        <f ca="1">tblRiderCF[[#This Row],[Year]]</f>
        <v>31</v>
      </c>
      <c r="AV44" t="e">
        <f ca="1">tblRiderCF[[#This Row],[Age]]</f>
        <v>#N/A</v>
      </c>
      <c r="AW44">
        <f t="shared" si="2"/>
        <v>0</v>
      </c>
      <c r="AX44" t="e">
        <f t="shared" si="3"/>
        <v>#N/A</v>
      </c>
      <c r="AY44">
        <f t="shared" si="4"/>
        <v>0</v>
      </c>
      <c r="AZ44" s="47" t="e">
        <f ca="1">tblRiderCF[[#This Row],[SI]]</f>
        <v>#N/A</v>
      </c>
      <c r="BA44" t="e">
        <f ca="1">tblRiderCF[[#This Row],[TotalPrem]]</f>
        <v>#N/A</v>
      </c>
      <c r="BB44" t="e">
        <f ca="1">tblRiderCF[[#This Row],[SemiAnnualTotalPrem]]</f>
        <v>#N/A</v>
      </c>
      <c r="BC44" t="e">
        <f ca="1">tblRiderCF[[#This Row],[QuarterlyTotalPrem]]</f>
        <v>#N/A</v>
      </c>
      <c r="BD44" t="e">
        <f ca="1">tblRiderCF[[#This Row],[MonthlyTotalPrem]]</f>
        <v>#N/A</v>
      </c>
      <c r="BG44" t="s">
        <v>135</v>
      </c>
      <c r="BH44" t="s">
        <v>188</v>
      </c>
      <c r="BI44">
        <v>1</v>
      </c>
      <c r="BJ44">
        <v>31</v>
      </c>
      <c r="BK44" t="s">
        <v>483</v>
      </c>
      <c r="BL44">
        <v>44</v>
      </c>
      <c r="BM44">
        <v>0</v>
      </c>
      <c r="BN44">
        <v>250000000</v>
      </c>
      <c r="BO44">
        <v>1900000</v>
      </c>
      <c r="BP44">
        <v>1007000</v>
      </c>
      <c r="BQ44">
        <v>513000</v>
      </c>
      <c r="BR44">
        <v>171000</v>
      </c>
    </row>
    <row r="45" spans="2:70" x14ac:dyDescent="0.25">
      <c r="B45">
        <f ca="1">OFFSET(tblRiderCF[[#This Row],[Year]],-1,0)+1</f>
        <v>32</v>
      </c>
      <c r="C45" t="e">
        <f ca="1">(tblRiderCF[[#This Row],[Year]]&lt;=term)*1</f>
        <v>#N/A</v>
      </c>
      <c r="D45" t="e">
        <f ca="1">(entry_age+tblRiderCF[[#This Row],[Year]]-1)
*tblRiderCF[[#This Row],[RiderTermFlag]]</f>
        <v>#N/A</v>
      </c>
      <c r="E45" t="e">
        <f ca="1">(risk="Sub-standard")
*tblRiderCF[[#This Row],[RiderTermFlag]]</f>
        <v>#N/A</v>
      </c>
      <c r="F45" t="e">
        <f ca="1">(tblRiderCF[[#This Row],[Year]]&lt;=prem_load_term)
*tblRiderCF[[#This Row],[SubStandardFlag]]</f>
        <v>#N/A</v>
      </c>
      <c r="G45" t="e">
        <f ca="1">(tblRiderCF[[#This Row],[Year]]&lt;=pm_load_term)
*tblRiderCF[[#This Row],[SubStandardFlag]]</f>
        <v>#N/A</v>
      </c>
      <c r="H45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5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5" s="150" t="e" cm="1">
        <f t="array" aca="1" ref="J4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5" s="150" t="e">
        <f ca="1">add_rate*tblRiderCF[[#This Row],[SI]]*(rider=K$11)</f>
        <v>#N/A</v>
      </c>
      <c r="L45" s="150" t="e">
        <f ca="1">INDEX(tblPPDRate[Annualized GPR],MATCH(tblRiderCF[[#This Row],[Age]],tblPPDRate[Min age],1))*tblRiderCF[[#This Row],[SI]]
*(rider=L$11)</f>
        <v>#N/A</v>
      </c>
      <c r="M45" s="150" t="e">
        <f ca="1">INDEX(IF(gender="Male",tblCIR1Rate[Male],tblCIR1Rate[Female]),MATCH(tblRiderCF[[#This Row],[Age]],tblCIR1Rate[Age],0))/1000*tblRiderCF[[#This Row],[SI]]
*(rider=M$11)</f>
        <v>#N/A</v>
      </c>
      <c r="N45" s="150" t="e">
        <f ca="1">INDEX(IF(gender="Male",tblCIR2Rate[Male],tblCIR2Rate[Female]),MATCH(tblRiderCF[[#This Row],[Age]],tblCIR2Rate[Age],0))/1000*tblRiderCF[[#This Row],[SI]]
*(rider=N$11)</f>
        <v>#N/A</v>
      </c>
      <c r="O45" s="150" t="e">
        <f>INDEX(tblHOP2Rate[Premium],MATCH(hop2_option,tblHOP2Rate[Option],0))
*(rider=O$11)</f>
        <v>#N/A</v>
      </c>
      <c r="P45" s="150" t="e">
        <f ca="1">INDEX(Tariff!$CC$5:$CS$44,
MATCH(tblRiderCF[[#This Row],[Age]],Tariff!$CB$5:$CB$44,0),
MATCH(term+1-tblRiderCF[[#This Row],[Year]],Tariff!$CC$4:$CS$4,0))
*(rider=P$11)</f>
        <v>#N/A</v>
      </c>
      <c r="Q45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5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5" s="150" t="e">
        <f ca="1">INDEX(tblRiderCF[[#This Row],[ADD1UnroundedPrem]:[WOP2UnroundedPrem]],MATCH(rider,$K$11:$R$11,0))
*tblRiderCF[[#This Row],[RiderTermFlag]]</f>
        <v>#N/A</v>
      </c>
      <c r="T45" s="150" t="e">
        <f ca="1">tblRiderCF[[#This Row],[UnroundedPrem]]*prem_load</f>
        <v>#N/A</v>
      </c>
      <c r="U45" s="150" t="e">
        <f ca="1">pm_load/1000*tblRiderCF[[#This Row],[SI]]
*tblRiderCF[[#This Row],[RiderTermFlag]]</f>
        <v>#N/A</v>
      </c>
      <c r="V45" s="151" t="e">
        <f ca="1">ROUND(tblRiderCF[[#This Row],[UnroundedPrem]]*V$10,-3)</f>
        <v>#N/A</v>
      </c>
      <c r="W45" t="e">
        <f ca="1">ROUND(tblRiderCF[[#This Row],[UnroundedPremLoad]]*W$10,-3)</f>
        <v>#N/A</v>
      </c>
      <c r="X45" t="e">
        <f ca="1">ROUND(tblRiderCF[[#This Row],[UnroundedPMLoad]]*X$10,-3)</f>
        <v>#N/A</v>
      </c>
      <c r="Y45" t="e">
        <f ca="1">tblRiderCF[[#This Row],[PremLoad]]+tblRiderCF[[#This Row],[PMLoad]]</f>
        <v>#N/A</v>
      </c>
      <c r="Z45" t="e">
        <f ca="1">tblRiderCF[[#This Row],[Prem]]+tblRiderCF[[#This Row],[Load]]</f>
        <v>#N/A</v>
      </c>
      <c r="AA45" t="e">
        <f ca="1">ROUND(tblRiderCF[[#This Row],[UnroundedPrem]]*AA$10,-3)</f>
        <v>#N/A</v>
      </c>
      <c r="AB45" t="e">
        <f ca="1">ROUND(tblRiderCF[[#This Row],[UnroundedPremLoad]]*AB$10,-3)</f>
        <v>#N/A</v>
      </c>
      <c r="AC45" t="e">
        <f ca="1">ROUND(tblRiderCF[[#This Row],[UnroundedPMLoad]]*AC$10,-3)</f>
        <v>#N/A</v>
      </c>
      <c r="AD45" t="e">
        <f ca="1">tblRiderCF[[#This Row],[SemiAnnualPremLoad]]+tblRiderCF[[#This Row],[SemiAnnualPMLoad]]</f>
        <v>#N/A</v>
      </c>
      <c r="AE45" t="e">
        <f ca="1">tblRiderCF[[#This Row],[SemiAnnualPrem]]+tblRiderCF[[#This Row],[SemiAnnualLoad]]</f>
        <v>#N/A</v>
      </c>
      <c r="AF45" t="e">
        <f ca="1">ROUND(tblRiderCF[[#This Row],[UnroundedPrem]]*AF$10,-3)</f>
        <v>#N/A</v>
      </c>
      <c r="AG45" t="e">
        <f ca="1">ROUND(tblRiderCF[[#This Row],[UnroundedPremLoad]]*AG$10,-3)</f>
        <v>#N/A</v>
      </c>
      <c r="AH45" t="e">
        <f ca="1">ROUND(tblRiderCF[[#This Row],[UnroundedPMLoad]]*AH$10,-3)</f>
        <v>#N/A</v>
      </c>
      <c r="AI45" t="e">
        <f ca="1">tblRiderCF[[#This Row],[QuarterlyPremLoad]]+tblRiderCF[[#This Row],[QuarterlyPMLoad]]</f>
        <v>#N/A</v>
      </c>
      <c r="AJ45" t="e">
        <f ca="1">tblRiderCF[[#This Row],[QuarterlyPrem]]+tblRiderCF[[#This Row],[QuarterlyLoad]]</f>
        <v>#N/A</v>
      </c>
      <c r="AK45" t="e">
        <f ca="1">ROUND(tblRiderCF[[#This Row],[UnroundedPrem]]*AK$10,-3)</f>
        <v>#N/A</v>
      </c>
      <c r="AL45" t="e">
        <f ca="1">ROUND(tblRiderCF[[#This Row],[UnroundedPremLoad]]*AL$10,-3)</f>
        <v>#N/A</v>
      </c>
      <c r="AM45" t="e">
        <f ca="1">ROUND(tblRiderCF[[#This Row],[UnroundedPMLoad]]*AM$10,-3)</f>
        <v>#N/A</v>
      </c>
      <c r="AN45" t="e">
        <f ca="1">tblRiderCF[[#This Row],[MonthlyPremLoad]]+tblRiderCF[[#This Row],[MonthlyPMLoad]]</f>
        <v>#N/A</v>
      </c>
      <c r="AO45" t="e">
        <f ca="1">tblRiderCF[[#This Row],[MonthlyPrem]]+tblRiderCF[[#This Row],[MonthlyLoad]]</f>
        <v>#N/A</v>
      </c>
      <c r="AS45">
        <f t="shared" si="5"/>
        <v>0</v>
      </c>
      <c r="AT45">
        <f t="shared" si="1"/>
        <v>0</v>
      </c>
      <c r="AU45">
        <f ca="1">tblRiderCF[[#This Row],[Year]]</f>
        <v>32</v>
      </c>
      <c r="AV45" t="e">
        <f ca="1">tblRiderCF[[#This Row],[Age]]</f>
        <v>#N/A</v>
      </c>
      <c r="AW45">
        <f t="shared" si="2"/>
        <v>0</v>
      </c>
      <c r="AX45" t="e">
        <f t="shared" si="3"/>
        <v>#N/A</v>
      </c>
      <c r="AY45">
        <f t="shared" si="4"/>
        <v>0</v>
      </c>
      <c r="AZ45" s="47" t="e">
        <f ca="1">tblRiderCF[[#This Row],[SI]]</f>
        <v>#N/A</v>
      </c>
      <c r="BA45" t="e">
        <f ca="1">tblRiderCF[[#This Row],[TotalPrem]]</f>
        <v>#N/A</v>
      </c>
      <c r="BB45" t="e">
        <f ca="1">tblRiderCF[[#This Row],[SemiAnnualTotalPrem]]</f>
        <v>#N/A</v>
      </c>
      <c r="BC45" t="e">
        <f ca="1">tblRiderCF[[#This Row],[QuarterlyTotalPrem]]</f>
        <v>#N/A</v>
      </c>
      <c r="BD45" t="e">
        <f ca="1">tblRiderCF[[#This Row],[MonthlyTotalPrem]]</f>
        <v>#N/A</v>
      </c>
      <c r="BG45" t="s">
        <v>135</v>
      </c>
      <c r="BH45" t="s">
        <v>188</v>
      </c>
      <c r="BI45">
        <v>2</v>
      </c>
      <c r="BJ45">
        <v>32</v>
      </c>
      <c r="BK45" t="s">
        <v>483</v>
      </c>
      <c r="BL45">
        <v>44</v>
      </c>
      <c r="BM45">
        <v>0</v>
      </c>
      <c r="BN45">
        <v>250000000</v>
      </c>
      <c r="BO45">
        <v>2010000</v>
      </c>
      <c r="BP45">
        <v>1065000</v>
      </c>
      <c r="BQ45">
        <v>543000</v>
      </c>
      <c r="BR45">
        <v>181000</v>
      </c>
    </row>
    <row r="46" spans="2:70" x14ac:dyDescent="0.25">
      <c r="B46">
        <f ca="1">OFFSET(tblRiderCF[[#This Row],[Year]],-1,0)+1</f>
        <v>33</v>
      </c>
      <c r="C46" t="e">
        <f ca="1">(tblRiderCF[[#This Row],[Year]]&lt;=term)*1</f>
        <v>#N/A</v>
      </c>
      <c r="D46" t="e">
        <f ca="1">(entry_age+tblRiderCF[[#This Row],[Year]]-1)
*tblRiderCF[[#This Row],[RiderTermFlag]]</f>
        <v>#N/A</v>
      </c>
      <c r="E46" t="e">
        <f ca="1">(risk="Sub-standard")
*tblRiderCF[[#This Row],[RiderTermFlag]]</f>
        <v>#N/A</v>
      </c>
      <c r="F46" t="e">
        <f ca="1">(tblRiderCF[[#This Row],[Year]]&lt;=prem_load_term)
*tblRiderCF[[#This Row],[SubStandardFlag]]</f>
        <v>#N/A</v>
      </c>
      <c r="G46" t="e">
        <f ca="1">(tblRiderCF[[#This Row],[Year]]&lt;=pm_load_term)
*tblRiderCF[[#This Row],[SubStandardFlag]]</f>
        <v>#N/A</v>
      </c>
      <c r="H46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6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6" s="150" t="e" cm="1">
        <f t="array" aca="1" ref="J4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6" s="150" t="e">
        <f ca="1">add_rate*tblRiderCF[[#This Row],[SI]]*(rider=K$11)</f>
        <v>#N/A</v>
      </c>
      <c r="L46" s="150" t="e">
        <f ca="1">INDEX(tblPPDRate[Annualized GPR],MATCH(tblRiderCF[[#This Row],[Age]],tblPPDRate[Min age],1))*tblRiderCF[[#This Row],[SI]]
*(rider=L$11)</f>
        <v>#N/A</v>
      </c>
      <c r="M46" s="150" t="e">
        <f ca="1">INDEX(IF(gender="Male",tblCIR1Rate[Male],tblCIR1Rate[Female]),MATCH(tblRiderCF[[#This Row],[Age]],tblCIR1Rate[Age],0))/1000*tblRiderCF[[#This Row],[SI]]
*(rider=M$11)</f>
        <v>#N/A</v>
      </c>
      <c r="N46" s="150" t="e">
        <f ca="1">INDEX(IF(gender="Male",tblCIR2Rate[Male],tblCIR2Rate[Female]),MATCH(tblRiderCF[[#This Row],[Age]],tblCIR2Rate[Age],0))/1000*tblRiderCF[[#This Row],[SI]]
*(rider=N$11)</f>
        <v>#N/A</v>
      </c>
      <c r="O46" s="150" t="e">
        <f>INDEX(tblHOP2Rate[Premium],MATCH(hop2_option,tblHOP2Rate[Option],0))
*(rider=O$11)</f>
        <v>#N/A</v>
      </c>
      <c r="P46" s="150" t="e">
        <f ca="1">INDEX(Tariff!$CC$5:$CS$44,
MATCH(tblRiderCF[[#This Row],[Age]],Tariff!$CB$5:$CB$44,0),
MATCH(term+1-tblRiderCF[[#This Row],[Year]],Tariff!$CC$4:$CS$4,0))
*(rider=P$11)</f>
        <v>#N/A</v>
      </c>
      <c r="Q46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6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6" s="150" t="e">
        <f ca="1">INDEX(tblRiderCF[[#This Row],[ADD1UnroundedPrem]:[WOP2UnroundedPrem]],MATCH(rider,$K$11:$R$11,0))
*tblRiderCF[[#This Row],[RiderTermFlag]]</f>
        <v>#N/A</v>
      </c>
      <c r="T46" s="150" t="e">
        <f ca="1">tblRiderCF[[#This Row],[UnroundedPrem]]*prem_load</f>
        <v>#N/A</v>
      </c>
      <c r="U46" s="150" t="e">
        <f ca="1">pm_load/1000*tblRiderCF[[#This Row],[SI]]
*tblRiderCF[[#This Row],[RiderTermFlag]]</f>
        <v>#N/A</v>
      </c>
      <c r="V46" s="151" t="e">
        <f ca="1">ROUND(tblRiderCF[[#This Row],[UnroundedPrem]]*V$10,-3)</f>
        <v>#N/A</v>
      </c>
      <c r="W46" t="e">
        <f ca="1">ROUND(tblRiderCF[[#This Row],[UnroundedPremLoad]]*W$10,-3)</f>
        <v>#N/A</v>
      </c>
      <c r="X46" t="e">
        <f ca="1">ROUND(tblRiderCF[[#This Row],[UnroundedPMLoad]]*X$10,-3)</f>
        <v>#N/A</v>
      </c>
      <c r="Y46" t="e">
        <f ca="1">tblRiderCF[[#This Row],[PremLoad]]+tblRiderCF[[#This Row],[PMLoad]]</f>
        <v>#N/A</v>
      </c>
      <c r="Z46" t="e">
        <f ca="1">tblRiderCF[[#This Row],[Prem]]+tblRiderCF[[#This Row],[Load]]</f>
        <v>#N/A</v>
      </c>
      <c r="AA46" t="e">
        <f ca="1">ROUND(tblRiderCF[[#This Row],[UnroundedPrem]]*AA$10,-3)</f>
        <v>#N/A</v>
      </c>
      <c r="AB46" t="e">
        <f ca="1">ROUND(tblRiderCF[[#This Row],[UnroundedPremLoad]]*AB$10,-3)</f>
        <v>#N/A</v>
      </c>
      <c r="AC46" t="e">
        <f ca="1">ROUND(tblRiderCF[[#This Row],[UnroundedPMLoad]]*AC$10,-3)</f>
        <v>#N/A</v>
      </c>
      <c r="AD46" t="e">
        <f ca="1">tblRiderCF[[#This Row],[SemiAnnualPremLoad]]+tblRiderCF[[#This Row],[SemiAnnualPMLoad]]</f>
        <v>#N/A</v>
      </c>
      <c r="AE46" t="e">
        <f ca="1">tblRiderCF[[#This Row],[SemiAnnualPrem]]+tblRiderCF[[#This Row],[SemiAnnualLoad]]</f>
        <v>#N/A</v>
      </c>
      <c r="AF46" t="e">
        <f ca="1">ROUND(tblRiderCF[[#This Row],[UnroundedPrem]]*AF$10,-3)</f>
        <v>#N/A</v>
      </c>
      <c r="AG46" t="e">
        <f ca="1">ROUND(tblRiderCF[[#This Row],[UnroundedPremLoad]]*AG$10,-3)</f>
        <v>#N/A</v>
      </c>
      <c r="AH46" t="e">
        <f ca="1">ROUND(tblRiderCF[[#This Row],[UnroundedPMLoad]]*AH$10,-3)</f>
        <v>#N/A</v>
      </c>
      <c r="AI46" t="e">
        <f ca="1">tblRiderCF[[#This Row],[QuarterlyPremLoad]]+tblRiderCF[[#This Row],[QuarterlyPMLoad]]</f>
        <v>#N/A</v>
      </c>
      <c r="AJ46" t="e">
        <f ca="1">tblRiderCF[[#This Row],[QuarterlyPrem]]+tblRiderCF[[#This Row],[QuarterlyLoad]]</f>
        <v>#N/A</v>
      </c>
      <c r="AK46" t="e">
        <f ca="1">ROUND(tblRiderCF[[#This Row],[UnroundedPrem]]*AK$10,-3)</f>
        <v>#N/A</v>
      </c>
      <c r="AL46" t="e">
        <f ca="1">ROUND(tblRiderCF[[#This Row],[UnroundedPremLoad]]*AL$10,-3)</f>
        <v>#N/A</v>
      </c>
      <c r="AM46" t="e">
        <f ca="1">ROUND(tblRiderCF[[#This Row],[UnroundedPMLoad]]*AM$10,-3)</f>
        <v>#N/A</v>
      </c>
      <c r="AN46" t="e">
        <f ca="1">tblRiderCF[[#This Row],[MonthlyPremLoad]]+tblRiderCF[[#This Row],[MonthlyPMLoad]]</f>
        <v>#N/A</v>
      </c>
      <c r="AO46" t="e">
        <f ca="1">tblRiderCF[[#This Row],[MonthlyPrem]]+tblRiderCF[[#This Row],[MonthlyLoad]]</f>
        <v>#N/A</v>
      </c>
      <c r="AS46">
        <f t="shared" ref="AS46:AS77" si="6">risk</f>
        <v>0</v>
      </c>
      <c r="AT46">
        <f t="shared" ref="AT46:AT77" si="7">insured</f>
        <v>0</v>
      </c>
      <c r="AU46">
        <f ca="1">tblRiderCF[[#This Row],[Year]]</f>
        <v>33</v>
      </c>
      <c r="AV46" t="e">
        <f ca="1">tblRiderCF[[#This Row],[Age]]</f>
        <v>#N/A</v>
      </c>
      <c r="AW46">
        <f t="shared" si="2"/>
        <v>0</v>
      </c>
      <c r="AX46" t="e">
        <f t="shared" ref="AX46:AX77" si="8">term</f>
        <v>#N/A</v>
      </c>
      <c r="AY46">
        <f t="shared" si="4"/>
        <v>0</v>
      </c>
      <c r="AZ46" s="47" t="e">
        <f ca="1">tblRiderCF[[#This Row],[SI]]</f>
        <v>#N/A</v>
      </c>
      <c r="BA46" t="e">
        <f ca="1">tblRiderCF[[#This Row],[TotalPrem]]</f>
        <v>#N/A</v>
      </c>
      <c r="BB46" t="e">
        <f ca="1">tblRiderCF[[#This Row],[SemiAnnualTotalPrem]]</f>
        <v>#N/A</v>
      </c>
      <c r="BC46" t="e">
        <f ca="1">tblRiderCF[[#This Row],[QuarterlyTotalPrem]]</f>
        <v>#N/A</v>
      </c>
      <c r="BD46" t="e">
        <f ca="1">tblRiderCF[[#This Row],[MonthlyTotalPrem]]</f>
        <v>#N/A</v>
      </c>
      <c r="BG46" t="s">
        <v>135</v>
      </c>
      <c r="BH46" t="s">
        <v>188</v>
      </c>
      <c r="BI46">
        <v>3</v>
      </c>
      <c r="BJ46">
        <v>33</v>
      </c>
      <c r="BK46" t="s">
        <v>483</v>
      </c>
      <c r="BL46">
        <v>44</v>
      </c>
      <c r="BM46">
        <v>0</v>
      </c>
      <c r="BN46">
        <v>250000000</v>
      </c>
      <c r="BO46">
        <v>2136000</v>
      </c>
      <c r="BP46">
        <v>1133000</v>
      </c>
      <c r="BQ46">
        <v>576000</v>
      </c>
      <c r="BR46">
        <v>192000</v>
      </c>
    </row>
    <row r="47" spans="2:70" x14ac:dyDescent="0.25">
      <c r="B47">
        <f ca="1">OFFSET(tblRiderCF[[#This Row],[Year]],-1,0)+1</f>
        <v>34</v>
      </c>
      <c r="C47" t="e">
        <f ca="1">(tblRiderCF[[#This Row],[Year]]&lt;=term)*1</f>
        <v>#N/A</v>
      </c>
      <c r="D47" t="e">
        <f ca="1">(entry_age+tblRiderCF[[#This Row],[Year]]-1)
*tblRiderCF[[#This Row],[RiderTermFlag]]</f>
        <v>#N/A</v>
      </c>
      <c r="E47" t="e">
        <f ca="1">(risk="Sub-standard")
*tblRiderCF[[#This Row],[RiderTermFlag]]</f>
        <v>#N/A</v>
      </c>
      <c r="F47" t="e">
        <f ca="1">(tblRiderCF[[#This Row],[Year]]&lt;=prem_load_term)
*tblRiderCF[[#This Row],[SubStandardFlag]]</f>
        <v>#N/A</v>
      </c>
      <c r="G47" t="e">
        <f ca="1">(tblRiderCF[[#This Row],[Year]]&lt;=pm_load_term)
*tblRiderCF[[#This Row],[SubStandardFlag]]</f>
        <v>#N/A</v>
      </c>
      <c r="H47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7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7" s="150" t="e" cm="1">
        <f t="array" aca="1" ref="J4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7" s="150" t="e">
        <f ca="1">add_rate*tblRiderCF[[#This Row],[SI]]*(rider=K$11)</f>
        <v>#N/A</v>
      </c>
      <c r="L47" s="150" t="e">
        <f ca="1">INDEX(tblPPDRate[Annualized GPR],MATCH(tblRiderCF[[#This Row],[Age]],tblPPDRate[Min age],1))*tblRiderCF[[#This Row],[SI]]
*(rider=L$11)</f>
        <v>#N/A</v>
      </c>
      <c r="M47" s="150" t="e">
        <f ca="1">INDEX(IF(gender="Male",tblCIR1Rate[Male],tblCIR1Rate[Female]),MATCH(tblRiderCF[[#This Row],[Age]],tblCIR1Rate[Age],0))/1000*tblRiderCF[[#This Row],[SI]]
*(rider=M$11)</f>
        <v>#N/A</v>
      </c>
      <c r="N47" s="150" t="e">
        <f ca="1">INDEX(IF(gender="Male",tblCIR2Rate[Male],tblCIR2Rate[Female]),MATCH(tblRiderCF[[#This Row],[Age]],tblCIR2Rate[Age],0))/1000*tblRiderCF[[#This Row],[SI]]
*(rider=N$11)</f>
        <v>#N/A</v>
      </c>
      <c r="O47" s="150" t="e">
        <f>INDEX(tblHOP2Rate[Premium],MATCH(hop2_option,tblHOP2Rate[Option],0))
*(rider=O$11)</f>
        <v>#N/A</v>
      </c>
      <c r="P47" s="150" t="e">
        <f ca="1">INDEX(Tariff!$CC$5:$CS$44,
MATCH(tblRiderCF[[#This Row],[Age]],Tariff!$CB$5:$CB$44,0),
MATCH(term+1-tblRiderCF[[#This Row],[Year]],Tariff!$CC$4:$CS$4,0))
*(rider=P$11)</f>
        <v>#N/A</v>
      </c>
      <c r="Q47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7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7" s="150" t="e">
        <f ca="1">INDEX(tblRiderCF[[#This Row],[ADD1UnroundedPrem]:[WOP2UnroundedPrem]],MATCH(rider,$K$11:$R$11,0))
*tblRiderCF[[#This Row],[RiderTermFlag]]</f>
        <v>#N/A</v>
      </c>
      <c r="T47" s="150" t="e">
        <f ca="1">tblRiderCF[[#This Row],[UnroundedPrem]]*prem_load</f>
        <v>#N/A</v>
      </c>
      <c r="U47" s="150" t="e">
        <f ca="1">pm_load/1000*tblRiderCF[[#This Row],[SI]]
*tblRiderCF[[#This Row],[RiderTermFlag]]</f>
        <v>#N/A</v>
      </c>
      <c r="V47" s="151" t="e">
        <f ca="1">ROUND(tblRiderCF[[#This Row],[UnroundedPrem]]*V$10,-3)</f>
        <v>#N/A</v>
      </c>
      <c r="W47" t="e">
        <f ca="1">ROUND(tblRiderCF[[#This Row],[UnroundedPremLoad]]*W$10,-3)</f>
        <v>#N/A</v>
      </c>
      <c r="X47" t="e">
        <f ca="1">ROUND(tblRiderCF[[#This Row],[UnroundedPMLoad]]*X$10,-3)</f>
        <v>#N/A</v>
      </c>
      <c r="Y47" t="e">
        <f ca="1">tblRiderCF[[#This Row],[PremLoad]]+tblRiderCF[[#This Row],[PMLoad]]</f>
        <v>#N/A</v>
      </c>
      <c r="Z47" t="e">
        <f ca="1">tblRiderCF[[#This Row],[Prem]]+tblRiderCF[[#This Row],[Load]]</f>
        <v>#N/A</v>
      </c>
      <c r="AA47" t="e">
        <f ca="1">ROUND(tblRiderCF[[#This Row],[UnroundedPrem]]*AA$10,-3)</f>
        <v>#N/A</v>
      </c>
      <c r="AB47" t="e">
        <f ca="1">ROUND(tblRiderCF[[#This Row],[UnroundedPremLoad]]*AB$10,-3)</f>
        <v>#N/A</v>
      </c>
      <c r="AC47" t="e">
        <f ca="1">ROUND(tblRiderCF[[#This Row],[UnroundedPMLoad]]*AC$10,-3)</f>
        <v>#N/A</v>
      </c>
      <c r="AD47" t="e">
        <f ca="1">tblRiderCF[[#This Row],[SemiAnnualPremLoad]]+tblRiderCF[[#This Row],[SemiAnnualPMLoad]]</f>
        <v>#N/A</v>
      </c>
      <c r="AE47" t="e">
        <f ca="1">tblRiderCF[[#This Row],[SemiAnnualPrem]]+tblRiderCF[[#This Row],[SemiAnnualLoad]]</f>
        <v>#N/A</v>
      </c>
      <c r="AF47" t="e">
        <f ca="1">ROUND(tblRiderCF[[#This Row],[UnroundedPrem]]*AF$10,-3)</f>
        <v>#N/A</v>
      </c>
      <c r="AG47" t="e">
        <f ca="1">ROUND(tblRiderCF[[#This Row],[UnroundedPremLoad]]*AG$10,-3)</f>
        <v>#N/A</v>
      </c>
      <c r="AH47" t="e">
        <f ca="1">ROUND(tblRiderCF[[#This Row],[UnroundedPMLoad]]*AH$10,-3)</f>
        <v>#N/A</v>
      </c>
      <c r="AI47" t="e">
        <f ca="1">tblRiderCF[[#This Row],[QuarterlyPremLoad]]+tblRiderCF[[#This Row],[QuarterlyPMLoad]]</f>
        <v>#N/A</v>
      </c>
      <c r="AJ47" t="e">
        <f ca="1">tblRiderCF[[#This Row],[QuarterlyPrem]]+tblRiderCF[[#This Row],[QuarterlyLoad]]</f>
        <v>#N/A</v>
      </c>
      <c r="AK47" t="e">
        <f ca="1">ROUND(tblRiderCF[[#This Row],[UnroundedPrem]]*AK$10,-3)</f>
        <v>#N/A</v>
      </c>
      <c r="AL47" t="e">
        <f ca="1">ROUND(tblRiderCF[[#This Row],[UnroundedPremLoad]]*AL$10,-3)</f>
        <v>#N/A</v>
      </c>
      <c r="AM47" t="e">
        <f ca="1">ROUND(tblRiderCF[[#This Row],[UnroundedPMLoad]]*AM$10,-3)</f>
        <v>#N/A</v>
      </c>
      <c r="AN47" t="e">
        <f ca="1">tblRiderCF[[#This Row],[MonthlyPremLoad]]+tblRiderCF[[#This Row],[MonthlyPMLoad]]</f>
        <v>#N/A</v>
      </c>
      <c r="AO47" t="e">
        <f ca="1">tblRiderCF[[#This Row],[MonthlyPrem]]+tblRiderCF[[#This Row],[MonthlyLoad]]</f>
        <v>#N/A</v>
      </c>
      <c r="AS47">
        <f t="shared" si="6"/>
        <v>0</v>
      </c>
      <c r="AT47">
        <f t="shared" si="7"/>
        <v>0</v>
      </c>
      <c r="AU47">
        <f ca="1">tblRiderCF[[#This Row],[Year]]</f>
        <v>34</v>
      </c>
      <c r="AV47" t="e">
        <f ca="1">tblRiderCF[[#This Row],[Age]]</f>
        <v>#N/A</v>
      </c>
      <c r="AW47">
        <f t="shared" si="2"/>
        <v>0</v>
      </c>
      <c r="AX47" t="e">
        <f t="shared" si="8"/>
        <v>#N/A</v>
      </c>
      <c r="AY47">
        <f t="shared" si="4"/>
        <v>0</v>
      </c>
      <c r="AZ47" s="47" t="e">
        <f ca="1">tblRiderCF[[#This Row],[SI]]</f>
        <v>#N/A</v>
      </c>
      <c r="BA47" t="e">
        <f ca="1">tblRiderCF[[#This Row],[TotalPrem]]</f>
        <v>#N/A</v>
      </c>
      <c r="BB47" t="e">
        <f ca="1">tblRiderCF[[#This Row],[SemiAnnualTotalPrem]]</f>
        <v>#N/A</v>
      </c>
      <c r="BC47" t="e">
        <f ca="1">tblRiderCF[[#This Row],[QuarterlyTotalPrem]]</f>
        <v>#N/A</v>
      </c>
      <c r="BD47" t="e">
        <f ca="1">tblRiderCF[[#This Row],[MonthlyTotalPrem]]</f>
        <v>#N/A</v>
      </c>
      <c r="BG47" t="s">
        <v>135</v>
      </c>
      <c r="BH47" t="s">
        <v>188</v>
      </c>
      <c r="BI47">
        <v>4</v>
      </c>
      <c r="BJ47">
        <v>34</v>
      </c>
      <c r="BK47" t="s">
        <v>483</v>
      </c>
      <c r="BL47">
        <v>44</v>
      </c>
      <c r="BM47">
        <v>0</v>
      </c>
      <c r="BN47">
        <v>250000000</v>
      </c>
      <c r="BO47">
        <v>2276000</v>
      </c>
      <c r="BP47">
        <v>1206000</v>
      </c>
      <c r="BQ47">
        <v>615000</v>
      </c>
      <c r="BR47">
        <v>205000</v>
      </c>
    </row>
    <row r="48" spans="2:70" x14ac:dyDescent="0.25">
      <c r="B48">
        <f ca="1">OFFSET(tblRiderCF[[#This Row],[Year]],-1,0)+1</f>
        <v>35</v>
      </c>
      <c r="C48" t="e">
        <f ca="1">(tblRiderCF[[#This Row],[Year]]&lt;=term)*1</f>
        <v>#N/A</v>
      </c>
      <c r="D48" t="e">
        <f ca="1">(entry_age+tblRiderCF[[#This Row],[Year]]-1)
*tblRiderCF[[#This Row],[RiderTermFlag]]</f>
        <v>#N/A</v>
      </c>
      <c r="E48" t="e">
        <f ca="1">(risk="Sub-standard")
*tblRiderCF[[#This Row],[RiderTermFlag]]</f>
        <v>#N/A</v>
      </c>
      <c r="F48" t="e">
        <f ca="1">(tblRiderCF[[#This Row],[Year]]&lt;=prem_load_term)
*tblRiderCF[[#This Row],[SubStandardFlag]]</f>
        <v>#N/A</v>
      </c>
      <c r="G48" t="e">
        <f ca="1">(tblRiderCF[[#This Row],[Year]]&lt;=pm_load_term)
*tblRiderCF[[#This Row],[SubStandardFlag]]</f>
        <v>#N/A</v>
      </c>
      <c r="H48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8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8" s="150" t="e" cm="1">
        <f t="array" aca="1" ref="J4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8" s="150" t="e">
        <f ca="1">add_rate*tblRiderCF[[#This Row],[SI]]*(rider=K$11)</f>
        <v>#N/A</v>
      </c>
      <c r="L48" s="150" t="e">
        <f ca="1">INDEX(tblPPDRate[Annualized GPR],MATCH(tblRiderCF[[#This Row],[Age]],tblPPDRate[Min age],1))*tblRiderCF[[#This Row],[SI]]
*(rider=L$11)</f>
        <v>#N/A</v>
      </c>
      <c r="M48" s="150" t="e">
        <f ca="1">INDEX(IF(gender="Male",tblCIR1Rate[Male],tblCIR1Rate[Female]),MATCH(tblRiderCF[[#This Row],[Age]],tblCIR1Rate[Age],0))/1000*tblRiderCF[[#This Row],[SI]]
*(rider=M$11)</f>
        <v>#N/A</v>
      </c>
      <c r="N48" s="150" t="e">
        <f ca="1">INDEX(IF(gender="Male",tblCIR2Rate[Male],tblCIR2Rate[Female]),MATCH(tblRiderCF[[#This Row],[Age]],tblCIR2Rate[Age],0))/1000*tblRiderCF[[#This Row],[SI]]
*(rider=N$11)</f>
        <v>#N/A</v>
      </c>
      <c r="O48" s="150" t="e">
        <f>INDEX(tblHOP2Rate[Premium],MATCH(hop2_option,tblHOP2Rate[Option],0))
*(rider=O$11)</f>
        <v>#N/A</v>
      </c>
      <c r="P48" s="150" t="e">
        <f ca="1">INDEX(Tariff!$CC$5:$CS$44,
MATCH(tblRiderCF[[#This Row],[Age]],Tariff!$CB$5:$CB$44,0),
MATCH(term+1-tblRiderCF[[#This Row],[Year]],Tariff!$CC$4:$CS$4,0))
*(rider=P$11)</f>
        <v>#N/A</v>
      </c>
      <c r="Q48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8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8" s="150" t="e">
        <f ca="1">INDEX(tblRiderCF[[#This Row],[ADD1UnroundedPrem]:[WOP2UnroundedPrem]],MATCH(rider,$K$11:$R$11,0))
*tblRiderCF[[#This Row],[RiderTermFlag]]</f>
        <v>#N/A</v>
      </c>
      <c r="T48" s="150" t="e">
        <f ca="1">tblRiderCF[[#This Row],[UnroundedPrem]]*prem_load</f>
        <v>#N/A</v>
      </c>
      <c r="U48" s="150" t="e">
        <f ca="1">pm_load/1000*tblRiderCF[[#This Row],[SI]]
*tblRiderCF[[#This Row],[RiderTermFlag]]</f>
        <v>#N/A</v>
      </c>
      <c r="V48" s="151" t="e">
        <f ca="1">ROUND(tblRiderCF[[#This Row],[UnroundedPrem]]*V$10,-3)</f>
        <v>#N/A</v>
      </c>
      <c r="W48" t="e">
        <f ca="1">ROUND(tblRiderCF[[#This Row],[UnroundedPremLoad]]*W$10,-3)</f>
        <v>#N/A</v>
      </c>
      <c r="X48" t="e">
        <f ca="1">ROUND(tblRiderCF[[#This Row],[UnroundedPMLoad]]*X$10,-3)</f>
        <v>#N/A</v>
      </c>
      <c r="Y48" t="e">
        <f ca="1">tblRiderCF[[#This Row],[PremLoad]]+tblRiderCF[[#This Row],[PMLoad]]</f>
        <v>#N/A</v>
      </c>
      <c r="Z48" t="e">
        <f ca="1">tblRiderCF[[#This Row],[Prem]]+tblRiderCF[[#This Row],[Load]]</f>
        <v>#N/A</v>
      </c>
      <c r="AA48" t="e">
        <f ca="1">ROUND(tblRiderCF[[#This Row],[UnroundedPrem]]*AA$10,-3)</f>
        <v>#N/A</v>
      </c>
      <c r="AB48" t="e">
        <f ca="1">ROUND(tblRiderCF[[#This Row],[UnroundedPremLoad]]*AB$10,-3)</f>
        <v>#N/A</v>
      </c>
      <c r="AC48" t="e">
        <f ca="1">ROUND(tblRiderCF[[#This Row],[UnroundedPMLoad]]*AC$10,-3)</f>
        <v>#N/A</v>
      </c>
      <c r="AD48" t="e">
        <f ca="1">tblRiderCF[[#This Row],[SemiAnnualPremLoad]]+tblRiderCF[[#This Row],[SemiAnnualPMLoad]]</f>
        <v>#N/A</v>
      </c>
      <c r="AE48" t="e">
        <f ca="1">tblRiderCF[[#This Row],[SemiAnnualPrem]]+tblRiderCF[[#This Row],[SemiAnnualLoad]]</f>
        <v>#N/A</v>
      </c>
      <c r="AF48" t="e">
        <f ca="1">ROUND(tblRiderCF[[#This Row],[UnroundedPrem]]*AF$10,-3)</f>
        <v>#N/A</v>
      </c>
      <c r="AG48" t="e">
        <f ca="1">ROUND(tblRiderCF[[#This Row],[UnroundedPremLoad]]*AG$10,-3)</f>
        <v>#N/A</v>
      </c>
      <c r="AH48" t="e">
        <f ca="1">ROUND(tblRiderCF[[#This Row],[UnroundedPMLoad]]*AH$10,-3)</f>
        <v>#N/A</v>
      </c>
      <c r="AI48" t="e">
        <f ca="1">tblRiderCF[[#This Row],[QuarterlyPremLoad]]+tblRiderCF[[#This Row],[QuarterlyPMLoad]]</f>
        <v>#N/A</v>
      </c>
      <c r="AJ48" t="e">
        <f ca="1">tblRiderCF[[#This Row],[QuarterlyPrem]]+tblRiderCF[[#This Row],[QuarterlyLoad]]</f>
        <v>#N/A</v>
      </c>
      <c r="AK48" t="e">
        <f ca="1">ROUND(tblRiderCF[[#This Row],[UnroundedPrem]]*AK$10,-3)</f>
        <v>#N/A</v>
      </c>
      <c r="AL48" t="e">
        <f ca="1">ROUND(tblRiderCF[[#This Row],[UnroundedPremLoad]]*AL$10,-3)</f>
        <v>#N/A</v>
      </c>
      <c r="AM48" t="e">
        <f ca="1">ROUND(tblRiderCF[[#This Row],[UnroundedPMLoad]]*AM$10,-3)</f>
        <v>#N/A</v>
      </c>
      <c r="AN48" t="e">
        <f ca="1">tblRiderCF[[#This Row],[MonthlyPremLoad]]+tblRiderCF[[#This Row],[MonthlyPMLoad]]</f>
        <v>#N/A</v>
      </c>
      <c r="AO48" t="e">
        <f ca="1">tblRiderCF[[#This Row],[MonthlyPrem]]+tblRiderCF[[#This Row],[MonthlyLoad]]</f>
        <v>#N/A</v>
      </c>
      <c r="AS48">
        <f t="shared" si="6"/>
        <v>0</v>
      </c>
      <c r="AT48">
        <f t="shared" si="7"/>
        <v>0</v>
      </c>
      <c r="AU48">
        <f ca="1">tblRiderCF[[#This Row],[Year]]</f>
        <v>35</v>
      </c>
      <c r="AV48" t="e">
        <f ca="1">tblRiderCF[[#This Row],[Age]]</f>
        <v>#N/A</v>
      </c>
      <c r="AW48">
        <f t="shared" si="2"/>
        <v>0</v>
      </c>
      <c r="AX48" t="e">
        <f t="shared" si="8"/>
        <v>#N/A</v>
      </c>
      <c r="AY48">
        <f t="shared" si="4"/>
        <v>0</v>
      </c>
      <c r="AZ48" s="47" t="e">
        <f ca="1">tblRiderCF[[#This Row],[SI]]</f>
        <v>#N/A</v>
      </c>
      <c r="BA48" t="e">
        <f ca="1">tblRiderCF[[#This Row],[TotalPrem]]</f>
        <v>#N/A</v>
      </c>
      <c r="BB48" t="e">
        <f ca="1">tblRiderCF[[#This Row],[SemiAnnualTotalPrem]]</f>
        <v>#N/A</v>
      </c>
      <c r="BC48" t="e">
        <f ca="1">tblRiderCF[[#This Row],[QuarterlyTotalPrem]]</f>
        <v>#N/A</v>
      </c>
      <c r="BD48" t="e">
        <f ca="1">tblRiderCF[[#This Row],[MonthlyTotalPrem]]</f>
        <v>#N/A</v>
      </c>
      <c r="BG48" t="s">
        <v>135</v>
      </c>
      <c r="BH48" t="s">
        <v>188</v>
      </c>
      <c r="BI48">
        <v>5</v>
      </c>
      <c r="BJ48">
        <v>35</v>
      </c>
      <c r="BK48" t="s">
        <v>483</v>
      </c>
      <c r="BL48">
        <v>44</v>
      </c>
      <c r="BM48">
        <v>0</v>
      </c>
      <c r="BN48">
        <v>250000000</v>
      </c>
      <c r="BO48">
        <v>2404000</v>
      </c>
      <c r="BP48">
        <v>1273000</v>
      </c>
      <c r="BQ48">
        <v>649000</v>
      </c>
      <c r="BR48">
        <v>216000</v>
      </c>
    </row>
    <row r="49" spans="2:70" x14ac:dyDescent="0.25">
      <c r="B49">
        <f ca="1">OFFSET(tblRiderCF[[#This Row],[Year]],-1,0)+1</f>
        <v>36</v>
      </c>
      <c r="C49" t="e">
        <f ca="1">(tblRiderCF[[#This Row],[Year]]&lt;=term)*1</f>
        <v>#N/A</v>
      </c>
      <c r="D49" t="e">
        <f ca="1">(entry_age+tblRiderCF[[#This Row],[Year]]-1)
*tblRiderCF[[#This Row],[RiderTermFlag]]</f>
        <v>#N/A</v>
      </c>
      <c r="E49" t="e">
        <f ca="1">(risk="Sub-standard")
*tblRiderCF[[#This Row],[RiderTermFlag]]</f>
        <v>#N/A</v>
      </c>
      <c r="F49" t="e">
        <f ca="1">(tblRiderCF[[#This Row],[Year]]&lt;=prem_load_term)
*tblRiderCF[[#This Row],[SubStandardFlag]]</f>
        <v>#N/A</v>
      </c>
      <c r="G49" t="e">
        <f ca="1">(tblRiderCF[[#This Row],[Year]]&lt;=pm_load_term)
*tblRiderCF[[#This Row],[SubStandardFlag]]</f>
        <v>#N/A</v>
      </c>
      <c r="H49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49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49" s="150" t="e" cm="1">
        <f t="array" aca="1" ref="J4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49" s="150" t="e">
        <f ca="1">add_rate*tblRiderCF[[#This Row],[SI]]*(rider=K$11)</f>
        <v>#N/A</v>
      </c>
      <c r="L49" s="150" t="e">
        <f ca="1">INDEX(tblPPDRate[Annualized GPR],MATCH(tblRiderCF[[#This Row],[Age]],tblPPDRate[Min age],1))*tblRiderCF[[#This Row],[SI]]
*(rider=L$11)</f>
        <v>#N/A</v>
      </c>
      <c r="M49" s="150" t="e">
        <f ca="1">INDEX(IF(gender="Male",tblCIR1Rate[Male],tblCIR1Rate[Female]),MATCH(tblRiderCF[[#This Row],[Age]],tblCIR1Rate[Age],0))/1000*tblRiderCF[[#This Row],[SI]]
*(rider=M$11)</f>
        <v>#N/A</v>
      </c>
      <c r="N49" s="150" t="e">
        <f ca="1">INDEX(IF(gender="Male",tblCIR2Rate[Male],tblCIR2Rate[Female]),MATCH(tblRiderCF[[#This Row],[Age]],tblCIR2Rate[Age],0))/1000*tblRiderCF[[#This Row],[SI]]
*(rider=N$11)</f>
        <v>#N/A</v>
      </c>
      <c r="O49" s="150" t="e">
        <f>INDEX(tblHOP2Rate[Premium],MATCH(hop2_option,tblHOP2Rate[Option],0))
*(rider=O$11)</f>
        <v>#N/A</v>
      </c>
      <c r="P49" s="150" t="e">
        <f ca="1">INDEX(Tariff!$CC$5:$CS$44,
MATCH(tblRiderCF[[#This Row],[Age]],Tariff!$CB$5:$CB$44,0),
MATCH(term+1-tblRiderCF[[#This Row],[Year]],Tariff!$CC$4:$CS$4,0))
*(rider=P$11)</f>
        <v>#N/A</v>
      </c>
      <c r="Q49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49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49" s="150" t="e">
        <f ca="1">INDEX(tblRiderCF[[#This Row],[ADD1UnroundedPrem]:[WOP2UnroundedPrem]],MATCH(rider,$K$11:$R$11,0))
*tblRiderCF[[#This Row],[RiderTermFlag]]</f>
        <v>#N/A</v>
      </c>
      <c r="T49" s="150" t="e">
        <f ca="1">tblRiderCF[[#This Row],[UnroundedPrem]]*prem_load</f>
        <v>#N/A</v>
      </c>
      <c r="U49" s="150" t="e">
        <f ca="1">pm_load/1000*tblRiderCF[[#This Row],[SI]]
*tblRiderCF[[#This Row],[RiderTermFlag]]</f>
        <v>#N/A</v>
      </c>
      <c r="V49" s="151" t="e">
        <f ca="1">ROUND(tblRiderCF[[#This Row],[UnroundedPrem]]*V$10,-3)</f>
        <v>#N/A</v>
      </c>
      <c r="W49" t="e">
        <f ca="1">ROUND(tblRiderCF[[#This Row],[UnroundedPremLoad]]*W$10,-3)</f>
        <v>#N/A</v>
      </c>
      <c r="X49" t="e">
        <f ca="1">ROUND(tblRiderCF[[#This Row],[UnroundedPMLoad]]*X$10,-3)</f>
        <v>#N/A</v>
      </c>
      <c r="Y49" t="e">
        <f ca="1">tblRiderCF[[#This Row],[PremLoad]]+tblRiderCF[[#This Row],[PMLoad]]</f>
        <v>#N/A</v>
      </c>
      <c r="Z49" t="e">
        <f ca="1">tblRiderCF[[#This Row],[Prem]]+tblRiderCF[[#This Row],[Load]]</f>
        <v>#N/A</v>
      </c>
      <c r="AA49" t="e">
        <f ca="1">ROUND(tblRiderCF[[#This Row],[UnroundedPrem]]*AA$10,-3)</f>
        <v>#N/A</v>
      </c>
      <c r="AB49" t="e">
        <f ca="1">ROUND(tblRiderCF[[#This Row],[UnroundedPremLoad]]*AB$10,-3)</f>
        <v>#N/A</v>
      </c>
      <c r="AC49" t="e">
        <f ca="1">ROUND(tblRiderCF[[#This Row],[UnroundedPMLoad]]*AC$10,-3)</f>
        <v>#N/A</v>
      </c>
      <c r="AD49" t="e">
        <f ca="1">tblRiderCF[[#This Row],[SemiAnnualPremLoad]]+tblRiderCF[[#This Row],[SemiAnnualPMLoad]]</f>
        <v>#N/A</v>
      </c>
      <c r="AE49" t="e">
        <f ca="1">tblRiderCF[[#This Row],[SemiAnnualPrem]]+tblRiderCF[[#This Row],[SemiAnnualLoad]]</f>
        <v>#N/A</v>
      </c>
      <c r="AF49" t="e">
        <f ca="1">ROUND(tblRiderCF[[#This Row],[UnroundedPrem]]*AF$10,-3)</f>
        <v>#N/A</v>
      </c>
      <c r="AG49" t="e">
        <f ca="1">ROUND(tblRiderCF[[#This Row],[UnroundedPremLoad]]*AG$10,-3)</f>
        <v>#N/A</v>
      </c>
      <c r="AH49" t="e">
        <f ca="1">ROUND(tblRiderCF[[#This Row],[UnroundedPMLoad]]*AH$10,-3)</f>
        <v>#N/A</v>
      </c>
      <c r="AI49" t="e">
        <f ca="1">tblRiderCF[[#This Row],[QuarterlyPremLoad]]+tblRiderCF[[#This Row],[QuarterlyPMLoad]]</f>
        <v>#N/A</v>
      </c>
      <c r="AJ49" t="e">
        <f ca="1">tblRiderCF[[#This Row],[QuarterlyPrem]]+tblRiderCF[[#This Row],[QuarterlyLoad]]</f>
        <v>#N/A</v>
      </c>
      <c r="AK49" t="e">
        <f ca="1">ROUND(tblRiderCF[[#This Row],[UnroundedPrem]]*AK$10,-3)</f>
        <v>#N/A</v>
      </c>
      <c r="AL49" t="e">
        <f ca="1">ROUND(tblRiderCF[[#This Row],[UnroundedPremLoad]]*AL$10,-3)</f>
        <v>#N/A</v>
      </c>
      <c r="AM49" t="e">
        <f ca="1">ROUND(tblRiderCF[[#This Row],[UnroundedPMLoad]]*AM$10,-3)</f>
        <v>#N/A</v>
      </c>
      <c r="AN49" t="e">
        <f ca="1">tblRiderCF[[#This Row],[MonthlyPremLoad]]+tblRiderCF[[#This Row],[MonthlyPMLoad]]</f>
        <v>#N/A</v>
      </c>
      <c r="AO49" t="e">
        <f ca="1">tblRiderCF[[#This Row],[MonthlyPrem]]+tblRiderCF[[#This Row],[MonthlyLoad]]</f>
        <v>#N/A</v>
      </c>
      <c r="AS49">
        <f t="shared" si="6"/>
        <v>0</v>
      </c>
      <c r="AT49">
        <f t="shared" si="7"/>
        <v>0</v>
      </c>
      <c r="AU49">
        <f ca="1">tblRiderCF[[#This Row],[Year]]</f>
        <v>36</v>
      </c>
      <c r="AV49" t="e">
        <f ca="1">tblRiderCF[[#This Row],[Age]]</f>
        <v>#N/A</v>
      </c>
      <c r="AW49">
        <f t="shared" si="2"/>
        <v>0</v>
      </c>
      <c r="AX49" t="e">
        <f t="shared" si="8"/>
        <v>#N/A</v>
      </c>
      <c r="AY49">
        <f t="shared" si="4"/>
        <v>0</v>
      </c>
      <c r="AZ49" s="47" t="e">
        <f ca="1">tblRiderCF[[#This Row],[SI]]</f>
        <v>#N/A</v>
      </c>
      <c r="BA49" t="e">
        <f ca="1">tblRiderCF[[#This Row],[TotalPrem]]</f>
        <v>#N/A</v>
      </c>
      <c r="BB49" t="e">
        <f ca="1">tblRiderCF[[#This Row],[SemiAnnualTotalPrem]]</f>
        <v>#N/A</v>
      </c>
      <c r="BC49" t="e">
        <f ca="1">tblRiderCF[[#This Row],[QuarterlyTotalPrem]]</f>
        <v>#N/A</v>
      </c>
      <c r="BD49" t="e">
        <f ca="1">tblRiderCF[[#This Row],[MonthlyTotalPrem]]</f>
        <v>#N/A</v>
      </c>
      <c r="BG49" t="s">
        <v>135</v>
      </c>
      <c r="BH49" t="s">
        <v>188</v>
      </c>
      <c r="BI49">
        <v>6</v>
      </c>
      <c r="BJ49">
        <v>36</v>
      </c>
      <c r="BK49" t="s">
        <v>483</v>
      </c>
      <c r="BL49">
        <v>44</v>
      </c>
      <c r="BM49">
        <v>0</v>
      </c>
      <c r="BN49">
        <v>250000000</v>
      </c>
      <c r="BO49">
        <v>2570000</v>
      </c>
      <c r="BP49">
        <v>1362000</v>
      </c>
      <c r="BQ49">
        <v>693000</v>
      </c>
      <c r="BR49">
        <v>231000</v>
      </c>
    </row>
    <row r="50" spans="2:70" x14ac:dyDescent="0.25">
      <c r="B50">
        <f ca="1">OFFSET(tblRiderCF[[#This Row],[Year]],-1,0)+1</f>
        <v>37</v>
      </c>
      <c r="C50" t="e">
        <f ca="1">(tblRiderCF[[#This Row],[Year]]&lt;=term)*1</f>
        <v>#N/A</v>
      </c>
      <c r="D50" t="e">
        <f ca="1">(entry_age+tblRiderCF[[#This Row],[Year]]-1)
*tblRiderCF[[#This Row],[RiderTermFlag]]</f>
        <v>#N/A</v>
      </c>
      <c r="E50" t="e">
        <f ca="1">(risk="Sub-standard")
*tblRiderCF[[#This Row],[RiderTermFlag]]</f>
        <v>#N/A</v>
      </c>
      <c r="F50" t="e">
        <f ca="1">(tblRiderCF[[#This Row],[Year]]&lt;=prem_load_term)
*tblRiderCF[[#This Row],[SubStandardFlag]]</f>
        <v>#N/A</v>
      </c>
      <c r="G50" t="e">
        <f ca="1">(tblRiderCF[[#This Row],[Year]]&lt;=pm_load_term)
*tblRiderCF[[#This Row],[SubStandardFlag]]</f>
        <v>#N/A</v>
      </c>
      <c r="H50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0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0" s="150" t="e" cm="1">
        <f t="array" aca="1" ref="J5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0" s="150" t="e">
        <f ca="1">add_rate*tblRiderCF[[#This Row],[SI]]*(rider=K$11)</f>
        <v>#N/A</v>
      </c>
      <c r="L50" s="150" t="e">
        <f ca="1">INDEX(tblPPDRate[Annualized GPR],MATCH(tblRiderCF[[#This Row],[Age]],tblPPDRate[Min age],1))*tblRiderCF[[#This Row],[SI]]
*(rider=L$11)</f>
        <v>#N/A</v>
      </c>
      <c r="M50" s="150" t="e">
        <f ca="1">INDEX(IF(gender="Male",tblCIR1Rate[Male],tblCIR1Rate[Female]),MATCH(tblRiderCF[[#This Row],[Age]],tblCIR1Rate[Age],0))/1000*tblRiderCF[[#This Row],[SI]]
*(rider=M$11)</f>
        <v>#N/A</v>
      </c>
      <c r="N50" s="150" t="e">
        <f ca="1">INDEX(IF(gender="Male",tblCIR2Rate[Male],tblCIR2Rate[Female]),MATCH(tblRiderCF[[#This Row],[Age]],tblCIR2Rate[Age],0))/1000*tblRiderCF[[#This Row],[SI]]
*(rider=N$11)</f>
        <v>#N/A</v>
      </c>
      <c r="O50" s="150" t="e">
        <f>INDEX(tblHOP2Rate[Premium],MATCH(hop2_option,tblHOP2Rate[Option],0))
*(rider=O$11)</f>
        <v>#N/A</v>
      </c>
      <c r="P50" s="150" t="e">
        <f ca="1">INDEX(Tariff!$CC$5:$CS$44,
MATCH(tblRiderCF[[#This Row],[Age]],Tariff!$CB$5:$CB$44,0),
MATCH(term+1-tblRiderCF[[#This Row],[Year]],Tariff!$CC$4:$CS$4,0))
*(rider=P$11)</f>
        <v>#N/A</v>
      </c>
      <c r="Q50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0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0" s="150" t="e">
        <f ca="1">INDEX(tblRiderCF[[#This Row],[ADD1UnroundedPrem]:[WOP2UnroundedPrem]],MATCH(rider,$K$11:$R$11,0))
*tblRiderCF[[#This Row],[RiderTermFlag]]</f>
        <v>#N/A</v>
      </c>
      <c r="T50" s="150" t="e">
        <f ca="1">tblRiderCF[[#This Row],[UnroundedPrem]]*prem_load</f>
        <v>#N/A</v>
      </c>
      <c r="U50" s="150" t="e">
        <f ca="1">pm_load/1000*tblRiderCF[[#This Row],[SI]]
*tblRiderCF[[#This Row],[RiderTermFlag]]</f>
        <v>#N/A</v>
      </c>
      <c r="V50" s="151" t="e">
        <f ca="1">ROUND(tblRiderCF[[#This Row],[UnroundedPrem]]*V$10,-3)</f>
        <v>#N/A</v>
      </c>
      <c r="W50" t="e">
        <f ca="1">ROUND(tblRiderCF[[#This Row],[UnroundedPremLoad]]*W$10,-3)</f>
        <v>#N/A</v>
      </c>
      <c r="X50" t="e">
        <f ca="1">ROUND(tblRiderCF[[#This Row],[UnroundedPMLoad]]*X$10,-3)</f>
        <v>#N/A</v>
      </c>
      <c r="Y50" t="e">
        <f ca="1">tblRiderCF[[#This Row],[PremLoad]]+tblRiderCF[[#This Row],[PMLoad]]</f>
        <v>#N/A</v>
      </c>
      <c r="Z50" t="e">
        <f ca="1">tblRiderCF[[#This Row],[Prem]]+tblRiderCF[[#This Row],[Load]]</f>
        <v>#N/A</v>
      </c>
      <c r="AA50" t="e">
        <f ca="1">ROUND(tblRiderCF[[#This Row],[UnroundedPrem]]*AA$10,-3)</f>
        <v>#N/A</v>
      </c>
      <c r="AB50" t="e">
        <f ca="1">ROUND(tblRiderCF[[#This Row],[UnroundedPremLoad]]*AB$10,-3)</f>
        <v>#N/A</v>
      </c>
      <c r="AC50" t="e">
        <f ca="1">ROUND(tblRiderCF[[#This Row],[UnroundedPMLoad]]*AC$10,-3)</f>
        <v>#N/A</v>
      </c>
      <c r="AD50" t="e">
        <f ca="1">tblRiderCF[[#This Row],[SemiAnnualPremLoad]]+tblRiderCF[[#This Row],[SemiAnnualPMLoad]]</f>
        <v>#N/A</v>
      </c>
      <c r="AE50" t="e">
        <f ca="1">tblRiderCF[[#This Row],[SemiAnnualPrem]]+tblRiderCF[[#This Row],[SemiAnnualLoad]]</f>
        <v>#N/A</v>
      </c>
      <c r="AF50" t="e">
        <f ca="1">ROUND(tblRiderCF[[#This Row],[UnroundedPrem]]*AF$10,-3)</f>
        <v>#N/A</v>
      </c>
      <c r="AG50" t="e">
        <f ca="1">ROUND(tblRiderCF[[#This Row],[UnroundedPremLoad]]*AG$10,-3)</f>
        <v>#N/A</v>
      </c>
      <c r="AH50" t="e">
        <f ca="1">ROUND(tblRiderCF[[#This Row],[UnroundedPMLoad]]*AH$10,-3)</f>
        <v>#N/A</v>
      </c>
      <c r="AI50" t="e">
        <f ca="1">tblRiderCF[[#This Row],[QuarterlyPremLoad]]+tblRiderCF[[#This Row],[QuarterlyPMLoad]]</f>
        <v>#N/A</v>
      </c>
      <c r="AJ50" t="e">
        <f ca="1">tblRiderCF[[#This Row],[QuarterlyPrem]]+tblRiderCF[[#This Row],[QuarterlyLoad]]</f>
        <v>#N/A</v>
      </c>
      <c r="AK50" t="e">
        <f ca="1">ROUND(tblRiderCF[[#This Row],[UnroundedPrem]]*AK$10,-3)</f>
        <v>#N/A</v>
      </c>
      <c r="AL50" t="e">
        <f ca="1">ROUND(tblRiderCF[[#This Row],[UnroundedPremLoad]]*AL$10,-3)</f>
        <v>#N/A</v>
      </c>
      <c r="AM50" t="e">
        <f ca="1">ROUND(tblRiderCF[[#This Row],[UnroundedPMLoad]]*AM$10,-3)</f>
        <v>#N/A</v>
      </c>
      <c r="AN50" t="e">
        <f ca="1">tblRiderCF[[#This Row],[MonthlyPremLoad]]+tblRiderCF[[#This Row],[MonthlyPMLoad]]</f>
        <v>#N/A</v>
      </c>
      <c r="AO50" t="e">
        <f ca="1">tblRiderCF[[#This Row],[MonthlyPrem]]+tblRiderCF[[#This Row],[MonthlyLoad]]</f>
        <v>#N/A</v>
      </c>
      <c r="AS50">
        <f t="shared" si="6"/>
        <v>0</v>
      </c>
      <c r="AT50">
        <f t="shared" si="7"/>
        <v>0</v>
      </c>
      <c r="AU50">
        <f ca="1">tblRiderCF[[#This Row],[Year]]</f>
        <v>37</v>
      </c>
      <c r="AV50" t="e">
        <f ca="1">tblRiderCF[[#This Row],[Age]]</f>
        <v>#N/A</v>
      </c>
      <c r="AW50">
        <f t="shared" si="2"/>
        <v>0</v>
      </c>
      <c r="AX50" t="e">
        <f t="shared" si="8"/>
        <v>#N/A</v>
      </c>
      <c r="AY50">
        <f t="shared" si="4"/>
        <v>0</v>
      </c>
      <c r="AZ50" s="47" t="e">
        <f ca="1">tblRiderCF[[#This Row],[SI]]</f>
        <v>#N/A</v>
      </c>
      <c r="BA50" t="e">
        <f ca="1">tblRiderCF[[#This Row],[TotalPrem]]</f>
        <v>#N/A</v>
      </c>
      <c r="BB50" t="e">
        <f ca="1">tblRiderCF[[#This Row],[SemiAnnualTotalPrem]]</f>
        <v>#N/A</v>
      </c>
      <c r="BC50" t="e">
        <f ca="1">tblRiderCF[[#This Row],[QuarterlyTotalPrem]]</f>
        <v>#N/A</v>
      </c>
      <c r="BD50" t="e">
        <f ca="1">tblRiderCF[[#This Row],[MonthlyTotalPrem]]</f>
        <v>#N/A</v>
      </c>
      <c r="BG50" t="s">
        <v>135</v>
      </c>
      <c r="BH50" t="s">
        <v>188</v>
      </c>
      <c r="BI50">
        <v>7</v>
      </c>
      <c r="BJ50">
        <v>37</v>
      </c>
      <c r="BK50" t="s">
        <v>483</v>
      </c>
      <c r="BL50">
        <v>44</v>
      </c>
      <c r="BM50">
        <v>0</v>
      </c>
      <c r="BN50">
        <v>250000000</v>
      </c>
      <c r="BO50">
        <v>2749000</v>
      </c>
      <c r="BP50">
        <v>1457000</v>
      </c>
      <c r="BQ50">
        <v>742000</v>
      </c>
      <c r="BR50">
        <v>248000</v>
      </c>
    </row>
    <row r="51" spans="2:70" x14ac:dyDescent="0.25">
      <c r="B51">
        <f ca="1">OFFSET(tblRiderCF[[#This Row],[Year]],-1,0)+1</f>
        <v>38</v>
      </c>
      <c r="C51" t="e">
        <f ca="1">(tblRiderCF[[#This Row],[Year]]&lt;=term)*1</f>
        <v>#N/A</v>
      </c>
      <c r="D51" t="e">
        <f ca="1">(entry_age+tblRiderCF[[#This Row],[Year]]-1)
*tblRiderCF[[#This Row],[RiderTermFlag]]</f>
        <v>#N/A</v>
      </c>
      <c r="E51" t="e">
        <f ca="1">(risk="Sub-standard")
*tblRiderCF[[#This Row],[RiderTermFlag]]</f>
        <v>#N/A</v>
      </c>
      <c r="F51" t="e">
        <f ca="1">(tblRiderCF[[#This Row],[Year]]&lt;=prem_load_term)
*tblRiderCF[[#This Row],[SubStandardFlag]]</f>
        <v>#N/A</v>
      </c>
      <c r="G51" t="e">
        <f ca="1">(tblRiderCF[[#This Row],[Year]]&lt;=pm_load_term)
*tblRiderCF[[#This Row],[SubStandardFlag]]</f>
        <v>#N/A</v>
      </c>
      <c r="H51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1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1" s="150" t="e" cm="1">
        <f t="array" aca="1" ref="J5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1" s="150" t="e">
        <f ca="1">add_rate*tblRiderCF[[#This Row],[SI]]*(rider=K$11)</f>
        <v>#N/A</v>
      </c>
      <c r="L51" s="150" t="e">
        <f ca="1">INDEX(tblPPDRate[Annualized GPR],MATCH(tblRiderCF[[#This Row],[Age]],tblPPDRate[Min age],1))*tblRiderCF[[#This Row],[SI]]
*(rider=L$11)</f>
        <v>#N/A</v>
      </c>
      <c r="M51" s="150" t="e">
        <f ca="1">INDEX(IF(gender="Male",tblCIR1Rate[Male],tblCIR1Rate[Female]),MATCH(tblRiderCF[[#This Row],[Age]],tblCIR1Rate[Age],0))/1000*tblRiderCF[[#This Row],[SI]]
*(rider=M$11)</f>
        <v>#N/A</v>
      </c>
      <c r="N51" s="150" t="e">
        <f ca="1">INDEX(IF(gender="Male",tblCIR2Rate[Male],tblCIR2Rate[Female]),MATCH(tblRiderCF[[#This Row],[Age]],tblCIR2Rate[Age],0))/1000*tblRiderCF[[#This Row],[SI]]
*(rider=N$11)</f>
        <v>#N/A</v>
      </c>
      <c r="O51" s="150" t="e">
        <f>INDEX(tblHOP2Rate[Premium],MATCH(hop2_option,tblHOP2Rate[Option],0))
*(rider=O$11)</f>
        <v>#N/A</v>
      </c>
      <c r="P51" s="150" t="e">
        <f ca="1">INDEX(Tariff!$CC$5:$CS$44,
MATCH(tblRiderCF[[#This Row],[Age]],Tariff!$CB$5:$CB$44,0),
MATCH(term+1-tblRiderCF[[#This Row],[Year]],Tariff!$CC$4:$CS$4,0))
*(rider=P$11)</f>
        <v>#N/A</v>
      </c>
      <c r="Q51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1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1" s="150" t="e">
        <f ca="1">INDEX(tblRiderCF[[#This Row],[ADD1UnroundedPrem]:[WOP2UnroundedPrem]],MATCH(rider,$K$11:$R$11,0))
*tblRiderCF[[#This Row],[RiderTermFlag]]</f>
        <v>#N/A</v>
      </c>
      <c r="T51" s="150" t="e">
        <f ca="1">tblRiderCF[[#This Row],[UnroundedPrem]]*prem_load</f>
        <v>#N/A</v>
      </c>
      <c r="U51" s="150" t="e">
        <f ca="1">pm_load/1000*tblRiderCF[[#This Row],[SI]]
*tblRiderCF[[#This Row],[RiderTermFlag]]</f>
        <v>#N/A</v>
      </c>
      <c r="V51" s="151" t="e">
        <f ca="1">ROUND(tblRiderCF[[#This Row],[UnroundedPrem]]*V$10,-3)</f>
        <v>#N/A</v>
      </c>
      <c r="W51" t="e">
        <f ca="1">ROUND(tblRiderCF[[#This Row],[UnroundedPremLoad]]*W$10,-3)</f>
        <v>#N/A</v>
      </c>
      <c r="X51" t="e">
        <f ca="1">ROUND(tblRiderCF[[#This Row],[UnroundedPMLoad]]*X$10,-3)</f>
        <v>#N/A</v>
      </c>
      <c r="Y51" t="e">
        <f ca="1">tblRiderCF[[#This Row],[PremLoad]]+tblRiderCF[[#This Row],[PMLoad]]</f>
        <v>#N/A</v>
      </c>
      <c r="Z51" t="e">
        <f ca="1">tblRiderCF[[#This Row],[Prem]]+tblRiderCF[[#This Row],[Load]]</f>
        <v>#N/A</v>
      </c>
      <c r="AA51" t="e">
        <f ca="1">ROUND(tblRiderCF[[#This Row],[UnroundedPrem]]*AA$10,-3)</f>
        <v>#N/A</v>
      </c>
      <c r="AB51" t="e">
        <f ca="1">ROUND(tblRiderCF[[#This Row],[UnroundedPremLoad]]*AB$10,-3)</f>
        <v>#N/A</v>
      </c>
      <c r="AC51" t="e">
        <f ca="1">ROUND(tblRiderCF[[#This Row],[UnroundedPMLoad]]*AC$10,-3)</f>
        <v>#N/A</v>
      </c>
      <c r="AD51" t="e">
        <f ca="1">tblRiderCF[[#This Row],[SemiAnnualPremLoad]]+tblRiderCF[[#This Row],[SemiAnnualPMLoad]]</f>
        <v>#N/A</v>
      </c>
      <c r="AE51" t="e">
        <f ca="1">tblRiderCF[[#This Row],[SemiAnnualPrem]]+tblRiderCF[[#This Row],[SemiAnnualLoad]]</f>
        <v>#N/A</v>
      </c>
      <c r="AF51" t="e">
        <f ca="1">ROUND(tblRiderCF[[#This Row],[UnroundedPrem]]*AF$10,-3)</f>
        <v>#N/A</v>
      </c>
      <c r="AG51" t="e">
        <f ca="1">ROUND(tblRiderCF[[#This Row],[UnroundedPremLoad]]*AG$10,-3)</f>
        <v>#N/A</v>
      </c>
      <c r="AH51" t="e">
        <f ca="1">ROUND(tblRiderCF[[#This Row],[UnroundedPMLoad]]*AH$10,-3)</f>
        <v>#N/A</v>
      </c>
      <c r="AI51" t="e">
        <f ca="1">tblRiderCF[[#This Row],[QuarterlyPremLoad]]+tblRiderCF[[#This Row],[QuarterlyPMLoad]]</f>
        <v>#N/A</v>
      </c>
      <c r="AJ51" t="e">
        <f ca="1">tblRiderCF[[#This Row],[QuarterlyPrem]]+tblRiderCF[[#This Row],[QuarterlyLoad]]</f>
        <v>#N/A</v>
      </c>
      <c r="AK51" t="e">
        <f ca="1">ROUND(tblRiderCF[[#This Row],[UnroundedPrem]]*AK$10,-3)</f>
        <v>#N/A</v>
      </c>
      <c r="AL51" t="e">
        <f ca="1">ROUND(tblRiderCF[[#This Row],[UnroundedPremLoad]]*AL$10,-3)</f>
        <v>#N/A</v>
      </c>
      <c r="AM51" t="e">
        <f ca="1">ROUND(tblRiderCF[[#This Row],[UnroundedPMLoad]]*AM$10,-3)</f>
        <v>#N/A</v>
      </c>
      <c r="AN51" t="e">
        <f ca="1">tblRiderCF[[#This Row],[MonthlyPremLoad]]+tblRiderCF[[#This Row],[MonthlyPMLoad]]</f>
        <v>#N/A</v>
      </c>
      <c r="AO51" t="e">
        <f ca="1">tblRiderCF[[#This Row],[MonthlyPrem]]+tblRiderCF[[#This Row],[MonthlyLoad]]</f>
        <v>#N/A</v>
      </c>
      <c r="AS51">
        <f t="shared" si="6"/>
        <v>0</v>
      </c>
      <c r="AT51">
        <f t="shared" si="7"/>
        <v>0</v>
      </c>
      <c r="AU51">
        <f ca="1">tblRiderCF[[#This Row],[Year]]</f>
        <v>38</v>
      </c>
      <c r="AV51" t="e">
        <f ca="1">tblRiderCF[[#This Row],[Age]]</f>
        <v>#N/A</v>
      </c>
      <c r="AW51">
        <f t="shared" si="2"/>
        <v>0</v>
      </c>
      <c r="AX51" t="e">
        <f t="shared" si="8"/>
        <v>#N/A</v>
      </c>
      <c r="AY51">
        <f t="shared" si="4"/>
        <v>0</v>
      </c>
      <c r="AZ51" s="47" t="e">
        <f ca="1">tblRiderCF[[#This Row],[SI]]</f>
        <v>#N/A</v>
      </c>
      <c r="BA51" t="e">
        <f ca="1">tblRiderCF[[#This Row],[TotalPrem]]</f>
        <v>#N/A</v>
      </c>
      <c r="BB51" t="e">
        <f ca="1">tblRiderCF[[#This Row],[SemiAnnualTotalPrem]]</f>
        <v>#N/A</v>
      </c>
      <c r="BC51" t="e">
        <f ca="1">tblRiderCF[[#This Row],[QuarterlyTotalPrem]]</f>
        <v>#N/A</v>
      </c>
      <c r="BD51" t="e">
        <f ca="1">tblRiderCF[[#This Row],[MonthlyTotalPrem]]</f>
        <v>#N/A</v>
      </c>
      <c r="BG51" t="s">
        <v>135</v>
      </c>
      <c r="BH51" t="s">
        <v>188</v>
      </c>
      <c r="BI51">
        <v>8</v>
      </c>
      <c r="BJ51">
        <v>38</v>
      </c>
      <c r="BK51" t="s">
        <v>483</v>
      </c>
      <c r="BL51">
        <v>44</v>
      </c>
      <c r="BM51">
        <v>0</v>
      </c>
      <c r="BN51">
        <v>250000000</v>
      </c>
      <c r="BO51">
        <v>2920000</v>
      </c>
      <c r="BP51">
        <v>1548000</v>
      </c>
      <c r="BQ51">
        <v>788000</v>
      </c>
      <c r="BR51">
        <v>262000</v>
      </c>
    </row>
    <row r="52" spans="2:70" x14ac:dyDescent="0.25">
      <c r="B52">
        <f ca="1">OFFSET(tblRiderCF[[#This Row],[Year]],-1,0)+1</f>
        <v>39</v>
      </c>
      <c r="C52" t="e">
        <f ca="1">(tblRiderCF[[#This Row],[Year]]&lt;=term)*1</f>
        <v>#N/A</v>
      </c>
      <c r="D52" t="e">
        <f ca="1">(entry_age+tblRiderCF[[#This Row],[Year]]-1)
*tblRiderCF[[#This Row],[RiderTermFlag]]</f>
        <v>#N/A</v>
      </c>
      <c r="E52" t="e">
        <f ca="1">(risk="Sub-standard")
*tblRiderCF[[#This Row],[RiderTermFlag]]</f>
        <v>#N/A</v>
      </c>
      <c r="F52" t="e">
        <f ca="1">(tblRiderCF[[#This Row],[Year]]&lt;=prem_load_term)
*tblRiderCF[[#This Row],[SubStandardFlag]]</f>
        <v>#N/A</v>
      </c>
      <c r="G52" t="e">
        <f ca="1">(tblRiderCF[[#This Row],[Year]]&lt;=pm_load_term)
*tblRiderCF[[#This Row],[SubStandardFlag]]</f>
        <v>#N/A</v>
      </c>
      <c r="H52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2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2" s="150" t="e" cm="1">
        <f t="array" aca="1" ref="J5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2" s="150" t="e">
        <f ca="1">add_rate*tblRiderCF[[#This Row],[SI]]*(rider=K$11)</f>
        <v>#N/A</v>
      </c>
      <c r="L52" s="150" t="e">
        <f ca="1">INDEX(tblPPDRate[Annualized GPR],MATCH(tblRiderCF[[#This Row],[Age]],tblPPDRate[Min age],1))*tblRiderCF[[#This Row],[SI]]
*(rider=L$11)</f>
        <v>#N/A</v>
      </c>
      <c r="M52" s="150" t="e">
        <f ca="1">INDEX(IF(gender="Male",tblCIR1Rate[Male],tblCIR1Rate[Female]),MATCH(tblRiderCF[[#This Row],[Age]],tblCIR1Rate[Age],0))/1000*tblRiderCF[[#This Row],[SI]]
*(rider=M$11)</f>
        <v>#N/A</v>
      </c>
      <c r="N52" s="150" t="e">
        <f ca="1">INDEX(IF(gender="Male",tblCIR2Rate[Male],tblCIR2Rate[Female]),MATCH(tblRiderCF[[#This Row],[Age]],tblCIR2Rate[Age],0))/1000*tblRiderCF[[#This Row],[SI]]
*(rider=N$11)</f>
        <v>#N/A</v>
      </c>
      <c r="O52" s="150" t="e">
        <f>INDEX(tblHOP2Rate[Premium],MATCH(hop2_option,tblHOP2Rate[Option],0))
*(rider=O$11)</f>
        <v>#N/A</v>
      </c>
      <c r="P52" s="150" t="e">
        <f ca="1">INDEX(Tariff!$CC$5:$CS$44,
MATCH(tblRiderCF[[#This Row],[Age]],Tariff!$CB$5:$CB$44,0),
MATCH(term+1-tblRiderCF[[#This Row],[Year]],Tariff!$CC$4:$CS$4,0))
*(rider=P$11)</f>
        <v>#N/A</v>
      </c>
      <c r="Q52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2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2" s="150" t="e">
        <f ca="1">INDEX(tblRiderCF[[#This Row],[ADD1UnroundedPrem]:[WOP2UnroundedPrem]],MATCH(rider,$K$11:$R$11,0))
*tblRiderCF[[#This Row],[RiderTermFlag]]</f>
        <v>#N/A</v>
      </c>
      <c r="T52" s="150" t="e">
        <f ca="1">tblRiderCF[[#This Row],[UnroundedPrem]]*prem_load</f>
        <v>#N/A</v>
      </c>
      <c r="U52" s="150" t="e">
        <f ca="1">pm_load/1000*tblRiderCF[[#This Row],[SI]]
*tblRiderCF[[#This Row],[RiderTermFlag]]</f>
        <v>#N/A</v>
      </c>
      <c r="V52" s="151" t="e">
        <f ca="1">ROUND(tblRiderCF[[#This Row],[UnroundedPrem]]*V$10,-3)</f>
        <v>#N/A</v>
      </c>
      <c r="W52" t="e">
        <f ca="1">ROUND(tblRiderCF[[#This Row],[UnroundedPremLoad]]*W$10,-3)</f>
        <v>#N/A</v>
      </c>
      <c r="X52" t="e">
        <f ca="1">ROUND(tblRiderCF[[#This Row],[UnroundedPMLoad]]*X$10,-3)</f>
        <v>#N/A</v>
      </c>
      <c r="Y52" t="e">
        <f ca="1">tblRiderCF[[#This Row],[PremLoad]]+tblRiderCF[[#This Row],[PMLoad]]</f>
        <v>#N/A</v>
      </c>
      <c r="Z52" t="e">
        <f ca="1">tblRiderCF[[#This Row],[Prem]]+tblRiderCF[[#This Row],[Load]]</f>
        <v>#N/A</v>
      </c>
      <c r="AA52" t="e">
        <f ca="1">ROUND(tblRiderCF[[#This Row],[UnroundedPrem]]*AA$10,-3)</f>
        <v>#N/A</v>
      </c>
      <c r="AB52" t="e">
        <f ca="1">ROUND(tblRiderCF[[#This Row],[UnroundedPremLoad]]*AB$10,-3)</f>
        <v>#N/A</v>
      </c>
      <c r="AC52" t="e">
        <f ca="1">ROUND(tblRiderCF[[#This Row],[UnroundedPMLoad]]*AC$10,-3)</f>
        <v>#N/A</v>
      </c>
      <c r="AD52" t="e">
        <f ca="1">tblRiderCF[[#This Row],[SemiAnnualPremLoad]]+tblRiderCF[[#This Row],[SemiAnnualPMLoad]]</f>
        <v>#N/A</v>
      </c>
      <c r="AE52" t="e">
        <f ca="1">tblRiderCF[[#This Row],[SemiAnnualPrem]]+tblRiderCF[[#This Row],[SemiAnnualLoad]]</f>
        <v>#N/A</v>
      </c>
      <c r="AF52" t="e">
        <f ca="1">ROUND(tblRiderCF[[#This Row],[UnroundedPrem]]*AF$10,-3)</f>
        <v>#N/A</v>
      </c>
      <c r="AG52" t="e">
        <f ca="1">ROUND(tblRiderCF[[#This Row],[UnroundedPremLoad]]*AG$10,-3)</f>
        <v>#N/A</v>
      </c>
      <c r="AH52" t="e">
        <f ca="1">ROUND(tblRiderCF[[#This Row],[UnroundedPMLoad]]*AH$10,-3)</f>
        <v>#N/A</v>
      </c>
      <c r="AI52" t="e">
        <f ca="1">tblRiderCF[[#This Row],[QuarterlyPremLoad]]+tblRiderCF[[#This Row],[QuarterlyPMLoad]]</f>
        <v>#N/A</v>
      </c>
      <c r="AJ52" t="e">
        <f ca="1">tblRiderCF[[#This Row],[QuarterlyPrem]]+tblRiderCF[[#This Row],[QuarterlyLoad]]</f>
        <v>#N/A</v>
      </c>
      <c r="AK52" t="e">
        <f ca="1">ROUND(tblRiderCF[[#This Row],[UnroundedPrem]]*AK$10,-3)</f>
        <v>#N/A</v>
      </c>
      <c r="AL52" t="e">
        <f ca="1">ROUND(tblRiderCF[[#This Row],[UnroundedPremLoad]]*AL$10,-3)</f>
        <v>#N/A</v>
      </c>
      <c r="AM52" t="e">
        <f ca="1">ROUND(tblRiderCF[[#This Row],[UnroundedPMLoad]]*AM$10,-3)</f>
        <v>#N/A</v>
      </c>
      <c r="AN52" t="e">
        <f ca="1">tblRiderCF[[#This Row],[MonthlyPremLoad]]+tblRiderCF[[#This Row],[MonthlyPMLoad]]</f>
        <v>#N/A</v>
      </c>
      <c r="AO52" t="e">
        <f ca="1">tblRiderCF[[#This Row],[MonthlyPrem]]+tblRiderCF[[#This Row],[MonthlyLoad]]</f>
        <v>#N/A</v>
      </c>
      <c r="AS52">
        <f t="shared" si="6"/>
        <v>0</v>
      </c>
      <c r="AT52">
        <f t="shared" si="7"/>
        <v>0</v>
      </c>
      <c r="AU52">
        <f ca="1">tblRiderCF[[#This Row],[Year]]</f>
        <v>39</v>
      </c>
      <c r="AV52" t="e">
        <f ca="1">tblRiderCF[[#This Row],[Age]]</f>
        <v>#N/A</v>
      </c>
      <c r="AW52">
        <f t="shared" si="2"/>
        <v>0</v>
      </c>
      <c r="AX52" t="e">
        <f t="shared" si="8"/>
        <v>#N/A</v>
      </c>
      <c r="AY52">
        <f t="shared" si="4"/>
        <v>0</v>
      </c>
      <c r="AZ52" s="47" t="e">
        <f ca="1">tblRiderCF[[#This Row],[SI]]</f>
        <v>#N/A</v>
      </c>
      <c r="BA52" t="e">
        <f ca="1">tblRiderCF[[#This Row],[TotalPrem]]</f>
        <v>#N/A</v>
      </c>
      <c r="BB52" t="e">
        <f ca="1">tblRiderCF[[#This Row],[SemiAnnualTotalPrem]]</f>
        <v>#N/A</v>
      </c>
      <c r="BC52" t="e">
        <f ca="1">tblRiderCF[[#This Row],[QuarterlyTotalPrem]]</f>
        <v>#N/A</v>
      </c>
      <c r="BD52" t="e">
        <f ca="1">tblRiderCF[[#This Row],[MonthlyTotalPrem]]</f>
        <v>#N/A</v>
      </c>
      <c r="BG52" t="s">
        <v>135</v>
      </c>
      <c r="BH52" t="s">
        <v>188</v>
      </c>
      <c r="BI52">
        <v>9</v>
      </c>
      <c r="BJ52">
        <v>39</v>
      </c>
      <c r="BK52" t="s">
        <v>483</v>
      </c>
      <c r="BL52">
        <v>44</v>
      </c>
      <c r="BM52">
        <v>0</v>
      </c>
      <c r="BN52">
        <v>250000000</v>
      </c>
      <c r="BO52">
        <v>3112000</v>
      </c>
      <c r="BP52">
        <v>1649000</v>
      </c>
      <c r="BQ52">
        <v>840000</v>
      </c>
      <c r="BR52">
        <v>280000</v>
      </c>
    </row>
    <row r="53" spans="2:70" x14ac:dyDescent="0.25">
      <c r="B53">
        <f ca="1">OFFSET(tblRiderCF[[#This Row],[Year]],-1,0)+1</f>
        <v>40</v>
      </c>
      <c r="C53" t="e">
        <f ca="1">(tblRiderCF[[#This Row],[Year]]&lt;=term)*1</f>
        <v>#N/A</v>
      </c>
      <c r="D53" t="e">
        <f ca="1">(entry_age+tblRiderCF[[#This Row],[Year]]-1)
*tblRiderCF[[#This Row],[RiderTermFlag]]</f>
        <v>#N/A</v>
      </c>
      <c r="E53" t="e">
        <f ca="1">(risk="Sub-standard")
*tblRiderCF[[#This Row],[RiderTermFlag]]</f>
        <v>#N/A</v>
      </c>
      <c r="F53" t="e">
        <f ca="1">(tblRiderCF[[#This Row],[Year]]&lt;=prem_load_term)
*tblRiderCF[[#This Row],[SubStandardFlag]]</f>
        <v>#N/A</v>
      </c>
      <c r="G53" t="e">
        <f ca="1">(tblRiderCF[[#This Row],[Year]]&lt;=pm_load_term)
*tblRiderCF[[#This Row],[SubStandardFlag]]</f>
        <v>#N/A</v>
      </c>
      <c r="H53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3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3" s="150" t="e" cm="1">
        <f t="array" aca="1" ref="J5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3" s="150" t="e">
        <f ca="1">add_rate*tblRiderCF[[#This Row],[SI]]*(rider=K$11)</f>
        <v>#N/A</v>
      </c>
      <c r="L53" s="150" t="e">
        <f ca="1">INDEX(tblPPDRate[Annualized GPR],MATCH(tblRiderCF[[#This Row],[Age]],tblPPDRate[Min age],1))*tblRiderCF[[#This Row],[SI]]
*(rider=L$11)</f>
        <v>#N/A</v>
      </c>
      <c r="M53" s="150" t="e">
        <f ca="1">INDEX(IF(gender="Male",tblCIR1Rate[Male],tblCIR1Rate[Female]),MATCH(tblRiderCF[[#This Row],[Age]],tblCIR1Rate[Age],0))/1000*tblRiderCF[[#This Row],[SI]]
*(rider=M$11)</f>
        <v>#N/A</v>
      </c>
      <c r="N53" s="150" t="e">
        <f ca="1">INDEX(IF(gender="Male",tblCIR2Rate[Male],tblCIR2Rate[Female]),MATCH(tblRiderCF[[#This Row],[Age]],tblCIR2Rate[Age],0))/1000*tblRiderCF[[#This Row],[SI]]
*(rider=N$11)</f>
        <v>#N/A</v>
      </c>
      <c r="O53" s="150" t="e">
        <f>INDEX(tblHOP2Rate[Premium],MATCH(hop2_option,tblHOP2Rate[Option],0))
*(rider=O$11)</f>
        <v>#N/A</v>
      </c>
      <c r="P53" s="150" t="e">
        <f ca="1">INDEX(Tariff!$CC$5:$CS$44,
MATCH(tblRiderCF[[#This Row],[Age]],Tariff!$CB$5:$CB$44,0),
MATCH(term+1-tblRiderCF[[#This Row],[Year]],Tariff!$CC$4:$CS$4,0))
*(rider=P$11)</f>
        <v>#N/A</v>
      </c>
      <c r="Q53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3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3" s="150" t="e">
        <f ca="1">INDEX(tblRiderCF[[#This Row],[ADD1UnroundedPrem]:[WOP2UnroundedPrem]],MATCH(rider,$K$11:$R$11,0))
*tblRiderCF[[#This Row],[RiderTermFlag]]</f>
        <v>#N/A</v>
      </c>
      <c r="T53" s="150" t="e">
        <f ca="1">tblRiderCF[[#This Row],[UnroundedPrem]]*prem_load</f>
        <v>#N/A</v>
      </c>
      <c r="U53" s="150" t="e">
        <f ca="1">pm_load/1000*tblRiderCF[[#This Row],[SI]]
*tblRiderCF[[#This Row],[RiderTermFlag]]</f>
        <v>#N/A</v>
      </c>
      <c r="V53" s="151" t="e">
        <f ca="1">ROUND(tblRiderCF[[#This Row],[UnroundedPrem]]*V$10,-3)</f>
        <v>#N/A</v>
      </c>
      <c r="W53" t="e">
        <f ca="1">ROUND(tblRiderCF[[#This Row],[UnroundedPremLoad]]*W$10,-3)</f>
        <v>#N/A</v>
      </c>
      <c r="X53" t="e">
        <f ca="1">ROUND(tblRiderCF[[#This Row],[UnroundedPMLoad]]*X$10,-3)</f>
        <v>#N/A</v>
      </c>
      <c r="Y53" t="e">
        <f ca="1">tblRiderCF[[#This Row],[PremLoad]]+tblRiderCF[[#This Row],[PMLoad]]</f>
        <v>#N/A</v>
      </c>
      <c r="Z53" t="e">
        <f ca="1">tblRiderCF[[#This Row],[Prem]]+tblRiderCF[[#This Row],[Load]]</f>
        <v>#N/A</v>
      </c>
      <c r="AA53" t="e">
        <f ca="1">ROUND(tblRiderCF[[#This Row],[UnroundedPrem]]*AA$10,-3)</f>
        <v>#N/A</v>
      </c>
      <c r="AB53" t="e">
        <f ca="1">ROUND(tblRiderCF[[#This Row],[UnroundedPremLoad]]*AB$10,-3)</f>
        <v>#N/A</v>
      </c>
      <c r="AC53" t="e">
        <f ca="1">ROUND(tblRiderCF[[#This Row],[UnroundedPMLoad]]*AC$10,-3)</f>
        <v>#N/A</v>
      </c>
      <c r="AD53" t="e">
        <f ca="1">tblRiderCF[[#This Row],[SemiAnnualPremLoad]]+tblRiderCF[[#This Row],[SemiAnnualPMLoad]]</f>
        <v>#N/A</v>
      </c>
      <c r="AE53" t="e">
        <f ca="1">tblRiderCF[[#This Row],[SemiAnnualPrem]]+tblRiderCF[[#This Row],[SemiAnnualLoad]]</f>
        <v>#N/A</v>
      </c>
      <c r="AF53" t="e">
        <f ca="1">ROUND(tblRiderCF[[#This Row],[UnroundedPrem]]*AF$10,-3)</f>
        <v>#N/A</v>
      </c>
      <c r="AG53" t="e">
        <f ca="1">ROUND(tblRiderCF[[#This Row],[UnroundedPremLoad]]*AG$10,-3)</f>
        <v>#N/A</v>
      </c>
      <c r="AH53" t="e">
        <f ca="1">ROUND(tblRiderCF[[#This Row],[UnroundedPMLoad]]*AH$10,-3)</f>
        <v>#N/A</v>
      </c>
      <c r="AI53" t="e">
        <f ca="1">tblRiderCF[[#This Row],[QuarterlyPremLoad]]+tblRiderCF[[#This Row],[QuarterlyPMLoad]]</f>
        <v>#N/A</v>
      </c>
      <c r="AJ53" t="e">
        <f ca="1">tblRiderCF[[#This Row],[QuarterlyPrem]]+tblRiderCF[[#This Row],[QuarterlyLoad]]</f>
        <v>#N/A</v>
      </c>
      <c r="AK53" t="e">
        <f ca="1">ROUND(tblRiderCF[[#This Row],[UnroundedPrem]]*AK$10,-3)</f>
        <v>#N/A</v>
      </c>
      <c r="AL53" t="e">
        <f ca="1">ROUND(tblRiderCF[[#This Row],[UnroundedPremLoad]]*AL$10,-3)</f>
        <v>#N/A</v>
      </c>
      <c r="AM53" t="e">
        <f ca="1">ROUND(tblRiderCF[[#This Row],[UnroundedPMLoad]]*AM$10,-3)</f>
        <v>#N/A</v>
      </c>
      <c r="AN53" t="e">
        <f ca="1">tblRiderCF[[#This Row],[MonthlyPremLoad]]+tblRiderCF[[#This Row],[MonthlyPMLoad]]</f>
        <v>#N/A</v>
      </c>
      <c r="AO53" t="e">
        <f ca="1">tblRiderCF[[#This Row],[MonthlyPrem]]+tblRiderCF[[#This Row],[MonthlyLoad]]</f>
        <v>#N/A</v>
      </c>
      <c r="AS53">
        <f t="shared" si="6"/>
        <v>0</v>
      </c>
      <c r="AT53">
        <f t="shared" si="7"/>
        <v>0</v>
      </c>
      <c r="AU53">
        <f ca="1">tblRiderCF[[#This Row],[Year]]</f>
        <v>40</v>
      </c>
      <c r="AV53" t="e">
        <f ca="1">tblRiderCF[[#This Row],[Age]]</f>
        <v>#N/A</v>
      </c>
      <c r="AW53">
        <f t="shared" si="2"/>
        <v>0</v>
      </c>
      <c r="AX53" t="e">
        <f t="shared" si="8"/>
        <v>#N/A</v>
      </c>
      <c r="AY53">
        <f t="shared" si="4"/>
        <v>0</v>
      </c>
      <c r="AZ53" s="47" t="e">
        <f ca="1">tblRiderCF[[#This Row],[SI]]</f>
        <v>#N/A</v>
      </c>
      <c r="BA53" t="e">
        <f ca="1">tblRiderCF[[#This Row],[TotalPrem]]</f>
        <v>#N/A</v>
      </c>
      <c r="BB53" t="e">
        <f ca="1">tblRiderCF[[#This Row],[SemiAnnualTotalPrem]]</f>
        <v>#N/A</v>
      </c>
      <c r="BC53" t="e">
        <f ca="1">tblRiderCF[[#This Row],[QuarterlyTotalPrem]]</f>
        <v>#N/A</v>
      </c>
      <c r="BD53" t="e">
        <f ca="1">tblRiderCF[[#This Row],[MonthlyTotalPrem]]</f>
        <v>#N/A</v>
      </c>
      <c r="BG53" t="s">
        <v>135</v>
      </c>
      <c r="BH53" t="s">
        <v>188</v>
      </c>
      <c r="BI53">
        <v>10</v>
      </c>
      <c r="BJ53">
        <v>40</v>
      </c>
      <c r="BK53" t="s">
        <v>483</v>
      </c>
      <c r="BL53">
        <v>44</v>
      </c>
      <c r="BM53">
        <v>0</v>
      </c>
      <c r="BN53">
        <v>250000000</v>
      </c>
      <c r="BO53">
        <v>3326000</v>
      </c>
      <c r="BP53">
        <v>1763000</v>
      </c>
      <c r="BQ53">
        <v>898000</v>
      </c>
      <c r="BR53">
        <v>299000</v>
      </c>
    </row>
    <row r="54" spans="2:70" x14ac:dyDescent="0.25">
      <c r="B54">
        <f ca="1">OFFSET(tblRiderCF[[#This Row],[Year]],-1,0)+1</f>
        <v>41</v>
      </c>
      <c r="C54" t="e">
        <f ca="1">(tblRiderCF[[#This Row],[Year]]&lt;=term)*1</f>
        <v>#N/A</v>
      </c>
      <c r="D54" t="e">
        <f ca="1">(entry_age+tblRiderCF[[#This Row],[Year]]-1)
*tblRiderCF[[#This Row],[RiderTermFlag]]</f>
        <v>#N/A</v>
      </c>
      <c r="E54" t="e">
        <f ca="1">(risk="Sub-standard")
*tblRiderCF[[#This Row],[RiderTermFlag]]</f>
        <v>#N/A</v>
      </c>
      <c r="F54" t="e">
        <f ca="1">(tblRiderCF[[#This Row],[Year]]&lt;=prem_load_term)
*tblRiderCF[[#This Row],[SubStandardFlag]]</f>
        <v>#N/A</v>
      </c>
      <c r="G54" t="e">
        <f ca="1">(tblRiderCF[[#This Row],[Year]]&lt;=pm_load_term)
*tblRiderCF[[#This Row],[SubStandardFlag]]</f>
        <v>#N/A</v>
      </c>
      <c r="H54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4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4" s="150" t="e" cm="1">
        <f t="array" aca="1" ref="J5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4" s="150" t="e">
        <f ca="1">add_rate*tblRiderCF[[#This Row],[SI]]*(rider=K$11)</f>
        <v>#N/A</v>
      </c>
      <c r="L54" s="150" t="e">
        <f ca="1">INDEX(tblPPDRate[Annualized GPR],MATCH(tblRiderCF[[#This Row],[Age]],tblPPDRate[Min age],1))*tblRiderCF[[#This Row],[SI]]
*(rider=L$11)</f>
        <v>#N/A</v>
      </c>
      <c r="M54" s="150" t="e">
        <f ca="1">INDEX(IF(gender="Male",tblCIR1Rate[Male],tblCIR1Rate[Female]),MATCH(tblRiderCF[[#This Row],[Age]],tblCIR1Rate[Age],0))/1000*tblRiderCF[[#This Row],[SI]]
*(rider=M$11)</f>
        <v>#N/A</v>
      </c>
      <c r="N54" s="150" t="e">
        <f ca="1">INDEX(IF(gender="Male",tblCIR2Rate[Male],tblCIR2Rate[Female]),MATCH(tblRiderCF[[#This Row],[Age]],tblCIR2Rate[Age],0))/1000*tblRiderCF[[#This Row],[SI]]
*(rider=N$11)</f>
        <v>#N/A</v>
      </c>
      <c r="O54" s="150" t="e">
        <f>INDEX(tblHOP2Rate[Premium],MATCH(hop2_option,tblHOP2Rate[Option],0))
*(rider=O$11)</f>
        <v>#N/A</v>
      </c>
      <c r="P54" s="150" t="e">
        <f ca="1">INDEX(Tariff!$CC$5:$CS$44,
MATCH(tblRiderCF[[#This Row],[Age]],Tariff!$CB$5:$CB$44,0),
MATCH(term+1-tblRiderCF[[#This Row],[Year]],Tariff!$CC$4:$CS$4,0))
*(rider=P$11)</f>
        <v>#N/A</v>
      </c>
      <c r="Q54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4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4" s="150" t="e">
        <f ca="1">INDEX(tblRiderCF[[#This Row],[ADD1UnroundedPrem]:[WOP2UnroundedPrem]],MATCH(rider,$K$11:$R$11,0))
*tblRiderCF[[#This Row],[RiderTermFlag]]</f>
        <v>#N/A</v>
      </c>
      <c r="T54" s="150" t="e">
        <f ca="1">tblRiderCF[[#This Row],[UnroundedPrem]]*prem_load</f>
        <v>#N/A</v>
      </c>
      <c r="U54" s="150" t="e">
        <f ca="1">pm_load/1000*tblRiderCF[[#This Row],[SI]]
*tblRiderCF[[#This Row],[RiderTermFlag]]</f>
        <v>#N/A</v>
      </c>
      <c r="V54" s="151" t="e">
        <f ca="1">ROUND(tblRiderCF[[#This Row],[UnroundedPrem]]*V$10,-3)</f>
        <v>#N/A</v>
      </c>
      <c r="W54" t="e">
        <f ca="1">ROUND(tblRiderCF[[#This Row],[UnroundedPremLoad]]*W$10,-3)</f>
        <v>#N/A</v>
      </c>
      <c r="X54" t="e">
        <f ca="1">ROUND(tblRiderCF[[#This Row],[UnroundedPMLoad]]*X$10,-3)</f>
        <v>#N/A</v>
      </c>
      <c r="Y54" t="e">
        <f ca="1">tblRiderCF[[#This Row],[PremLoad]]+tblRiderCF[[#This Row],[PMLoad]]</f>
        <v>#N/A</v>
      </c>
      <c r="Z54" t="e">
        <f ca="1">tblRiderCF[[#This Row],[Prem]]+tblRiderCF[[#This Row],[Load]]</f>
        <v>#N/A</v>
      </c>
      <c r="AA54" t="e">
        <f ca="1">ROUND(tblRiderCF[[#This Row],[UnroundedPrem]]*AA$10,-3)</f>
        <v>#N/A</v>
      </c>
      <c r="AB54" t="e">
        <f ca="1">ROUND(tblRiderCF[[#This Row],[UnroundedPremLoad]]*AB$10,-3)</f>
        <v>#N/A</v>
      </c>
      <c r="AC54" t="e">
        <f ca="1">ROUND(tblRiderCF[[#This Row],[UnroundedPMLoad]]*AC$10,-3)</f>
        <v>#N/A</v>
      </c>
      <c r="AD54" t="e">
        <f ca="1">tblRiderCF[[#This Row],[SemiAnnualPremLoad]]+tblRiderCF[[#This Row],[SemiAnnualPMLoad]]</f>
        <v>#N/A</v>
      </c>
      <c r="AE54" t="e">
        <f ca="1">tblRiderCF[[#This Row],[SemiAnnualPrem]]+tblRiderCF[[#This Row],[SemiAnnualLoad]]</f>
        <v>#N/A</v>
      </c>
      <c r="AF54" t="e">
        <f ca="1">ROUND(tblRiderCF[[#This Row],[UnroundedPrem]]*AF$10,-3)</f>
        <v>#N/A</v>
      </c>
      <c r="AG54" t="e">
        <f ca="1">ROUND(tblRiderCF[[#This Row],[UnroundedPremLoad]]*AG$10,-3)</f>
        <v>#N/A</v>
      </c>
      <c r="AH54" t="e">
        <f ca="1">ROUND(tblRiderCF[[#This Row],[UnroundedPMLoad]]*AH$10,-3)</f>
        <v>#N/A</v>
      </c>
      <c r="AI54" t="e">
        <f ca="1">tblRiderCF[[#This Row],[QuarterlyPremLoad]]+tblRiderCF[[#This Row],[QuarterlyPMLoad]]</f>
        <v>#N/A</v>
      </c>
      <c r="AJ54" t="e">
        <f ca="1">tblRiderCF[[#This Row],[QuarterlyPrem]]+tblRiderCF[[#This Row],[QuarterlyLoad]]</f>
        <v>#N/A</v>
      </c>
      <c r="AK54" t="e">
        <f ca="1">ROUND(tblRiderCF[[#This Row],[UnroundedPrem]]*AK$10,-3)</f>
        <v>#N/A</v>
      </c>
      <c r="AL54" t="e">
        <f ca="1">ROUND(tblRiderCF[[#This Row],[UnroundedPremLoad]]*AL$10,-3)</f>
        <v>#N/A</v>
      </c>
      <c r="AM54" t="e">
        <f ca="1">ROUND(tblRiderCF[[#This Row],[UnroundedPMLoad]]*AM$10,-3)</f>
        <v>#N/A</v>
      </c>
      <c r="AN54" t="e">
        <f ca="1">tblRiderCF[[#This Row],[MonthlyPremLoad]]+tblRiderCF[[#This Row],[MonthlyPMLoad]]</f>
        <v>#N/A</v>
      </c>
      <c r="AO54" t="e">
        <f ca="1">tblRiderCF[[#This Row],[MonthlyPrem]]+tblRiderCF[[#This Row],[MonthlyLoad]]</f>
        <v>#N/A</v>
      </c>
      <c r="AS54">
        <f t="shared" si="6"/>
        <v>0</v>
      </c>
      <c r="AT54">
        <f t="shared" si="7"/>
        <v>0</v>
      </c>
      <c r="AU54">
        <f ca="1">tblRiderCF[[#This Row],[Year]]</f>
        <v>41</v>
      </c>
      <c r="AV54" t="e">
        <f ca="1">tblRiderCF[[#This Row],[Age]]</f>
        <v>#N/A</v>
      </c>
      <c r="AW54">
        <f t="shared" si="2"/>
        <v>0</v>
      </c>
      <c r="AX54" t="e">
        <f t="shared" si="8"/>
        <v>#N/A</v>
      </c>
      <c r="AY54">
        <f t="shared" si="4"/>
        <v>0</v>
      </c>
      <c r="AZ54" s="47" t="e">
        <f ca="1">tblRiderCF[[#This Row],[SI]]</f>
        <v>#N/A</v>
      </c>
      <c r="BA54" t="e">
        <f ca="1">tblRiderCF[[#This Row],[TotalPrem]]</f>
        <v>#N/A</v>
      </c>
      <c r="BB54" t="e">
        <f ca="1">tblRiderCF[[#This Row],[SemiAnnualTotalPrem]]</f>
        <v>#N/A</v>
      </c>
      <c r="BC54" t="e">
        <f ca="1">tblRiderCF[[#This Row],[QuarterlyTotalPrem]]</f>
        <v>#N/A</v>
      </c>
      <c r="BD54" t="e">
        <f ca="1">tblRiderCF[[#This Row],[MonthlyTotalPrem]]</f>
        <v>#N/A</v>
      </c>
      <c r="BG54" t="s">
        <v>135</v>
      </c>
      <c r="BH54" t="s">
        <v>188</v>
      </c>
      <c r="BI54">
        <v>11</v>
      </c>
      <c r="BJ54">
        <v>41</v>
      </c>
      <c r="BK54" t="s">
        <v>483</v>
      </c>
      <c r="BL54">
        <v>44</v>
      </c>
      <c r="BM54">
        <v>0</v>
      </c>
      <c r="BN54">
        <v>250000000</v>
      </c>
      <c r="BO54">
        <v>3532000</v>
      </c>
      <c r="BP54">
        <v>1872000</v>
      </c>
      <c r="BQ54">
        <v>954000</v>
      </c>
      <c r="BR54">
        <v>318000</v>
      </c>
    </row>
    <row r="55" spans="2:70" x14ac:dyDescent="0.25">
      <c r="B55">
        <f ca="1">OFFSET(tblRiderCF[[#This Row],[Year]],-1,0)+1</f>
        <v>42</v>
      </c>
      <c r="C55" t="e">
        <f ca="1">(tblRiderCF[[#This Row],[Year]]&lt;=term)*1</f>
        <v>#N/A</v>
      </c>
      <c r="D55" t="e">
        <f ca="1">(entry_age+tblRiderCF[[#This Row],[Year]]-1)
*tblRiderCF[[#This Row],[RiderTermFlag]]</f>
        <v>#N/A</v>
      </c>
      <c r="E55" t="e">
        <f ca="1">(risk="Sub-standard")
*tblRiderCF[[#This Row],[RiderTermFlag]]</f>
        <v>#N/A</v>
      </c>
      <c r="F55" t="e">
        <f ca="1">(tblRiderCF[[#This Row],[Year]]&lt;=prem_load_term)
*tblRiderCF[[#This Row],[SubStandardFlag]]</f>
        <v>#N/A</v>
      </c>
      <c r="G55" t="e">
        <f ca="1">(tblRiderCF[[#This Row],[Year]]&lt;=pm_load_term)
*tblRiderCF[[#This Row],[SubStandardFlag]]</f>
        <v>#N/A</v>
      </c>
      <c r="H55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5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5" s="150" t="e" cm="1">
        <f t="array" aca="1" ref="J5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5" s="150" t="e">
        <f ca="1">add_rate*tblRiderCF[[#This Row],[SI]]*(rider=K$11)</f>
        <v>#N/A</v>
      </c>
      <c r="L55" s="150" t="e">
        <f ca="1">INDEX(tblPPDRate[Annualized GPR],MATCH(tblRiderCF[[#This Row],[Age]],tblPPDRate[Min age],1))*tblRiderCF[[#This Row],[SI]]
*(rider=L$11)</f>
        <v>#N/A</v>
      </c>
      <c r="M55" s="150" t="e">
        <f ca="1">INDEX(IF(gender="Male",tblCIR1Rate[Male],tblCIR1Rate[Female]),MATCH(tblRiderCF[[#This Row],[Age]],tblCIR1Rate[Age],0))/1000*tblRiderCF[[#This Row],[SI]]
*(rider=M$11)</f>
        <v>#N/A</v>
      </c>
      <c r="N55" s="150" t="e">
        <f ca="1">INDEX(IF(gender="Male",tblCIR2Rate[Male],tblCIR2Rate[Female]),MATCH(tblRiderCF[[#This Row],[Age]],tblCIR2Rate[Age],0))/1000*tblRiderCF[[#This Row],[SI]]
*(rider=N$11)</f>
        <v>#N/A</v>
      </c>
      <c r="O55" s="150" t="e">
        <f>INDEX(tblHOP2Rate[Premium],MATCH(hop2_option,tblHOP2Rate[Option],0))
*(rider=O$11)</f>
        <v>#N/A</v>
      </c>
      <c r="P55" s="150" t="e">
        <f ca="1">INDEX(Tariff!$CC$5:$CS$44,
MATCH(tblRiderCF[[#This Row],[Age]],Tariff!$CB$5:$CB$44,0),
MATCH(term+1-tblRiderCF[[#This Row],[Year]],Tariff!$CC$4:$CS$4,0))
*(rider=P$11)</f>
        <v>#N/A</v>
      </c>
      <c r="Q55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5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5" s="150" t="e">
        <f ca="1">INDEX(tblRiderCF[[#This Row],[ADD1UnroundedPrem]:[WOP2UnroundedPrem]],MATCH(rider,$K$11:$R$11,0))
*tblRiderCF[[#This Row],[RiderTermFlag]]</f>
        <v>#N/A</v>
      </c>
      <c r="T55" s="150" t="e">
        <f ca="1">tblRiderCF[[#This Row],[UnroundedPrem]]*prem_load</f>
        <v>#N/A</v>
      </c>
      <c r="U55" s="150" t="e">
        <f ca="1">pm_load/1000*tblRiderCF[[#This Row],[SI]]
*tblRiderCF[[#This Row],[RiderTermFlag]]</f>
        <v>#N/A</v>
      </c>
      <c r="V55" s="151" t="e">
        <f ca="1">ROUND(tblRiderCF[[#This Row],[UnroundedPrem]]*V$10,-3)</f>
        <v>#N/A</v>
      </c>
      <c r="W55" t="e">
        <f ca="1">ROUND(tblRiderCF[[#This Row],[UnroundedPremLoad]]*W$10,-3)</f>
        <v>#N/A</v>
      </c>
      <c r="X55" t="e">
        <f ca="1">ROUND(tblRiderCF[[#This Row],[UnroundedPMLoad]]*X$10,-3)</f>
        <v>#N/A</v>
      </c>
      <c r="Y55" t="e">
        <f ca="1">tblRiderCF[[#This Row],[PremLoad]]+tblRiderCF[[#This Row],[PMLoad]]</f>
        <v>#N/A</v>
      </c>
      <c r="Z55" t="e">
        <f ca="1">tblRiderCF[[#This Row],[Prem]]+tblRiderCF[[#This Row],[Load]]</f>
        <v>#N/A</v>
      </c>
      <c r="AA55" t="e">
        <f ca="1">ROUND(tblRiderCF[[#This Row],[UnroundedPrem]]*AA$10,-3)</f>
        <v>#N/A</v>
      </c>
      <c r="AB55" t="e">
        <f ca="1">ROUND(tblRiderCF[[#This Row],[UnroundedPremLoad]]*AB$10,-3)</f>
        <v>#N/A</v>
      </c>
      <c r="AC55" t="e">
        <f ca="1">ROUND(tblRiderCF[[#This Row],[UnroundedPMLoad]]*AC$10,-3)</f>
        <v>#N/A</v>
      </c>
      <c r="AD55" t="e">
        <f ca="1">tblRiderCF[[#This Row],[SemiAnnualPremLoad]]+tblRiderCF[[#This Row],[SemiAnnualPMLoad]]</f>
        <v>#N/A</v>
      </c>
      <c r="AE55" t="e">
        <f ca="1">tblRiderCF[[#This Row],[SemiAnnualPrem]]+tblRiderCF[[#This Row],[SemiAnnualLoad]]</f>
        <v>#N/A</v>
      </c>
      <c r="AF55" t="e">
        <f ca="1">ROUND(tblRiderCF[[#This Row],[UnroundedPrem]]*AF$10,-3)</f>
        <v>#N/A</v>
      </c>
      <c r="AG55" t="e">
        <f ca="1">ROUND(tblRiderCF[[#This Row],[UnroundedPremLoad]]*AG$10,-3)</f>
        <v>#N/A</v>
      </c>
      <c r="AH55" t="e">
        <f ca="1">ROUND(tblRiderCF[[#This Row],[UnroundedPMLoad]]*AH$10,-3)</f>
        <v>#N/A</v>
      </c>
      <c r="AI55" t="e">
        <f ca="1">tblRiderCF[[#This Row],[QuarterlyPremLoad]]+tblRiderCF[[#This Row],[QuarterlyPMLoad]]</f>
        <v>#N/A</v>
      </c>
      <c r="AJ55" t="e">
        <f ca="1">tblRiderCF[[#This Row],[QuarterlyPrem]]+tblRiderCF[[#This Row],[QuarterlyLoad]]</f>
        <v>#N/A</v>
      </c>
      <c r="AK55" t="e">
        <f ca="1">ROUND(tblRiderCF[[#This Row],[UnroundedPrem]]*AK$10,-3)</f>
        <v>#N/A</v>
      </c>
      <c r="AL55" t="e">
        <f ca="1">ROUND(tblRiderCF[[#This Row],[UnroundedPremLoad]]*AL$10,-3)</f>
        <v>#N/A</v>
      </c>
      <c r="AM55" t="e">
        <f ca="1">ROUND(tblRiderCF[[#This Row],[UnroundedPMLoad]]*AM$10,-3)</f>
        <v>#N/A</v>
      </c>
      <c r="AN55" t="e">
        <f ca="1">tblRiderCF[[#This Row],[MonthlyPremLoad]]+tblRiderCF[[#This Row],[MonthlyPMLoad]]</f>
        <v>#N/A</v>
      </c>
      <c r="AO55" t="e">
        <f ca="1">tblRiderCF[[#This Row],[MonthlyPrem]]+tblRiderCF[[#This Row],[MonthlyLoad]]</f>
        <v>#N/A</v>
      </c>
      <c r="AS55">
        <f t="shared" si="6"/>
        <v>0</v>
      </c>
      <c r="AT55">
        <f t="shared" si="7"/>
        <v>0</v>
      </c>
      <c r="AU55">
        <f ca="1">tblRiderCF[[#This Row],[Year]]</f>
        <v>42</v>
      </c>
      <c r="AV55" t="e">
        <f ca="1">tblRiderCF[[#This Row],[Age]]</f>
        <v>#N/A</v>
      </c>
      <c r="AW55">
        <f t="shared" si="2"/>
        <v>0</v>
      </c>
      <c r="AX55" t="e">
        <f t="shared" si="8"/>
        <v>#N/A</v>
      </c>
      <c r="AY55">
        <f t="shared" si="4"/>
        <v>0</v>
      </c>
      <c r="AZ55" s="47" t="e">
        <f ca="1">tblRiderCF[[#This Row],[SI]]</f>
        <v>#N/A</v>
      </c>
      <c r="BA55" t="e">
        <f ca="1">tblRiderCF[[#This Row],[TotalPrem]]</f>
        <v>#N/A</v>
      </c>
      <c r="BB55" t="e">
        <f ca="1">tblRiderCF[[#This Row],[SemiAnnualTotalPrem]]</f>
        <v>#N/A</v>
      </c>
      <c r="BC55" t="e">
        <f ca="1">tblRiderCF[[#This Row],[QuarterlyTotalPrem]]</f>
        <v>#N/A</v>
      </c>
      <c r="BD55" t="e">
        <f ca="1">tblRiderCF[[#This Row],[MonthlyTotalPrem]]</f>
        <v>#N/A</v>
      </c>
      <c r="BG55" t="s">
        <v>135</v>
      </c>
      <c r="BH55" t="s">
        <v>188</v>
      </c>
      <c r="BI55">
        <v>12</v>
      </c>
      <c r="BJ55">
        <v>42</v>
      </c>
      <c r="BK55" t="s">
        <v>483</v>
      </c>
      <c r="BL55">
        <v>44</v>
      </c>
      <c r="BM55">
        <v>0</v>
      </c>
      <c r="BN55">
        <v>250000000</v>
      </c>
      <c r="BO55">
        <v>3795000</v>
      </c>
      <c r="BP55">
        <v>2011000</v>
      </c>
      <c r="BQ55">
        <v>1024000</v>
      </c>
      <c r="BR55">
        <v>341000</v>
      </c>
    </row>
    <row r="56" spans="2:70" x14ac:dyDescent="0.25">
      <c r="B56">
        <f ca="1">OFFSET(tblRiderCF[[#This Row],[Year]],-1,0)+1</f>
        <v>43</v>
      </c>
      <c r="C56" t="e">
        <f ca="1">(tblRiderCF[[#This Row],[Year]]&lt;=term)*1</f>
        <v>#N/A</v>
      </c>
      <c r="D56" t="e">
        <f ca="1">(entry_age+tblRiderCF[[#This Row],[Year]]-1)
*tblRiderCF[[#This Row],[RiderTermFlag]]</f>
        <v>#N/A</v>
      </c>
      <c r="E56" t="e">
        <f ca="1">(risk="Sub-standard")
*tblRiderCF[[#This Row],[RiderTermFlag]]</f>
        <v>#N/A</v>
      </c>
      <c r="F56" t="e">
        <f ca="1">(tblRiderCF[[#This Row],[Year]]&lt;=prem_load_term)
*tblRiderCF[[#This Row],[SubStandardFlag]]</f>
        <v>#N/A</v>
      </c>
      <c r="G56" t="e">
        <f ca="1">(tblRiderCF[[#This Row],[Year]]&lt;=pm_load_term)
*tblRiderCF[[#This Row],[SubStandardFlag]]</f>
        <v>#N/A</v>
      </c>
      <c r="H56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6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6" s="150" t="e" cm="1">
        <f t="array" aca="1" ref="J5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6" s="150" t="e">
        <f ca="1">add_rate*tblRiderCF[[#This Row],[SI]]*(rider=K$11)</f>
        <v>#N/A</v>
      </c>
      <c r="L56" s="150" t="e">
        <f ca="1">INDEX(tblPPDRate[Annualized GPR],MATCH(tblRiderCF[[#This Row],[Age]],tblPPDRate[Min age],1))*tblRiderCF[[#This Row],[SI]]
*(rider=L$11)</f>
        <v>#N/A</v>
      </c>
      <c r="M56" s="150" t="e">
        <f ca="1">INDEX(IF(gender="Male",tblCIR1Rate[Male],tblCIR1Rate[Female]),MATCH(tblRiderCF[[#This Row],[Age]],tblCIR1Rate[Age],0))/1000*tblRiderCF[[#This Row],[SI]]
*(rider=M$11)</f>
        <v>#N/A</v>
      </c>
      <c r="N56" s="150" t="e">
        <f ca="1">INDEX(IF(gender="Male",tblCIR2Rate[Male],tblCIR2Rate[Female]),MATCH(tblRiderCF[[#This Row],[Age]],tblCIR2Rate[Age],0))/1000*tblRiderCF[[#This Row],[SI]]
*(rider=N$11)</f>
        <v>#N/A</v>
      </c>
      <c r="O56" s="150" t="e">
        <f>INDEX(tblHOP2Rate[Premium],MATCH(hop2_option,tblHOP2Rate[Option],0))
*(rider=O$11)</f>
        <v>#N/A</v>
      </c>
      <c r="P56" s="150" t="e">
        <f ca="1">INDEX(Tariff!$CC$5:$CS$44,
MATCH(tblRiderCF[[#This Row],[Age]],Tariff!$CB$5:$CB$44,0),
MATCH(term+1-tblRiderCF[[#This Row],[Year]],Tariff!$CC$4:$CS$4,0))
*(rider=P$11)</f>
        <v>#N/A</v>
      </c>
      <c r="Q56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6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6" s="150" t="e">
        <f ca="1">INDEX(tblRiderCF[[#This Row],[ADD1UnroundedPrem]:[WOP2UnroundedPrem]],MATCH(rider,$K$11:$R$11,0))
*tblRiderCF[[#This Row],[RiderTermFlag]]</f>
        <v>#N/A</v>
      </c>
      <c r="T56" s="150" t="e">
        <f ca="1">tblRiderCF[[#This Row],[UnroundedPrem]]*prem_load</f>
        <v>#N/A</v>
      </c>
      <c r="U56" s="150" t="e">
        <f ca="1">pm_load/1000*tblRiderCF[[#This Row],[SI]]
*tblRiderCF[[#This Row],[RiderTermFlag]]</f>
        <v>#N/A</v>
      </c>
      <c r="V56" s="151" t="e">
        <f ca="1">ROUND(tblRiderCF[[#This Row],[UnroundedPrem]]*V$10,-3)</f>
        <v>#N/A</v>
      </c>
      <c r="W56" t="e">
        <f ca="1">ROUND(tblRiderCF[[#This Row],[UnroundedPremLoad]]*W$10,-3)</f>
        <v>#N/A</v>
      </c>
      <c r="X56" t="e">
        <f ca="1">ROUND(tblRiderCF[[#This Row],[UnroundedPMLoad]]*X$10,-3)</f>
        <v>#N/A</v>
      </c>
      <c r="Y56" t="e">
        <f ca="1">tblRiderCF[[#This Row],[PremLoad]]+tblRiderCF[[#This Row],[PMLoad]]</f>
        <v>#N/A</v>
      </c>
      <c r="Z56" t="e">
        <f ca="1">tblRiderCF[[#This Row],[Prem]]+tblRiderCF[[#This Row],[Load]]</f>
        <v>#N/A</v>
      </c>
      <c r="AA56" t="e">
        <f ca="1">ROUND(tblRiderCF[[#This Row],[UnroundedPrem]]*AA$10,-3)</f>
        <v>#N/A</v>
      </c>
      <c r="AB56" t="e">
        <f ca="1">ROUND(tblRiderCF[[#This Row],[UnroundedPremLoad]]*AB$10,-3)</f>
        <v>#N/A</v>
      </c>
      <c r="AC56" t="e">
        <f ca="1">ROUND(tblRiderCF[[#This Row],[UnroundedPMLoad]]*AC$10,-3)</f>
        <v>#N/A</v>
      </c>
      <c r="AD56" t="e">
        <f ca="1">tblRiderCF[[#This Row],[SemiAnnualPremLoad]]+tblRiderCF[[#This Row],[SemiAnnualPMLoad]]</f>
        <v>#N/A</v>
      </c>
      <c r="AE56" t="e">
        <f ca="1">tblRiderCF[[#This Row],[SemiAnnualPrem]]+tblRiderCF[[#This Row],[SemiAnnualLoad]]</f>
        <v>#N/A</v>
      </c>
      <c r="AF56" t="e">
        <f ca="1">ROUND(tblRiderCF[[#This Row],[UnroundedPrem]]*AF$10,-3)</f>
        <v>#N/A</v>
      </c>
      <c r="AG56" t="e">
        <f ca="1">ROUND(tblRiderCF[[#This Row],[UnroundedPremLoad]]*AG$10,-3)</f>
        <v>#N/A</v>
      </c>
      <c r="AH56" t="e">
        <f ca="1">ROUND(tblRiderCF[[#This Row],[UnroundedPMLoad]]*AH$10,-3)</f>
        <v>#N/A</v>
      </c>
      <c r="AI56" t="e">
        <f ca="1">tblRiderCF[[#This Row],[QuarterlyPremLoad]]+tblRiderCF[[#This Row],[QuarterlyPMLoad]]</f>
        <v>#N/A</v>
      </c>
      <c r="AJ56" t="e">
        <f ca="1">tblRiderCF[[#This Row],[QuarterlyPrem]]+tblRiderCF[[#This Row],[QuarterlyLoad]]</f>
        <v>#N/A</v>
      </c>
      <c r="AK56" t="e">
        <f ca="1">ROUND(tblRiderCF[[#This Row],[UnroundedPrem]]*AK$10,-3)</f>
        <v>#N/A</v>
      </c>
      <c r="AL56" t="e">
        <f ca="1">ROUND(tblRiderCF[[#This Row],[UnroundedPremLoad]]*AL$10,-3)</f>
        <v>#N/A</v>
      </c>
      <c r="AM56" t="e">
        <f ca="1">ROUND(tblRiderCF[[#This Row],[UnroundedPMLoad]]*AM$10,-3)</f>
        <v>#N/A</v>
      </c>
      <c r="AN56" t="e">
        <f ca="1">tblRiderCF[[#This Row],[MonthlyPremLoad]]+tblRiderCF[[#This Row],[MonthlyPMLoad]]</f>
        <v>#N/A</v>
      </c>
      <c r="AO56" t="e">
        <f ca="1">tblRiderCF[[#This Row],[MonthlyPrem]]+tblRiderCF[[#This Row],[MonthlyLoad]]</f>
        <v>#N/A</v>
      </c>
      <c r="AS56">
        <f t="shared" si="6"/>
        <v>0</v>
      </c>
      <c r="AT56">
        <f t="shared" si="7"/>
        <v>0</v>
      </c>
      <c r="AU56">
        <f ca="1">tblRiderCF[[#This Row],[Year]]</f>
        <v>43</v>
      </c>
      <c r="AV56" t="e">
        <f ca="1">tblRiderCF[[#This Row],[Age]]</f>
        <v>#N/A</v>
      </c>
      <c r="AW56">
        <f t="shared" si="2"/>
        <v>0</v>
      </c>
      <c r="AX56" t="e">
        <f t="shared" si="8"/>
        <v>#N/A</v>
      </c>
      <c r="AY56">
        <f t="shared" si="4"/>
        <v>0</v>
      </c>
      <c r="AZ56" s="47" t="e">
        <f ca="1">tblRiderCF[[#This Row],[SI]]</f>
        <v>#N/A</v>
      </c>
      <c r="BA56" t="e">
        <f ca="1">tblRiderCF[[#This Row],[TotalPrem]]</f>
        <v>#N/A</v>
      </c>
      <c r="BB56" t="e">
        <f ca="1">tblRiderCF[[#This Row],[SemiAnnualTotalPrem]]</f>
        <v>#N/A</v>
      </c>
      <c r="BC56" t="e">
        <f ca="1">tblRiderCF[[#This Row],[QuarterlyTotalPrem]]</f>
        <v>#N/A</v>
      </c>
      <c r="BD56" t="e">
        <f ca="1">tblRiderCF[[#This Row],[MonthlyTotalPrem]]</f>
        <v>#N/A</v>
      </c>
      <c r="BG56" t="s">
        <v>135</v>
      </c>
      <c r="BH56" t="s">
        <v>188</v>
      </c>
      <c r="BI56">
        <v>13</v>
      </c>
      <c r="BJ56">
        <v>43</v>
      </c>
      <c r="BK56" t="s">
        <v>483</v>
      </c>
      <c r="BL56">
        <v>44</v>
      </c>
      <c r="BM56">
        <v>0</v>
      </c>
      <c r="BN56">
        <v>250000000</v>
      </c>
      <c r="BO56">
        <v>4075000</v>
      </c>
      <c r="BP56">
        <v>2160000</v>
      </c>
      <c r="BQ56">
        <v>1100000</v>
      </c>
      <c r="BR56">
        <v>367000</v>
      </c>
    </row>
    <row r="57" spans="2:70" x14ac:dyDescent="0.25">
      <c r="B57">
        <f ca="1">OFFSET(tblRiderCF[[#This Row],[Year]],-1,0)+1</f>
        <v>44</v>
      </c>
      <c r="C57" t="e">
        <f ca="1">(tblRiderCF[[#This Row],[Year]]&lt;=term)*1</f>
        <v>#N/A</v>
      </c>
      <c r="D57" t="e">
        <f ca="1">(entry_age+tblRiderCF[[#This Row],[Year]]-1)
*tblRiderCF[[#This Row],[RiderTermFlag]]</f>
        <v>#N/A</v>
      </c>
      <c r="E57" t="e">
        <f ca="1">(risk="Sub-standard")
*tblRiderCF[[#This Row],[RiderTermFlag]]</f>
        <v>#N/A</v>
      </c>
      <c r="F57" t="e">
        <f ca="1">(tblRiderCF[[#This Row],[Year]]&lt;=prem_load_term)
*tblRiderCF[[#This Row],[SubStandardFlag]]</f>
        <v>#N/A</v>
      </c>
      <c r="G57" t="e">
        <f ca="1">(tblRiderCF[[#This Row],[Year]]&lt;=pm_load_term)
*tblRiderCF[[#This Row],[SubStandardFlag]]</f>
        <v>#N/A</v>
      </c>
      <c r="H57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7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7" s="150" t="e" cm="1">
        <f t="array" aca="1" ref="J5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7" s="150" t="e">
        <f ca="1">add_rate*tblRiderCF[[#This Row],[SI]]*(rider=K$11)</f>
        <v>#N/A</v>
      </c>
      <c r="L57" s="150" t="e">
        <f ca="1">INDEX(tblPPDRate[Annualized GPR],MATCH(tblRiderCF[[#This Row],[Age]],tblPPDRate[Min age],1))*tblRiderCF[[#This Row],[SI]]
*(rider=L$11)</f>
        <v>#N/A</v>
      </c>
      <c r="M57" s="150" t="e">
        <f ca="1">INDEX(IF(gender="Male",tblCIR1Rate[Male],tblCIR1Rate[Female]),MATCH(tblRiderCF[[#This Row],[Age]],tblCIR1Rate[Age],0))/1000*tblRiderCF[[#This Row],[SI]]
*(rider=M$11)</f>
        <v>#N/A</v>
      </c>
      <c r="N57" s="150" t="e">
        <f ca="1">INDEX(IF(gender="Male",tblCIR2Rate[Male],tblCIR2Rate[Female]),MATCH(tblRiderCF[[#This Row],[Age]],tblCIR2Rate[Age],0))/1000*tblRiderCF[[#This Row],[SI]]
*(rider=N$11)</f>
        <v>#N/A</v>
      </c>
      <c r="O57" s="150" t="e">
        <f>INDEX(tblHOP2Rate[Premium],MATCH(hop2_option,tblHOP2Rate[Option],0))
*(rider=O$11)</f>
        <v>#N/A</v>
      </c>
      <c r="P57" s="150" t="e">
        <f ca="1">INDEX(Tariff!$CC$5:$CS$44,
MATCH(tblRiderCF[[#This Row],[Age]],Tariff!$CB$5:$CB$44,0),
MATCH(term+1-tblRiderCF[[#This Row],[Year]],Tariff!$CC$4:$CS$4,0))
*(rider=P$11)</f>
        <v>#N/A</v>
      </c>
      <c r="Q57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7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7" s="150" t="e">
        <f ca="1">INDEX(tblRiderCF[[#This Row],[ADD1UnroundedPrem]:[WOP2UnroundedPrem]],MATCH(rider,$K$11:$R$11,0))
*tblRiderCF[[#This Row],[RiderTermFlag]]</f>
        <v>#N/A</v>
      </c>
      <c r="T57" s="150" t="e">
        <f ca="1">tblRiderCF[[#This Row],[UnroundedPrem]]*prem_load</f>
        <v>#N/A</v>
      </c>
      <c r="U57" s="150" t="e">
        <f ca="1">pm_load/1000*tblRiderCF[[#This Row],[SI]]
*tblRiderCF[[#This Row],[RiderTermFlag]]</f>
        <v>#N/A</v>
      </c>
      <c r="V57" s="151" t="e">
        <f ca="1">ROUND(tblRiderCF[[#This Row],[UnroundedPrem]]*V$10,-3)</f>
        <v>#N/A</v>
      </c>
      <c r="W57" t="e">
        <f ca="1">ROUND(tblRiderCF[[#This Row],[UnroundedPremLoad]]*W$10,-3)</f>
        <v>#N/A</v>
      </c>
      <c r="X57" t="e">
        <f ca="1">ROUND(tblRiderCF[[#This Row],[UnroundedPMLoad]]*X$10,-3)</f>
        <v>#N/A</v>
      </c>
      <c r="Y57" t="e">
        <f ca="1">tblRiderCF[[#This Row],[PremLoad]]+tblRiderCF[[#This Row],[PMLoad]]</f>
        <v>#N/A</v>
      </c>
      <c r="Z57" t="e">
        <f ca="1">tblRiderCF[[#This Row],[Prem]]+tblRiderCF[[#This Row],[Load]]</f>
        <v>#N/A</v>
      </c>
      <c r="AA57" t="e">
        <f ca="1">ROUND(tblRiderCF[[#This Row],[UnroundedPrem]]*AA$10,-3)</f>
        <v>#N/A</v>
      </c>
      <c r="AB57" t="e">
        <f ca="1">ROUND(tblRiderCF[[#This Row],[UnroundedPremLoad]]*AB$10,-3)</f>
        <v>#N/A</v>
      </c>
      <c r="AC57" t="e">
        <f ca="1">ROUND(tblRiderCF[[#This Row],[UnroundedPMLoad]]*AC$10,-3)</f>
        <v>#N/A</v>
      </c>
      <c r="AD57" t="e">
        <f ca="1">tblRiderCF[[#This Row],[SemiAnnualPremLoad]]+tblRiderCF[[#This Row],[SemiAnnualPMLoad]]</f>
        <v>#N/A</v>
      </c>
      <c r="AE57" t="e">
        <f ca="1">tblRiderCF[[#This Row],[SemiAnnualPrem]]+tblRiderCF[[#This Row],[SemiAnnualLoad]]</f>
        <v>#N/A</v>
      </c>
      <c r="AF57" t="e">
        <f ca="1">ROUND(tblRiderCF[[#This Row],[UnroundedPrem]]*AF$10,-3)</f>
        <v>#N/A</v>
      </c>
      <c r="AG57" t="e">
        <f ca="1">ROUND(tblRiderCF[[#This Row],[UnroundedPremLoad]]*AG$10,-3)</f>
        <v>#N/A</v>
      </c>
      <c r="AH57" t="e">
        <f ca="1">ROUND(tblRiderCF[[#This Row],[UnroundedPMLoad]]*AH$10,-3)</f>
        <v>#N/A</v>
      </c>
      <c r="AI57" t="e">
        <f ca="1">tblRiderCF[[#This Row],[QuarterlyPremLoad]]+tblRiderCF[[#This Row],[QuarterlyPMLoad]]</f>
        <v>#N/A</v>
      </c>
      <c r="AJ57" t="e">
        <f ca="1">tblRiderCF[[#This Row],[QuarterlyPrem]]+tblRiderCF[[#This Row],[QuarterlyLoad]]</f>
        <v>#N/A</v>
      </c>
      <c r="AK57" t="e">
        <f ca="1">ROUND(tblRiderCF[[#This Row],[UnroundedPrem]]*AK$10,-3)</f>
        <v>#N/A</v>
      </c>
      <c r="AL57" t="e">
        <f ca="1">ROUND(tblRiderCF[[#This Row],[UnroundedPremLoad]]*AL$10,-3)</f>
        <v>#N/A</v>
      </c>
      <c r="AM57" t="e">
        <f ca="1">ROUND(tblRiderCF[[#This Row],[UnroundedPMLoad]]*AM$10,-3)</f>
        <v>#N/A</v>
      </c>
      <c r="AN57" t="e">
        <f ca="1">tblRiderCF[[#This Row],[MonthlyPremLoad]]+tblRiderCF[[#This Row],[MonthlyPMLoad]]</f>
        <v>#N/A</v>
      </c>
      <c r="AO57" t="e">
        <f ca="1">tblRiderCF[[#This Row],[MonthlyPrem]]+tblRiderCF[[#This Row],[MonthlyLoad]]</f>
        <v>#N/A</v>
      </c>
      <c r="AS57">
        <f t="shared" si="6"/>
        <v>0</v>
      </c>
      <c r="AT57">
        <f t="shared" si="7"/>
        <v>0</v>
      </c>
      <c r="AU57">
        <f ca="1">tblRiderCF[[#This Row],[Year]]</f>
        <v>44</v>
      </c>
      <c r="AV57" t="e">
        <f ca="1">tblRiderCF[[#This Row],[Age]]</f>
        <v>#N/A</v>
      </c>
      <c r="AW57">
        <f t="shared" si="2"/>
        <v>0</v>
      </c>
      <c r="AX57" t="e">
        <f t="shared" si="8"/>
        <v>#N/A</v>
      </c>
      <c r="AY57">
        <f t="shared" si="4"/>
        <v>0</v>
      </c>
      <c r="AZ57" s="47" t="e">
        <f ca="1">tblRiderCF[[#This Row],[SI]]</f>
        <v>#N/A</v>
      </c>
      <c r="BA57" t="e">
        <f ca="1">tblRiderCF[[#This Row],[TotalPrem]]</f>
        <v>#N/A</v>
      </c>
      <c r="BB57" t="e">
        <f ca="1">tblRiderCF[[#This Row],[SemiAnnualTotalPrem]]</f>
        <v>#N/A</v>
      </c>
      <c r="BC57" t="e">
        <f ca="1">tblRiderCF[[#This Row],[QuarterlyTotalPrem]]</f>
        <v>#N/A</v>
      </c>
      <c r="BD57" t="e">
        <f ca="1">tblRiderCF[[#This Row],[MonthlyTotalPrem]]</f>
        <v>#N/A</v>
      </c>
      <c r="BG57" t="s">
        <v>135</v>
      </c>
      <c r="BH57" t="s">
        <v>188</v>
      </c>
      <c r="BI57">
        <v>14</v>
      </c>
      <c r="BJ57">
        <v>44</v>
      </c>
      <c r="BK57" t="s">
        <v>483</v>
      </c>
      <c r="BL57">
        <v>44</v>
      </c>
      <c r="BM57">
        <v>0</v>
      </c>
      <c r="BN57">
        <v>250000000</v>
      </c>
      <c r="BO57">
        <v>4341000</v>
      </c>
      <c r="BP57">
        <v>2301000</v>
      </c>
      <c r="BQ57">
        <v>1172000</v>
      </c>
      <c r="BR57">
        <v>391000</v>
      </c>
    </row>
    <row r="58" spans="2:70" x14ac:dyDescent="0.25">
      <c r="B58">
        <f ca="1">OFFSET(tblRiderCF[[#This Row],[Year]],-1,0)+1</f>
        <v>45</v>
      </c>
      <c r="C58" t="e">
        <f ca="1">(tblRiderCF[[#This Row],[Year]]&lt;=term)*1</f>
        <v>#N/A</v>
      </c>
      <c r="D58" t="e">
        <f ca="1">(entry_age+tblRiderCF[[#This Row],[Year]]-1)
*tblRiderCF[[#This Row],[RiderTermFlag]]</f>
        <v>#N/A</v>
      </c>
      <c r="E58" t="e">
        <f ca="1">(risk="Sub-standard")
*tblRiderCF[[#This Row],[RiderTermFlag]]</f>
        <v>#N/A</v>
      </c>
      <c r="F58" t="e">
        <f ca="1">(tblRiderCF[[#This Row],[Year]]&lt;=prem_load_term)
*tblRiderCF[[#This Row],[SubStandardFlag]]</f>
        <v>#N/A</v>
      </c>
      <c r="G58" t="e">
        <f ca="1">(tblRiderCF[[#This Row],[Year]]&lt;=pm_load_term)
*tblRiderCF[[#This Row],[SubStandardFlag]]</f>
        <v>#N/A</v>
      </c>
      <c r="H58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8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8" s="150" t="e" cm="1">
        <f t="array" aca="1" ref="J5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8" s="150" t="e">
        <f ca="1">add_rate*tblRiderCF[[#This Row],[SI]]*(rider=K$11)</f>
        <v>#N/A</v>
      </c>
      <c r="L58" s="150" t="e">
        <f ca="1">INDEX(tblPPDRate[Annualized GPR],MATCH(tblRiderCF[[#This Row],[Age]],tblPPDRate[Min age],1))*tblRiderCF[[#This Row],[SI]]
*(rider=L$11)</f>
        <v>#N/A</v>
      </c>
      <c r="M58" s="150" t="e">
        <f ca="1">INDEX(IF(gender="Male",tblCIR1Rate[Male],tblCIR1Rate[Female]),MATCH(tblRiderCF[[#This Row],[Age]],tblCIR1Rate[Age],0))/1000*tblRiderCF[[#This Row],[SI]]
*(rider=M$11)</f>
        <v>#N/A</v>
      </c>
      <c r="N58" s="150" t="e">
        <f ca="1">INDEX(IF(gender="Male",tblCIR2Rate[Male],tblCIR2Rate[Female]),MATCH(tblRiderCF[[#This Row],[Age]],tblCIR2Rate[Age],0))/1000*tblRiderCF[[#This Row],[SI]]
*(rider=N$11)</f>
        <v>#N/A</v>
      </c>
      <c r="O58" s="150" t="e">
        <f>INDEX(tblHOP2Rate[Premium],MATCH(hop2_option,tblHOP2Rate[Option],0))
*(rider=O$11)</f>
        <v>#N/A</v>
      </c>
      <c r="P58" s="150" t="e">
        <f ca="1">INDEX(Tariff!$CC$5:$CS$44,
MATCH(tblRiderCF[[#This Row],[Age]],Tariff!$CB$5:$CB$44,0),
MATCH(term+1-tblRiderCF[[#This Row],[Year]],Tariff!$CC$4:$CS$4,0))
*(rider=P$11)</f>
        <v>#N/A</v>
      </c>
      <c r="Q58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8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8" s="150" t="e">
        <f ca="1">INDEX(tblRiderCF[[#This Row],[ADD1UnroundedPrem]:[WOP2UnroundedPrem]],MATCH(rider,$K$11:$R$11,0))
*tblRiderCF[[#This Row],[RiderTermFlag]]</f>
        <v>#N/A</v>
      </c>
      <c r="T58" s="150" t="e">
        <f ca="1">tblRiderCF[[#This Row],[UnroundedPrem]]*prem_load</f>
        <v>#N/A</v>
      </c>
      <c r="U58" s="150" t="e">
        <f ca="1">pm_load/1000*tblRiderCF[[#This Row],[SI]]
*tblRiderCF[[#This Row],[RiderTermFlag]]</f>
        <v>#N/A</v>
      </c>
      <c r="V58" s="151" t="e">
        <f ca="1">ROUND(tblRiderCF[[#This Row],[UnroundedPrem]]*V$10,-3)</f>
        <v>#N/A</v>
      </c>
      <c r="W58" t="e">
        <f ca="1">ROUND(tblRiderCF[[#This Row],[UnroundedPremLoad]]*W$10,-3)</f>
        <v>#N/A</v>
      </c>
      <c r="X58" t="e">
        <f ca="1">ROUND(tblRiderCF[[#This Row],[UnroundedPMLoad]]*X$10,-3)</f>
        <v>#N/A</v>
      </c>
      <c r="Y58" t="e">
        <f ca="1">tblRiderCF[[#This Row],[PremLoad]]+tblRiderCF[[#This Row],[PMLoad]]</f>
        <v>#N/A</v>
      </c>
      <c r="Z58" t="e">
        <f ca="1">tblRiderCF[[#This Row],[Prem]]+tblRiderCF[[#This Row],[Load]]</f>
        <v>#N/A</v>
      </c>
      <c r="AA58" t="e">
        <f ca="1">ROUND(tblRiderCF[[#This Row],[UnroundedPrem]]*AA$10,-3)</f>
        <v>#N/A</v>
      </c>
      <c r="AB58" t="e">
        <f ca="1">ROUND(tblRiderCF[[#This Row],[UnroundedPremLoad]]*AB$10,-3)</f>
        <v>#N/A</v>
      </c>
      <c r="AC58" t="e">
        <f ca="1">ROUND(tblRiderCF[[#This Row],[UnroundedPMLoad]]*AC$10,-3)</f>
        <v>#N/A</v>
      </c>
      <c r="AD58" t="e">
        <f ca="1">tblRiderCF[[#This Row],[SemiAnnualPremLoad]]+tblRiderCF[[#This Row],[SemiAnnualPMLoad]]</f>
        <v>#N/A</v>
      </c>
      <c r="AE58" t="e">
        <f ca="1">tblRiderCF[[#This Row],[SemiAnnualPrem]]+tblRiderCF[[#This Row],[SemiAnnualLoad]]</f>
        <v>#N/A</v>
      </c>
      <c r="AF58" t="e">
        <f ca="1">ROUND(tblRiderCF[[#This Row],[UnroundedPrem]]*AF$10,-3)</f>
        <v>#N/A</v>
      </c>
      <c r="AG58" t="e">
        <f ca="1">ROUND(tblRiderCF[[#This Row],[UnroundedPremLoad]]*AG$10,-3)</f>
        <v>#N/A</v>
      </c>
      <c r="AH58" t="e">
        <f ca="1">ROUND(tblRiderCF[[#This Row],[UnroundedPMLoad]]*AH$10,-3)</f>
        <v>#N/A</v>
      </c>
      <c r="AI58" t="e">
        <f ca="1">tblRiderCF[[#This Row],[QuarterlyPremLoad]]+tblRiderCF[[#This Row],[QuarterlyPMLoad]]</f>
        <v>#N/A</v>
      </c>
      <c r="AJ58" t="e">
        <f ca="1">tblRiderCF[[#This Row],[QuarterlyPrem]]+tblRiderCF[[#This Row],[QuarterlyLoad]]</f>
        <v>#N/A</v>
      </c>
      <c r="AK58" t="e">
        <f ca="1">ROUND(tblRiderCF[[#This Row],[UnroundedPrem]]*AK$10,-3)</f>
        <v>#N/A</v>
      </c>
      <c r="AL58" t="e">
        <f ca="1">ROUND(tblRiderCF[[#This Row],[UnroundedPremLoad]]*AL$10,-3)</f>
        <v>#N/A</v>
      </c>
      <c r="AM58" t="e">
        <f ca="1">ROUND(tblRiderCF[[#This Row],[UnroundedPMLoad]]*AM$10,-3)</f>
        <v>#N/A</v>
      </c>
      <c r="AN58" t="e">
        <f ca="1">tblRiderCF[[#This Row],[MonthlyPremLoad]]+tblRiderCF[[#This Row],[MonthlyPMLoad]]</f>
        <v>#N/A</v>
      </c>
      <c r="AO58" t="e">
        <f ca="1">tblRiderCF[[#This Row],[MonthlyPrem]]+tblRiderCF[[#This Row],[MonthlyLoad]]</f>
        <v>#N/A</v>
      </c>
      <c r="AS58">
        <f t="shared" si="6"/>
        <v>0</v>
      </c>
      <c r="AT58">
        <f t="shared" si="7"/>
        <v>0</v>
      </c>
      <c r="AU58">
        <f ca="1">tblRiderCF[[#This Row],[Year]]</f>
        <v>45</v>
      </c>
      <c r="AV58" t="e">
        <f ca="1">tblRiderCF[[#This Row],[Age]]</f>
        <v>#N/A</v>
      </c>
      <c r="AW58">
        <f t="shared" si="2"/>
        <v>0</v>
      </c>
      <c r="AX58" t="e">
        <f t="shared" si="8"/>
        <v>#N/A</v>
      </c>
      <c r="AY58">
        <f t="shared" si="4"/>
        <v>0</v>
      </c>
      <c r="AZ58" s="47" t="e">
        <f ca="1">tblRiderCF[[#This Row],[SI]]</f>
        <v>#N/A</v>
      </c>
      <c r="BA58" t="e">
        <f ca="1">tblRiderCF[[#This Row],[TotalPrem]]</f>
        <v>#N/A</v>
      </c>
      <c r="BB58" t="e">
        <f ca="1">tblRiderCF[[#This Row],[SemiAnnualTotalPrem]]</f>
        <v>#N/A</v>
      </c>
      <c r="BC58" t="e">
        <f ca="1">tblRiderCF[[#This Row],[QuarterlyTotalPrem]]</f>
        <v>#N/A</v>
      </c>
      <c r="BD58" t="e">
        <f ca="1">tblRiderCF[[#This Row],[MonthlyTotalPrem]]</f>
        <v>#N/A</v>
      </c>
      <c r="BG58" t="s">
        <v>135</v>
      </c>
      <c r="BH58" t="s">
        <v>188</v>
      </c>
      <c r="BI58">
        <v>15</v>
      </c>
      <c r="BJ58">
        <v>45</v>
      </c>
      <c r="BK58" t="s">
        <v>483</v>
      </c>
      <c r="BL58">
        <v>44</v>
      </c>
      <c r="BM58">
        <v>0</v>
      </c>
      <c r="BN58">
        <v>250000000</v>
      </c>
      <c r="BO58">
        <v>4613000</v>
      </c>
      <c r="BP58">
        <v>2445000</v>
      </c>
      <c r="BQ58">
        <v>1246000</v>
      </c>
      <c r="BR58">
        <v>416000</v>
      </c>
    </row>
    <row r="59" spans="2:70" x14ac:dyDescent="0.25">
      <c r="B59">
        <f ca="1">OFFSET(tblRiderCF[[#This Row],[Year]],-1,0)+1</f>
        <v>46</v>
      </c>
      <c r="C59" t="e">
        <f ca="1">(tblRiderCF[[#This Row],[Year]]&lt;=term)*1</f>
        <v>#N/A</v>
      </c>
      <c r="D59" t="e">
        <f ca="1">(entry_age+tblRiderCF[[#This Row],[Year]]-1)
*tblRiderCF[[#This Row],[RiderTermFlag]]</f>
        <v>#N/A</v>
      </c>
      <c r="E59" t="e">
        <f ca="1">(risk="Sub-standard")
*tblRiderCF[[#This Row],[RiderTermFlag]]</f>
        <v>#N/A</v>
      </c>
      <c r="F59" t="e">
        <f ca="1">(tblRiderCF[[#This Row],[Year]]&lt;=prem_load_term)
*tblRiderCF[[#This Row],[SubStandardFlag]]</f>
        <v>#N/A</v>
      </c>
      <c r="G59" t="e">
        <f ca="1">(tblRiderCF[[#This Row],[Year]]&lt;=pm_load_term)
*tblRiderCF[[#This Row],[SubStandardFlag]]</f>
        <v>#N/A</v>
      </c>
      <c r="H59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59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59" s="150" t="e" cm="1">
        <f t="array" aca="1" ref="J5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59" s="150" t="e">
        <f ca="1">add_rate*tblRiderCF[[#This Row],[SI]]*(rider=K$11)</f>
        <v>#N/A</v>
      </c>
      <c r="L59" s="150" t="e">
        <f ca="1">INDEX(tblPPDRate[Annualized GPR],MATCH(tblRiderCF[[#This Row],[Age]],tblPPDRate[Min age],1))*tblRiderCF[[#This Row],[SI]]
*(rider=L$11)</f>
        <v>#N/A</v>
      </c>
      <c r="M59" s="150" t="e">
        <f ca="1">INDEX(IF(gender="Male",tblCIR1Rate[Male],tblCIR1Rate[Female]),MATCH(tblRiderCF[[#This Row],[Age]],tblCIR1Rate[Age],0))/1000*tblRiderCF[[#This Row],[SI]]
*(rider=M$11)</f>
        <v>#N/A</v>
      </c>
      <c r="N59" s="150" t="e">
        <f ca="1">INDEX(IF(gender="Male",tblCIR2Rate[Male],tblCIR2Rate[Female]),MATCH(tblRiderCF[[#This Row],[Age]],tblCIR2Rate[Age],0))/1000*tblRiderCF[[#This Row],[SI]]
*(rider=N$11)</f>
        <v>#N/A</v>
      </c>
      <c r="O59" s="150" t="e">
        <f>INDEX(tblHOP2Rate[Premium],MATCH(hop2_option,tblHOP2Rate[Option],0))
*(rider=O$11)</f>
        <v>#N/A</v>
      </c>
      <c r="P59" s="150" t="e">
        <f ca="1">INDEX(Tariff!$CC$5:$CS$44,
MATCH(tblRiderCF[[#This Row],[Age]],Tariff!$CB$5:$CB$44,0),
MATCH(term+1-tblRiderCF[[#This Row],[Year]],Tariff!$CC$4:$CS$4,0))
*(rider=P$11)</f>
        <v>#N/A</v>
      </c>
      <c r="Q59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59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59" s="150" t="e">
        <f ca="1">INDEX(tblRiderCF[[#This Row],[ADD1UnroundedPrem]:[WOP2UnroundedPrem]],MATCH(rider,$K$11:$R$11,0))
*tblRiderCF[[#This Row],[RiderTermFlag]]</f>
        <v>#N/A</v>
      </c>
      <c r="T59" s="150" t="e">
        <f ca="1">tblRiderCF[[#This Row],[UnroundedPrem]]*prem_load</f>
        <v>#N/A</v>
      </c>
      <c r="U59" s="150" t="e">
        <f ca="1">pm_load/1000*tblRiderCF[[#This Row],[SI]]
*tblRiderCF[[#This Row],[RiderTermFlag]]</f>
        <v>#N/A</v>
      </c>
      <c r="V59" s="151" t="e">
        <f ca="1">ROUND(tblRiderCF[[#This Row],[UnroundedPrem]]*V$10,-3)</f>
        <v>#N/A</v>
      </c>
      <c r="W59" t="e">
        <f ca="1">ROUND(tblRiderCF[[#This Row],[UnroundedPremLoad]]*W$10,-3)</f>
        <v>#N/A</v>
      </c>
      <c r="X59" t="e">
        <f ca="1">ROUND(tblRiderCF[[#This Row],[UnroundedPMLoad]]*X$10,-3)</f>
        <v>#N/A</v>
      </c>
      <c r="Y59" t="e">
        <f ca="1">tblRiderCF[[#This Row],[PremLoad]]+tblRiderCF[[#This Row],[PMLoad]]</f>
        <v>#N/A</v>
      </c>
      <c r="Z59" t="e">
        <f ca="1">tblRiderCF[[#This Row],[Prem]]+tblRiderCF[[#This Row],[Load]]</f>
        <v>#N/A</v>
      </c>
      <c r="AA59" t="e">
        <f ca="1">ROUND(tblRiderCF[[#This Row],[UnroundedPrem]]*AA$10,-3)</f>
        <v>#N/A</v>
      </c>
      <c r="AB59" t="e">
        <f ca="1">ROUND(tblRiderCF[[#This Row],[UnroundedPremLoad]]*AB$10,-3)</f>
        <v>#N/A</v>
      </c>
      <c r="AC59" t="e">
        <f ca="1">ROUND(tblRiderCF[[#This Row],[UnroundedPMLoad]]*AC$10,-3)</f>
        <v>#N/A</v>
      </c>
      <c r="AD59" t="e">
        <f ca="1">tblRiderCF[[#This Row],[SemiAnnualPremLoad]]+tblRiderCF[[#This Row],[SemiAnnualPMLoad]]</f>
        <v>#N/A</v>
      </c>
      <c r="AE59" t="e">
        <f ca="1">tblRiderCF[[#This Row],[SemiAnnualPrem]]+tblRiderCF[[#This Row],[SemiAnnualLoad]]</f>
        <v>#N/A</v>
      </c>
      <c r="AF59" t="e">
        <f ca="1">ROUND(tblRiderCF[[#This Row],[UnroundedPrem]]*AF$10,-3)</f>
        <v>#N/A</v>
      </c>
      <c r="AG59" t="e">
        <f ca="1">ROUND(tblRiderCF[[#This Row],[UnroundedPremLoad]]*AG$10,-3)</f>
        <v>#N/A</v>
      </c>
      <c r="AH59" t="e">
        <f ca="1">ROUND(tblRiderCF[[#This Row],[UnroundedPMLoad]]*AH$10,-3)</f>
        <v>#N/A</v>
      </c>
      <c r="AI59" t="e">
        <f ca="1">tblRiderCF[[#This Row],[QuarterlyPremLoad]]+tblRiderCF[[#This Row],[QuarterlyPMLoad]]</f>
        <v>#N/A</v>
      </c>
      <c r="AJ59" t="e">
        <f ca="1">tblRiderCF[[#This Row],[QuarterlyPrem]]+tblRiderCF[[#This Row],[QuarterlyLoad]]</f>
        <v>#N/A</v>
      </c>
      <c r="AK59" t="e">
        <f ca="1">ROUND(tblRiderCF[[#This Row],[UnroundedPrem]]*AK$10,-3)</f>
        <v>#N/A</v>
      </c>
      <c r="AL59" t="e">
        <f ca="1">ROUND(tblRiderCF[[#This Row],[UnroundedPremLoad]]*AL$10,-3)</f>
        <v>#N/A</v>
      </c>
      <c r="AM59" t="e">
        <f ca="1">ROUND(tblRiderCF[[#This Row],[UnroundedPMLoad]]*AM$10,-3)</f>
        <v>#N/A</v>
      </c>
      <c r="AN59" t="e">
        <f ca="1">tblRiderCF[[#This Row],[MonthlyPremLoad]]+tblRiderCF[[#This Row],[MonthlyPMLoad]]</f>
        <v>#N/A</v>
      </c>
      <c r="AO59" t="e">
        <f ca="1">tblRiderCF[[#This Row],[MonthlyPrem]]+tblRiderCF[[#This Row],[MonthlyLoad]]</f>
        <v>#N/A</v>
      </c>
      <c r="AS59">
        <f t="shared" si="6"/>
        <v>0</v>
      </c>
      <c r="AT59">
        <f t="shared" si="7"/>
        <v>0</v>
      </c>
      <c r="AU59">
        <f ca="1">tblRiderCF[[#This Row],[Year]]</f>
        <v>46</v>
      </c>
      <c r="AV59" t="e">
        <f ca="1">tblRiderCF[[#This Row],[Age]]</f>
        <v>#N/A</v>
      </c>
      <c r="AW59">
        <f t="shared" si="2"/>
        <v>0</v>
      </c>
      <c r="AX59" t="e">
        <f t="shared" si="8"/>
        <v>#N/A</v>
      </c>
      <c r="AY59">
        <f t="shared" si="4"/>
        <v>0</v>
      </c>
      <c r="AZ59" s="47" t="e">
        <f ca="1">tblRiderCF[[#This Row],[SI]]</f>
        <v>#N/A</v>
      </c>
      <c r="BA59" t="e">
        <f ca="1">tblRiderCF[[#This Row],[TotalPrem]]</f>
        <v>#N/A</v>
      </c>
      <c r="BB59" t="e">
        <f ca="1">tblRiderCF[[#This Row],[SemiAnnualTotalPrem]]</f>
        <v>#N/A</v>
      </c>
      <c r="BC59" t="e">
        <f ca="1">tblRiderCF[[#This Row],[QuarterlyTotalPrem]]</f>
        <v>#N/A</v>
      </c>
      <c r="BD59" t="e">
        <f ca="1">tblRiderCF[[#This Row],[MonthlyTotalPrem]]</f>
        <v>#N/A</v>
      </c>
      <c r="BG59" t="s">
        <v>135</v>
      </c>
      <c r="BH59" t="s">
        <v>188</v>
      </c>
      <c r="BI59">
        <v>16</v>
      </c>
      <c r="BJ59">
        <v>46</v>
      </c>
      <c r="BK59" t="s">
        <v>483</v>
      </c>
      <c r="BL59">
        <v>44</v>
      </c>
      <c r="BM59">
        <v>0</v>
      </c>
      <c r="BN59">
        <v>250000000</v>
      </c>
      <c r="BO59">
        <v>4932000</v>
      </c>
      <c r="BP59">
        <v>2614000</v>
      </c>
      <c r="BQ59">
        <v>1332000</v>
      </c>
      <c r="BR59">
        <v>444000</v>
      </c>
    </row>
    <row r="60" spans="2:70" x14ac:dyDescent="0.25">
      <c r="B60">
        <f ca="1">OFFSET(tblRiderCF[[#This Row],[Year]],-1,0)+1</f>
        <v>47</v>
      </c>
      <c r="C60" t="e">
        <f ca="1">(tblRiderCF[[#This Row],[Year]]&lt;=term)*1</f>
        <v>#N/A</v>
      </c>
      <c r="D60" t="e">
        <f ca="1">(entry_age+tblRiderCF[[#This Row],[Year]]-1)
*tblRiderCF[[#This Row],[RiderTermFlag]]</f>
        <v>#N/A</v>
      </c>
      <c r="E60" t="e">
        <f ca="1">(risk="Sub-standard")
*tblRiderCF[[#This Row],[RiderTermFlag]]</f>
        <v>#N/A</v>
      </c>
      <c r="F60" t="e">
        <f ca="1">(tblRiderCF[[#This Row],[Year]]&lt;=prem_load_term)
*tblRiderCF[[#This Row],[SubStandardFlag]]</f>
        <v>#N/A</v>
      </c>
      <c r="G60" t="e">
        <f ca="1">(tblRiderCF[[#This Row],[Year]]&lt;=pm_load_term)
*tblRiderCF[[#This Row],[SubStandardFlag]]</f>
        <v>#N/A</v>
      </c>
      <c r="H60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0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0" s="150" t="e" cm="1">
        <f t="array" aca="1" ref="J6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0" s="150" t="e">
        <f ca="1">add_rate*tblRiderCF[[#This Row],[SI]]*(rider=K$11)</f>
        <v>#N/A</v>
      </c>
      <c r="L60" s="150" t="e">
        <f ca="1">INDEX(tblPPDRate[Annualized GPR],MATCH(tblRiderCF[[#This Row],[Age]],tblPPDRate[Min age],1))*tblRiderCF[[#This Row],[SI]]
*(rider=L$11)</f>
        <v>#N/A</v>
      </c>
      <c r="M60" s="150" t="e">
        <f ca="1">INDEX(IF(gender="Male",tblCIR1Rate[Male],tblCIR1Rate[Female]),MATCH(tblRiderCF[[#This Row],[Age]],tblCIR1Rate[Age],0))/1000*tblRiderCF[[#This Row],[SI]]
*(rider=M$11)</f>
        <v>#N/A</v>
      </c>
      <c r="N60" s="150" t="e">
        <f ca="1">INDEX(IF(gender="Male",tblCIR2Rate[Male],tblCIR2Rate[Female]),MATCH(tblRiderCF[[#This Row],[Age]],tblCIR2Rate[Age],0))/1000*tblRiderCF[[#This Row],[SI]]
*(rider=N$11)</f>
        <v>#N/A</v>
      </c>
      <c r="O60" s="150" t="e">
        <f>INDEX(tblHOP2Rate[Premium],MATCH(hop2_option,tblHOP2Rate[Option],0))
*(rider=O$11)</f>
        <v>#N/A</v>
      </c>
      <c r="P60" s="150" t="e">
        <f ca="1">INDEX(Tariff!$CC$5:$CS$44,
MATCH(tblRiderCF[[#This Row],[Age]],Tariff!$CB$5:$CB$44,0),
MATCH(term+1-tblRiderCF[[#This Row],[Year]],Tariff!$CC$4:$CS$4,0))
*(rider=P$11)</f>
        <v>#N/A</v>
      </c>
      <c r="Q60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0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0" s="150" t="e">
        <f ca="1">INDEX(tblRiderCF[[#This Row],[ADD1UnroundedPrem]:[WOP2UnroundedPrem]],MATCH(rider,$K$11:$R$11,0))
*tblRiderCF[[#This Row],[RiderTermFlag]]</f>
        <v>#N/A</v>
      </c>
      <c r="T60" s="150" t="e">
        <f ca="1">tblRiderCF[[#This Row],[UnroundedPrem]]*prem_load</f>
        <v>#N/A</v>
      </c>
      <c r="U60" s="150" t="e">
        <f ca="1">pm_load/1000*tblRiderCF[[#This Row],[SI]]
*tblRiderCF[[#This Row],[RiderTermFlag]]</f>
        <v>#N/A</v>
      </c>
      <c r="V60" s="151" t="e">
        <f ca="1">ROUND(tblRiderCF[[#This Row],[UnroundedPrem]]*V$10,-3)</f>
        <v>#N/A</v>
      </c>
      <c r="W60" t="e">
        <f ca="1">ROUND(tblRiderCF[[#This Row],[UnroundedPremLoad]]*W$10,-3)</f>
        <v>#N/A</v>
      </c>
      <c r="X60" t="e">
        <f ca="1">ROUND(tblRiderCF[[#This Row],[UnroundedPMLoad]]*X$10,-3)</f>
        <v>#N/A</v>
      </c>
      <c r="Y60" t="e">
        <f ca="1">tblRiderCF[[#This Row],[PremLoad]]+tblRiderCF[[#This Row],[PMLoad]]</f>
        <v>#N/A</v>
      </c>
      <c r="Z60" t="e">
        <f ca="1">tblRiderCF[[#This Row],[Prem]]+tblRiderCF[[#This Row],[Load]]</f>
        <v>#N/A</v>
      </c>
      <c r="AA60" t="e">
        <f ca="1">ROUND(tblRiderCF[[#This Row],[UnroundedPrem]]*AA$10,-3)</f>
        <v>#N/A</v>
      </c>
      <c r="AB60" t="e">
        <f ca="1">ROUND(tblRiderCF[[#This Row],[UnroundedPremLoad]]*AB$10,-3)</f>
        <v>#N/A</v>
      </c>
      <c r="AC60" t="e">
        <f ca="1">ROUND(tblRiderCF[[#This Row],[UnroundedPMLoad]]*AC$10,-3)</f>
        <v>#N/A</v>
      </c>
      <c r="AD60" t="e">
        <f ca="1">tblRiderCF[[#This Row],[SemiAnnualPremLoad]]+tblRiderCF[[#This Row],[SemiAnnualPMLoad]]</f>
        <v>#N/A</v>
      </c>
      <c r="AE60" t="e">
        <f ca="1">tblRiderCF[[#This Row],[SemiAnnualPrem]]+tblRiderCF[[#This Row],[SemiAnnualLoad]]</f>
        <v>#N/A</v>
      </c>
      <c r="AF60" t="e">
        <f ca="1">ROUND(tblRiderCF[[#This Row],[UnroundedPrem]]*AF$10,-3)</f>
        <v>#N/A</v>
      </c>
      <c r="AG60" t="e">
        <f ca="1">ROUND(tblRiderCF[[#This Row],[UnroundedPremLoad]]*AG$10,-3)</f>
        <v>#N/A</v>
      </c>
      <c r="AH60" t="e">
        <f ca="1">ROUND(tblRiderCF[[#This Row],[UnroundedPMLoad]]*AH$10,-3)</f>
        <v>#N/A</v>
      </c>
      <c r="AI60" t="e">
        <f ca="1">tblRiderCF[[#This Row],[QuarterlyPremLoad]]+tblRiderCF[[#This Row],[QuarterlyPMLoad]]</f>
        <v>#N/A</v>
      </c>
      <c r="AJ60" t="e">
        <f ca="1">tblRiderCF[[#This Row],[QuarterlyPrem]]+tblRiderCF[[#This Row],[QuarterlyLoad]]</f>
        <v>#N/A</v>
      </c>
      <c r="AK60" t="e">
        <f ca="1">ROUND(tblRiderCF[[#This Row],[UnroundedPrem]]*AK$10,-3)</f>
        <v>#N/A</v>
      </c>
      <c r="AL60" t="e">
        <f ca="1">ROUND(tblRiderCF[[#This Row],[UnroundedPremLoad]]*AL$10,-3)</f>
        <v>#N/A</v>
      </c>
      <c r="AM60" t="e">
        <f ca="1">ROUND(tblRiderCF[[#This Row],[UnroundedPMLoad]]*AM$10,-3)</f>
        <v>#N/A</v>
      </c>
      <c r="AN60" t="e">
        <f ca="1">tblRiderCF[[#This Row],[MonthlyPremLoad]]+tblRiderCF[[#This Row],[MonthlyPMLoad]]</f>
        <v>#N/A</v>
      </c>
      <c r="AO60" t="e">
        <f ca="1">tblRiderCF[[#This Row],[MonthlyPrem]]+tblRiderCF[[#This Row],[MonthlyLoad]]</f>
        <v>#N/A</v>
      </c>
      <c r="AS60">
        <f t="shared" si="6"/>
        <v>0</v>
      </c>
      <c r="AT60">
        <f t="shared" si="7"/>
        <v>0</v>
      </c>
      <c r="AU60">
        <f ca="1">tblRiderCF[[#This Row],[Year]]</f>
        <v>47</v>
      </c>
      <c r="AV60" t="e">
        <f ca="1">tblRiderCF[[#This Row],[Age]]</f>
        <v>#N/A</v>
      </c>
      <c r="AW60">
        <f t="shared" si="2"/>
        <v>0</v>
      </c>
      <c r="AX60" t="e">
        <f t="shared" si="8"/>
        <v>#N/A</v>
      </c>
      <c r="AY60">
        <f t="shared" si="4"/>
        <v>0</v>
      </c>
      <c r="AZ60" s="47" t="e">
        <f ca="1">tblRiderCF[[#This Row],[SI]]</f>
        <v>#N/A</v>
      </c>
      <c r="BA60" t="e">
        <f ca="1">tblRiderCF[[#This Row],[TotalPrem]]</f>
        <v>#N/A</v>
      </c>
      <c r="BB60" t="e">
        <f ca="1">tblRiderCF[[#This Row],[SemiAnnualTotalPrem]]</f>
        <v>#N/A</v>
      </c>
      <c r="BC60" t="e">
        <f ca="1">tblRiderCF[[#This Row],[QuarterlyTotalPrem]]</f>
        <v>#N/A</v>
      </c>
      <c r="BD60" t="e">
        <f ca="1">tblRiderCF[[#This Row],[MonthlyTotalPrem]]</f>
        <v>#N/A</v>
      </c>
      <c r="BG60" t="s">
        <v>135</v>
      </c>
      <c r="BH60" t="s">
        <v>188</v>
      </c>
      <c r="BI60">
        <v>17</v>
      </c>
      <c r="BJ60">
        <v>47</v>
      </c>
      <c r="BK60" t="s">
        <v>483</v>
      </c>
      <c r="BL60">
        <v>44</v>
      </c>
      <c r="BM60">
        <v>0</v>
      </c>
      <c r="BN60">
        <v>250000000</v>
      </c>
      <c r="BO60">
        <v>5278000</v>
      </c>
      <c r="BP60">
        <v>2797000</v>
      </c>
      <c r="BQ60">
        <v>1425000</v>
      </c>
      <c r="BR60">
        <v>475000</v>
      </c>
    </row>
    <row r="61" spans="2:70" x14ac:dyDescent="0.25">
      <c r="B61">
        <f ca="1">OFFSET(tblRiderCF[[#This Row],[Year]],-1,0)+1</f>
        <v>48</v>
      </c>
      <c r="C61" t="e">
        <f ca="1">(tblRiderCF[[#This Row],[Year]]&lt;=term)*1</f>
        <v>#N/A</v>
      </c>
      <c r="D61" t="e">
        <f ca="1">(entry_age+tblRiderCF[[#This Row],[Year]]-1)
*tblRiderCF[[#This Row],[RiderTermFlag]]</f>
        <v>#N/A</v>
      </c>
      <c r="E61" t="e">
        <f ca="1">(risk="Sub-standard")
*tblRiderCF[[#This Row],[RiderTermFlag]]</f>
        <v>#N/A</v>
      </c>
      <c r="F61" t="e">
        <f ca="1">(tblRiderCF[[#This Row],[Year]]&lt;=prem_load_term)
*tblRiderCF[[#This Row],[SubStandardFlag]]</f>
        <v>#N/A</v>
      </c>
      <c r="G61" t="e">
        <f ca="1">(tblRiderCF[[#This Row],[Year]]&lt;=pm_load_term)
*tblRiderCF[[#This Row],[SubStandardFlag]]</f>
        <v>#N/A</v>
      </c>
      <c r="H61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1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1" s="150" t="e" cm="1">
        <f t="array" aca="1" ref="J6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1" s="150" t="e">
        <f ca="1">add_rate*tblRiderCF[[#This Row],[SI]]*(rider=K$11)</f>
        <v>#N/A</v>
      </c>
      <c r="L61" s="150" t="e">
        <f ca="1">INDEX(tblPPDRate[Annualized GPR],MATCH(tblRiderCF[[#This Row],[Age]],tblPPDRate[Min age],1))*tblRiderCF[[#This Row],[SI]]
*(rider=L$11)</f>
        <v>#N/A</v>
      </c>
      <c r="M61" s="150" t="e">
        <f ca="1">INDEX(IF(gender="Male",tblCIR1Rate[Male],tblCIR1Rate[Female]),MATCH(tblRiderCF[[#This Row],[Age]],tblCIR1Rate[Age],0))/1000*tblRiderCF[[#This Row],[SI]]
*(rider=M$11)</f>
        <v>#N/A</v>
      </c>
      <c r="N61" s="150" t="e">
        <f ca="1">INDEX(IF(gender="Male",tblCIR2Rate[Male],tblCIR2Rate[Female]),MATCH(tblRiderCF[[#This Row],[Age]],tblCIR2Rate[Age],0))/1000*tblRiderCF[[#This Row],[SI]]
*(rider=N$11)</f>
        <v>#N/A</v>
      </c>
      <c r="O61" s="150" t="e">
        <f>INDEX(tblHOP2Rate[Premium],MATCH(hop2_option,tblHOP2Rate[Option],0))
*(rider=O$11)</f>
        <v>#N/A</v>
      </c>
      <c r="P61" s="150" t="e">
        <f ca="1">INDEX(Tariff!$CC$5:$CS$44,
MATCH(tblRiderCF[[#This Row],[Age]],Tariff!$CB$5:$CB$44,0),
MATCH(term+1-tblRiderCF[[#This Row],[Year]],Tariff!$CC$4:$CS$4,0))
*(rider=P$11)</f>
        <v>#N/A</v>
      </c>
      <c r="Q61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1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1" s="150" t="e">
        <f ca="1">INDEX(tblRiderCF[[#This Row],[ADD1UnroundedPrem]:[WOP2UnroundedPrem]],MATCH(rider,$K$11:$R$11,0))
*tblRiderCF[[#This Row],[RiderTermFlag]]</f>
        <v>#N/A</v>
      </c>
      <c r="T61" s="150" t="e">
        <f ca="1">tblRiderCF[[#This Row],[UnroundedPrem]]*prem_load</f>
        <v>#N/A</v>
      </c>
      <c r="U61" s="150" t="e">
        <f ca="1">pm_load/1000*tblRiderCF[[#This Row],[SI]]
*tblRiderCF[[#This Row],[RiderTermFlag]]</f>
        <v>#N/A</v>
      </c>
      <c r="V61" s="151" t="e">
        <f ca="1">ROUND(tblRiderCF[[#This Row],[UnroundedPrem]]*V$10,-3)</f>
        <v>#N/A</v>
      </c>
      <c r="W61" t="e">
        <f ca="1">ROUND(tblRiderCF[[#This Row],[UnroundedPremLoad]]*W$10,-3)</f>
        <v>#N/A</v>
      </c>
      <c r="X61" t="e">
        <f ca="1">ROUND(tblRiderCF[[#This Row],[UnroundedPMLoad]]*X$10,-3)</f>
        <v>#N/A</v>
      </c>
      <c r="Y61" t="e">
        <f ca="1">tblRiderCF[[#This Row],[PremLoad]]+tblRiderCF[[#This Row],[PMLoad]]</f>
        <v>#N/A</v>
      </c>
      <c r="Z61" t="e">
        <f ca="1">tblRiderCF[[#This Row],[Prem]]+tblRiderCF[[#This Row],[Load]]</f>
        <v>#N/A</v>
      </c>
      <c r="AA61" t="e">
        <f ca="1">ROUND(tblRiderCF[[#This Row],[UnroundedPrem]]*AA$10,-3)</f>
        <v>#N/A</v>
      </c>
      <c r="AB61" t="e">
        <f ca="1">ROUND(tblRiderCF[[#This Row],[UnroundedPremLoad]]*AB$10,-3)</f>
        <v>#N/A</v>
      </c>
      <c r="AC61" t="e">
        <f ca="1">ROUND(tblRiderCF[[#This Row],[UnroundedPMLoad]]*AC$10,-3)</f>
        <v>#N/A</v>
      </c>
      <c r="AD61" t="e">
        <f ca="1">tblRiderCF[[#This Row],[SemiAnnualPremLoad]]+tblRiderCF[[#This Row],[SemiAnnualPMLoad]]</f>
        <v>#N/A</v>
      </c>
      <c r="AE61" t="e">
        <f ca="1">tblRiderCF[[#This Row],[SemiAnnualPrem]]+tblRiderCF[[#This Row],[SemiAnnualLoad]]</f>
        <v>#N/A</v>
      </c>
      <c r="AF61" t="e">
        <f ca="1">ROUND(tblRiderCF[[#This Row],[UnroundedPrem]]*AF$10,-3)</f>
        <v>#N/A</v>
      </c>
      <c r="AG61" t="e">
        <f ca="1">ROUND(tblRiderCF[[#This Row],[UnroundedPremLoad]]*AG$10,-3)</f>
        <v>#N/A</v>
      </c>
      <c r="AH61" t="e">
        <f ca="1">ROUND(tblRiderCF[[#This Row],[UnroundedPMLoad]]*AH$10,-3)</f>
        <v>#N/A</v>
      </c>
      <c r="AI61" t="e">
        <f ca="1">tblRiderCF[[#This Row],[QuarterlyPremLoad]]+tblRiderCF[[#This Row],[QuarterlyPMLoad]]</f>
        <v>#N/A</v>
      </c>
      <c r="AJ61" t="e">
        <f ca="1">tblRiderCF[[#This Row],[QuarterlyPrem]]+tblRiderCF[[#This Row],[QuarterlyLoad]]</f>
        <v>#N/A</v>
      </c>
      <c r="AK61" t="e">
        <f ca="1">ROUND(tblRiderCF[[#This Row],[UnroundedPrem]]*AK$10,-3)</f>
        <v>#N/A</v>
      </c>
      <c r="AL61" t="e">
        <f ca="1">ROUND(tblRiderCF[[#This Row],[UnroundedPremLoad]]*AL$10,-3)</f>
        <v>#N/A</v>
      </c>
      <c r="AM61" t="e">
        <f ca="1">ROUND(tblRiderCF[[#This Row],[UnroundedPMLoad]]*AM$10,-3)</f>
        <v>#N/A</v>
      </c>
      <c r="AN61" t="e">
        <f ca="1">tblRiderCF[[#This Row],[MonthlyPremLoad]]+tblRiderCF[[#This Row],[MonthlyPMLoad]]</f>
        <v>#N/A</v>
      </c>
      <c r="AO61" t="e">
        <f ca="1">tblRiderCF[[#This Row],[MonthlyPrem]]+tblRiderCF[[#This Row],[MonthlyLoad]]</f>
        <v>#N/A</v>
      </c>
      <c r="AS61">
        <f t="shared" si="6"/>
        <v>0</v>
      </c>
      <c r="AT61">
        <f t="shared" si="7"/>
        <v>0</v>
      </c>
      <c r="AU61">
        <f ca="1">tblRiderCF[[#This Row],[Year]]</f>
        <v>48</v>
      </c>
      <c r="AV61" t="e">
        <f ca="1">tblRiderCF[[#This Row],[Age]]</f>
        <v>#N/A</v>
      </c>
      <c r="AW61">
        <f t="shared" si="2"/>
        <v>0</v>
      </c>
      <c r="AX61" t="e">
        <f t="shared" si="8"/>
        <v>#N/A</v>
      </c>
      <c r="AY61">
        <f t="shared" si="4"/>
        <v>0</v>
      </c>
      <c r="AZ61" s="47" t="e">
        <f ca="1">tblRiderCF[[#This Row],[SI]]</f>
        <v>#N/A</v>
      </c>
      <c r="BA61" t="e">
        <f ca="1">tblRiderCF[[#This Row],[TotalPrem]]</f>
        <v>#N/A</v>
      </c>
      <c r="BB61" t="e">
        <f ca="1">tblRiderCF[[#This Row],[SemiAnnualTotalPrem]]</f>
        <v>#N/A</v>
      </c>
      <c r="BC61" t="e">
        <f ca="1">tblRiderCF[[#This Row],[QuarterlyTotalPrem]]</f>
        <v>#N/A</v>
      </c>
      <c r="BD61" t="e">
        <f ca="1">tblRiderCF[[#This Row],[MonthlyTotalPrem]]</f>
        <v>#N/A</v>
      </c>
      <c r="BG61" t="s">
        <v>135</v>
      </c>
      <c r="BH61" t="s">
        <v>188</v>
      </c>
      <c r="BI61">
        <v>18</v>
      </c>
      <c r="BJ61">
        <v>48</v>
      </c>
      <c r="BK61" t="s">
        <v>483</v>
      </c>
      <c r="BL61">
        <v>44</v>
      </c>
      <c r="BM61">
        <v>0</v>
      </c>
      <c r="BN61">
        <v>250000000</v>
      </c>
      <c r="BO61">
        <v>5606000</v>
      </c>
      <c r="BP61">
        <v>2971000</v>
      </c>
      <c r="BQ61">
        <v>1514000</v>
      </c>
      <c r="BR61">
        <v>505000</v>
      </c>
    </row>
    <row r="62" spans="2:70" x14ac:dyDescent="0.25">
      <c r="B62">
        <f ca="1">OFFSET(tblRiderCF[[#This Row],[Year]],-1,0)+1</f>
        <v>49</v>
      </c>
      <c r="C62" t="e">
        <f ca="1">(tblRiderCF[[#This Row],[Year]]&lt;=term)*1</f>
        <v>#N/A</v>
      </c>
      <c r="D62" t="e">
        <f ca="1">(entry_age+tblRiderCF[[#This Row],[Year]]-1)
*tblRiderCF[[#This Row],[RiderTermFlag]]</f>
        <v>#N/A</v>
      </c>
      <c r="E62" t="e">
        <f ca="1">(risk="Sub-standard")
*tblRiderCF[[#This Row],[RiderTermFlag]]</f>
        <v>#N/A</v>
      </c>
      <c r="F62" t="e">
        <f ca="1">(tblRiderCF[[#This Row],[Year]]&lt;=prem_load_term)
*tblRiderCF[[#This Row],[SubStandardFlag]]</f>
        <v>#N/A</v>
      </c>
      <c r="G62" t="e">
        <f ca="1">(tblRiderCF[[#This Row],[Year]]&lt;=pm_load_term)
*tblRiderCF[[#This Row],[SubStandardFlag]]</f>
        <v>#N/A</v>
      </c>
      <c r="H62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2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2" s="150" t="e" cm="1">
        <f t="array" aca="1" ref="J6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2" s="150" t="e">
        <f ca="1">add_rate*tblRiderCF[[#This Row],[SI]]*(rider=K$11)</f>
        <v>#N/A</v>
      </c>
      <c r="L62" s="150" t="e">
        <f ca="1">INDEX(tblPPDRate[Annualized GPR],MATCH(tblRiderCF[[#This Row],[Age]],tblPPDRate[Min age],1))*tblRiderCF[[#This Row],[SI]]
*(rider=L$11)</f>
        <v>#N/A</v>
      </c>
      <c r="M62" s="150" t="e">
        <f ca="1">INDEX(IF(gender="Male",tblCIR1Rate[Male],tblCIR1Rate[Female]),MATCH(tblRiderCF[[#This Row],[Age]],tblCIR1Rate[Age],0))/1000*tblRiderCF[[#This Row],[SI]]
*(rider=M$11)</f>
        <v>#N/A</v>
      </c>
      <c r="N62" s="150" t="e">
        <f ca="1">INDEX(IF(gender="Male",tblCIR2Rate[Male],tblCIR2Rate[Female]),MATCH(tblRiderCF[[#This Row],[Age]],tblCIR2Rate[Age],0))/1000*tblRiderCF[[#This Row],[SI]]
*(rider=N$11)</f>
        <v>#N/A</v>
      </c>
      <c r="O62" s="150" t="e">
        <f>INDEX(tblHOP2Rate[Premium],MATCH(hop2_option,tblHOP2Rate[Option],0))
*(rider=O$11)</f>
        <v>#N/A</v>
      </c>
      <c r="P62" s="150" t="e">
        <f ca="1">INDEX(Tariff!$CC$5:$CS$44,
MATCH(tblRiderCF[[#This Row],[Age]],Tariff!$CB$5:$CB$44,0),
MATCH(term+1-tblRiderCF[[#This Row],[Year]],Tariff!$CC$4:$CS$4,0))
*(rider=P$11)</f>
        <v>#N/A</v>
      </c>
      <c r="Q62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2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2" s="150" t="e">
        <f ca="1">INDEX(tblRiderCF[[#This Row],[ADD1UnroundedPrem]:[WOP2UnroundedPrem]],MATCH(rider,$K$11:$R$11,0))
*tblRiderCF[[#This Row],[RiderTermFlag]]</f>
        <v>#N/A</v>
      </c>
      <c r="T62" s="150" t="e">
        <f ca="1">tblRiderCF[[#This Row],[UnroundedPrem]]*prem_load</f>
        <v>#N/A</v>
      </c>
      <c r="U62" s="150" t="e">
        <f ca="1">pm_load/1000*tblRiderCF[[#This Row],[SI]]
*tblRiderCF[[#This Row],[RiderTermFlag]]</f>
        <v>#N/A</v>
      </c>
      <c r="V62" s="151" t="e">
        <f ca="1">ROUND(tblRiderCF[[#This Row],[UnroundedPrem]]*V$10,-3)</f>
        <v>#N/A</v>
      </c>
      <c r="W62" t="e">
        <f ca="1">ROUND(tblRiderCF[[#This Row],[UnroundedPremLoad]]*W$10,-3)</f>
        <v>#N/A</v>
      </c>
      <c r="X62" t="e">
        <f ca="1">ROUND(tblRiderCF[[#This Row],[UnroundedPMLoad]]*X$10,-3)</f>
        <v>#N/A</v>
      </c>
      <c r="Y62" t="e">
        <f ca="1">tblRiderCF[[#This Row],[PremLoad]]+tblRiderCF[[#This Row],[PMLoad]]</f>
        <v>#N/A</v>
      </c>
      <c r="Z62" t="e">
        <f ca="1">tblRiderCF[[#This Row],[Prem]]+tblRiderCF[[#This Row],[Load]]</f>
        <v>#N/A</v>
      </c>
      <c r="AA62" t="e">
        <f ca="1">ROUND(tblRiderCF[[#This Row],[UnroundedPrem]]*AA$10,-3)</f>
        <v>#N/A</v>
      </c>
      <c r="AB62" t="e">
        <f ca="1">ROUND(tblRiderCF[[#This Row],[UnroundedPremLoad]]*AB$10,-3)</f>
        <v>#N/A</v>
      </c>
      <c r="AC62" t="e">
        <f ca="1">ROUND(tblRiderCF[[#This Row],[UnroundedPMLoad]]*AC$10,-3)</f>
        <v>#N/A</v>
      </c>
      <c r="AD62" t="e">
        <f ca="1">tblRiderCF[[#This Row],[SemiAnnualPremLoad]]+tblRiderCF[[#This Row],[SemiAnnualPMLoad]]</f>
        <v>#N/A</v>
      </c>
      <c r="AE62" t="e">
        <f ca="1">tblRiderCF[[#This Row],[SemiAnnualPrem]]+tblRiderCF[[#This Row],[SemiAnnualLoad]]</f>
        <v>#N/A</v>
      </c>
      <c r="AF62" t="e">
        <f ca="1">ROUND(tblRiderCF[[#This Row],[UnroundedPrem]]*AF$10,-3)</f>
        <v>#N/A</v>
      </c>
      <c r="AG62" t="e">
        <f ca="1">ROUND(tblRiderCF[[#This Row],[UnroundedPremLoad]]*AG$10,-3)</f>
        <v>#N/A</v>
      </c>
      <c r="AH62" t="e">
        <f ca="1">ROUND(tblRiderCF[[#This Row],[UnroundedPMLoad]]*AH$10,-3)</f>
        <v>#N/A</v>
      </c>
      <c r="AI62" t="e">
        <f ca="1">tblRiderCF[[#This Row],[QuarterlyPremLoad]]+tblRiderCF[[#This Row],[QuarterlyPMLoad]]</f>
        <v>#N/A</v>
      </c>
      <c r="AJ62" t="e">
        <f ca="1">tblRiderCF[[#This Row],[QuarterlyPrem]]+tblRiderCF[[#This Row],[QuarterlyLoad]]</f>
        <v>#N/A</v>
      </c>
      <c r="AK62" t="e">
        <f ca="1">ROUND(tblRiderCF[[#This Row],[UnroundedPrem]]*AK$10,-3)</f>
        <v>#N/A</v>
      </c>
      <c r="AL62" t="e">
        <f ca="1">ROUND(tblRiderCF[[#This Row],[UnroundedPremLoad]]*AL$10,-3)</f>
        <v>#N/A</v>
      </c>
      <c r="AM62" t="e">
        <f ca="1">ROUND(tblRiderCF[[#This Row],[UnroundedPMLoad]]*AM$10,-3)</f>
        <v>#N/A</v>
      </c>
      <c r="AN62" t="e">
        <f ca="1">tblRiderCF[[#This Row],[MonthlyPremLoad]]+tblRiderCF[[#This Row],[MonthlyPMLoad]]</f>
        <v>#N/A</v>
      </c>
      <c r="AO62" t="e">
        <f ca="1">tblRiderCF[[#This Row],[MonthlyPrem]]+tblRiderCF[[#This Row],[MonthlyLoad]]</f>
        <v>#N/A</v>
      </c>
      <c r="AS62">
        <f t="shared" si="6"/>
        <v>0</v>
      </c>
      <c r="AT62">
        <f t="shared" si="7"/>
        <v>0</v>
      </c>
      <c r="AU62">
        <f ca="1">tblRiderCF[[#This Row],[Year]]</f>
        <v>49</v>
      </c>
      <c r="AV62" t="e">
        <f ca="1">tblRiderCF[[#This Row],[Age]]</f>
        <v>#N/A</v>
      </c>
      <c r="AW62">
        <f t="shared" si="2"/>
        <v>0</v>
      </c>
      <c r="AX62" t="e">
        <f t="shared" si="8"/>
        <v>#N/A</v>
      </c>
      <c r="AY62">
        <f t="shared" si="4"/>
        <v>0</v>
      </c>
      <c r="AZ62" s="47" t="e">
        <f ca="1">tblRiderCF[[#This Row],[SI]]</f>
        <v>#N/A</v>
      </c>
      <c r="BA62" t="e">
        <f ca="1">tblRiderCF[[#This Row],[TotalPrem]]</f>
        <v>#N/A</v>
      </c>
      <c r="BB62" t="e">
        <f ca="1">tblRiderCF[[#This Row],[SemiAnnualTotalPrem]]</f>
        <v>#N/A</v>
      </c>
      <c r="BC62" t="e">
        <f ca="1">tblRiderCF[[#This Row],[QuarterlyTotalPrem]]</f>
        <v>#N/A</v>
      </c>
      <c r="BD62" t="e">
        <f ca="1">tblRiderCF[[#This Row],[MonthlyTotalPrem]]</f>
        <v>#N/A</v>
      </c>
      <c r="BG62" t="s">
        <v>135</v>
      </c>
      <c r="BH62" t="s">
        <v>188</v>
      </c>
      <c r="BI62">
        <v>19</v>
      </c>
      <c r="BJ62">
        <v>49</v>
      </c>
      <c r="BK62" t="s">
        <v>483</v>
      </c>
      <c r="BL62">
        <v>44</v>
      </c>
      <c r="BM62">
        <v>0</v>
      </c>
      <c r="BN62">
        <v>250000000</v>
      </c>
      <c r="BO62">
        <v>5960000</v>
      </c>
      <c r="BP62">
        <v>3159000</v>
      </c>
      <c r="BQ62">
        <v>1609000</v>
      </c>
      <c r="BR62">
        <v>537000</v>
      </c>
    </row>
    <row r="63" spans="2:70" x14ac:dyDescent="0.25">
      <c r="B63">
        <f ca="1">OFFSET(tblRiderCF[[#This Row],[Year]],-1,0)+1</f>
        <v>50</v>
      </c>
      <c r="C63" t="e">
        <f ca="1">(tblRiderCF[[#This Row],[Year]]&lt;=term)*1</f>
        <v>#N/A</v>
      </c>
      <c r="D63" t="e">
        <f ca="1">(entry_age+tblRiderCF[[#This Row],[Year]]-1)
*tblRiderCF[[#This Row],[RiderTermFlag]]</f>
        <v>#N/A</v>
      </c>
      <c r="E63" t="e">
        <f ca="1">(risk="Sub-standard")
*tblRiderCF[[#This Row],[RiderTermFlag]]</f>
        <v>#N/A</v>
      </c>
      <c r="F63" t="e">
        <f ca="1">(tblRiderCF[[#This Row],[Year]]&lt;=prem_load_term)
*tblRiderCF[[#This Row],[SubStandardFlag]]</f>
        <v>#N/A</v>
      </c>
      <c r="G63" t="e">
        <f ca="1">(tblRiderCF[[#This Row],[Year]]&lt;=pm_load_term)
*tblRiderCF[[#This Row],[SubStandardFlag]]</f>
        <v>#N/A</v>
      </c>
      <c r="H63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3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3" s="150" t="e" cm="1">
        <f t="array" aca="1" ref="J6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3" s="150" t="e">
        <f ca="1">add_rate*tblRiderCF[[#This Row],[SI]]*(rider=K$11)</f>
        <v>#N/A</v>
      </c>
      <c r="L63" s="150" t="e">
        <f ca="1">INDEX(tblPPDRate[Annualized GPR],MATCH(tblRiderCF[[#This Row],[Age]],tblPPDRate[Min age],1))*tblRiderCF[[#This Row],[SI]]
*(rider=L$11)</f>
        <v>#N/A</v>
      </c>
      <c r="M63" s="150" t="e">
        <f ca="1">INDEX(IF(gender="Male",tblCIR1Rate[Male],tblCIR1Rate[Female]),MATCH(tblRiderCF[[#This Row],[Age]],tblCIR1Rate[Age],0))/1000*tblRiderCF[[#This Row],[SI]]
*(rider=M$11)</f>
        <v>#N/A</v>
      </c>
      <c r="N63" s="150" t="e">
        <f ca="1">INDEX(IF(gender="Male",tblCIR2Rate[Male],tblCIR2Rate[Female]),MATCH(tblRiderCF[[#This Row],[Age]],tblCIR2Rate[Age],0))/1000*tblRiderCF[[#This Row],[SI]]
*(rider=N$11)</f>
        <v>#N/A</v>
      </c>
      <c r="O63" s="150" t="e">
        <f>INDEX(tblHOP2Rate[Premium],MATCH(hop2_option,tblHOP2Rate[Option],0))
*(rider=O$11)</f>
        <v>#N/A</v>
      </c>
      <c r="P63" s="150" t="e">
        <f ca="1">INDEX(Tariff!$CC$5:$CS$44,
MATCH(tblRiderCF[[#This Row],[Age]],Tariff!$CB$5:$CB$44,0),
MATCH(term+1-tblRiderCF[[#This Row],[Year]],Tariff!$CC$4:$CS$4,0))
*(rider=P$11)</f>
        <v>#N/A</v>
      </c>
      <c r="Q63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3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3" s="150" t="e">
        <f ca="1">INDEX(tblRiderCF[[#This Row],[ADD1UnroundedPrem]:[WOP2UnroundedPrem]],MATCH(rider,$K$11:$R$11,0))
*tblRiderCF[[#This Row],[RiderTermFlag]]</f>
        <v>#N/A</v>
      </c>
      <c r="T63" s="150" t="e">
        <f ca="1">tblRiderCF[[#This Row],[UnroundedPrem]]*prem_load</f>
        <v>#N/A</v>
      </c>
      <c r="U63" s="150" t="e">
        <f ca="1">pm_load/1000*tblRiderCF[[#This Row],[SI]]
*tblRiderCF[[#This Row],[RiderTermFlag]]</f>
        <v>#N/A</v>
      </c>
      <c r="V63" s="151" t="e">
        <f ca="1">ROUND(tblRiderCF[[#This Row],[UnroundedPrem]]*V$10,-3)</f>
        <v>#N/A</v>
      </c>
      <c r="W63" t="e">
        <f ca="1">ROUND(tblRiderCF[[#This Row],[UnroundedPremLoad]]*W$10,-3)</f>
        <v>#N/A</v>
      </c>
      <c r="X63" t="e">
        <f ca="1">ROUND(tblRiderCF[[#This Row],[UnroundedPMLoad]]*X$10,-3)</f>
        <v>#N/A</v>
      </c>
      <c r="Y63" t="e">
        <f ca="1">tblRiderCF[[#This Row],[PremLoad]]+tblRiderCF[[#This Row],[PMLoad]]</f>
        <v>#N/A</v>
      </c>
      <c r="Z63" t="e">
        <f ca="1">tblRiderCF[[#This Row],[Prem]]+tblRiderCF[[#This Row],[Load]]</f>
        <v>#N/A</v>
      </c>
      <c r="AA63" t="e">
        <f ca="1">ROUND(tblRiderCF[[#This Row],[UnroundedPrem]]*AA$10,-3)</f>
        <v>#N/A</v>
      </c>
      <c r="AB63" t="e">
        <f ca="1">ROUND(tblRiderCF[[#This Row],[UnroundedPremLoad]]*AB$10,-3)</f>
        <v>#N/A</v>
      </c>
      <c r="AC63" t="e">
        <f ca="1">ROUND(tblRiderCF[[#This Row],[UnroundedPMLoad]]*AC$10,-3)</f>
        <v>#N/A</v>
      </c>
      <c r="AD63" t="e">
        <f ca="1">tblRiderCF[[#This Row],[SemiAnnualPremLoad]]+tblRiderCF[[#This Row],[SemiAnnualPMLoad]]</f>
        <v>#N/A</v>
      </c>
      <c r="AE63" t="e">
        <f ca="1">tblRiderCF[[#This Row],[SemiAnnualPrem]]+tblRiderCF[[#This Row],[SemiAnnualLoad]]</f>
        <v>#N/A</v>
      </c>
      <c r="AF63" t="e">
        <f ca="1">ROUND(tblRiderCF[[#This Row],[UnroundedPrem]]*AF$10,-3)</f>
        <v>#N/A</v>
      </c>
      <c r="AG63" t="e">
        <f ca="1">ROUND(tblRiderCF[[#This Row],[UnroundedPremLoad]]*AG$10,-3)</f>
        <v>#N/A</v>
      </c>
      <c r="AH63" t="e">
        <f ca="1">ROUND(tblRiderCF[[#This Row],[UnroundedPMLoad]]*AH$10,-3)</f>
        <v>#N/A</v>
      </c>
      <c r="AI63" t="e">
        <f ca="1">tblRiderCF[[#This Row],[QuarterlyPremLoad]]+tblRiderCF[[#This Row],[QuarterlyPMLoad]]</f>
        <v>#N/A</v>
      </c>
      <c r="AJ63" t="e">
        <f ca="1">tblRiderCF[[#This Row],[QuarterlyPrem]]+tblRiderCF[[#This Row],[QuarterlyLoad]]</f>
        <v>#N/A</v>
      </c>
      <c r="AK63" t="e">
        <f ca="1">ROUND(tblRiderCF[[#This Row],[UnroundedPrem]]*AK$10,-3)</f>
        <v>#N/A</v>
      </c>
      <c r="AL63" t="e">
        <f ca="1">ROUND(tblRiderCF[[#This Row],[UnroundedPremLoad]]*AL$10,-3)</f>
        <v>#N/A</v>
      </c>
      <c r="AM63" t="e">
        <f ca="1">ROUND(tblRiderCF[[#This Row],[UnroundedPMLoad]]*AM$10,-3)</f>
        <v>#N/A</v>
      </c>
      <c r="AN63" t="e">
        <f ca="1">tblRiderCF[[#This Row],[MonthlyPremLoad]]+tblRiderCF[[#This Row],[MonthlyPMLoad]]</f>
        <v>#N/A</v>
      </c>
      <c r="AO63" t="e">
        <f ca="1">tblRiderCF[[#This Row],[MonthlyPrem]]+tblRiderCF[[#This Row],[MonthlyLoad]]</f>
        <v>#N/A</v>
      </c>
      <c r="AS63">
        <f t="shared" si="6"/>
        <v>0</v>
      </c>
      <c r="AT63">
        <f t="shared" si="7"/>
        <v>0</v>
      </c>
      <c r="AU63">
        <f ca="1">tblRiderCF[[#This Row],[Year]]</f>
        <v>50</v>
      </c>
      <c r="AV63" t="e">
        <f ca="1">tblRiderCF[[#This Row],[Age]]</f>
        <v>#N/A</v>
      </c>
      <c r="AW63">
        <f t="shared" si="2"/>
        <v>0</v>
      </c>
      <c r="AX63" t="e">
        <f t="shared" si="8"/>
        <v>#N/A</v>
      </c>
      <c r="AY63">
        <f t="shared" si="4"/>
        <v>0</v>
      </c>
      <c r="AZ63" s="47" t="e">
        <f ca="1">tblRiderCF[[#This Row],[SI]]</f>
        <v>#N/A</v>
      </c>
      <c r="BA63" t="e">
        <f ca="1">tblRiderCF[[#This Row],[TotalPrem]]</f>
        <v>#N/A</v>
      </c>
      <c r="BB63" t="e">
        <f ca="1">tblRiderCF[[#This Row],[SemiAnnualTotalPrem]]</f>
        <v>#N/A</v>
      </c>
      <c r="BC63" t="e">
        <f ca="1">tblRiderCF[[#This Row],[QuarterlyTotalPrem]]</f>
        <v>#N/A</v>
      </c>
      <c r="BD63" t="e">
        <f ca="1">tblRiderCF[[#This Row],[MonthlyTotalPrem]]</f>
        <v>#N/A</v>
      </c>
      <c r="BG63" t="s">
        <v>135</v>
      </c>
      <c r="BH63" t="s">
        <v>188</v>
      </c>
      <c r="BI63">
        <v>20</v>
      </c>
      <c r="BJ63">
        <v>50</v>
      </c>
      <c r="BK63" t="s">
        <v>483</v>
      </c>
      <c r="BL63">
        <v>44</v>
      </c>
      <c r="BM63">
        <v>0</v>
      </c>
      <c r="BN63">
        <v>250000000</v>
      </c>
      <c r="BO63">
        <v>6341000</v>
      </c>
      <c r="BP63">
        <v>3361000</v>
      </c>
      <c r="BQ63">
        <v>1712000</v>
      </c>
      <c r="BR63">
        <v>570000</v>
      </c>
    </row>
    <row r="64" spans="2:70" x14ac:dyDescent="0.25">
      <c r="B64">
        <f ca="1">OFFSET(tblRiderCF[[#This Row],[Year]],-1,0)+1</f>
        <v>51</v>
      </c>
      <c r="C64" t="e">
        <f ca="1">(tblRiderCF[[#This Row],[Year]]&lt;=term)*1</f>
        <v>#N/A</v>
      </c>
      <c r="D64" t="e">
        <f ca="1">(entry_age+tblRiderCF[[#This Row],[Year]]-1)
*tblRiderCF[[#This Row],[RiderTermFlag]]</f>
        <v>#N/A</v>
      </c>
      <c r="E64" t="e">
        <f ca="1">(risk="Sub-standard")
*tblRiderCF[[#This Row],[RiderTermFlag]]</f>
        <v>#N/A</v>
      </c>
      <c r="F64" t="e">
        <f ca="1">(tblRiderCF[[#This Row],[Year]]&lt;=prem_load_term)
*tblRiderCF[[#This Row],[SubStandardFlag]]</f>
        <v>#N/A</v>
      </c>
      <c r="G64" t="e">
        <f ca="1">(tblRiderCF[[#This Row],[Year]]&lt;=pm_load_term)
*tblRiderCF[[#This Row],[SubStandardFlag]]</f>
        <v>#N/A</v>
      </c>
      <c r="H64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4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4" s="150" t="e" cm="1">
        <f t="array" aca="1" ref="J6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4" s="150" t="e">
        <f ca="1">add_rate*tblRiderCF[[#This Row],[SI]]*(rider=K$11)</f>
        <v>#N/A</v>
      </c>
      <c r="L64" s="150" t="e">
        <f ca="1">INDEX(tblPPDRate[Annualized GPR],MATCH(tblRiderCF[[#This Row],[Age]],tblPPDRate[Min age],1))*tblRiderCF[[#This Row],[SI]]
*(rider=L$11)</f>
        <v>#N/A</v>
      </c>
      <c r="M64" s="150" t="e">
        <f ca="1">INDEX(IF(gender="Male",tblCIR1Rate[Male],tblCIR1Rate[Female]),MATCH(tblRiderCF[[#This Row],[Age]],tblCIR1Rate[Age],0))/1000*tblRiderCF[[#This Row],[SI]]
*(rider=M$11)</f>
        <v>#N/A</v>
      </c>
      <c r="N64" s="150" t="e">
        <f ca="1">INDEX(IF(gender="Male",tblCIR2Rate[Male],tblCIR2Rate[Female]),MATCH(tblRiderCF[[#This Row],[Age]],tblCIR2Rate[Age],0))/1000*tblRiderCF[[#This Row],[SI]]
*(rider=N$11)</f>
        <v>#N/A</v>
      </c>
      <c r="O64" s="150" t="e">
        <f>INDEX(tblHOP2Rate[Premium],MATCH(hop2_option,tblHOP2Rate[Option],0))
*(rider=O$11)</f>
        <v>#N/A</v>
      </c>
      <c r="P64" s="150" t="e">
        <f ca="1">INDEX(Tariff!$CC$5:$CS$44,
MATCH(tblRiderCF[[#This Row],[Age]],Tariff!$CB$5:$CB$44,0),
MATCH(term+1-tblRiderCF[[#This Row],[Year]],Tariff!$CC$4:$CS$4,0))
*(rider=P$11)</f>
        <v>#N/A</v>
      </c>
      <c r="Q64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4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4" s="150" t="e">
        <f ca="1">INDEX(tblRiderCF[[#This Row],[ADD1UnroundedPrem]:[WOP2UnroundedPrem]],MATCH(rider,$K$11:$R$11,0))
*tblRiderCF[[#This Row],[RiderTermFlag]]</f>
        <v>#N/A</v>
      </c>
      <c r="T64" s="150" t="e">
        <f ca="1">tblRiderCF[[#This Row],[UnroundedPrem]]*prem_load</f>
        <v>#N/A</v>
      </c>
      <c r="U64" s="150" t="e">
        <f ca="1">pm_load/1000*tblRiderCF[[#This Row],[SI]]
*tblRiderCF[[#This Row],[RiderTermFlag]]</f>
        <v>#N/A</v>
      </c>
      <c r="V64" s="151" t="e">
        <f ca="1">ROUND(tblRiderCF[[#This Row],[UnroundedPrem]]*V$10,-3)</f>
        <v>#N/A</v>
      </c>
      <c r="W64" t="e">
        <f ca="1">ROUND(tblRiderCF[[#This Row],[UnroundedPremLoad]]*W$10,-3)</f>
        <v>#N/A</v>
      </c>
      <c r="X64" t="e">
        <f ca="1">ROUND(tblRiderCF[[#This Row],[UnroundedPMLoad]]*X$10,-3)</f>
        <v>#N/A</v>
      </c>
      <c r="Y64" t="e">
        <f ca="1">tblRiderCF[[#This Row],[PremLoad]]+tblRiderCF[[#This Row],[PMLoad]]</f>
        <v>#N/A</v>
      </c>
      <c r="Z64" t="e">
        <f ca="1">tblRiderCF[[#This Row],[Prem]]+tblRiderCF[[#This Row],[Load]]</f>
        <v>#N/A</v>
      </c>
      <c r="AA64" t="e">
        <f ca="1">ROUND(tblRiderCF[[#This Row],[UnroundedPrem]]*AA$10,-3)</f>
        <v>#N/A</v>
      </c>
      <c r="AB64" t="e">
        <f ca="1">ROUND(tblRiderCF[[#This Row],[UnroundedPremLoad]]*AB$10,-3)</f>
        <v>#N/A</v>
      </c>
      <c r="AC64" t="e">
        <f ca="1">ROUND(tblRiderCF[[#This Row],[UnroundedPMLoad]]*AC$10,-3)</f>
        <v>#N/A</v>
      </c>
      <c r="AD64" t="e">
        <f ca="1">tblRiderCF[[#This Row],[SemiAnnualPremLoad]]+tblRiderCF[[#This Row],[SemiAnnualPMLoad]]</f>
        <v>#N/A</v>
      </c>
      <c r="AE64" t="e">
        <f ca="1">tblRiderCF[[#This Row],[SemiAnnualPrem]]+tblRiderCF[[#This Row],[SemiAnnualLoad]]</f>
        <v>#N/A</v>
      </c>
      <c r="AF64" t="e">
        <f ca="1">ROUND(tblRiderCF[[#This Row],[UnroundedPrem]]*AF$10,-3)</f>
        <v>#N/A</v>
      </c>
      <c r="AG64" t="e">
        <f ca="1">ROUND(tblRiderCF[[#This Row],[UnroundedPremLoad]]*AG$10,-3)</f>
        <v>#N/A</v>
      </c>
      <c r="AH64" t="e">
        <f ca="1">ROUND(tblRiderCF[[#This Row],[UnroundedPMLoad]]*AH$10,-3)</f>
        <v>#N/A</v>
      </c>
      <c r="AI64" t="e">
        <f ca="1">tblRiderCF[[#This Row],[QuarterlyPremLoad]]+tblRiderCF[[#This Row],[QuarterlyPMLoad]]</f>
        <v>#N/A</v>
      </c>
      <c r="AJ64" t="e">
        <f ca="1">tblRiderCF[[#This Row],[QuarterlyPrem]]+tblRiderCF[[#This Row],[QuarterlyLoad]]</f>
        <v>#N/A</v>
      </c>
      <c r="AK64" t="e">
        <f ca="1">ROUND(tblRiderCF[[#This Row],[UnroundedPrem]]*AK$10,-3)</f>
        <v>#N/A</v>
      </c>
      <c r="AL64" t="e">
        <f ca="1">ROUND(tblRiderCF[[#This Row],[UnroundedPremLoad]]*AL$10,-3)</f>
        <v>#N/A</v>
      </c>
      <c r="AM64" t="e">
        <f ca="1">ROUND(tblRiderCF[[#This Row],[UnroundedPMLoad]]*AM$10,-3)</f>
        <v>#N/A</v>
      </c>
      <c r="AN64" t="e">
        <f ca="1">tblRiderCF[[#This Row],[MonthlyPremLoad]]+tblRiderCF[[#This Row],[MonthlyPMLoad]]</f>
        <v>#N/A</v>
      </c>
      <c r="AO64" t="e">
        <f ca="1">tblRiderCF[[#This Row],[MonthlyPrem]]+tblRiderCF[[#This Row],[MonthlyLoad]]</f>
        <v>#N/A</v>
      </c>
      <c r="AS64">
        <f t="shared" si="6"/>
        <v>0</v>
      </c>
      <c r="AT64">
        <f t="shared" si="7"/>
        <v>0</v>
      </c>
      <c r="AU64">
        <f ca="1">tblRiderCF[[#This Row],[Year]]</f>
        <v>51</v>
      </c>
      <c r="AV64" t="e">
        <f ca="1">tblRiderCF[[#This Row],[Age]]</f>
        <v>#N/A</v>
      </c>
      <c r="AW64">
        <f t="shared" si="2"/>
        <v>0</v>
      </c>
      <c r="AX64" t="e">
        <f t="shared" si="8"/>
        <v>#N/A</v>
      </c>
      <c r="AY64">
        <f t="shared" si="4"/>
        <v>0</v>
      </c>
      <c r="AZ64" s="47" t="e">
        <f ca="1">tblRiderCF[[#This Row],[SI]]</f>
        <v>#N/A</v>
      </c>
      <c r="BA64" t="e">
        <f ca="1">tblRiderCF[[#This Row],[TotalPrem]]</f>
        <v>#N/A</v>
      </c>
      <c r="BB64" t="e">
        <f ca="1">tblRiderCF[[#This Row],[SemiAnnualTotalPrem]]</f>
        <v>#N/A</v>
      </c>
      <c r="BC64" t="e">
        <f ca="1">tblRiderCF[[#This Row],[QuarterlyTotalPrem]]</f>
        <v>#N/A</v>
      </c>
      <c r="BD64" t="e">
        <f ca="1">tblRiderCF[[#This Row],[MonthlyTotalPrem]]</f>
        <v>#N/A</v>
      </c>
      <c r="BG64" t="s">
        <v>135</v>
      </c>
      <c r="BH64" t="s">
        <v>188</v>
      </c>
      <c r="BI64">
        <v>21</v>
      </c>
      <c r="BJ64">
        <v>51</v>
      </c>
      <c r="BK64" t="s">
        <v>483</v>
      </c>
      <c r="BL64">
        <v>44</v>
      </c>
      <c r="BM64">
        <v>0</v>
      </c>
      <c r="BN64">
        <v>250000000</v>
      </c>
      <c r="BO64">
        <v>6691000</v>
      </c>
      <c r="BP64">
        <v>3546000</v>
      </c>
      <c r="BQ64">
        <v>1806000</v>
      </c>
      <c r="BR64">
        <v>602000</v>
      </c>
    </row>
    <row r="65" spans="2:70" x14ac:dyDescent="0.25">
      <c r="B65">
        <f ca="1">OFFSET(tblRiderCF[[#This Row],[Year]],-1,0)+1</f>
        <v>52</v>
      </c>
      <c r="C65" t="e">
        <f ca="1">(tblRiderCF[[#This Row],[Year]]&lt;=term)*1</f>
        <v>#N/A</v>
      </c>
      <c r="D65" t="e">
        <f ca="1">(entry_age+tblRiderCF[[#This Row],[Year]]-1)
*tblRiderCF[[#This Row],[RiderTermFlag]]</f>
        <v>#N/A</v>
      </c>
      <c r="E65" t="e">
        <f ca="1">(risk="Sub-standard")
*tblRiderCF[[#This Row],[RiderTermFlag]]</f>
        <v>#N/A</v>
      </c>
      <c r="F65" t="e">
        <f ca="1">(tblRiderCF[[#This Row],[Year]]&lt;=prem_load_term)
*tblRiderCF[[#This Row],[SubStandardFlag]]</f>
        <v>#N/A</v>
      </c>
      <c r="G65" t="e">
        <f ca="1">(tblRiderCF[[#This Row],[Year]]&lt;=pm_load_term)
*tblRiderCF[[#This Row],[SubStandardFlag]]</f>
        <v>#N/A</v>
      </c>
      <c r="H65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5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5" s="150" t="e" cm="1">
        <f t="array" aca="1" ref="J6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5" s="150" t="e">
        <f ca="1">add_rate*tblRiderCF[[#This Row],[SI]]*(rider=K$11)</f>
        <v>#N/A</v>
      </c>
      <c r="L65" s="150" t="e">
        <f ca="1">INDEX(tblPPDRate[Annualized GPR],MATCH(tblRiderCF[[#This Row],[Age]],tblPPDRate[Min age],1))*tblRiderCF[[#This Row],[SI]]
*(rider=L$11)</f>
        <v>#N/A</v>
      </c>
      <c r="M65" s="150" t="e">
        <f ca="1">INDEX(IF(gender="Male",tblCIR1Rate[Male],tblCIR1Rate[Female]),MATCH(tblRiderCF[[#This Row],[Age]],tblCIR1Rate[Age],0))/1000*tblRiderCF[[#This Row],[SI]]
*(rider=M$11)</f>
        <v>#N/A</v>
      </c>
      <c r="N65" s="150" t="e">
        <f ca="1">INDEX(IF(gender="Male",tblCIR2Rate[Male],tblCIR2Rate[Female]),MATCH(tblRiderCF[[#This Row],[Age]],tblCIR2Rate[Age],0))/1000*tblRiderCF[[#This Row],[SI]]
*(rider=N$11)</f>
        <v>#N/A</v>
      </c>
      <c r="O65" s="150" t="e">
        <f>INDEX(tblHOP2Rate[Premium],MATCH(hop2_option,tblHOP2Rate[Option],0))
*(rider=O$11)</f>
        <v>#N/A</v>
      </c>
      <c r="P65" s="150" t="e">
        <f ca="1">INDEX(Tariff!$CC$5:$CS$44,
MATCH(tblRiderCF[[#This Row],[Age]],Tariff!$CB$5:$CB$44,0),
MATCH(term+1-tblRiderCF[[#This Row],[Year]],Tariff!$CC$4:$CS$4,0))
*(rider=P$11)</f>
        <v>#N/A</v>
      </c>
      <c r="Q65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5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5" s="150" t="e">
        <f ca="1">INDEX(tblRiderCF[[#This Row],[ADD1UnroundedPrem]:[WOP2UnroundedPrem]],MATCH(rider,$K$11:$R$11,0))
*tblRiderCF[[#This Row],[RiderTermFlag]]</f>
        <v>#N/A</v>
      </c>
      <c r="T65" s="150" t="e">
        <f ca="1">tblRiderCF[[#This Row],[UnroundedPrem]]*prem_load</f>
        <v>#N/A</v>
      </c>
      <c r="U65" s="150" t="e">
        <f ca="1">pm_load/1000*tblRiderCF[[#This Row],[SI]]
*tblRiderCF[[#This Row],[RiderTermFlag]]</f>
        <v>#N/A</v>
      </c>
      <c r="V65" s="151" t="e">
        <f ca="1">ROUND(tblRiderCF[[#This Row],[UnroundedPrem]]*V$10,-3)</f>
        <v>#N/A</v>
      </c>
      <c r="W65" t="e">
        <f ca="1">ROUND(tblRiderCF[[#This Row],[UnroundedPremLoad]]*W$10,-3)</f>
        <v>#N/A</v>
      </c>
      <c r="X65" t="e">
        <f ca="1">ROUND(tblRiderCF[[#This Row],[UnroundedPMLoad]]*X$10,-3)</f>
        <v>#N/A</v>
      </c>
      <c r="Y65" t="e">
        <f ca="1">tblRiderCF[[#This Row],[PremLoad]]+tblRiderCF[[#This Row],[PMLoad]]</f>
        <v>#N/A</v>
      </c>
      <c r="Z65" t="e">
        <f ca="1">tblRiderCF[[#This Row],[Prem]]+tblRiderCF[[#This Row],[Load]]</f>
        <v>#N/A</v>
      </c>
      <c r="AA65" t="e">
        <f ca="1">ROUND(tblRiderCF[[#This Row],[UnroundedPrem]]*AA$10,-3)</f>
        <v>#N/A</v>
      </c>
      <c r="AB65" t="e">
        <f ca="1">ROUND(tblRiderCF[[#This Row],[UnroundedPremLoad]]*AB$10,-3)</f>
        <v>#N/A</v>
      </c>
      <c r="AC65" t="e">
        <f ca="1">ROUND(tblRiderCF[[#This Row],[UnroundedPMLoad]]*AC$10,-3)</f>
        <v>#N/A</v>
      </c>
      <c r="AD65" t="e">
        <f ca="1">tblRiderCF[[#This Row],[SemiAnnualPremLoad]]+tblRiderCF[[#This Row],[SemiAnnualPMLoad]]</f>
        <v>#N/A</v>
      </c>
      <c r="AE65" t="e">
        <f ca="1">tblRiderCF[[#This Row],[SemiAnnualPrem]]+tblRiderCF[[#This Row],[SemiAnnualLoad]]</f>
        <v>#N/A</v>
      </c>
      <c r="AF65" t="e">
        <f ca="1">ROUND(tblRiderCF[[#This Row],[UnroundedPrem]]*AF$10,-3)</f>
        <v>#N/A</v>
      </c>
      <c r="AG65" t="e">
        <f ca="1">ROUND(tblRiderCF[[#This Row],[UnroundedPremLoad]]*AG$10,-3)</f>
        <v>#N/A</v>
      </c>
      <c r="AH65" t="e">
        <f ca="1">ROUND(tblRiderCF[[#This Row],[UnroundedPMLoad]]*AH$10,-3)</f>
        <v>#N/A</v>
      </c>
      <c r="AI65" t="e">
        <f ca="1">tblRiderCF[[#This Row],[QuarterlyPremLoad]]+tblRiderCF[[#This Row],[QuarterlyPMLoad]]</f>
        <v>#N/A</v>
      </c>
      <c r="AJ65" t="e">
        <f ca="1">tblRiderCF[[#This Row],[QuarterlyPrem]]+tblRiderCF[[#This Row],[QuarterlyLoad]]</f>
        <v>#N/A</v>
      </c>
      <c r="AK65" t="e">
        <f ca="1">ROUND(tblRiderCF[[#This Row],[UnroundedPrem]]*AK$10,-3)</f>
        <v>#N/A</v>
      </c>
      <c r="AL65" t="e">
        <f ca="1">ROUND(tblRiderCF[[#This Row],[UnroundedPremLoad]]*AL$10,-3)</f>
        <v>#N/A</v>
      </c>
      <c r="AM65" t="e">
        <f ca="1">ROUND(tblRiderCF[[#This Row],[UnroundedPMLoad]]*AM$10,-3)</f>
        <v>#N/A</v>
      </c>
      <c r="AN65" t="e">
        <f ca="1">tblRiderCF[[#This Row],[MonthlyPremLoad]]+tblRiderCF[[#This Row],[MonthlyPMLoad]]</f>
        <v>#N/A</v>
      </c>
      <c r="AO65" t="e">
        <f ca="1">tblRiderCF[[#This Row],[MonthlyPrem]]+tblRiderCF[[#This Row],[MonthlyLoad]]</f>
        <v>#N/A</v>
      </c>
      <c r="AS65">
        <f t="shared" si="6"/>
        <v>0</v>
      </c>
      <c r="AT65">
        <f t="shared" si="7"/>
        <v>0</v>
      </c>
      <c r="AU65">
        <f ca="1">tblRiderCF[[#This Row],[Year]]</f>
        <v>52</v>
      </c>
      <c r="AV65" t="e">
        <f ca="1">tblRiderCF[[#This Row],[Age]]</f>
        <v>#N/A</v>
      </c>
      <c r="AW65">
        <f t="shared" si="2"/>
        <v>0</v>
      </c>
      <c r="AX65" t="e">
        <f t="shared" si="8"/>
        <v>#N/A</v>
      </c>
      <c r="AY65">
        <f t="shared" si="4"/>
        <v>0</v>
      </c>
      <c r="AZ65" s="47" t="e">
        <f ca="1">tblRiderCF[[#This Row],[SI]]</f>
        <v>#N/A</v>
      </c>
      <c r="BA65" t="e">
        <f ca="1">tblRiderCF[[#This Row],[TotalPrem]]</f>
        <v>#N/A</v>
      </c>
      <c r="BB65" t="e">
        <f ca="1">tblRiderCF[[#This Row],[SemiAnnualTotalPrem]]</f>
        <v>#N/A</v>
      </c>
      <c r="BC65" t="e">
        <f ca="1">tblRiderCF[[#This Row],[QuarterlyTotalPrem]]</f>
        <v>#N/A</v>
      </c>
      <c r="BD65" t="e">
        <f ca="1">tblRiderCF[[#This Row],[MonthlyTotalPrem]]</f>
        <v>#N/A</v>
      </c>
      <c r="BG65" t="s">
        <v>135</v>
      </c>
      <c r="BH65" t="s">
        <v>188</v>
      </c>
      <c r="BI65">
        <v>22</v>
      </c>
      <c r="BJ65">
        <v>52</v>
      </c>
      <c r="BK65" t="s">
        <v>483</v>
      </c>
      <c r="BL65">
        <v>44</v>
      </c>
      <c r="BM65">
        <v>0</v>
      </c>
      <c r="BN65">
        <v>250000000</v>
      </c>
      <c r="BO65">
        <v>7054000</v>
      </c>
      <c r="BP65">
        <v>3739000</v>
      </c>
      <c r="BQ65">
        <v>1904000</v>
      </c>
      <c r="BR65">
        <v>635000</v>
      </c>
    </row>
    <row r="66" spans="2:70" x14ac:dyDescent="0.25">
      <c r="B66">
        <f ca="1">OFFSET(tblRiderCF[[#This Row],[Year]],-1,0)+1</f>
        <v>53</v>
      </c>
      <c r="C66" t="e">
        <f ca="1">(tblRiderCF[[#This Row],[Year]]&lt;=term)*1</f>
        <v>#N/A</v>
      </c>
      <c r="D66" t="e">
        <f ca="1">(entry_age+tblRiderCF[[#This Row],[Year]]-1)
*tblRiderCF[[#This Row],[RiderTermFlag]]</f>
        <v>#N/A</v>
      </c>
      <c r="E66" t="e">
        <f ca="1">(risk="Sub-standard")
*tblRiderCF[[#This Row],[RiderTermFlag]]</f>
        <v>#N/A</v>
      </c>
      <c r="F66" t="e">
        <f ca="1">(tblRiderCF[[#This Row],[Year]]&lt;=prem_load_term)
*tblRiderCF[[#This Row],[SubStandardFlag]]</f>
        <v>#N/A</v>
      </c>
      <c r="G66" t="e">
        <f ca="1">(tblRiderCF[[#This Row],[Year]]&lt;=pm_load_term)
*tblRiderCF[[#This Row],[SubStandardFlag]]</f>
        <v>#N/A</v>
      </c>
      <c r="H66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6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6" s="150" t="e" cm="1">
        <f t="array" aca="1" ref="J6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6" s="150" t="e">
        <f ca="1">add_rate*tblRiderCF[[#This Row],[SI]]*(rider=K$11)</f>
        <v>#N/A</v>
      </c>
      <c r="L66" s="150" t="e">
        <f ca="1">INDEX(tblPPDRate[Annualized GPR],MATCH(tblRiderCF[[#This Row],[Age]],tblPPDRate[Min age],1))*tblRiderCF[[#This Row],[SI]]
*(rider=L$11)</f>
        <v>#N/A</v>
      </c>
      <c r="M66" s="150" t="e">
        <f ca="1">INDEX(IF(gender="Male",tblCIR1Rate[Male],tblCIR1Rate[Female]),MATCH(tblRiderCF[[#This Row],[Age]],tblCIR1Rate[Age],0))/1000*tblRiderCF[[#This Row],[SI]]
*(rider=M$11)</f>
        <v>#N/A</v>
      </c>
      <c r="N66" s="150" t="e">
        <f ca="1">INDEX(IF(gender="Male",tblCIR2Rate[Male],tblCIR2Rate[Female]),MATCH(tblRiderCF[[#This Row],[Age]],tblCIR2Rate[Age],0))/1000*tblRiderCF[[#This Row],[SI]]
*(rider=N$11)</f>
        <v>#N/A</v>
      </c>
      <c r="O66" s="150" t="e">
        <f>INDEX(tblHOP2Rate[Premium],MATCH(hop2_option,tblHOP2Rate[Option],0))
*(rider=O$11)</f>
        <v>#N/A</v>
      </c>
      <c r="P66" s="150" t="e">
        <f ca="1">INDEX(Tariff!$CC$5:$CS$44,
MATCH(tblRiderCF[[#This Row],[Age]],Tariff!$CB$5:$CB$44,0),
MATCH(term+1-tblRiderCF[[#This Row],[Year]],Tariff!$CC$4:$CS$4,0))
*(rider=P$11)</f>
        <v>#N/A</v>
      </c>
      <c r="Q66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6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6" s="150" t="e">
        <f ca="1">INDEX(tblRiderCF[[#This Row],[ADD1UnroundedPrem]:[WOP2UnroundedPrem]],MATCH(rider,$K$11:$R$11,0))
*tblRiderCF[[#This Row],[RiderTermFlag]]</f>
        <v>#N/A</v>
      </c>
      <c r="T66" s="150" t="e">
        <f ca="1">tblRiderCF[[#This Row],[UnroundedPrem]]*prem_load</f>
        <v>#N/A</v>
      </c>
      <c r="U66" s="150" t="e">
        <f ca="1">pm_load/1000*tblRiderCF[[#This Row],[SI]]
*tblRiderCF[[#This Row],[RiderTermFlag]]</f>
        <v>#N/A</v>
      </c>
      <c r="V66" s="151" t="e">
        <f ca="1">ROUND(tblRiderCF[[#This Row],[UnroundedPrem]]*V$10,-3)</f>
        <v>#N/A</v>
      </c>
      <c r="W66" t="e">
        <f ca="1">ROUND(tblRiderCF[[#This Row],[UnroundedPremLoad]]*W$10,-3)</f>
        <v>#N/A</v>
      </c>
      <c r="X66" t="e">
        <f ca="1">ROUND(tblRiderCF[[#This Row],[UnroundedPMLoad]]*X$10,-3)</f>
        <v>#N/A</v>
      </c>
      <c r="Y66" t="e">
        <f ca="1">tblRiderCF[[#This Row],[PremLoad]]+tblRiderCF[[#This Row],[PMLoad]]</f>
        <v>#N/A</v>
      </c>
      <c r="Z66" t="e">
        <f ca="1">tblRiderCF[[#This Row],[Prem]]+tblRiderCF[[#This Row],[Load]]</f>
        <v>#N/A</v>
      </c>
      <c r="AA66" t="e">
        <f ca="1">ROUND(tblRiderCF[[#This Row],[UnroundedPrem]]*AA$10,-3)</f>
        <v>#N/A</v>
      </c>
      <c r="AB66" t="e">
        <f ca="1">ROUND(tblRiderCF[[#This Row],[UnroundedPremLoad]]*AB$10,-3)</f>
        <v>#N/A</v>
      </c>
      <c r="AC66" t="e">
        <f ca="1">ROUND(tblRiderCF[[#This Row],[UnroundedPMLoad]]*AC$10,-3)</f>
        <v>#N/A</v>
      </c>
      <c r="AD66" t="e">
        <f ca="1">tblRiderCF[[#This Row],[SemiAnnualPremLoad]]+tblRiderCF[[#This Row],[SemiAnnualPMLoad]]</f>
        <v>#N/A</v>
      </c>
      <c r="AE66" t="e">
        <f ca="1">tblRiderCF[[#This Row],[SemiAnnualPrem]]+tblRiderCF[[#This Row],[SemiAnnualLoad]]</f>
        <v>#N/A</v>
      </c>
      <c r="AF66" t="e">
        <f ca="1">ROUND(tblRiderCF[[#This Row],[UnroundedPrem]]*AF$10,-3)</f>
        <v>#N/A</v>
      </c>
      <c r="AG66" t="e">
        <f ca="1">ROUND(tblRiderCF[[#This Row],[UnroundedPremLoad]]*AG$10,-3)</f>
        <v>#N/A</v>
      </c>
      <c r="AH66" t="e">
        <f ca="1">ROUND(tblRiderCF[[#This Row],[UnroundedPMLoad]]*AH$10,-3)</f>
        <v>#N/A</v>
      </c>
      <c r="AI66" t="e">
        <f ca="1">tblRiderCF[[#This Row],[QuarterlyPremLoad]]+tblRiderCF[[#This Row],[QuarterlyPMLoad]]</f>
        <v>#N/A</v>
      </c>
      <c r="AJ66" t="e">
        <f ca="1">tblRiderCF[[#This Row],[QuarterlyPrem]]+tblRiderCF[[#This Row],[QuarterlyLoad]]</f>
        <v>#N/A</v>
      </c>
      <c r="AK66" t="e">
        <f ca="1">ROUND(tblRiderCF[[#This Row],[UnroundedPrem]]*AK$10,-3)</f>
        <v>#N/A</v>
      </c>
      <c r="AL66" t="e">
        <f ca="1">ROUND(tblRiderCF[[#This Row],[UnroundedPremLoad]]*AL$10,-3)</f>
        <v>#N/A</v>
      </c>
      <c r="AM66" t="e">
        <f ca="1">ROUND(tblRiderCF[[#This Row],[UnroundedPMLoad]]*AM$10,-3)</f>
        <v>#N/A</v>
      </c>
      <c r="AN66" t="e">
        <f ca="1">tblRiderCF[[#This Row],[MonthlyPremLoad]]+tblRiderCF[[#This Row],[MonthlyPMLoad]]</f>
        <v>#N/A</v>
      </c>
      <c r="AO66" t="e">
        <f ca="1">tblRiderCF[[#This Row],[MonthlyPrem]]+tblRiderCF[[#This Row],[MonthlyLoad]]</f>
        <v>#N/A</v>
      </c>
      <c r="AS66">
        <f t="shared" si="6"/>
        <v>0</v>
      </c>
      <c r="AT66">
        <f t="shared" si="7"/>
        <v>0</v>
      </c>
      <c r="AU66">
        <f ca="1">tblRiderCF[[#This Row],[Year]]</f>
        <v>53</v>
      </c>
      <c r="AV66" t="e">
        <f ca="1">tblRiderCF[[#This Row],[Age]]</f>
        <v>#N/A</v>
      </c>
      <c r="AW66">
        <f t="shared" si="2"/>
        <v>0</v>
      </c>
      <c r="AX66" t="e">
        <f t="shared" si="8"/>
        <v>#N/A</v>
      </c>
      <c r="AY66">
        <f t="shared" si="4"/>
        <v>0</v>
      </c>
      <c r="AZ66" s="47" t="e">
        <f ca="1">tblRiderCF[[#This Row],[SI]]</f>
        <v>#N/A</v>
      </c>
      <c r="BA66" t="e">
        <f ca="1">tblRiderCF[[#This Row],[TotalPrem]]</f>
        <v>#N/A</v>
      </c>
      <c r="BB66" t="e">
        <f ca="1">tblRiderCF[[#This Row],[SemiAnnualTotalPrem]]</f>
        <v>#N/A</v>
      </c>
      <c r="BC66" t="e">
        <f ca="1">tblRiderCF[[#This Row],[QuarterlyTotalPrem]]</f>
        <v>#N/A</v>
      </c>
      <c r="BD66" t="e">
        <f ca="1">tblRiderCF[[#This Row],[MonthlyTotalPrem]]</f>
        <v>#N/A</v>
      </c>
      <c r="BG66" t="s">
        <v>135</v>
      </c>
      <c r="BH66" t="s">
        <v>188</v>
      </c>
      <c r="BI66">
        <v>23</v>
      </c>
      <c r="BJ66">
        <v>53</v>
      </c>
      <c r="BK66" t="s">
        <v>483</v>
      </c>
      <c r="BL66">
        <v>44</v>
      </c>
      <c r="BM66">
        <v>0</v>
      </c>
      <c r="BN66">
        <v>250000000</v>
      </c>
      <c r="BO66">
        <v>7470000</v>
      </c>
      <c r="BP66">
        <v>3959000</v>
      </c>
      <c r="BQ66">
        <v>2016000</v>
      </c>
      <c r="BR66">
        <v>672000</v>
      </c>
    </row>
    <row r="67" spans="2:70" x14ac:dyDescent="0.25">
      <c r="B67">
        <f ca="1">OFFSET(tblRiderCF[[#This Row],[Year]],-1,0)+1</f>
        <v>54</v>
      </c>
      <c r="C67" t="e">
        <f ca="1">(tblRiderCF[[#This Row],[Year]]&lt;=term)*1</f>
        <v>#N/A</v>
      </c>
      <c r="D67" t="e">
        <f ca="1">(entry_age+tblRiderCF[[#This Row],[Year]]-1)
*tblRiderCF[[#This Row],[RiderTermFlag]]</f>
        <v>#N/A</v>
      </c>
      <c r="E67" t="e">
        <f ca="1">(risk="Sub-standard")
*tblRiderCF[[#This Row],[RiderTermFlag]]</f>
        <v>#N/A</v>
      </c>
      <c r="F67" t="e">
        <f ca="1">(tblRiderCF[[#This Row],[Year]]&lt;=prem_load_term)
*tblRiderCF[[#This Row],[SubStandardFlag]]</f>
        <v>#N/A</v>
      </c>
      <c r="G67" t="e">
        <f ca="1">(tblRiderCF[[#This Row],[Year]]&lt;=pm_load_term)
*tblRiderCF[[#This Row],[SubStandardFlag]]</f>
        <v>#N/A</v>
      </c>
      <c r="H67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7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7" s="150" t="e" cm="1">
        <f t="array" aca="1" ref="J6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7" s="150" t="e">
        <f ca="1">add_rate*tblRiderCF[[#This Row],[SI]]*(rider=K$11)</f>
        <v>#N/A</v>
      </c>
      <c r="L67" s="150" t="e">
        <f ca="1">INDEX(tblPPDRate[Annualized GPR],MATCH(tblRiderCF[[#This Row],[Age]],tblPPDRate[Min age],1))*tblRiderCF[[#This Row],[SI]]
*(rider=L$11)</f>
        <v>#N/A</v>
      </c>
      <c r="M67" s="150" t="e">
        <f ca="1">INDEX(IF(gender="Male",tblCIR1Rate[Male],tblCIR1Rate[Female]),MATCH(tblRiderCF[[#This Row],[Age]],tblCIR1Rate[Age],0))/1000*tblRiderCF[[#This Row],[SI]]
*(rider=M$11)</f>
        <v>#N/A</v>
      </c>
      <c r="N67" s="150" t="e">
        <f ca="1">INDEX(IF(gender="Male",tblCIR2Rate[Male],tblCIR2Rate[Female]),MATCH(tblRiderCF[[#This Row],[Age]],tblCIR2Rate[Age],0))/1000*tblRiderCF[[#This Row],[SI]]
*(rider=N$11)</f>
        <v>#N/A</v>
      </c>
      <c r="O67" s="150" t="e">
        <f>INDEX(tblHOP2Rate[Premium],MATCH(hop2_option,tblHOP2Rate[Option],0))
*(rider=O$11)</f>
        <v>#N/A</v>
      </c>
      <c r="P67" s="150" t="e">
        <f ca="1">INDEX(Tariff!$CC$5:$CS$44,
MATCH(tblRiderCF[[#This Row],[Age]],Tariff!$CB$5:$CB$44,0),
MATCH(term+1-tblRiderCF[[#This Row],[Year]],Tariff!$CC$4:$CS$4,0))
*(rider=P$11)</f>
        <v>#N/A</v>
      </c>
      <c r="Q67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7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7" s="150" t="e">
        <f ca="1">INDEX(tblRiderCF[[#This Row],[ADD1UnroundedPrem]:[WOP2UnroundedPrem]],MATCH(rider,$K$11:$R$11,0))
*tblRiderCF[[#This Row],[RiderTermFlag]]</f>
        <v>#N/A</v>
      </c>
      <c r="T67" s="150" t="e">
        <f ca="1">tblRiderCF[[#This Row],[UnroundedPrem]]*prem_load</f>
        <v>#N/A</v>
      </c>
      <c r="U67" s="150" t="e">
        <f ca="1">pm_load/1000*tblRiderCF[[#This Row],[SI]]
*tblRiderCF[[#This Row],[RiderTermFlag]]</f>
        <v>#N/A</v>
      </c>
      <c r="V67" s="151" t="e">
        <f ca="1">ROUND(tblRiderCF[[#This Row],[UnroundedPrem]]*V$10,-3)</f>
        <v>#N/A</v>
      </c>
      <c r="W67" t="e">
        <f ca="1">ROUND(tblRiderCF[[#This Row],[UnroundedPremLoad]]*W$10,-3)</f>
        <v>#N/A</v>
      </c>
      <c r="X67" t="e">
        <f ca="1">ROUND(tblRiderCF[[#This Row],[UnroundedPMLoad]]*X$10,-3)</f>
        <v>#N/A</v>
      </c>
      <c r="Y67" t="e">
        <f ca="1">tblRiderCF[[#This Row],[PremLoad]]+tblRiderCF[[#This Row],[PMLoad]]</f>
        <v>#N/A</v>
      </c>
      <c r="Z67" t="e">
        <f ca="1">tblRiderCF[[#This Row],[Prem]]+tblRiderCF[[#This Row],[Load]]</f>
        <v>#N/A</v>
      </c>
      <c r="AA67" t="e">
        <f ca="1">ROUND(tblRiderCF[[#This Row],[UnroundedPrem]]*AA$10,-3)</f>
        <v>#N/A</v>
      </c>
      <c r="AB67" t="e">
        <f ca="1">ROUND(tblRiderCF[[#This Row],[UnroundedPremLoad]]*AB$10,-3)</f>
        <v>#N/A</v>
      </c>
      <c r="AC67" t="e">
        <f ca="1">ROUND(tblRiderCF[[#This Row],[UnroundedPMLoad]]*AC$10,-3)</f>
        <v>#N/A</v>
      </c>
      <c r="AD67" t="e">
        <f ca="1">tblRiderCF[[#This Row],[SemiAnnualPremLoad]]+tblRiderCF[[#This Row],[SemiAnnualPMLoad]]</f>
        <v>#N/A</v>
      </c>
      <c r="AE67" t="e">
        <f ca="1">tblRiderCF[[#This Row],[SemiAnnualPrem]]+tblRiderCF[[#This Row],[SemiAnnualLoad]]</f>
        <v>#N/A</v>
      </c>
      <c r="AF67" t="e">
        <f ca="1">ROUND(tblRiderCF[[#This Row],[UnroundedPrem]]*AF$10,-3)</f>
        <v>#N/A</v>
      </c>
      <c r="AG67" t="e">
        <f ca="1">ROUND(tblRiderCF[[#This Row],[UnroundedPremLoad]]*AG$10,-3)</f>
        <v>#N/A</v>
      </c>
      <c r="AH67" t="e">
        <f ca="1">ROUND(tblRiderCF[[#This Row],[UnroundedPMLoad]]*AH$10,-3)</f>
        <v>#N/A</v>
      </c>
      <c r="AI67" t="e">
        <f ca="1">tblRiderCF[[#This Row],[QuarterlyPremLoad]]+tblRiderCF[[#This Row],[QuarterlyPMLoad]]</f>
        <v>#N/A</v>
      </c>
      <c r="AJ67" t="e">
        <f ca="1">tblRiderCF[[#This Row],[QuarterlyPrem]]+tblRiderCF[[#This Row],[QuarterlyLoad]]</f>
        <v>#N/A</v>
      </c>
      <c r="AK67" t="e">
        <f ca="1">ROUND(tblRiderCF[[#This Row],[UnroundedPrem]]*AK$10,-3)</f>
        <v>#N/A</v>
      </c>
      <c r="AL67" t="e">
        <f ca="1">ROUND(tblRiderCF[[#This Row],[UnroundedPremLoad]]*AL$10,-3)</f>
        <v>#N/A</v>
      </c>
      <c r="AM67" t="e">
        <f ca="1">ROUND(tblRiderCF[[#This Row],[UnroundedPMLoad]]*AM$10,-3)</f>
        <v>#N/A</v>
      </c>
      <c r="AN67" t="e">
        <f ca="1">tblRiderCF[[#This Row],[MonthlyPremLoad]]+tblRiderCF[[#This Row],[MonthlyPMLoad]]</f>
        <v>#N/A</v>
      </c>
      <c r="AO67" t="e">
        <f ca="1">tblRiderCF[[#This Row],[MonthlyPrem]]+tblRiderCF[[#This Row],[MonthlyLoad]]</f>
        <v>#N/A</v>
      </c>
      <c r="AS67">
        <f t="shared" si="6"/>
        <v>0</v>
      </c>
      <c r="AT67">
        <f t="shared" si="7"/>
        <v>0</v>
      </c>
      <c r="AU67">
        <f ca="1">tblRiderCF[[#This Row],[Year]]</f>
        <v>54</v>
      </c>
      <c r="AV67" t="e">
        <f ca="1">tblRiderCF[[#This Row],[Age]]</f>
        <v>#N/A</v>
      </c>
      <c r="AW67">
        <f t="shared" si="2"/>
        <v>0</v>
      </c>
      <c r="AX67" t="e">
        <f t="shared" si="8"/>
        <v>#N/A</v>
      </c>
      <c r="AY67">
        <f t="shared" si="4"/>
        <v>0</v>
      </c>
      <c r="AZ67" s="47" t="e">
        <f ca="1">tblRiderCF[[#This Row],[SI]]</f>
        <v>#N/A</v>
      </c>
      <c r="BA67" t="e">
        <f ca="1">tblRiderCF[[#This Row],[TotalPrem]]</f>
        <v>#N/A</v>
      </c>
      <c r="BB67" t="e">
        <f ca="1">tblRiderCF[[#This Row],[SemiAnnualTotalPrem]]</f>
        <v>#N/A</v>
      </c>
      <c r="BC67" t="e">
        <f ca="1">tblRiderCF[[#This Row],[QuarterlyTotalPrem]]</f>
        <v>#N/A</v>
      </c>
      <c r="BD67" t="e">
        <f ca="1">tblRiderCF[[#This Row],[MonthlyTotalPrem]]</f>
        <v>#N/A</v>
      </c>
      <c r="BG67" t="s">
        <v>135</v>
      </c>
      <c r="BH67" t="s">
        <v>188</v>
      </c>
      <c r="BI67">
        <v>24</v>
      </c>
      <c r="BJ67">
        <v>54</v>
      </c>
      <c r="BK67" t="s">
        <v>483</v>
      </c>
      <c r="BL67">
        <v>44</v>
      </c>
      <c r="BM67">
        <v>0</v>
      </c>
      <c r="BN67">
        <v>250000000</v>
      </c>
      <c r="BO67">
        <v>7868000</v>
      </c>
      <c r="BP67">
        <v>4169000</v>
      </c>
      <c r="BQ67">
        <v>2125000</v>
      </c>
      <c r="BR67">
        <v>708000</v>
      </c>
    </row>
    <row r="68" spans="2:70" x14ac:dyDescent="0.25">
      <c r="B68">
        <f ca="1">OFFSET(tblRiderCF[[#This Row],[Year]],-1,0)+1</f>
        <v>55</v>
      </c>
      <c r="C68" t="e">
        <f ca="1">(tblRiderCF[[#This Row],[Year]]&lt;=term)*1</f>
        <v>#N/A</v>
      </c>
      <c r="D68" t="e">
        <f ca="1">(entry_age+tblRiderCF[[#This Row],[Year]]-1)
*tblRiderCF[[#This Row],[RiderTermFlag]]</f>
        <v>#N/A</v>
      </c>
      <c r="E68" t="e">
        <f ca="1">(risk="Sub-standard")
*tblRiderCF[[#This Row],[RiderTermFlag]]</f>
        <v>#N/A</v>
      </c>
      <c r="F68" t="e">
        <f ca="1">(tblRiderCF[[#This Row],[Year]]&lt;=prem_load_term)
*tblRiderCF[[#This Row],[SubStandardFlag]]</f>
        <v>#N/A</v>
      </c>
      <c r="G68" t="e">
        <f ca="1">(tblRiderCF[[#This Row],[Year]]&lt;=pm_load_term)
*tblRiderCF[[#This Row],[SubStandardFlag]]</f>
        <v>#N/A</v>
      </c>
      <c r="H68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8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8" s="150" t="e" cm="1">
        <f t="array" aca="1" ref="J6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8" s="150" t="e">
        <f ca="1">add_rate*tblRiderCF[[#This Row],[SI]]*(rider=K$11)</f>
        <v>#N/A</v>
      </c>
      <c r="L68" s="150" t="e">
        <f ca="1">INDEX(tblPPDRate[Annualized GPR],MATCH(tblRiderCF[[#This Row],[Age]],tblPPDRate[Min age],1))*tblRiderCF[[#This Row],[SI]]
*(rider=L$11)</f>
        <v>#N/A</v>
      </c>
      <c r="M68" s="150" t="e">
        <f ca="1">INDEX(IF(gender="Male",tblCIR1Rate[Male],tblCIR1Rate[Female]),MATCH(tblRiderCF[[#This Row],[Age]],tblCIR1Rate[Age],0))/1000*tblRiderCF[[#This Row],[SI]]
*(rider=M$11)</f>
        <v>#N/A</v>
      </c>
      <c r="N68" s="150" t="e">
        <f ca="1">INDEX(IF(gender="Male",tblCIR2Rate[Male],tblCIR2Rate[Female]),MATCH(tblRiderCF[[#This Row],[Age]],tblCIR2Rate[Age],0))/1000*tblRiderCF[[#This Row],[SI]]
*(rider=N$11)</f>
        <v>#N/A</v>
      </c>
      <c r="O68" s="150" t="e">
        <f>INDEX(tblHOP2Rate[Premium],MATCH(hop2_option,tblHOP2Rate[Option],0))
*(rider=O$11)</f>
        <v>#N/A</v>
      </c>
      <c r="P68" s="150" t="e">
        <f ca="1">INDEX(Tariff!$CC$5:$CS$44,
MATCH(tblRiderCF[[#This Row],[Age]],Tariff!$CB$5:$CB$44,0),
MATCH(term+1-tblRiderCF[[#This Row],[Year]],Tariff!$CC$4:$CS$4,0))
*(rider=P$11)</f>
        <v>#N/A</v>
      </c>
      <c r="Q68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8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8" s="150" t="e">
        <f ca="1">INDEX(tblRiderCF[[#This Row],[ADD1UnroundedPrem]:[WOP2UnroundedPrem]],MATCH(rider,$K$11:$R$11,0))
*tblRiderCF[[#This Row],[RiderTermFlag]]</f>
        <v>#N/A</v>
      </c>
      <c r="T68" s="150" t="e">
        <f ca="1">tblRiderCF[[#This Row],[UnroundedPrem]]*prem_load</f>
        <v>#N/A</v>
      </c>
      <c r="U68" s="150" t="e">
        <f ca="1">pm_load/1000*tblRiderCF[[#This Row],[SI]]
*tblRiderCF[[#This Row],[RiderTermFlag]]</f>
        <v>#N/A</v>
      </c>
      <c r="V68" s="151" t="e">
        <f ca="1">ROUND(tblRiderCF[[#This Row],[UnroundedPrem]]*V$10,-3)</f>
        <v>#N/A</v>
      </c>
      <c r="W68" t="e">
        <f ca="1">ROUND(tblRiderCF[[#This Row],[UnroundedPremLoad]]*W$10,-3)</f>
        <v>#N/A</v>
      </c>
      <c r="X68" t="e">
        <f ca="1">ROUND(tblRiderCF[[#This Row],[UnroundedPMLoad]]*X$10,-3)</f>
        <v>#N/A</v>
      </c>
      <c r="Y68" t="e">
        <f ca="1">tblRiderCF[[#This Row],[PremLoad]]+tblRiderCF[[#This Row],[PMLoad]]</f>
        <v>#N/A</v>
      </c>
      <c r="Z68" t="e">
        <f ca="1">tblRiderCF[[#This Row],[Prem]]+tblRiderCF[[#This Row],[Load]]</f>
        <v>#N/A</v>
      </c>
      <c r="AA68" t="e">
        <f ca="1">ROUND(tblRiderCF[[#This Row],[UnroundedPrem]]*AA$10,-3)</f>
        <v>#N/A</v>
      </c>
      <c r="AB68" t="e">
        <f ca="1">ROUND(tblRiderCF[[#This Row],[UnroundedPremLoad]]*AB$10,-3)</f>
        <v>#N/A</v>
      </c>
      <c r="AC68" t="e">
        <f ca="1">ROUND(tblRiderCF[[#This Row],[UnroundedPMLoad]]*AC$10,-3)</f>
        <v>#N/A</v>
      </c>
      <c r="AD68" t="e">
        <f ca="1">tblRiderCF[[#This Row],[SemiAnnualPremLoad]]+tblRiderCF[[#This Row],[SemiAnnualPMLoad]]</f>
        <v>#N/A</v>
      </c>
      <c r="AE68" t="e">
        <f ca="1">tblRiderCF[[#This Row],[SemiAnnualPrem]]+tblRiderCF[[#This Row],[SemiAnnualLoad]]</f>
        <v>#N/A</v>
      </c>
      <c r="AF68" t="e">
        <f ca="1">ROUND(tblRiderCF[[#This Row],[UnroundedPrem]]*AF$10,-3)</f>
        <v>#N/A</v>
      </c>
      <c r="AG68" t="e">
        <f ca="1">ROUND(tblRiderCF[[#This Row],[UnroundedPremLoad]]*AG$10,-3)</f>
        <v>#N/A</v>
      </c>
      <c r="AH68" t="e">
        <f ca="1">ROUND(tblRiderCF[[#This Row],[UnroundedPMLoad]]*AH$10,-3)</f>
        <v>#N/A</v>
      </c>
      <c r="AI68" t="e">
        <f ca="1">tblRiderCF[[#This Row],[QuarterlyPremLoad]]+tblRiderCF[[#This Row],[QuarterlyPMLoad]]</f>
        <v>#N/A</v>
      </c>
      <c r="AJ68" t="e">
        <f ca="1">tblRiderCF[[#This Row],[QuarterlyPrem]]+tblRiderCF[[#This Row],[QuarterlyLoad]]</f>
        <v>#N/A</v>
      </c>
      <c r="AK68" t="e">
        <f ca="1">ROUND(tblRiderCF[[#This Row],[UnroundedPrem]]*AK$10,-3)</f>
        <v>#N/A</v>
      </c>
      <c r="AL68" t="e">
        <f ca="1">ROUND(tblRiderCF[[#This Row],[UnroundedPremLoad]]*AL$10,-3)</f>
        <v>#N/A</v>
      </c>
      <c r="AM68" t="e">
        <f ca="1">ROUND(tblRiderCF[[#This Row],[UnroundedPMLoad]]*AM$10,-3)</f>
        <v>#N/A</v>
      </c>
      <c r="AN68" t="e">
        <f ca="1">tblRiderCF[[#This Row],[MonthlyPremLoad]]+tblRiderCF[[#This Row],[MonthlyPMLoad]]</f>
        <v>#N/A</v>
      </c>
      <c r="AO68" t="e">
        <f ca="1">tblRiderCF[[#This Row],[MonthlyPrem]]+tblRiderCF[[#This Row],[MonthlyLoad]]</f>
        <v>#N/A</v>
      </c>
      <c r="AS68">
        <f t="shared" si="6"/>
        <v>0</v>
      </c>
      <c r="AT68">
        <f t="shared" si="7"/>
        <v>0</v>
      </c>
      <c r="AU68">
        <f ca="1">tblRiderCF[[#This Row],[Year]]</f>
        <v>55</v>
      </c>
      <c r="AV68" t="e">
        <f ca="1">tblRiderCF[[#This Row],[Age]]</f>
        <v>#N/A</v>
      </c>
      <c r="AW68">
        <f t="shared" si="2"/>
        <v>0</v>
      </c>
      <c r="AX68" t="e">
        <f t="shared" si="8"/>
        <v>#N/A</v>
      </c>
      <c r="AY68">
        <f t="shared" si="4"/>
        <v>0</v>
      </c>
      <c r="AZ68" s="47" t="e">
        <f ca="1">tblRiderCF[[#This Row],[SI]]</f>
        <v>#N/A</v>
      </c>
      <c r="BA68" t="e">
        <f ca="1">tblRiderCF[[#This Row],[TotalPrem]]</f>
        <v>#N/A</v>
      </c>
      <c r="BB68" t="e">
        <f ca="1">tblRiderCF[[#This Row],[SemiAnnualTotalPrem]]</f>
        <v>#N/A</v>
      </c>
      <c r="BC68" t="e">
        <f ca="1">tblRiderCF[[#This Row],[QuarterlyTotalPrem]]</f>
        <v>#N/A</v>
      </c>
      <c r="BD68" t="e">
        <f ca="1">tblRiderCF[[#This Row],[MonthlyTotalPrem]]</f>
        <v>#N/A</v>
      </c>
      <c r="BG68" t="s">
        <v>135</v>
      </c>
      <c r="BH68" t="s">
        <v>188</v>
      </c>
      <c r="BI68">
        <v>25</v>
      </c>
      <c r="BJ68">
        <v>55</v>
      </c>
      <c r="BK68" t="s">
        <v>483</v>
      </c>
      <c r="BL68">
        <v>44</v>
      </c>
      <c r="BM68">
        <v>0</v>
      </c>
      <c r="BN68">
        <v>250000000</v>
      </c>
      <c r="BO68">
        <v>8340000</v>
      </c>
      <c r="BP68">
        <v>4420000</v>
      </c>
      <c r="BQ68">
        <v>2252000</v>
      </c>
      <c r="BR68">
        <v>750000</v>
      </c>
    </row>
    <row r="69" spans="2:70" x14ac:dyDescent="0.25">
      <c r="B69">
        <f ca="1">OFFSET(tblRiderCF[[#This Row],[Year]],-1,0)+1</f>
        <v>56</v>
      </c>
      <c r="C69" t="e">
        <f ca="1">(tblRiderCF[[#This Row],[Year]]&lt;=term)*1</f>
        <v>#N/A</v>
      </c>
      <c r="D69" t="e">
        <f ca="1">(entry_age+tblRiderCF[[#This Row],[Year]]-1)
*tblRiderCF[[#This Row],[RiderTermFlag]]</f>
        <v>#N/A</v>
      </c>
      <c r="E69" t="e">
        <f ca="1">(risk="Sub-standard")
*tblRiderCF[[#This Row],[RiderTermFlag]]</f>
        <v>#N/A</v>
      </c>
      <c r="F69" t="e">
        <f ca="1">(tblRiderCF[[#This Row],[Year]]&lt;=prem_load_term)
*tblRiderCF[[#This Row],[SubStandardFlag]]</f>
        <v>#N/A</v>
      </c>
      <c r="G69" t="e">
        <f ca="1">(tblRiderCF[[#This Row],[Year]]&lt;=pm_load_term)
*tblRiderCF[[#This Row],[SubStandardFlag]]</f>
        <v>#N/A</v>
      </c>
      <c r="H69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69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69" s="150" t="e" cm="1">
        <f t="array" aca="1" ref="J6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69" s="150" t="e">
        <f ca="1">add_rate*tblRiderCF[[#This Row],[SI]]*(rider=K$11)</f>
        <v>#N/A</v>
      </c>
      <c r="L69" s="150" t="e">
        <f ca="1">INDEX(tblPPDRate[Annualized GPR],MATCH(tblRiderCF[[#This Row],[Age]],tblPPDRate[Min age],1))*tblRiderCF[[#This Row],[SI]]
*(rider=L$11)</f>
        <v>#N/A</v>
      </c>
      <c r="M69" s="150" t="e">
        <f ca="1">INDEX(IF(gender="Male",tblCIR1Rate[Male],tblCIR1Rate[Female]),MATCH(tblRiderCF[[#This Row],[Age]],tblCIR1Rate[Age],0))/1000*tblRiderCF[[#This Row],[SI]]
*(rider=M$11)</f>
        <v>#N/A</v>
      </c>
      <c r="N69" s="150" t="e">
        <f ca="1">INDEX(IF(gender="Male",tblCIR2Rate[Male],tblCIR2Rate[Female]),MATCH(tblRiderCF[[#This Row],[Age]],tblCIR2Rate[Age],0))/1000*tblRiderCF[[#This Row],[SI]]
*(rider=N$11)</f>
        <v>#N/A</v>
      </c>
      <c r="O69" s="150" t="e">
        <f>INDEX(tblHOP2Rate[Premium],MATCH(hop2_option,tblHOP2Rate[Option],0))
*(rider=O$11)</f>
        <v>#N/A</v>
      </c>
      <c r="P69" s="150" t="e">
        <f ca="1">INDEX(Tariff!$CC$5:$CS$44,
MATCH(tblRiderCF[[#This Row],[Age]],Tariff!$CB$5:$CB$44,0),
MATCH(term+1-tblRiderCF[[#This Row],[Year]],Tariff!$CC$4:$CS$4,0))
*(rider=P$11)</f>
        <v>#N/A</v>
      </c>
      <c r="Q69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69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69" s="150" t="e">
        <f ca="1">INDEX(tblRiderCF[[#This Row],[ADD1UnroundedPrem]:[WOP2UnroundedPrem]],MATCH(rider,$K$11:$R$11,0))
*tblRiderCF[[#This Row],[RiderTermFlag]]</f>
        <v>#N/A</v>
      </c>
      <c r="T69" s="150" t="e">
        <f ca="1">tblRiderCF[[#This Row],[UnroundedPrem]]*prem_load</f>
        <v>#N/A</v>
      </c>
      <c r="U69" s="150" t="e">
        <f ca="1">pm_load/1000*tblRiderCF[[#This Row],[SI]]
*tblRiderCF[[#This Row],[RiderTermFlag]]</f>
        <v>#N/A</v>
      </c>
      <c r="V69" s="151" t="e">
        <f ca="1">ROUND(tblRiderCF[[#This Row],[UnroundedPrem]]*V$10,-3)</f>
        <v>#N/A</v>
      </c>
      <c r="W69" t="e">
        <f ca="1">ROUND(tblRiderCF[[#This Row],[UnroundedPremLoad]]*W$10,-3)</f>
        <v>#N/A</v>
      </c>
      <c r="X69" t="e">
        <f ca="1">ROUND(tblRiderCF[[#This Row],[UnroundedPMLoad]]*X$10,-3)</f>
        <v>#N/A</v>
      </c>
      <c r="Y69" t="e">
        <f ca="1">tblRiderCF[[#This Row],[PremLoad]]+tblRiderCF[[#This Row],[PMLoad]]</f>
        <v>#N/A</v>
      </c>
      <c r="Z69" t="e">
        <f ca="1">tblRiderCF[[#This Row],[Prem]]+tblRiderCF[[#This Row],[Load]]</f>
        <v>#N/A</v>
      </c>
      <c r="AA69" t="e">
        <f ca="1">ROUND(tblRiderCF[[#This Row],[UnroundedPrem]]*AA$10,-3)</f>
        <v>#N/A</v>
      </c>
      <c r="AB69" t="e">
        <f ca="1">ROUND(tblRiderCF[[#This Row],[UnroundedPremLoad]]*AB$10,-3)</f>
        <v>#N/A</v>
      </c>
      <c r="AC69" t="e">
        <f ca="1">ROUND(tblRiderCF[[#This Row],[UnroundedPMLoad]]*AC$10,-3)</f>
        <v>#N/A</v>
      </c>
      <c r="AD69" t="e">
        <f ca="1">tblRiderCF[[#This Row],[SemiAnnualPremLoad]]+tblRiderCF[[#This Row],[SemiAnnualPMLoad]]</f>
        <v>#N/A</v>
      </c>
      <c r="AE69" t="e">
        <f ca="1">tblRiderCF[[#This Row],[SemiAnnualPrem]]+tblRiderCF[[#This Row],[SemiAnnualLoad]]</f>
        <v>#N/A</v>
      </c>
      <c r="AF69" t="e">
        <f ca="1">ROUND(tblRiderCF[[#This Row],[UnroundedPrem]]*AF$10,-3)</f>
        <v>#N/A</v>
      </c>
      <c r="AG69" t="e">
        <f ca="1">ROUND(tblRiderCF[[#This Row],[UnroundedPremLoad]]*AG$10,-3)</f>
        <v>#N/A</v>
      </c>
      <c r="AH69" t="e">
        <f ca="1">ROUND(tblRiderCF[[#This Row],[UnroundedPMLoad]]*AH$10,-3)</f>
        <v>#N/A</v>
      </c>
      <c r="AI69" t="e">
        <f ca="1">tblRiderCF[[#This Row],[QuarterlyPremLoad]]+tblRiderCF[[#This Row],[QuarterlyPMLoad]]</f>
        <v>#N/A</v>
      </c>
      <c r="AJ69" t="e">
        <f ca="1">tblRiderCF[[#This Row],[QuarterlyPrem]]+tblRiderCF[[#This Row],[QuarterlyLoad]]</f>
        <v>#N/A</v>
      </c>
      <c r="AK69" t="e">
        <f ca="1">ROUND(tblRiderCF[[#This Row],[UnroundedPrem]]*AK$10,-3)</f>
        <v>#N/A</v>
      </c>
      <c r="AL69" t="e">
        <f ca="1">ROUND(tblRiderCF[[#This Row],[UnroundedPremLoad]]*AL$10,-3)</f>
        <v>#N/A</v>
      </c>
      <c r="AM69" t="e">
        <f ca="1">ROUND(tblRiderCF[[#This Row],[UnroundedPMLoad]]*AM$10,-3)</f>
        <v>#N/A</v>
      </c>
      <c r="AN69" t="e">
        <f ca="1">tblRiderCF[[#This Row],[MonthlyPremLoad]]+tblRiderCF[[#This Row],[MonthlyPMLoad]]</f>
        <v>#N/A</v>
      </c>
      <c r="AO69" t="e">
        <f ca="1">tblRiderCF[[#This Row],[MonthlyPrem]]+tblRiderCF[[#This Row],[MonthlyLoad]]</f>
        <v>#N/A</v>
      </c>
      <c r="AS69">
        <f t="shared" si="6"/>
        <v>0</v>
      </c>
      <c r="AT69">
        <f t="shared" si="7"/>
        <v>0</v>
      </c>
      <c r="AU69">
        <f ca="1">tblRiderCF[[#This Row],[Year]]</f>
        <v>56</v>
      </c>
      <c r="AV69" t="e">
        <f ca="1">tblRiderCF[[#This Row],[Age]]</f>
        <v>#N/A</v>
      </c>
      <c r="AW69">
        <f t="shared" si="2"/>
        <v>0</v>
      </c>
      <c r="AX69" t="e">
        <f t="shared" si="8"/>
        <v>#N/A</v>
      </c>
      <c r="AY69">
        <f t="shared" si="4"/>
        <v>0</v>
      </c>
      <c r="AZ69" s="47" t="e">
        <f ca="1">tblRiderCF[[#This Row],[SI]]</f>
        <v>#N/A</v>
      </c>
      <c r="BA69" t="e">
        <f ca="1">tblRiderCF[[#This Row],[TotalPrem]]</f>
        <v>#N/A</v>
      </c>
      <c r="BB69" t="e">
        <f ca="1">tblRiderCF[[#This Row],[SemiAnnualTotalPrem]]</f>
        <v>#N/A</v>
      </c>
      <c r="BC69" t="e">
        <f ca="1">tblRiderCF[[#This Row],[QuarterlyTotalPrem]]</f>
        <v>#N/A</v>
      </c>
      <c r="BD69" t="e">
        <f ca="1">tblRiderCF[[#This Row],[MonthlyTotalPrem]]</f>
        <v>#N/A</v>
      </c>
      <c r="BG69" t="s">
        <v>135</v>
      </c>
      <c r="BH69" t="s">
        <v>188</v>
      </c>
      <c r="BI69">
        <v>26</v>
      </c>
      <c r="BJ69">
        <v>56</v>
      </c>
      <c r="BK69" t="s">
        <v>483</v>
      </c>
      <c r="BL69">
        <v>44</v>
      </c>
      <c r="BM69">
        <v>0</v>
      </c>
      <c r="BN69">
        <v>250000000</v>
      </c>
      <c r="BO69">
        <v>8804000</v>
      </c>
      <c r="BP69">
        <v>4666000</v>
      </c>
      <c r="BQ69">
        <v>2377000</v>
      </c>
      <c r="BR69">
        <v>792000</v>
      </c>
    </row>
    <row r="70" spans="2:70" x14ac:dyDescent="0.25">
      <c r="B70">
        <f ca="1">OFFSET(tblRiderCF[[#This Row],[Year]],-1,0)+1</f>
        <v>57</v>
      </c>
      <c r="C70" t="e">
        <f ca="1">(tblRiderCF[[#This Row],[Year]]&lt;=term)*1</f>
        <v>#N/A</v>
      </c>
      <c r="D70" t="e">
        <f ca="1">(entry_age+tblRiderCF[[#This Row],[Year]]-1)
*tblRiderCF[[#This Row],[RiderTermFlag]]</f>
        <v>#N/A</v>
      </c>
      <c r="E70" t="e">
        <f ca="1">(risk="Sub-standard")
*tblRiderCF[[#This Row],[RiderTermFlag]]</f>
        <v>#N/A</v>
      </c>
      <c r="F70" t="e">
        <f ca="1">(tblRiderCF[[#This Row],[Year]]&lt;=prem_load_term)
*tblRiderCF[[#This Row],[SubStandardFlag]]</f>
        <v>#N/A</v>
      </c>
      <c r="G70" t="e">
        <f ca="1">(tblRiderCF[[#This Row],[Year]]&lt;=pm_load_term)
*tblRiderCF[[#This Row],[SubStandardFlag]]</f>
        <v>#N/A</v>
      </c>
      <c r="H70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0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0" s="150" t="e" cm="1">
        <f t="array" aca="1" ref="J7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0" s="150" t="e">
        <f ca="1">add_rate*tblRiderCF[[#This Row],[SI]]*(rider=K$11)</f>
        <v>#N/A</v>
      </c>
      <c r="L70" s="150" t="e">
        <f ca="1">INDEX(tblPPDRate[Annualized GPR],MATCH(tblRiderCF[[#This Row],[Age]],tblPPDRate[Min age],1))*tblRiderCF[[#This Row],[SI]]
*(rider=L$11)</f>
        <v>#N/A</v>
      </c>
      <c r="M70" s="150" t="e">
        <f ca="1">INDEX(IF(gender="Male",tblCIR1Rate[Male],tblCIR1Rate[Female]),MATCH(tblRiderCF[[#This Row],[Age]],tblCIR1Rate[Age],0))/1000*tblRiderCF[[#This Row],[SI]]
*(rider=M$11)</f>
        <v>#N/A</v>
      </c>
      <c r="N70" s="150" t="e">
        <f ca="1">INDEX(IF(gender="Male",tblCIR2Rate[Male],tblCIR2Rate[Female]),MATCH(tblRiderCF[[#This Row],[Age]],tblCIR2Rate[Age],0))/1000*tblRiderCF[[#This Row],[SI]]
*(rider=N$11)</f>
        <v>#N/A</v>
      </c>
      <c r="O70" s="150" t="e">
        <f>INDEX(tblHOP2Rate[Premium],MATCH(hop2_option,tblHOP2Rate[Option],0))
*(rider=O$11)</f>
        <v>#N/A</v>
      </c>
      <c r="P70" s="150" t="e">
        <f ca="1">INDEX(Tariff!$CC$5:$CS$44,
MATCH(tblRiderCF[[#This Row],[Age]],Tariff!$CB$5:$CB$44,0),
MATCH(term+1-tblRiderCF[[#This Row],[Year]],Tariff!$CC$4:$CS$4,0))
*(rider=P$11)</f>
        <v>#N/A</v>
      </c>
      <c r="Q70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0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0" s="150" t="e">
        <f ca="1">INDEX(tblRiderCF[[#This Row],[ADD1UnroundedPrem]:[WOP2UnroundedPrem]],MATCH(rider,$K$11:$R$11,0))
*tblRiderCF[[#This Row],[RiderTermFlag]]</f>
        <v>#N/A</v>
      </c>
      <c r="T70" s="150" t="e">
        <f ca="1">tblRiderCF[[#This Row],[UnroundedPrem]]*prem_load</f>
        <v>#N/A</v>
      </c>
      <c r="U70" s="150" t="e">
        <f ca="1">pm_load/1000*tblRiderCF[[#This Row],[SI]]
*tblRiderCF[[#This Row],[RiderTermFlag]]</f>
        <v>#N/A</v>
      </c>
      <c r="V70" s="151" t="e">
        <f ca="1">ROUND(tblRiderCF[[#This Row],[UnroundedPrem]]*V$10,-3)</f>
        <v>#N/A</v>
      </c>
      <c r="W70" t="e">
        <f ca="1">ROUND(tblRiderCF[[#This Row],[UnroundedPremLoad]]*W$10,-3)</f>
        <v>#N/A</v>
      </c>
      <c r="X70" t="e">
        <f ca="1">ROUND(tblRiderCF[[#This Row],[UnroundedPMLoad]]*X$10,-3)</f>
        <v>#N/A</v>
      </c>
      <c r="Y70" t="e">
        <f ca="1">tblRiderCF[[#This Row],[PremLoad]]+tblRiderCF[[#This Row],[PMLoad]]</f>
        <v>#N/A</v>
      </c>
      <c r="Z70" t="e">
        <f ca="1">tblRiderCF[[#This Row],[Prem]]+tblRiderCF[[#This Row],[Load]]</f>
        <v>#N/A</v>
      </c>
      <c r="AA70" t="e">
        <f ca="1">ROUND(tblRiderCF[[#This Row],[UnroundedPrem]]*AA$10,-3)</f>
        <v>#N/A</v>
      </c>
      <c r="AB70" t="e">
        <f ca="1">ROUND(tblRiderCF[[#This Row],[UnroundedPremLoad]]*AB$10,-3)</f>
        <v>#N/A</v>
      </c>
      <c r="AC70" t="e">
        <f ca="1">ROUND(tblRiderCF[[#This Row],[UnroundedPMLoad]]*AC$10,-3)</f>
        <v>#N/A</v>
      </c>
      <c r="AD70" t="e">
        <f ca="1">tblRiderCF[[#This Row],[SemiAnnualPremLoad]]+tblRiderCF[[#This Row],[SemiAnnualPMLoad]]</f>
        <v>#N/A</v>
      </c>
      <c r="AE70" t="e">
        <f ca="1">tblRiderCF[[#This Row],[SemiAnnualPrem]]+tblRiderCF[[#This Row],[SemiAnnualLoad]]</f>
        <v>#N/A</v>
      </c>
      <c r="AF70" t="e">
        <f ca="1">ROUND(tblRiderCF[[#This Row],[UnroundedPrem]]*AF$10,-3)</f>
        <v>#N/A</v>
      </c>
      <c r="AG70" t="e">
        <f ca="1">ROUND(tblRiderCF[[#This Row],[UnroundedPremLoad]]*AG$10,-3)</f>
        <v>#N/A</v>
      </c>
      <c r="AH70" t="e">
        <f ca="1">ROUND(tblRiderCF[[#This Row],[UnroundedPMLoad]]*AH$10,-3)</f>
        <v>#N/A</v>
      </c>
      <c r="AI70" t="e">
        <f ca="1">tblRiderCF[[#This Row],[QuarterlyPremLoad]]+tblRiderCF[[#This Row],[QuarterlyPMLoad]]</f>
        <v>#N/A</v>
      </c>
      <c r="AJ70" t="e">
        <f ca="1">tblRiderCF[[#This Row],[QuarterlyPrem]]+tblRiderCF[[#This Row],[QuarterlyLoad]]</f>
        <v>#N/A</v>
      </c>
      <c r="AK70" t="e">
        <f ca="1">ROUND(tblRiderCF[[#This Row],[UnroundedPrem]]*AK$10,-3)</f>
        <v>#N/A</v>
      </c>
      <c r="AL70" t="e">
        <f ca="1">ROUND(tblRiderCF[[#This Row],[UnroundedPremLoad]]*AL$10,-3)</f>
        <v>#N/A</v>
      </c>
      <c r="AM70" t="e">
        <f ca="1">ROUND(tblRiderCF[[#This Row],[UnroundedPMLoad]]*AM$10,-3)</f>
        <v>#N/A</v>
      </c>
      <c r="AN70" t="e">
        <f ca="1">tblRiderCF[[#This Row],[MonthlyPremLoad]]+tblRiderCF[[#This Row],[MonthlyPMLoad]]</f>
        <v>#N/A</v>
      </c>
      <c r="AO70" t="e">
        <f ca="1">tblRiderCF[[#This Row],[MonthlyPrem]]+tblRiderCF[[#This Row],[MonthlyLoad]]</f>
        <v>#N/A</v>
      </c>
      <c r="AS70">
        <f t="shared" si="6"/>
        <v>0</v>
      </c>
      <c r="AT70">
        <f t="shared" si="7"/>
        <v>0</v>
      </c>
      <c r="AU70">
        <f ca="1">tblRiderCF[[#This Row],[Year]]</f>
        <v>57</v>
      </c>
      <c r="AV70" t="e">
        <f ca="1">tblRiderCF[[#This Row],[Age]]</f>
        <v>#N/A</v>
      </c>
      <c r="AW70">
        <f t="shared" si="2"/>
        <v>0</v>
      </c>
      <c r="AX70" t="e">
        <f t="shared" si="8"/>
        <v>#N/A</v>
      </c>
      <c r="AY70">
        <f t="shared" si="4"/>
        <v>0</v>
      </c>
      <c r="AZ70" s="47" t="e">
        <f ca="1">tblRiderCF[[#This Row],[SI]]</f>
        <v>#N/A</v>
      </c>
      <c r="BA70" t="e">
        <f ca="1">tblRiderCF[[#This Row],[TotalPrem]]</f>
        <v>#N/A</v>
      </c>
      <c r="BB70" t="e">
        <f ca="1">tblRiderCF[[#This Row],[SemiAnnualTotalPrem]]</f>
        <v>#N/A</v>
      </c>
      <c r="BC70" t="e">
        <f ca="1">tblRiderCF[[#This Row],[QuarterlyTotalPrem]]</f>
        <v>#N/A</v>
      </c>
      <c r="BD70" t="e">
        <f ca="1">tblRiderCF[[#This Row],[MonthlyTotalPrem]]</f>
        <v>#N/A</v>
      </c>
      <c r="BG70" t="s">
        <v>135</v>
      </c>
      <c r="BH70" t="s">
        <v>188</v>
      </c>
      <c r="BI70">
        <v>27</v>
      </c>
      <c r="BJ70">
        <v>57</v>
      </c>
      <c r="BK70" t="s">
        <v>483</v>
      </c>
      <c r="BL70">
        <v>44</v>
      </c>
      <c r="BM70">
        <v>0</v>
      </c>
      <c r="BN70">
        <v>250000000</v>
      </c>
      <c r="BO70">
        <v>9264000</v>
      </c>
      <c r="BP70">
        <v>4909000</v>
      </c>
      <c r="BQ70">
        <v>2501000</v>
      </c>
      <c r="BR70">
        <v>834000</v>
      </c>
    </row>
    <row r="71" spans="2:70" x14ac:dyDescent="0.25">
      <c r="B71">
        <f ca="1">OFFSET(tblRiderCF[[#This Row],[Year]],-1,0)+1</f>
        <v>58</v>
      </c>
      <c r="C71" t="e">
        <f ca="1">(tblRiderCF[[#This Row],[Year]]&lt;=term)*1</f>
        <v>#N/A</v>
      </c>
      <c r="D71" t="e">
        <f ca="1">(entry_age+tblRiderCF[[#This Row],[Year]]-1)
*tblRiderCF[[#This Row],[RiderTermFlag]]</f>
        <v>#N/A</v>
      </c>
      <c r="E71" t="e">
        <f ca="1">(risk="Sub-standard")
*tblRiderCF[[#This Row],[RiderTermFlag]]</f>
        <v>#N/A</v>
      </c>
      <c r="F71" t="e">
        <f ca="1">(tblRiderCF[[#This Row],[Year]]&lt;=prem_load_term)
*tblRiderCF[[#This Row],[SubStandardFlag]]</f>
        <v>#N/A</v>
      </c>
      <c r="G71" t="e">
        <f ca="1">(tblRiderCF[[#This Row],[Year]]&lt;=pm_load_term)
*tblRiderCF[[#This Row],[SubStandardFlag]]</f>
        <v>#N/A</v>
      </c>
      <c r="H71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1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1" s="150" t="e" cm="1">
        <f t="array" aca="1" ref="J7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1" s="150" t="e">
        <f ca="1">add_rate*tblRiderCF[[#This Row],[SI]]*(rider=K$11)</f>
        <v>#N/A</v>
      </c>
      <c r="L71" s="150" t="e">
        <f ca="1">INDEX(tblPPDRate[Annualized GPR],MATCH(tblRiderCF[[#This Row],[Age]],tblPPDRate[Min age],1))*tblRiderCF[[#This Row],[SI]]
*(rider=L$11)</f>
        <v>#N/A</v>
      </c>
      <c r="M71" s="150" t="e">
        <f ca="1">INDEX(IF(gender="Male",tblCIR1Rate[Male],tblCIR1Rate[Female]),MATCH(tblRiderCF[[#This Row],[Age]],tblCIR1Rate[Age],0))/1000*tblRiderCF[[#This Row],[SI]]
*(rider=M$11)</f>
        <v>#N/A</v>
      </c>
      <c r="N71" s="150" t="e">
        <f ca="1">INDEX(IF(gender="Male",tblCIR2Rate[Male],tblCIR2Rate[Female]),MATCH(tblRiderCF[[#This Row],[Age]],tblCIR2Rate[Age],0))/1000*tblRiderCF[[#This Row],[SI]]
*(rider=N$11)</f>
        <v>#N/A</v>
      </c>
      <c r="O71" s="150" t="e">
        <f>INDEX(tblHOP2Rate[Premium],MATCH(hop2_option,tblHOP2Rate[Option],0))
*(rider=O$11)</f>
        <v>#N/A</v>
      </c>
      <c r="P71" s="150" t="e">
        <f ca="1">INDEX(Tariff!$CC$5:$CS$44,
MATCH(tblRiderCF[[#This Row],[Age]],Tariff!$CB$5:$CB$44,0),
MATCH(term+1-tblRiderCF[[#This Row],[Year]],Tariff!$CC$4:$CS$4,0))
*(rider=P$11)</f>
        <v>#N/A</v>
      </c>
      <c r="Q71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1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1" s="150" t="e">
        <f ca="1">INDEX(tblRiderCF[[#This Row],[ADD1UnroundedPrem]:[WOP2UnroundedPrem]],MATCH(rider,$K$11:$R$11,0))
*tblRiderCF[[#This Row],[RiderTermFlag]]</f>
        <v>#N/A</v>
      </c>
      <c r="T71" s="150" t="e">
        <f ca="1">tblRiderCF[[#This Row],[UnroundedPrem]]*prem_load</f>
        <v>#N/A</v>
      </c>
      <c r="U71" s="150" t="e">
        <f ca="1">pm_load/1000*tblRiderCF[[#This Row],[SI]]
*tblRiderCF[[#This Row],[RiderTermFlag]]</f>
        <v>#N/A</v>
      </c>
      <c r="V71" s="151" t="e">
        <f ca="1">ROUND(tblRiderCF[[#This Row],[UnroundedPrem]]*V$10,-3)</f>
        <v>#N/A</v>
      </c>
      <c r="W71" t="e">
        <f ca="1">ROUND(tblRiderCF[[#This Row],[UnroundedPremLoad]]*W$10,-3)</f>
        <v>#N/A</v>
      </c>
      <c r="X71" t="e">
        <f ca="1">ROUND(tblRiderCF[[#This Row],[UnroundedPMLoad]]*X$10,-3)</f>
        <v>#N/A</v>
      </c>
      <c r="Y71" t="e">
        <f ca="1">tblRiderCF[[#This Row],[PremLoad]]+tblRiderCF[[#This Row],[PMLoad]]</f>
        <v>#N/A</v>
      </c>
      <c r="Z71" t="e">
        <f ca="1">tblRiderCF[[#This Row],[Prem]]+tblRiderCF[[#This Row],[Load]]</f>
        <v>#N/A</v>
      </c>
      <c r="AA71" t="e">
        <f ca="1">ROUND(tblRiderCF[[#This Row],[UnroundedPrem]]*AA$10,-3)</f>
        <v>#N/A</v>
      </c>
      <c r="AB71" t="e">
        <f ca="1">ROUND(tblRiderCF[[#This Row],[UnroundedPremLoad]]*AB$10,-3)</f>
        <v>#N/A</v>
      </c>
      <c r="AC71" t="e">
        <f ca="1">ROUND(tblRiderCF[[#This Row],[UnroundedPMLoad]]*AC$10,-3)</f>
        <v>#N/A</v>
      </c>
      <c r="AD71" t="e">
        <f ca="1">tblRiderCF[[#This Row],[SemiAnnualPremLoad]]+tblRiderCF[[#This Row],[SemiAnnualPMLoad]]</f>
        <v>#N/A</v>
      </c>
      <c r="AE71" t="e">
        <f ca="1">tblRiderCF[[#This Row],[SemiAnnualPrem]]+tblRiderCF[[#This Row],[SemiAnnualLoad]]</f>
        <v>#N/A</v>
      </c>
      <c r="AF71" t="e">
        <f ca="1">ROUND(tblRiderCF[[#This Row],[UnroundedPrem]]*AF$10,-3)</f>
        <v>#N/A</v>
      </c>
      <c r="AG71" t="e">
        <f ca="1">ROUND(tblRiderCF[[#This Row],[UnroundedPremLoad]]*AG$10,-3)</f>
        <v>#N/A</v>
      </c>
      <c r="AH71" t="e">
        <f ca="1">ROUND(tblRiderCF[[#This Row],[UnroundedPMLoad]]*AH$10,-3)</f>
        <v>#N/A</v>
      </c>
      <c r="AI71" t="e">
        <f ca="1">tblRiderCF[[#This Row],[QuarterlyPremLoad]]+tblRiderCF[[#This Row],[QuarterlyPMLoad]]</f>
        <v>#N/A</v>
      </c>
      <c r="AJ71" t="e">
        <f ca="1">tblRiderCF[[#This Row],[QuarterlyPrem]]+tblRiderCF[[#This Row],[QuarterlyLoad]]</f>
        <v>#N/A</v>
      </c>
      <c r="AK71" t="e">
        <f ca="1">ROUND(tblRiderCF[[#This Row],[UnroundedPrem]]*AK$10,-3)</f>
        <v>#N/A</v>
      </c>
      <c r="AL71" t="e">
        <f ca="1">ROUND(tblRiderCF[[#This Row],[UnroundedPremLoad]]*AL$10,-3)</f>
        <v>#N/A</v>
      </c>
      <c r="AM71" t="e">
        <f ca="1">ROUND(tblRiderCF[[#This Row],[UnroundedPMLoad]]*AM$10,-3)</f>
        <v>#N/A</v>
      </c>
      <c r="AN71" t="e">
        <f ca="1">tblRiderCF[[#This Row],[MonthlyPremLoad]]+tblRiderCF[[#This Row],[MonthlyPMLoad]]</f>
        <v>#N/A</v>
      </c>
      <c r="AO71" t="e">
        <f ca="1">tblRiderCF[[#This Row],[MonthlyPrem]]+tblRiderCF[[#This Row],[MonthlyLoad]]</f>
        <v>#N/A</v>
      </c>
      <c r="AS71">
        <f t="shared" si="6"/>
        <v>0</v>
      </c>
      <c r="AT71">
        <f t="shared" si="7"/>
        <v>0</v>
      </c>
      <c r="AU71">
        <f ca="1">tblRiderCF[[#This Row],[Year]]</f>
        <v>58</v>
      </c>
      <c r="AV71" t="e">
        <f ca="1">tblRiderCF[[#This Row],[Age]]</f>
        <v>#N/A</v>
      </c>
      <c r="AW71">
        <f t="shared" si="2"/>
        <v>0</v>
      </c>
      <c r="AX71" t="e">
        <f t="shared" si="8"/>
        <v>#N/A</v>
      </c>
      <c r="AY71">
        <f t="shared" si="4"/>
        <v>0</v>
      </c>
      <c r="AZ71" s="47" t="e">
        <f ca="1">tblRiderCF[[#This Row],[SI]]</f>
        <v>#N/A</v>
      </c>
      <c r="BA71" t="e">
        <f ca="1">tblRiderCF[[#This Row],[TotalPrem]]</f>
        <v>#N/A</v>
      </c>
      <c r="BB71" t="e">
        <f ca="1">tblRiderCF[[#This Row],[SemiAnnualTotalPrem]]</f>
        <v>#N/A</v>
      </c>
      <c r="BC71" t="e">
        <f ca="1">tblRiderCF[[#This Row],[QuarterlyTotalPrem]]</f>
        <v>#N/A</v>
      </c>
      <c r="BD71" t="e">
        <f ca="1">tblRiderCF[[#This Row],[MonthlyTotalPrem]]</f>
        <v>#N/A</v>
      </c>
      <c r="BG71" t="s">
        <v>135</v>
      </c>
      <c r="BH71" t="s">
        <v>188</v>
      </c>
      <c r="BI71">
        <v>28</v>
      </c>
      <c r="BJ71">
        <v>58</v>
      </c>
      <c r="BK71" t="s">
        <v>483</v>
      </c>
      <c r="BL71">
        <v>44</v>
      </c>
      <c r="BM71">
        <v>0</v>
      </c>
      <c r="BN71">
        <v>250000000</v>
      </c>
      <c r="BO71">
        <v>9754000</v>
      </c>
      <c r="BP71">
        <v>5169000</v>
      </c>
      <c r="BQ71">
        <v>2634000</v>
      </c>
      <c r="BR71">
        <v>878000</v>
      </c>
    </row>
    <row r="72" spans="2:70" x14ac:dyDescent="0.25">
      <c r="B72">
        <f ca="1">OFFSET(tblRiderCF[[#This Row],[Year]],-1,0)+1</f>
        <v>59</v>
      </c>
      <c r="C72" t="e">
        <f ca="1">(tblRiderCF[[#This Row],[Year]]&lt;=term)*1</f>
        <v>#N/A</v>
      </c>
      <c r="D72" t="e">
        <f ca="1">(entry_age+tblRiderCF[[#This Row],[Year]]-1)
*tblRiderCF[[#This Row],[RiderTermFlag]]</f>
        <v>#N/A</v>
      </c>
      <c r="E72" t="e">
        <f ca="1">(risk="Sub-standard")
*tblRiderCF[[#This Row],[RiderTermFlag]]</f>
        <v>#N/A</v>
      </c>
      <c r="F72" t="e">
        <f ca="1">(tblRiderCF[[#This Row],[Year]]&lt;=prem_load_term)
*tblRiderCF[[#This Row],[SubStandardFlag]]</f>
        <v>#N/A</v>
      </c>
      <c r="G72" t="e">
        <f ca="1">(tblRiderCF[[#This Row],[Year]]&lt;=pm_load_term)
*tblRiderCF[[#This Row],[SubStandardFlag]]</f>
        <v>#N/A</v>
      </c>
      <c r="H72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2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2" s="150" t="e" cm="1">
        <f t="array" aca="1" ref="J7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2" s="150" t="e">
        <f ca="1">add_rate*tblRiderCF[[#This Row],[SI]]*(rider=K$11)</f>
        <v>#N/A</v>
      </c>
      <c r="L72" s="150" t="e">
        <f ca="1">INDEX(tblPPDRate[Annualized GPR],MATCH(tblRiderCF[[#This Row],[Age]],tblPPDRate[Min age],1))*tblRiderCF[[#This Row],[SI]]
*(rider=L$11)</f>
        <v>#N/A</v>
      </c>
      <c r="M72" s="150" t="e">
        <f ca="1">INDEX(IF(gender="Male",tblCIR1Rate[Male],tblCIR1Rate[Female]),MATCH(tblRiderCF[[#This Row],[Age]],tblCIR1Rate[Age],0))/1000*tblRiderCF[[#This Row],[SI]]
*(rider=M$11)</f>
        <v>#N/A</v>
      </c>
      <c r="N72" s="150" t="e">
        <f ca="1">INDEX(IF(gender="Male",tblCIR2Rate[Male],tblCIR2Rate[Female]),MATCH(tblRiderCF[[#This Row],[Age]],tblCIR2Rate[Age],0))/1000*tblRiderCF[[#This Row],[SI]]
*(rider=N$11)</f>
        <v>#N/A</v>
      </c>
      <c r="O72" s="150" t="e">
        <f>INDEX(tblHOP2Rate[Premium],MATCH(hop2_option,tblHOP2Rate[Option],0))
*(rider=O$11)</f>
        <v>#N/A</v>
      </c>
      <c r="P72" s="150" t="e">
        <f ca="1">INDEX(Tariff!$CC$5:$CS$44,
MATCH(tblRiderCF[[#This Row],[Age]],Tariff!$CB$5:$CB$44,0),
MATCH(term+1-tblRiderCF[[#This Row],[Year]],Tariff!$CC$4:$CS$4,0))
*(rider=P$11)</f>
        <v>#N/A</v>
      </c>
      <c r="Q72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2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2" s="150" t="e">
        <f ca="1">INDEX(tblRiderCF[[#This Row],[ADD1UnroundedPrem]:[WOP2UnroundedPrem]],MATCH(rider,$K$11:$R$11,0))
*tblRiderCF[[#This Row],[RiderTermFlag]]</f>
        <v>#N/A</v>
      </c>
      <c r="T72" s="150" t="e">
        <f ca="1">tblRiderCF[[#This Row],[UnroundedPrem]]*prem_load</f>
        <v>#N/A</v>
      </c>
      <c r="U72" s="150" t="e">
        <f ca="1">pm_load/1000*tblRiderCF[[#This Row],[SI]]
*tblRiderCF[[#This Row],[RiderTermFlag]]</f>
        <v>#N/A</v>
      </c>
      <c r="V72" s="151" t="e">
        <f ca="1">ROUND(tblRiderCF[[#This Row],[UnroundedPrem]]*V$10,-3)</f>
        <v>#N/A</v>
      </c>
      <c r="W72" t="e">
        <f ca="1">ROUND(tblRiderCF[[#This Row],[UnroundedPremLoad]]*W$10,-3)</f>
        <v>#N/A</v>
      </c>
      <c r="X72" t="e">
        <f ca="1">ROUND(tblRiderCF[[#This Row],[UnroundedPMLoad]]*X$10,-3)</f>
        <v>#N/A</v>
      </c>
      <c r="Y72" t="e">
        <f ca="1">tblRiderCF[[#This Row],[PremLoad]]+tblRiderCF[[#This Row],[PMLoad]]</f>
        <v>#N/A</v>
      </c>
      <c r="Z72" t="e">
        <f ca="1">tblRiderCF[[#This Row],[Prem]]+tblRiderCF[[#This Row],[Load]]</f>
        <v>#N/A</v>
      </c>
      <c r="AA72" t="e">
        <f ca="1">ROUND(tblRiderCF[[#This Row],[UnroundedPrem]]*AA$10,-3)</f>
        <v>#N/A</v>
      </c>
      <c r="AB72" t="e">
        <f ca="1">ROUND(tblRiderCF[[#This Row],[UnroundedPremLoad]]*AB$10,-3)</f>
        <v>#N/A</v>
      </c>
      <c r="AC72" t="e">
        <f ca="1">ROUND(tblRiderCF[[#This Row],[UnroundedPMLoad]]*AC$10,-3)</f>
        <v>#N/A</v>
      </c>
      <c r="AD72" t="e">
        <f ca="1">tblRiderCF[[#This Row],[SemiAnnualPremLoad]]+tblRiderCF[[#This Row],[SemiAnnualPMLoad]]</f>
        <v>#N/A</v>
      </c>
      <c r="AE72" t="e">
        <f ca="1">tblRiderCF[[#This Row],[SemiAnnualPrem]]+tblRiderCF[[#This Row],[SemiAnnualLoad]]</f>
        <v>#N/A</v>
      </c>
      <c r="AF72" t="e">
        <f ca="1">ROUND(tblRiderCF[[#This Row],[UnroundedPrem]]*AF$10,-3)</f>
        <v>#N/A</v>
      </c>
      <c r="AG72" t="e">
        <f ca="1">ROUND(tblRiderCF[[#This Row],[UnroundedPremLoad]]*AG$10,-3)</f>
        <v>#N/A</v>
      </c>
      <c r="AH72" t="e">
        <f ca="1">ROUND(tblRiderCF[[#This Row],[UnroundedPMLoad]]*AH$10,-3)</f>
        <v>#N/A</v>
      </c>
      <c r="AI72" t="e">
        <f ca="1">tblRiderCF[[#This Row],[QuarterlyPremLoad]]+tblRiderCF[[#This Row],[QuarterlyPMLoad]]</f>
        <v>#N/A</v>
      </c>
      <c r="AJ72" t="e">
        <f ca="1">tblRiderCF[[#This Row],[QuarterlyPrem]]+tblRiderCF[[#This Row],[QuarterlyLoad]]</f>
        <v>#N/A</v>
      </c>
      <c r="AK72" t="e">
        <f ca="1">ROUND(tblRiderCF[[#This Row],[UnroundedPrem]]*AK$10,-3)</f>
        <v>#N/A</v>
      </c>
      <c r="AL72" t="e">
        <f ca="1">ROUND(tblRiderCF[[#This Row],[UnroundedPremLoad]]*AL$10,-3)</f>
        <v>#N/A</v>
      </c>
      <c r="AM72" t="e">
        <f ca="1">ROUND(tblRiderCF[[#This Row],[UnroundedPMLoad]]*AM$10,-3)</f>
        <v>#N/A</v>
      </c>
      <c r="AN72" t="e">
        <f ca="1">tblRiderCF[[#This Row],[MonthlyPremLoad]]+tblRiderCF[[#This Row],[MonthlyPMLoad]]</f>
        <v>#N/A</v>
      </c>
      <c r="AO72" t="e">
        <f ca="1">tblRiderCF[[#This Row],[MonthlyPrem]]+tblRiderCF[[#This Row],[MonthlyLoad]]</f>
        <v>#N/A</v>
      </c>
      <c r="AS72">
        <f t="shared" si="6"/>
        <v>0</v>
      </c>
      <c r="AT72">
        <f t="shared" si="7"/>
        <v>0</v>
      </c>
      <c r="AU72">
        <f ca="1">tblRiderCF[[#This Row],[Year]]</f>
        <v>59</v>
      </c>
      <c r="AV72" t="e">
        <f ca="1">tblRiderCF[[#This Row],[Age]]</f>
        <v>#N/A</v>
      </c>
      <c r="AW72">
        <f t="shared" si="2"/>
        <v>0</v>
      </c>
      <c r="AX72" t="e">
        <f t="shared" si="8"/>
        <v>#N/A</v>
      </c>
      <c r="AY72">
        <f t="shared" si="4"/>
        <v>0</v>
      </c>
      <c r="AZ72" s="47" t="e">
        <f ca="1">tblRiderCF[[#This Row],[SI]]</f>
        <v>#N/A</v>
      </c>
      <c r="BA72" t="e">
        <f ca="1">tblRiderCF[[#This Row],[TotalPrem]]</f>
        <v>#N/A</v>
      </c>
      <c r="BB72" t="e">
        <f ca="1">tblRiderCF[[#This Row],[SemiAnnualTotalPrem]]</f>
        <v>#N/A</v>
      </c>
      <c r="BC72" t="e">
        <f ca="1">tblRiderCF[[#This Row],[QuarterlyTotalPrem]]</f>
        <v>#N/A</v>
      </c>
      <c r="BD72" t="e">
        <f ca="1">tblRiderCF[[#This Row],[MonthlyTotalPrem]]</f>
        <v>#N/A</v>
      </c>
      <c r="BG72" t="s">
        <v>135</v>
      </c>
      <c r="BH72" t="s">
        <v>188</v>
      </c>
      <c r="BI72">
        <v>29</v>
      </c>
      <c r="BJ72">
        <v>59</v>
      </c>
      <c r="BK72" t="s">
        <v>483</v>
      </c>
      <c r="BL72">
        <v>44</v>
      </c>
      <c r="BM72">
        <v>0</v>
      </c>
      <c r="BN72">
        <v>250000000</v>
      </c>
      <c r="BO72">
        <v>10221000</v>
      </c>
      <c r="BP72">
        <v>5417000</v>
      </c>
      <c r="BQ72">
        <v>2760000</v>
      </c>
      <c r="BR72">
        <v>920000</v>
      </c>
    </row>
    <row r="73" spans="2:70" x14ac:dyDescent="0.25">
      <c r="B73">
        <f ca="1">OFFSET(tblRiderCF[[#This Row],[Year]],-1,0)+1</f>
        <v>60</v>
      </c>
      <c r="C73" t="e">
        <f ca="1">(tblRiderCF[[#This Row],[Year]]&lt;=term)*1</f>
        <v>#N/A</v>
      </c>
      <c r="D73" t="e">
        <f ca="1">(entry_age+tblRiderCF[[#This Row],[Year]]-1)
*tblRiderCF[[#This Row],[RiderTermFlag]]</f>
        <v>#N/A</v>
      </c>
      <c r="E73" t="e">
        <f ca="1">(risk="Sub-standard")
*tblRiderCF[[#This Row],[RiderTermFlag]]</f>
        <v>#N/A</v>
      </c>
      <c r="F73" t="e">
        <f ca="1">(tblRiderCF[[#This Row],[Year]]&lt;=prem_load_term)
*tblRiderCF[[#This Row],[SubStandardFlag]]</f>
        <v>#N/A</v>
      </c>
      <c r="G73" t="e">
        <f ca="1">(tblRiderCF[[#This Row],[Year]]&lt;=pm_load_term)
*tblRiderCF[[#This Row],[SubStandardFlag]]</f>
        <v>#N/A</v>
      </c>
      <c r="H73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3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3" s="150" t="e" cm="1">
        <f t="array" aca="1" ref="J7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3" s="150" t="e">
        <f ca="1">add_rate*tblRiderCF[[#This Row],[SI]]*(rider=K$11)</f>
        <v>#N/A</v>
      </c>
      <c r="L73" s="150" t="e">
        <f ca="1">INDEX(tblPPDRate[Annualized GPR],MATCH(tblRiderCF[[#This Row],[Age]],tblPPDRate[Min age],1))*tblRiderCF[[#This Row],[SI]]
*(rider=L$11)</f>
        <v>#N/A</v>
      </c>
      <c r="M73" s="150" t="e">
        <f ca="1">INDEX(IF(gender="Male",tblCIR1Rate[Male],tblCIR1Rate[Female]),MATCH(tblRiderCF[[#This Row],[Age]],tblCIR1Rate[Age],0))/1000*tblRiderCF[[#This Row],[SI]]
*(rider=M$11)</f>
        <v>#N/A</v>
      </c>
      <c r="N73" s="150" t="e">
        <f ca="1">INDEX(IF(gender="Male",tblCIR2Rate[Male],tblCIR2Rate[Female]),MATCH(tblRiderCF[[#This Row],[Age]],tblCIR2Rate[Age],0))/1000*tblRiderCF[[#This Row],[SI]]
*(rider=N$11)</f>
        <v>#N/A</v>
      </c>
      <c r="O73" s="150" t="e">
        <f>INDEX(tblHOP2Rate[Premium],MATCH(hop2_option,tblHOP2Rate[Option],0))
*(rider=O$11)</f>
        <v>#N/A</v>
      </c>
      <c r="P73" s="150" t="e">
        <f ca="1">INDEX(Tariff!$CC$5:$CS$44,
MATCH(tblRiderCF[[#This Row],[Age]],Tariff!$CB$5:$CB$44,0),
MATCH(term+1-tblRiderCF[[#This Row],[Year]],Tariff!$CC$4:$CS$4,0))
*(rider=P$11)</f>
        <v>#N/A</v>
      </c>
      <c r="Q73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3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3" s="150" t="e">
        <f ca="1">INDEX(tblRiderCF[[#This Row],[ADD1UnroundedPrem]:[WOP2UnroundedPrem]],MATCH(rider,$K$11:$R$11,0))
*tblRiderCF[[#This Row],[RiderTermFlag]]</f>
        <v>#N/A</v>
      </c>
      <c r="T73" s="150" t="e">
        <f ca="1">tblRiderCF[[#This Row],[UnroundedPrem]]*prem_load</f>
        <v>#N/A</v>
      </c>
      <c r="U73" s="150" t="e">
        <f ca="1">pm_load/1000*tblRiderCF[[#This Row],[SI]]
*tblRiderCF[[#This Row],[RiderTermFlag]]</f>
        <v>#N/A</v>
      </c>
      <c r="V73" s="151" t="e">
        <f ca="1">ROUND(tblRiderCF[[#This Row],[UnroundedPrem]]*V$10,-3)</f>
        <v>#N/A</v>
      </c>
      <c r="W73" t="e">
        <f ca="1">ROUND(tblRiderCF[[#This Row],[UnroundedPremLoad]]*W$10,-3)</f>
        <v>#N/A</v>
      </c>
      <c r="X73" t="e">
        <f ca="1">ROUND(tblRiderCF[[#This Row],[UnroundedPMLoad]]*X$10,-3)</f>
        <v>#N/A</v>
      </c>
      <c r="Y73" t="e">
        <f ca="1">tblRiderCF[[#This Row],[PremLoad]]+tblRiderCF[[#This Row],[PMLoad]]</f>
        <v>#N/A</v>
      </c>
      <c r="Z73" t="e">
        <f ca="1">tblRiderCF[[#This Row],[Prem]]+tblRiderCF[[#This Row],[Load]]</f>
        <v>#N/A</v>
      </c>
      <c r="AA73" t="e">
        <f ca="1">ROUND(tblRiderCF[[#This Row],[UnroundedPrem]]*AA$10,-3)</f>
        <v>#N/A</v>
      </c>
      <c r="AB73" t="e">
        <f ca="1">ROUND(tblRiderCF[[#This Row],[UnroundedPremLoad]]*AB$10,-3)</f>
        <v>#N/A</v>
      </c>
      <c r="AC73" t="e">
        <f ca="1">ROUND(tblRiderCF[[#This Row],[UnroundedPMLoad]]*AC$10,-3)</f>
        <v>#N/A</v>
      </c>
      <c r="AD73" t="e">
        <f ca="1">tblRiderCF[[#This Row],[SemiAnnualPremLoad]]+tblRiderCF[[#This Row],[SemiAnnualPMLoad]]</f>
        <v>#N/A</v>
      </c>
      <c r="AE73" t="e">
        <f ca="1">tblRiderCF[[#This Row],[SemiAnnualPrem]]+tblRiderCF[[#This Row],[SemiAnnualLoad]]</f>
        <v>#N/A</v>
      </c>
      <c r="AF73" t="e">
        <f ca="1">ROUND(tblRiderCF[[#This Row],[UnroundedPrem]]*AF$10,-3)</f>
        <v>#N/A</v>
      </c>
      <c r="AG73" t="e">
        <f ca="1">ROUND(tblRiderCF[[#This Row],[UnroundedPremLoad]]*AG$10,-3)</f>
        <v>#N/A</v>
      </c>
      <c r="AH73" t="e">
        <f ca="1">ROUND(tblRiderCF[[#This Row],[UnroundedPMLoad]]*AH$10,-3)</f>
        <v>#N/A</v>
      </c>
      <c r="AI73" t="e">
        <f ca="1">tblRiderCF[[#This Row],[QuarterlyPremLoad]]+tblRiderCF[[#This Row],[QuarterlyPMLoad]]</f>
        <v>#N/A</v>
      </c>
      <c r="AJ73" t="e">
        <f ca="1">tblRiderCF[[#This Row],[QuarterlyPrem]]+tblRiderCF[[#This Row],[QuarterlyLoad]]</f>
        <v>#N/A</v>
      </c>
      <c r="AK73" t="e">
        <f ca="1">ROUND(tblRiderCF[[#This Row],[UnroundedPrem]]*AK$10,-3)</f>
        <v>#N/A</v>
      </c>
      <c r="AL73" t="e">
        <f ca="1">ROUND(tblRiderCF[[#This Row],[UnroundedPremLoad]]*AL$10,-3)</f>
        <v>#N/A</v>
      </c>
      <c r="AM73" t="e">
        <f ca="1">ROUND(tblRiderCF[[#This Row],[UnroundedPMLoad]]*AM$10,-3)</f>
        <v>#N/A</v>
      </c>
      <c r="AN73" t="e">
        <f ca="1">tblRiderCF[[#This Row],[MonthlyPremLoad]]+tblRiderCF[[#This Row],[MonthlyPMLoad]]</f>
        <v>#N/A</v>
      </c>
      <c r="AO73" t="e">
        <f ca="1">tblRiderCF[[#This Row],[MonthlyPrem]]+tblRiderCF[[#This Row],[MonthlyLoad]]</f>
        <v>#N/A</v>
      </c>
      <c r="AS73">
        <f t="shared" si="6"/>
        <v>0</v>
      </c>
      <c r="AT73">
        <f t="shared" si="7"/>
        <v>0</v>
      </c>
      <c r="AU73">
        <f ca="1">tblRiderCF[[#This Row],[Year]]</f>
        <v>60</v>
      </c>
      <c r="AV73" t="e">
        <f ca="1">tblRiderCF[[#This Row],[Age]]</f>
        <v>#N/A</v>
      </c>
      <c r="AW73">
        <f t="shared" si="2"/>
        <v>0</v>
      </c>
      <c r="AX73" t="e">
        <f t="shared" si="8"/>
        <v>#N/A</v>
      </c>
      <c r="AY73">
        <f t="shared" si="4"/>
        <v>0</v>
      </c>
      <c r="AZ73" s="47" t="e">
        <f ca="1">tblRiderCF[[#This Row],[SI]]</f>
        <v>#N/A</v>
      </c>
      <c r="BA73" t="e">
        <f ca="1">tblRiderCF[[#This Row],[TotalPrem]]</f>
        <v>#N/A</v>
      </c>
      <c r="BB73" t="e">
        <f ca="1">tblRiderCF[[#This Row],[SemiAnnualTotalPrem]]</f>
        <v>#N/A</v>
      </c>
      <c r="BC73" t="e">
        <f ca="1">tblRiderCF[[#This Row],[QuarterlyTotalPrem]]</f>
        <v>#N/A</v>
      </c>
      <c r="BD73" t="e">
        <f ca="1">tblRiderCF[[#This Row],[MonthlyTotalPrem]]</f>
        <v>#N/A</v>
      </c>
      <c r="BG73" t="s">
        <v>135</v>
      </c>
      <c r="BH73" t="s">
        <v>188</v>
      </c>
      <c r="BI73">
        <v>30</v>
      </c>
      <c r="BJ73">
        <v>60</v>
      </c>
      <c r="BK73" t="s">
        <v>483</v>
      </c>
      <c r="BL73">
        <v>44</v>
      </c>
      <c r="BM73">
        <v>0</v>
      </c>
      <c r="BN73">
        <v>250000000</v>
      </c>
      <c r="BO73">
        <v>10777000</v>
      </c>
      <c r="BP73">
        <v>5711000</v>
      </c>
      <c r="BQ73">
        <v>2910000</v>
      </c>
      <c r="BR73">
        <v>970000</v>
      </c>
    </row>
    <row r="74" spans="2:70" x14ac:dyDescent="0.25">
      <c r="B74">
        <f ca="1">OFFSET(tblRiderCF[[#This Row],[Year]],-1,0)+1</f>
        <v>61</v>
      </c>
      <c r="C74" t="e">
        <f ca="1">(tblRiderCF[[#This Row],[Year]]&lt;=term)*1</f>
        <v>#N/A</v>
      </c>
      <c r="D74" t="e">
        <f ca="1">(entry_age+tblRiderCF[[#This Row],[Year]]-1)
*tblRiderCF[[#This Row],[RiderTermFlag]]</f>
        <v>#N/A</v>
      </c>
      <c r="E74" t="e">
        <f ca="1">(risk="Sub-standard")
*tblRiderCF[[#This Row],[RiderTermFlag]]</f>
        <v>#N/A</v>
      </c>
      <c r="F74" t="e">
        <f ca="1">(tblRiderCF[[#This Row],[Year]]&lt;=prem_load_term)
*tblRiderCF[[#This Row],[SubStandardFlag]]</f>
        <v>#N/A</v>
      </c>
      <c r="G74" t="e">
        <f ca="1">(tblRiderCF[[#This Row],[Year]]&lt;=pm_load_term)
*tblRiderCF[[#This Row],[SubStandardFlag]]</f>
        <v>#N/A</v>
      </c>
      <c r="H74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4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4" s="150" t="e" cm="1">
        <f t="array" aca="1" ref="J7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4" s="150" t="e">
        <f ca="1">add_rate*tblRiderCF[[#This Row],[SI]]*(rider=K$11)</f>
        <v>#N/A</v>
      </c>
      <c r="L74" s="150" t="e">
        <f ca="1">INDEX(tblPPDRate[Annualized GPR],MATCH(tblRiderCF[[#This Row],[Age]],tblPPDRate[Min age],1))*tblRiderCF[[#This Row],[SI]]
*(rider=L$11)</f>
        <v>#N/A</v>
      </c>
      <c r="M74" s="150" t="e">
        <f ca="1">INDEX(IF(gender="Male",tblCIR1Rate[Male],tblCIR1Rate[Female]),MATCH(tblRiderCF[[#This Row],[Age]],tblCIR1Rate[Age],0))/1000*tblRiderCF[[#This Row],[SI]]
*(rider=M$11)</f>
        <v>#N/A</v>
      </c>
      <c r="N74" s="150" t="e">
        <f ca="1">INDEX(IF(gender="Male",tblCIR2Rate[Male],tblCIR2Rate[Female]),MATCH(tblRiderCF[[#This Row],[Age]],tblCIR2Rate[Age],0))/1000*tblRiderCF[[#This Row],[SI]]
*(rider=N$11)</f>
        <v>#N/A</v>
      </c>
      <c r="O74" s="150" t="e">
        <f>INDEX(tblHOP2Rate[Premium],MATCH(hop2_option,tblHOP2Rate[Option],0))
*(rider=O$11)</f>
        <v>#N/A</v>
      </c>
      <c r="P74" s="150" t="e">
        <f ca="1">INDEX(Tariff!$CC$5:$CS$44,
MATCH(tblRiderCF[[#This Row],[Age]],Tariff!$CB$5:$CB$44,0),
MATCH(term+1-tblRiderCF[[#This Row],[Year]],Tariff!$CC$4:$CS$4,0))
*(rider=P$11)</f>
        <v>#N/A</v>
      </c>
      <c r="Q74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4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4" s="150" t="e">
        <f ca="1">INDEX(tblRiderCF[[#This Row],[ADD1UnroundedPrem]:[WOP2UnroundedPrem]],MATCH(rider,$K$11:$R$11,0))
*tblRiderCF[[#This Row],[RiderTermFlag]]</f>
        <v>#N/A</v>
      </c>
      <c r="T74" s="150" t="e">
        <f ca="1">tblRiderCF[[#This Row],[UnroundedPrem]]*prem_load</f>
        <v>#N/A</v>
      </c>
      <c r="U74" s="150" t="e">
        <f ca="1">pm_load/1000*tblRiderCF[[#This Row],[SI]]
*tblRiderCF[[#This Row],[RiderTermFlag]]</f>
        <v>#N/A</v>
      </c>
      <c r="V74" s="151" t="e">
        <f ca="1">ROUND(tblRiderCF[[#This Row],[UnroundedPrem]]*V$10,-3)</f>
        <v>#N/A</v>
      </c>
      <c r="W74" t="e">
        <f ca="1">ROUND(tblRiderCF[[#This Row],[UnroundedPremLoad]]*W$10,-3)</f>
        <v>#N/A</v>
      </c>
      <c r="X74" t="e">
        <f ca="1">ROUND(tblRiderCF[[#This Row],[UnroundedPMLoad]]*X$10,-3)</f>
        <v>#N/A</v>
      </c>
      <c r="Y74" t="e">
        <f ca="1">tblRiderCF[[#This Row],[PremLoad]]+tblRiderCF[[#This Row],[PMLoad]]</f>
        <v>#N/A</v>
      </c>
      <c r="Z74" t="e">
        <f ca="1">tblRiderCF[[#This Row],[Prem]]+tblRiderCF[[#This Row],[Load]]</f>
        <v>#N/A</v>
      </c>
      <c r="AA74" t="e">
        <f ca="1">ROUND(tblRiderCF[[#This Row],[UnroundedPrem]]*AA$10,-3)</f>
        <v>#N/A</v>
      </c>
      <c r="AB74" t="e">
        <f ca="1">ROUND(tblRiderCF[[#This Row],[UnroundedPremLoad]]*AB$10,-3)</f>
        <v>#N/A</v>
      </c>
      <c r="AC74" t="e">
        <f ca="1">ROUND(tblRiderCF[[#This Row],[UnroundedPMLoad]]*AC$10,-3)</f>
        <v>#N/A</v>
      </c>
      <c r="AD74" t="e">
        <f ca="1">tblRiderCF[[#This Row],[SemiAnnualPremLoad]]+tblRiderCF[[#This Row],[SemiAnnualPMLoad]]</f>
        <v>#N/A</v>
      </c>
      <c r="AE74" t="e">
        <f ca="1">tblRiderCF[[#This Row],[SemiAnnualPrem]]+tblRiderCF[[#This Row],[SemiAnnualLoad]]</f>
        <v>#N/A</v>
      </c>
      <c r="AF74" t="e">
        <f ca="1">ROUND(tblRiderCF[[#This Row],[UnroundedPrem]]*AF$10,-3)</f>
        <v>#N/A</v>
      </c>
      <c r="AG74" t="e">
        <f ca="1">ROUND(tblRiderCF[[#This Row],[UnroundedPremLoad]]*AG$10,-3)</f>
        <v>#N/A</v>
      </c>
      <c r="AH74" t="e">
        <f ca="1">ROUND(tblRiderCF[[#This Row],[UnroundedPMLoad]]*AH$10,-3)</f>
        <v>#N/A</v>
      </c>
      <c r="AI74" t="e">
        <f ca="1">tblRiderCF[[#This Row],[QuarterlyPremLoad]]+tblRiderCF[[#This Row],[QuarterlyPMLoad]]</f>
        <v>#N/A</v>
      </c>
      <c r="AJ74" t="e">
        <f ca="1">tblRiderCF[[#This Row],[QuarterlyPrem]]+tblRiderCF[[#This Row],[QuarterlyLoad]]</f>
        <v>#N/A</v>
      </c>
      <c r="AK74" t="e">
        <f ca="1">ROUND(tblRiderCF[[#This Row],[UnroundedPrem]]*AK$10,-3)</f>
        <v>#N/A</v>
      </c>
      <c r="AL74" t="e">
        <f ca="1">ROUND(tblRiderCF[[#This Row],[UnroundedPremLoad]]*AL$10,-3)</f>
        <v>#N/A</v>
      </c>
      <c r="AM74" t="e">
        <f ca="1">ROUND(tblRiderCF[[#This Row],[UnroundedPMLoad]]*AM$10,-3)</f>
        <v>#N/A</v>
      </c>
      <c r="AN74" t="e">
        <f ca="1">tblRiderCF[[#This Row],[MonthlyPremLoad]]+tblRiderCF[[#This Row],[MonthlyPMLoad]]</f>
        <v>#N/A</v>
      </c>
      <c r="AO74" t="e">
        <f ca="1">tblRiderCF[[#This Row],[MonthlyPrem]]+tblRiderCF[[#This Row],[MonthlyLoad]]</f>
        <v>#N/A</v>
      </c>
      <c r="AS74">
        <f t="shared" si="6"/>
        <v>0</v>
      </c>
      <c r="AT74">
        <f t="shared" si="7"/>
        <v>0</v>
      </c>
      <c r="AU74">
        <f ca="1">tblRiderCF[[#This Row],[Year]]</f>
        <v>61</v>
      </c>
      <c r="AV74" t="e">
        <f ca="1">tblRiderCF[[#This Row],[Age]]</f>
        <v>#N/A</v>
      </c>
      <c r="AW74">
        <f t="shared" si="2"/>
        <v>0</v>
      </c>
      <c r="AX74" t="e">
        <f t="shared" si="8"/>
        <v>#N/A</v>
      </c>
      <c r="AY74">
        <f t="shared" si="4"/>
        <v>0</v>
      </c>
      <c r="AZ74" s="47" t="e">
        <f ca="1">tblRiderCF[[#This Row],[SI]]</f>
        <v>#N/A</v>
      </c>
      <c r="BA74" t="e">
        <f ca="1">tblRiderCF[[#This Row],[TotalPrem]]</f>
        <v>#N/A</v>
      </c>
      <c r="BB74" t="e">
        <f ca="1">tblRiderCF[[#This Row],[SemiAnnualTotalPrem]]</f>
        <v>#N/A</v>
      </c>
      <c r="BC74" t="e">
        <f ca="1">tblRiderCF[[#This Row],[QuarterlyTotalPrem]]</f>
        <v>#N/A</v>
      </c>
      <c r="BD74" t="e">
        <f ca="1">tblRiderCF[[#This Row],[MonthlyTotalPrem]]</f>
        <v>#N/A</v>
      </c>
      <c r="BG74" t="s">
        <v>135</v>
      </c>
      <c r="BH74" t="s">
        <v>188</v>
      </c>
      <c r="BI74">
        <v>31</v>
      </c>
      <c r="BJ74">
        <v>61</v>
      </c>
      <c r="BK74" t="s">
        <v>483</v>
      </c>
      <c r="BL74">
        <v>44</v>
      </c>
      <c r="BM74">
        <v>0</v>
      </c>
      <c r="BN74">
        <v>250000000</v>
      </c>
      <c r="BO74">
        <v>11341000</v>
      </c>
      <c r="BP74">
        <v>6011000</v>
      </c>
      <c r="BQ74">
        <v>3062000</v>
      </c>
      <c r="BR74">
        <v>1021000</v>
      </c>
    </row>
    <row r="75" spans="2:70" x14ac:dyDescent="0.25">
      <c r="B75">
        <f ca="1">OFFSET(tblRiderCF[[#This Row],[Year]],-1,0)+1</f>
        <v>62</v>
      </c>
      <c r="C75" t="e">
        <f ca="1">(tblRiderCF[[#This Row],[Year]]&lt;=term)*1</f>
        <v>#N/A</v>
      </c>
      <c r="D75" t="e">
        <f ca="1">(entry_age+tblRiderCF[[#This Row],[Year]]-1)
*tblRiderCF[[#This Row],[RiderTermFlag]]</f>
        <v>#N/A</v>
      </c>
      <c r="E75" t="e">
        <f ca="1">(risk="Sub-standard")
*tblRiderCF[[#This Row],[RiderTermFlag]]</f>
        <v>#N/A</v>
      </c>
      <c r="F75" t="e">
        <f ca="1">(tblRiderCF[[#This Row],[Year]]&lt;=prem_load_term)
*tblRiderCF[[#This Row],[SubStandardFlag]]</f>
        <v>#N/A</v>
      </c>
      <c r="G75" t="e">
        <f ca="1">(tblRiderCF[[#This Row],[Year]]&lt;=pm_load_term)
*tblRiderCF[[#This Row],[SubStandardFlag]]</f>
        <v>#N/A</v>
      </c>
      <c r="H75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5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5" s="150" t="e" cm="1">
        <f t="array" aca="1" ref="J7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5" s="150" t="e">
        <f ca="1">add_rate*tblRiderCF[[#This Row],[SI]]*(rider=K$11)</f>
        <v>#N/A</v>
      </c>
      <c r="L75" s="150" t="e">
        <f ca="1">INDEX(tblPPDRate[Annualized GPR],MATCH(tblRiderCF[[#This Row],[Age]],tblPPDRate[Min age],1))*tblRiderCF[[#This Row],[SI]]
*(rider=L$11)</f>
        <v>#N/A</v>
      </c>
      <c r="M75" s="150" t="e">
        <f ca="1">INDEX(IF(gender="Male",tblCIR1Rate[Male],tblCIR1Rate[Female]),MATCH(tblRiderCF[[#This Row],[Age]],tblCIR1Rate[Age],0))/1000*tblRiderCF[[#This Row],[SI]]
*(rider=M$11)</f>
        <v>#N/A</v>
      </c>
      <c r="N75" s="150" t="e">
        <f ca="1">INDEX(IF(gender="Male",tblCIR2Rate[Male],tblCIR2Rate[Female]),MATCH(tblRiderCF[[#This Row],[Age]],tblCIR2Rate[Age],0))/1000*tblRiderCF[[#This Row],[SI]]
*(rider=N$11)</f>
        <v>#N/A</v>
      </c>
      <c r="O75" s="150" t="e">
        <f>INDEX(tblHOP2Rate[Premium],MATCH(hop2_option,tblHOP2Rate[Option],0))
*(rider=O$11)</f>
        <v>#N/A</v>
      </c>
      <c r="P75" s="150" t="e">
        <f ca="1">INDEX(Tariff!$CC$5:$CS$44,
MATCH(tblRiderCF[[#This Row],[Age]],Tariff!$CB$5:$CB$44,0),
MATCH(term+1-tblRiderCF[[#This Row],[Year]],Tariff!$CC$4:$CS$4,0))
*(rider=P$11)</f>
        <v>#N/A</v>
      </c>
      <c r="Q75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5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5" s="150" t="e">
        <f ca="1">INDEX(tblRiderCF[[#This Row],[ADD1UnroundedPrem]:[WOP2UnroundedPrem]],MATCH(rider,$K$11:$R$11,0))
*tblRiderCF[[#This Row],[RiderTermFlag]]</f>
        <v>#N/A</v>
      </c>
      <c r="T75" s="150" t="e">
        <f ca="1">tblRiderCF[[#This Row],[UnroundedPrem]]*prem_load</f>
        <v>#N/A</v>
      </c>
      <c r="U75" s="150" t="e">
        <f ca="1">pm_load/1000*tblRiderCF[[#This Row],[SI]]
*tblRiderCF[[#This Row],[RiderTermFlag]]</f>
        <v>#N/A</v>
      </c>
      <c r="V75" s="151" t="e">
        <f ca="1">ROUND(tblRiderCF[[#This Row],[UnroundedPrem]]*V$10,-3)</f>
        <v>#N/A</v>
      </c>
      <c r="W75" t="e">
        <f ca="1">ROUND(tblRiderCF[[#This Row],[UnroundedPremLoad]]*W$10,-3)</f>
        <v>#N/A</v>
      </c>
      <c r="X75" t="e">
        <f ca="1">ROUND(tblRiderCF[[#This Row],[UnroundedPMLoad]]*X$10,-3)</f>
        <v>#N/A</v>
      </c>
      <c r="Y75" t="e">
        <f ca="1">tblRiderCF[[#This Row],[PremLoad]]+tblRiderCF[[#This Row],[PMLoad]]</f>
        <v>#N/A</v>
      </c>
      <c r="Z75" t="e">
        <f ca="1">tblRiderCF[[#This Row],[Prem]]+tblRiderCF[[#This Row],[Load]]</f>
        <v>#N/A</v>
      </c>
      <c r="AA75" t="e">
        <f ca="1">ROUND(tblRiderCF[[#This Row],[UnroundedPrem]]*AA$10,-3)</f>
        <v>#N/A</v>
      </c>
      <c r="AB75" t="e">
        <f ca="1">ROUND(tblRiderCF[[#This Row],[UnroundedPremLoad]]*AB$10,-3)</f>
        <v>#N/A</v>
      </c>
      <c r="AC75" t="e">
        <f ca="1">ROUND(tblRiderCF[[#This Row],[UnroundedPMLoad]]*AC$10,-3)</f>
        <v>#N/A</v>
      </c>
      <c r="AD75" t="e">
        <f ca="1">tblRiderCF[[#This Row],[SemiAnnualPremLoad]]+tblRiderCF[[#This Row],[SemiAnnualPMLoad]]</f>
        <v>#N/A</v>
      </c>
      <c r="AE75" t="e">
        <f ca="1">tblRiderCF[[#This Row],[SemiAnnualPrem]]+tblRiderCF[[#This Row],[SemiAnnualLoad]]</f>
        <v>#N/A</v>
      </c>
      <c r="AF75" t="e">
        <f ca="1">ROUND(tblRiderCF[[#This Row],[UnroundedPrem]]*AF$10,-3)</f>
        <v>#N/A</v>
      </c>
      <c r="AG75" t="e">
        <f ca="1">ROUND(tblRiderCF[[#This Row],[UnroundedPremLoad]]*AG$10,-3)</f>
        <v>#N/A</v>
      </c>
      <c r="AH75" t="e">
        <f ca="1">ROUND(tblRiderCF[[#This Row],[UnroundedPMLoad]]*AH$10,-3)</f>
        <v>#N/A</v>
      </c>
      <c r="AI75" t="e">
        <f ca="1">tblRiderCF[[#This Row],[QuarterlyPremLoad]]+tblRiderCF[[#This Row],[QuarterlyPMLoad]]</f>
        <v>#N/A</v>
      </c>
      <c r="AJ75" t="e">
        <f ca="1">tblRiderCF[[#This Row],[QuarterlyPrem]]+tblRiderCF[[#This Row],[QuarterlyLoad]]</f>
        <v>#N/A</v>
      </c>
      <c r="AK75" t="e">
        <f ca="1">ROUND(tblRiderCF[[#This Row],[UnroundedPrem]]*AK$10,-3)</f>
        <v>#N/A</v>
      </c>
      <c r="AL75" t="e">
        <f ca="1">ROUND(tblRiderCF[[#This Row],[UnroundedPremLoad]]*AL$10,-3)</f>
        <v>#N/A</v>
      </c>
      <c r="AM75" t="e">
        <f ca="1">ROUND(tblRiderCF[[#This Row],[UnroundedPMLoad]]*AM$10,-3)</f>
        <v>#N/A</v>
      </c>
      <c r="AN75" t="e">
        <f ca="1">tblRiderCF[[#This Row],[MonthlyPremLoad]]+tblRiderCF[[#This Row],[MonthlyPMLoad]]</f>
        <v>#N/A</v>
      </c>
      <c r="AO75" t="e">
        <f ca="1">tblRiderCF[[#This Row],[MonthlyPrem]]+tblRiderCF[[#This Row],[MonthlyLoad]]</f>
        <v>#N/A</v>
      </c>
      <c r="AS75">
        <f t="shared" si="6"/>
        <v>0</v>
      </c>
      <c r="AT75">
        <f t="shared" si="7"/>
        <v>0</v>
      </c>
      <c r="AU75">
        <f ca="1">tblRiderCF[[#This Row],[Year]]</f>
        <v>62</v>
      </c>
      <c r="AV75" t="e">
        <f ca="1">tblRiderCF[[#This Row],[Age]]</f>
        <v>#N/A</v>
      </c>
      <c r="AW75">
        <f t="shared" si="2"/>
        <v>0</v>
      </c>
      <c r="AX75" t="e">
        <f t="shared" si="8"/>
        <v>#N/A</v>
      </c>
      <c r="AY75">
        <f t="shared" si="4"/>
        <v>0</v>
      </c>
      <c r="AZ75" s="47" t="e">
        <f ca="1">tblRiderCF[[#This Row],[SI]]</f>
        <v>#N/A</v>
      </c>
      <c r="BA75" t="e">
        <f ca="1">tblRiderCF[[#This Row],[TotalPrem]]</f>
        <v>#N/A</v>
      </c>
      <c r="BB75" t="e">
        <f ca="1">tblRiderCF[[#This Row],[SemiAnnualTotalPrem]]</f>
        <v>#N/A</v>
      </c>
      <c r="BC75" t="e">
        <f ca="1">tblRiderCF[[#This Row],[QuarterlyTotalPrem]]</f>
        <v>#N/A</v>
      </c>
      <c r="BD75" t="e">
        <f ca="1">tblRiderCF[[#This Row],[MonthlyTotalPrem]]</f>
        <v>#N/A</v>
      </c>
      <c r="BG75" t="s">
        <v>135</v>
      </c>
      <c r="BH75" t="s">
        <v>188</v>
      </c>
      <c r="BI75">
        <v>32</v>
      </c>
      <c r="BJ75">
        <v>62</v>
      </c>
      <c r="BK75" t="s">
        <v>483</v>
      </c>
      <c r="BL75">
        <v>44</v>
      </c>
      <c r="BM75">
        <v>0</v>
      </c>
      <c r="BN75">
        <v>250000000</v>
      </c>
      <c r="BO75">
        <v>11989000</v>
      </c>
      <c r="BP75">
        <v>6354000</v>
      </c>
      <c r="BQ75">
        <v>3237000</v>
      </c>
      <c r="BR75">
        <v>1079000</v>
      </c>
    </row>
    <row r="76" spans="2:70" x14ac:dyDescent="0.25">
      <c r="B76">
        <f ca="1">OFFSET(tblRiderCF[[#This Row],[Year]],-1,0)+1</f>
        <v>63</v>
      </c>
      <c r="C76" t="e">
        <f ca="1">(tblRiderCF[[#This Row],[Year]]&lt;=term)*1</f>
        <v>#N/A</v>
      </c>
      <c r="D76" t="e">
        <f ca="1">(entry_age+tblRiderCF[[#This Row],[Year]]-1)
*tblRiderCF[[#This Row],[RiderTermFlag]]</f>
        <v>#N/A</v>
      </c>
      <c r="E76" t="e">
        <f ca="1">(risk="Sub-standard")
*tblRiderCF[[#This Row],[RiderTermFlag]]</f>
        <v>#N/A</v>
      </c>
      <c r="F76" t="e">
        <f ca="1">(tblRiderCF[[#This Row],[Year]]&lt;=prem_load_term)
*tblRiderCF[[#This Row],[SubStandardFlag]]</f>
        <v>#N/A</v>
      </c>
      <c r="G76" t="e">
        <f ca="1">(tblRiderCF[[#This Row],[Year]]&lt;=pm_load_term)
*tblRiderCF[[#This Row],[SubStandardFlag]]</f>
        <v>#N/A</v>
      </c>
      <c r="H76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6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6" s="150" t="e" cm="1">
        <f t="array" aca="1" ref="J7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6" s="150" t="e">
        <f ca="1">add_rate*tblRiderCF[[#This Row],[SI]]*(rider=K$11)</f>
        <v>#N/A</v>
      </c>
      <c r="L76" s="150" t="e">
        <f ca="1">INDEX(tblPPDRate[Annualized GPR],MATCH(tblRiderCF[[#This Row],[Age]],tblPPDRate[Min age],1))*tblRiderCF[[#This Row],[SI]]
*(rider=L$11)</f>
        <v>#N/A</v>
      </c>
      <c r="M76" s="150" t="e">
        <f ca="1">INDEX(IF(gender="Male",tblCIR1Rate[Male],tblCIR1Rate[Female]),MATCH(tblRiderCF[[#This Row],[Age]],tblCIR1Rate[Age],0))/1000*tblRiderCF[[#This Row],[SI]]
*(rider=M$11)</f>
        <v>#N/A</v>
      </c>
      <c r="N76" s="150" t="e">
        <f ca="1">INDEX(IF(gender="Male",tblCIR2Rate[Male],tblCIR2Rate[Female]),MATCH(tblRiderCF[[#This Row],[Age]],tblCIR2Rate[Age],0))/1000*tblRiderCF[[#This Row],[SI]]
*(rider=N$11)</f>
        <v>#N/A</v>
      </c>
      <c r="O76" s="150" t="e">
        <f>INDEX(tblHOP2Rate[Premium],MATCH(hop2_option,tblHOP2Rate[Option],0))
*(rider=O$11)</f>
        <v>#N/A</v>
      </c>
      <c r="P76" s="150" t="e">
        <f ca="1">INDEX(Tariff!$CC$5:$CS$44,
MATCH(tblRiderCF[[#This Row],[Age]],Tariff!$CB$5:$CB$44,0),
MATCH(term+1-tblRiderCF[[#This Row],[Year]],Tariff!$CC$4:$CS$4,0))
*(rider=P$11)</f>
        <v>#N/A</v>
      </c>
      <c r="Q76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6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6" s="150" t="e">
        <f ca="1">INDEX(tblRiderCF[[#This Row],[ADD1UnroundedPrem]:[WOP2UnroundedPrem]],MATCH(rider,$K$11:$R$11,0))
*tblRiderCF[[#This Row],[RiderTermFlag]]</f>
        <v>#N/A</v>
      </c>
      <c r="T76" s="150" t="e">
        <f ca="1">tblRiderCF[[#This Row],[UnroundedPrem]]*prem_load</f>
        <v>#N/A</v>
      </c>
      <c r="U76" s="150" t="e">
        <f ca="1">pm_load/1000*tblRiderCF[[#This Row],[SI]]
*tblRiderCF[[#This Row],[RiderTermFlag]]</f>
        <v>#N/A</v>
      </c>
      <c r="V76" s="151" t="e">
        <f ca="1">ROUND(tblRiderCF[[#This Row],[UnroundedPrem]]*V$10,-3)</f>
        <v>#N/A</v>
      </c>
      <c r="W76" t="e">
        <f ca="1">ROUND(tblRiderCF[[#This Row],[UnroundedPremLoad]]*W$10,-3)</f>
        <v>#N/A</v>
      </c>
      <c r="X76" t="e">
        <f ca="1">ROUND(tblRiderCF[[#This Row],[UnroundedPMLoad]]*X$10,-3)</f>
        <v>#N/A</v>
      </c>
      <c r="Y76" t="e">
        <f ca="1">tblRiderCF[[#This Row],[PremLoad]]+tblRiderCF[[#This Row],[PMLoad]]</f>
        <v>#N/A</v>
      </c>
      <c r="Z76" t="e">
        <f ca="1">tblRiderCF[[#This Row],[Prem]]+tblRiderCF[[#This Row],[Load]]</f>
        <v>#N/A</v>
      </c>
      <c r="AA76" t="e">
        <f ca="1">ROUND(tblRiderCF[[#This Row],[UnroundedPrem]]*AA$10,-3)</f>
        <v>#N/A</v>
      </c>
      <c r="AB76" t="e">
        <f ca="1">ROUND(tblRiderCF[[#This Row],[UnroundedPremLoad]]*AB$10,-3)</f>
        <v>#N/A</v>
      </c>
      <c r="AC76" t="e">
        <f ca="1">ROUND(tblRiderCF[[#This Row],[UnroundedPMLoad]]*AC$10,-3)</f>
        <v>#N/A</v>
      </c>
      <c r="AD76" t="e">
        <f ca="1">tblRiderCF[[#This Row],[SemiAnnualPremLoad]]+tblRiderCF[[#This Row],[SemiAnnualPMLoad]]</f>
        <v>#N/A</v>
      </c>
      <c r="AE76" t="e">
        <f ca="1">tblRiderCF[[#This Row],[SemiAnnualPrem]]+tblRiderCF[[#This Row],[SemiAnnualLoad]]</f>
        <v>#N/A</v>
      </c>
      <c r="AF76" t="e">
        <f ca="1">ROUND(tblRiderCF[[#This Row],[UnroundedPrem]]*AF$10,-3)</f>
        <v>#N/A</v>
      </c>
      <c r="AG76" t="e">
        <f ca="1">ROUND(tblRiderCF[[#This Row],[UnroundedPremLoad]]*AG$10,-3)</f>
        <v>#N/A</v>
      </c>
      <c r="AH76" t="e">
        <f ca="1">ROUND(tblRiderCF[[#This Row],[UnroundedPMLoad]]*AH$10,-3)</f>
        <v>#N/A</v>
      </c>
      <c r="AI76" t="e">
        <f ca="1">tblRiderCF[[#This Row],[QuarterlyPremLoad]]+tblRiderCF[[#This Row],[QuarterlyPMLoad]]</f>
        <v>#N/A</v>
      </c>
      <c r="AJ76" t="e">
        <f ca="1">tblRiderCF[[#This Row],[QuarterlyPrem]]+tblRiderCF[[#This Row],[QuarterlyLoad]]</f>
        <v>#N/A</v>
      </c>
      <c r="AK76" t="e">
        <f ca="1">ROUND(tblRiderCF[[#This Row],[UnroundedPrem]]*AK$10,-3)</f>
        <v>#N/A</v>
      </c>
      <c r="AL76" t="e">
        <f ca="1">ROUND(tblRiderCF[[#This Row],[UnroundedPremLoad]]*AL$10,-3)</f>
        <v>#N/A</v>
      </c>
      <c r="AM76" t="e">
        <f ca="1">ROUND(tblRiderCF[[#This Row],[UnroundedPMLoad]]*AM$10,-3)</f>
        <v>#N/A</v>
      </c>
      <c r="AN76" t="e">
        <f ca="1">tblRiderCF[[#This Row],[MonthlyPremLoad]]+tblRiderCF[[#This Row],[MonthlyPMLoad]]</f>
        <v>#N/A</v>
      </c>
      <c r="AO76" t="e">
        <f ca="1">tblRiderCF[[#This Row],[MonthlyPrem]]+tblRiderCF[[#This Row],[MonthlyLoad]]</f>
        <v>#N/A</v>
      </c>
      <c r="AS76">
        <f t="shared" si="6"/>
        <v>0</v>
      </c>
      <c r="AT76">
        <f t="shared" si="7"/>
        <v>0</v>
      </c>
      <c r="AU76">
        <f ca="1">tblRiderCF[[#This Row],[Year]]</f>
        <v>63</v>
      </c>
      <c r="AV76" t="e">
        <f ca="1">tblRiderCF[[#This Row],[Age]]</f>
        <v>#N/A</v>
      </c>
      <c r="AW76">
        <f t="shared" si="2"/>
        <v>0</v>
      </c>
      <c r="AX76" t="e">
        <f t="shared" si="8"/>
        <v>#N/A</v>
      </c>
      <c r="AY76">
        <f t="shared" si="4"/>
        <v>0</v>
      </c>
      <c r="AZ76" s="47" t="e">
        <f ca="1">tblRiderCF[[#This Row],[SI]]</f>
        <v>#N/A</v>
      </c>
      <c r="BA76" t="e">
        <f ca="1">tblRiderCF[[#This Row],[TotalPrem]]</f>
        <v>#N/A</v>
      </c>
      <c r="BB76" t="e">
        <f ca="1">tblRiderCF[[#This Row],[SemiAnnualTotalPrem]]</f>
        <v>#N/A</v>
      </c>
      <c r="BC76" t="e">
        <f ca="1">tblRiderCF[[#This Row],[QuarterlyTotalPrem]]</f>
        <v>#N/A</v>
      </c>
      <c r="BD76" t="e">
        <f ca="1">tblRiderCF[[#This Row],[MonthlyTotalPrem]]</f>
        <v>#N/A</v>
      </c>
      <c r="BG76" t="s">
        <v>135</v>
      </c>
      <c r="BH76" t="s">
        <v>188</v>
      </c>
      <c r="BI76">
        <v>33</v>
      </c>
      <c r="BJ76">
        <v>63</v>
      </c>
      <c r="BK76" t="s">
        <v>483</v>
      </c>
      <c r="BL76">
        <v>44</v>
      </c>
      <c r="BM76">
        <v>0</v>
      </c>
      <c r="BN76">
        <v>250000000</v>
      </c>
      <c r="BO76">
        <v>12912000</v>
      </c>
      <c r="BP76">
        <v>6843000</v>
      </c>
      <c r="BQ76">
        <v>3486000</v>
      </c>
      <c r="BR76">
        <v>1162000</v>
      </c>
    </row>
    <row r="77" spans="2:70" x14ac:dyDescent="0.25">
      <c r="B77">
        <f ca="1">OFFSET(tblRiderCF[[#This Row],[Year]],-1,0)+1</f>
        <v>64</v>
      </c>
      <c r="C77" t="e">
        <f ca="1">(tblRiderCF[[#This Row],[Year]]&lt;=term)*1</f>
        <v>#N/A</v>
      </c>
      <c r="D77" t="e">
        <f ca="1">(entry_age+tblRiderCF[[#This Row],[Year]]-1)
*tblRiderCF[[#This Row],[RiderTermFlag]]</f>
        <v>#N/A</v>
      </c>
      <c r="E77" t="e">
        <f ca="1">(risk="Sub-standard")
*tblRiderCF[[#This Row],[RiderTermFlag]]</f>
        <v>#N/A</v>
      </c>
      <c r="F77" t="e">
        <f ca="1">(tblRiderCF[[#This Row],[Year]]&lt;=prem_load_term)
*tblRiderCF[[#This Row],[SubStandardFlag]]</f>
        <v>#N/A</v>
      </c>
      <c r="G77" t="e">
        <f ca="1">(tblRiderCF[[#This Row],[Year]]&lt;=pm_load_term)
*tblRiderCF[[#This Row],[SubStandardFlag]]</f>
        <v>#N/A</v>
      </c>
      <c r="H77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7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7" s="150" t="e" cm="1">
        <f t="array" aca="1" ref="J7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7" s="150" t="e">
        <f ca="1">add_rate*tblRiderCF[[#This Row],[SI]]*(rider=K$11)</f>
        <v>#N/A</v>
      </c>
      <c r="L77" s="150" t="e">
        <f ca="1">INDEX(tblPPDRate[Annualized GPR],MATCH(tblRiderCF[[#This Row],[Age]],tblPPDRate[Min age],1))*tblRiderCF[[#This Row],[SI]]
*(rider=L$11)</f>
        <v>#N/A</v>
      </c>
      <c r="M77" s="150" t="e">
        <f ca="1">INDEX(IF(gender="Male",tblCIR1Rate[Male],tblCIR1Rate[Female]),MATCH(tblRiderCF[[#This Row],[Age]],tblCIR1Rate[Age],0))/1000*tblRiderCF[[#This Row],[SI]]
*(rider=M$11)</f>
        <v>#N/A</v>
      </c>
      <c r="N77" s="150" t="e">
        <f ca="1">INDEX(IF(gender="Male",tblCIR2Rate[Male],tblCIR2Rate[Female]),MATCH(tblRiderCF[[#This Row],[Age]],tblCIR2Rate[Age],0))/1000*tblRiderCF[[#This Row],[SI]]
*(rider=N$11)</f>
        <v>#N/A</v>
      </c>
      <c r="O77" s="150" t="e">
        <f>INDEX(tblHOP2Rate[Premium],MATCH(hop2_option,tblHOP2Rate[Option],0))
*(rider=O$11)</f>
        <v>#N/A</v>
      </c>
      <c r="P77" s="150" t="e">
        <f ca="1">INDEX(Tariff!$CC$5:$CS$44,
MATCH(tblRiderCF[[#This Row],[Age]],Tariff!$CB$5:$CB$44,0),
MATCH(term+1-tblRiderCF[[#This Row],[Year]],Tariff!$CC$4:$CS$4,0))
*(rider=P$11)</f>
        <v>#N/A</v>
      </c>
      <c r="Q77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7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7" s="150" t="e">
        <f ca="1">INDEX(tblRiderCF[[#This Row],[ADD1UnroundedPrem]:[WOP2UnroundedPrem]],MATCH(rider,$K$11:$R$11,0))
*tblRiderCF[[#This Row],[RiderTermFlag]]</f>
        <v>#N/A</v>
      </c>
      <c r="T77" s="150" t="e">
        <f ca="1">tblRiderCF[[#This Row],[UnroundedPrem]]*prem_load</f>
        <v>#N/A</v>
      </c>
      <c r="U77" s="150" t="e">
        <f ca="1">pm_load/1000*tblRiderCF[[#This Row],[SI]]
*tblRiderCF[[#This Row],[RiderTermFlag]]</f>
        <v>#N/A</v>
      </c>
      <c r="V77" s="151" t="e">
        <f ca="1">ROUND(tblRiderCF[[#This Row],[UnroundedPrem]]*V$10,-3)</f>
        <v>#N/A</v>
      </c>
      <c r="W77" t="e">
        <f ca="1">ROUND(tblRiderCF[[#This Row],[UnroundedPremLoad]]*W$10,-3)</f>
        <v>#N/A</v>
      </c>
      <c r="X77" t="e">
        <f ca="1">ROUND(tblRiderCF[[#This Row],[UnroundedPMLoad]]*X$10,-3)</f>
        <v>#N/A</v>
      </c>
      <c r="Y77" t="e">
        <f ca="1">tblRiderCF[[#This Row],[PremLoad]]+tblRiderCF[[#This Row],[PMLoad]]</f>
        <v>#N/A</v>
      </c>
      <c r="Z77" t="e">
        <f ca="1">tblRiderCF[[#This Row],[Prem]]+tblRiderCF[[#This Row],[Load]]</f>
        <v>#N/A</v>
      </c>
      <c r="AA77" t="e">
        <f ca="1">ROUND(tblRiderCF[[#This Row],[UnroundedPrem]]*AA$10,-3)</f>
        <v>#N/A</v>
      </c>
      <c r="AB77" t="e">
        <f ca="1">ROUND(tblRiderCF[[#This Row],[UnroundedPremLoad]]*AB$10,-3)</f>
        <v>#N/A</v>
      </c>
      <c r="AC77" t="e">
        <f ca="1">ROUND(tblRiderCF[[#This Row],[UnroundedPMLoad]]*AC$10,-3)</f>
        <v>#N/A</v>
      </c>
      <c r="AD77" t="e">
        <f ca="1">tblRiderCF[[#This Row],[SemiAnnualPremLoad]]+tblRiderCF[[#This Row],[SemiAnnualPMLoad]]</f>
        <v>#N/A</v>
      </c>
      <c r="AE77" t="e">
        <f ca="1">tblRiderCF[[#This Row],[SemiAnnualPrem]]+tblRiderCF[[#This Row],[SemiAnnualLoad]]</f>
        <v>#N/A</v>
      </c>
      <c r="AF77" t="e">
        <f ca="1">ROUND(tblRiderCF[[#This Row],[UnroundedPrem]]*AF$10,-3)</f>
        <v>#N/A</v>
      </c>
      <c r="AG77" t="e">
        <f ca="1">ROUND(tblRiderCF[[#This Row],[UnroundedPremLoad]]*AG$10,-3)</f>
        <v>#N/A</v>
      </c>
      <c r="AH77" t="e">
        <f ca="1">ROUND(tblRiderCF[[#This Row],[UnroundedPMLoad]]*AH$10,-3)</f>
        <v>#N/A</v>
      </c>
      <c r="AI77" t="e">
        <f ca="1">tblRiderCF[[#This Row],[QuarterlyPremLoad]]+tblRiderCF[[#This Row],[QuarterlyPMLoad]]</f>
        <v>#N/A</v>
      </c>
      <c r="AJ77" t="e">
        <f ca="1">tblRiderCF[[#This Row],[QuarterlyPrem]]+tblRiderCF[[#This Row],[QuarterlyLoad]]</f>
        <v>#N/A</v>
      </c>
      <c r="AK77" t="e">
        <f ca="1">ROUND(tblRiderCF[[#This Row],[UnroundedPrem]]*AK$10,-3)</f>
        <v>#N/A</v>
      </c>
      <c r="AL77" t="e">
        <f ca="1">ROUND(tblRiderCF[[#This Row],[UnroundedPremLoad]]*AL$10,-3)</f>
        <v>#N/A</v>
      </c>
      <c r="AM77" t="e">
        <f ca="1">ROUND(tblRiderCF[[#This Row],[UnroundedPMLoad]]*AM$10,-3)</f>
        <v>#N/A</v>
      </c>
      <c r="AN77" t="e">
        <f ca="1">tblRiderCF[[#This Row],[MonthlyPremLoad]]+tblRiderCF[[#This Row],[MonthlyPMLoad]]</f>
        <v>#N/A</v>
      </c>
      <c r="AO77" t="e">
        <f ca="1">tblRiderCF[[#This Row],[MonthlyPrem]]+tblRiderCF[[#This Row],[MonthlyLoad]]</f>
        <v>#N/A</v>
      </c>
      <c r="AS77">
        <f t="shared" si="6"/>
        <v>0</v>
      </c>
      <c r="AT77">
        <f t="shared" si="7"/>
        <v>0</v>
      </c>
      <c r="AU77">
        <f ca="1">tblRiderCF[[#This Row],[Year]]</f>
        <v>64</v>
      </c>
      <c r="AV77" t="e">
        <f ca="1">tblRiderCF[[#This Row],[Age]]</f>
        <v>#N/A</v>
      </c>
      <c r="AW77">
        <f t="shared" si="2"/>
        <v>0</v>
      </c>
      <c r="AX77" t="e">
        <f t="shared" si="8"/>
        <v>#N/A</v>
      </c>
      <c r="AY77">
        <f t="shared" si="4"/>
        <v>0</v>
      </c>
      <c r="AZ77" s="47" t="e">
        <f ca="1">tblRiderCF[[#This Row],[SI]]</f>
        <v>#N/A</v>
      </c>
      <c r="BA77" t="e">
        <f ca="1">tblRiderCF[[#This Row],[TotalPrem]]</f>
        <v>#N/A</v>
      </c>
      <c r="BB77" t="e">
        <f ca="1">tblRiderCF[[#This Row],[SemiAnnualTotalPrem]]</f>
        <v>#N/A</v>
      </c>
      <c r="BC77" t="e">
        <f ca="1">tblRiderCF[[#This Row],[QuarterlyTotalPrem]]</f>
        <v>#N/A</v>
      </c>
      <c r="BD77" t="e">
        <f ca="1">tblRiderCF[[#This Row],[MonthlyTotalPrem]]</f>
        <v>#N/A</v>
      </c>
      <c r="BG77" t="s">
        <v>135</v>
      </c>
      <c r="BH77" t="s">
        <v>188</v>
      </c>
      <c r="BI77">
        <v>34</v>
      </c>
      <c r="BJ77">
        <v>64</v>
      </c>
      <c r="BK77" t="s">
        <v>483</v>
      </c>
      <c r="BL77">
        <v>44</v>
      </c>
      <c r="BM77">
        <v>0</v>
      </c>
      <c r="BN77">
        <v>250000000</v>
      </c>
      <c r="BO77">
        <v>14036000</v>
      </c>
      <c r="BP77">
        <v>7440000</v>
      </c>
      <c r="BQ77">
        <v>3789000</v>
      </c>
      <c r="BR77">
        <v>1263000</v>
      </c>
    </row>
    <row r="78" spans="2:70" x14ac:dyDescent="0.25">
      <c r="B78">
        <f ca="1">OFFSET(tblRiderCF[[#This Row],[Year]],-1,0)+1</f>
        <v>65</v>
      </c>
      <c r="C78" t="e">
        <f ca="1">(tblRiderCF[[#This Row],[Year]]&lt;=term)*1</f>
        <v>#N/A</v>
      </c>
      <c r="D78" t="e">
        <f ca="1">(entry_age+tblRiderCF[[#This Row],[Year]]-1)
*tblRiderCF[[#This Row],[RiderTermFlag]]</f>
        <v>#N/A</v>
      </c>
      <c r="E78" t="e">
        <f ca="1">(risk="Sub-standard")
*tblRiderCF[[#This Row],[RiderTermFlag]]</f>
        <v>#N/A</v>
      </c>
      <c r="F78" t="e">
        <f ca="1">(tblRiderCF[[#This Row],[Year]]&lt;=prem_load_term)
*tblRiderCF[[#This Row],[SubStandardFlag]]</f>
        <v>#N/A</v>
      </c>
      <c r="G78" t="e">
        <f ca="1">(tblRiderCF[[#This Row],[Year]]&lt;=pm_load_term)
*tblRiderCF[[#This Row],[SubStandardFlag]]</f>
        <v>#N/A</v>
      </c>
      <c r="H78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8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8" s="150" t="e" cm="1">
        <f t="array" aca="1" ref="J7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8" s="150" t="e">
        <f ca="1">add_rate*tblRiderCF[[#This Row],[SI]]*(rider=K$11)</f>
        <v>#N/A</v>
      </c>
      <c r="L78" s="150" t="e">
        <f ca="1">INDEX(tblPPDRate[Annualized GPR],MATCH(tblRiderCF[[#This Row],[Age]],tblPPDRate[Min age],1))*tblRiderCF[[#This Row],[SI]]
*(rider=L$11)</f>
        <v>#N/A</v>
      </c>
      <c r="M78" s="150" t="e">
        <f ca="1">INDEX(IF(gender="Male",tblCIR1Rate[Male],tblCIR1Rate[Female]),MATCH(tblRiderCF[[#This Row],[Age]],tblCIR1Rate[Age],0))/1000*tblRiderCF[[#This Row],[SI]]
*(rider=M$11)</f>
        <v>#N/A</v>
      </c>
      <c r="N78" s="150" t="e">
        <f ca="1">INDEX(IF(gender="Male",tblCIR2Rate[Male],tblCIR2Rate[Female]),MATCH(tblRiderCF[[#This Row],[Age]],tblCIR2Rate[Age],0))/1000*tblRiderCF[[#This Row],[SI]]
*(rider=N$11)</f>
        <v>#N/A</v>
      </c>
      <c r="O78" s="150" t="e">
        <f>INDEX(tblHOP2Rate[Premium],MATCH(hop2_option,tblHOP2Rate[Option],0))
*(rider=O$11)</f>
        <v>#N/A</v>
      </c>
      <c r="P78" s="150" t="e">
        <f ca="1">INDEX(Tariff!$CC$5:$CS$44,
MATCH(tblRiderCF[[#This Row],[Age]],Tariff!$CB$5:$CB$44,0),
MATCH(term+1-tblRiderCF[[#This Row],[Year]],Tariff!$CC$4:$CS$4,0))
*(rider=P$11)</f>
        <v>#N/A</v>
      </c>
      <c r="Q78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8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8" s="150" t="e">
        <f ca="1">INDEX(tblRiderCF[[#This Row],[ADD1UnroundedPrem]:[WOP2UnroundedPrem]],MATCH(rider,$K$11:$R$11,0))
*tblRiderCF[[#This Row],[RiderTermFlag]]</f>
        <v>#N/A</v>
      </c>
      <c r="T78" s="150" t="e">
        <f ca="1">tblRiderCF[[#This Row],[UnroundedPrem]]*prem_load</f>
        <v>#N/A</v>
      </c>
      <c r="U78" s="150" t="e">
        <f ca="1">pm_load/1000*tblRiderCF[[#This Row],[SI]]
*tblRiderCF[[#This Row],[RiderTermFlag]]</f>
        <v>#N/A</v>
      </c>
      <c r="V78" s="151" t="e">
        <f ca="1">ROUND(tblRiderCF[[#This Row],[UnroundedPrem]]*V$10,-3)</f>
        <v>#N/A</v>
      </c>
      <c r="W78" t="e">
        <f ca="1">ROUND(tblRiderCF[[#This Row],[UnroundedPremLoad]]*W$10,-3)</f>
        <v>#N/A</v>
      </c>
      <c r="X78" t="e">
        <f ca="1">ROUND(tblRiderCF[[#This Row],[UnroundedPMLoad]]*X$10,-3)</f>
        <v>#N/A</v>
      </c>
      <c r="Y78" t="e">
        <f ca="1">tblRiderCF[[#This Row],[PremLoad]]+tblRiderCF[[#This Row],[PMLoad]]</f>
        <v>#N/A</v>
      </c>
      <c r="Z78" t="e">
        <f ca="1">tblRiderCF[[#This Row],[Prem]]+tblRiderCF[[#This Row],[Load]]</f>
        <v>#N/A</v>
      </c>
      <c r="AA78" t="e">
        <f ca="1">ROUND(tblRiderCF[[#This Row],[UnroundedPrem]]*AA$10,-3)</f>
        <v>#N/A</v>
      </c>
      <c r="AB78" t="e">
        <f ca="1">ROUND(tblRiderCF[[#This Row],[UnroundedPremLoad]]*AB$10,-3)</f>
        <v>#N/A</v>
      </c>
      <c r="AC78" t="e">
        <f ca="1">ROUND(tblRiderCF[[#This Row],[UnroundedPMLoad]]*AC$10,-3)</f>
        <v>#N/A</v>
      </c>
      <c r="AD78" t="e">
        <f ca="1">tblRiderCF[[#This Row],[SemiAnnualPremLoad]]+tblRiderCF[[#This Row],[SemiAnnualPMLoad]]</f>
        <v>#N/A</v>
      </c>
      <c r="AE78" t="e">
        <f ca="1">tblRiderCF[[#This Row],[SemiAnnualPrem]]+tblRiderCF[[#This Row],[SemiAnnualLoad]]</f>
        <v>#N/A</v>
      </c>
      <c r="AF78" t="e">
        <f ca="1">ROUND(tblRiderCF[[#This Row],[UnroundedPrem]]*AF$10,-3)</f>
        <v>#N/A</v>
      </c>
      <c r="AG78" t="e">
        <f ca="1">ROUND(tblRiderCF[[#This Row],[UnroundedPremLoad]]*AG$10,-3)</f>
        <v>#N/A</v>
      </c>
      <c r="AH78" t="e">
        <f ca="1">ROUND(tblRiderCF[[#This Row],[UnroundedPMLoad]]*AH$10,-3)</f>
        <v>#N/A</v>
      </c>
      <c r="AI78" t="e">
        <f ca="1">tblRiderCF[[#This Row],[QuarterlyPremLoad]]+tblRiderCF[[#This Row],[QuarterlyPMLoad]]</f>
        <v>#N/A</v>
      </c>
      <c r="AJ78" t="e">
        <f ca="1">tblRiderCF[[#This Row],[QuarterlyPrem]]+tblRiderCF[[#This Row],[QuarterlyLoad]]</f>
        <v>#N/A</v>
      </c>
      <c r="AK78" t="e">
        <f ca="1">ROUND(tblRiderCF[[#This Row],[UnroundedPrem]]*AK$10,-3)</f>
        <v>#N/A</v>
      </c>
      <c r="AL78" t="e">
        <f ca="1">ROUND(tblRiderCF[[#This Row],[UnroundedPremLoad]]*AL$10,-3)</f>
        <v>#N/A</v>
      </c>
      <c r="AM78" t="e">
        <f ca="1">ROUND(tblRiderCF[[#This Row],[UnroundedPMLoad]]*AM$10,-3)</f>
        <v>#N/A</v>
      </c>
      <c r="AN78" t="e">
        <f ca="1">tblRiderCF[[#This Row],[MonthlyPremLoad]]+tblRiderCF[[#This Row],[MonthlyPMLoad]]</f>
        <v>#N/A</v>
      </c>
      <c r="AO78" t="e">
        <f ca="1">tblRiderCF[[#This Row],[MonthlyPrem]]+tblRiderCF[[#This Row],[MonthlyLoad]]</f>
        <v>#N/A</v>
      </c>
      <c r="AS78">
        <f t="shared" ref="AS78:AS113" si="9">risk</f>
        <v>0</v>
      </c>
      <c r="AT78">
        <f t="shared" ref="AT78:AT113" si="10">insured</f>
        <v>0</v>
      </c>
      <c r="AU78">
        <f ca="1">tblRiderCF[[#This Row],[Year]]</f>
        <v>65</v>
      </c>
      <c r="AV78" t="e">
        <f ca="1">tblRiderCF[[#This Row],[Age]]</f>
        <v>#N/A</v>
      </c>
      <c r="AW78">
        <f t="shared" ref="AW78:AW113" si="11">rider</f>
        <v>0</v>
      </c>
      <c r="AX78" t="e">
        <f t="shared" ref="AX78:AX113" si="12">term</f>
        <v>#N/A</v>
      </c>
      <c r="AY78">
        <f t="shared" ref="AY78:AY113" si="13">is_waiver*1</f>
        <v>0</v>
      </c>
      <c r="AZ78" s="47" t="e">
        <f ca="1">tblRiderCF[[#This Row],[SI]]</f>
        <v>#N/A</v>
      </c>
      <c r="BA78" t="e">
        <f ca="1">tblRiderCF[[#This Row],[TotalPrem]]</f>
        <v>#N/A</v>
      </c>
      <c r="BB78" t="e">
        <f ca="1">tblRiderCF[[#This Row],[SemiAnnualTotalPrem]]</f>
        <v>#N/A</v>
      </c>
      <c r="BC78" t="e">
        <f ca="1">tblRiderCF[[#This Row],[QuarterlyTotalPrem]]</f>
        <v>#N/A</v>
      </c>
      <c r="BD78" t="e">
        <f ca="1">tblRiderCF[[#This Row],[MonthlyTotalPrem]]</f>
        <v>#N/A</v>
      </c>
      <c r="BG78" t="s">
        <v>135</v>
      </c>
      <c r="BH78" t="s">
        <v>188</v>
      </c>
      <c r="BI78">
        <v>35</v>
      </c>
      <c r="BJ78">
        <v>65</v>
      </c>
      <c r="BK78" t="s">
        <v>483</v>
      </c>
      <c r="BL78">
        <v>44</v>
      </c>
      <c r="BM78">
        <v>0</v>
      </c>
      <c r="BN78">
        <v>250000000</v>
      </c>
      <c r="BO78">
        <v>15030000</v>
      </c>
      <c r="BP78">
        <v>7965000</v>
      </c>
      <c r="BQ78">
        <v>4058000</v>
      </c>
      <c r="BR78">
        <v>1352000</v>
      </c>
    </row>
    <row r="79" spans="2:70" x14ac:dyDescent="0.25">
      <c r="B79">
        <f ca="1">OFFSET(tblRiderCF[[#This Row],[Year]],-1,0)+1</f>
        <v>66</v>
      </c>
      <c r="C79" t="e">
        <f ca="1">(tblRiderCF[[#This Row],[Year]]&lt;=term)*1</f>
        <v>#N/A</v>
      </c>
      <c r="D79" t="e">
        <f ca="1">(entry_age+tblRiderCF[[#This Row],[Year]]-1)
*tblRiderCF[[#This Row],[RiderTermFlag]]</f>
        <v>#N/A</v>
      </c>
      <c r="E79" t="e">
        <f ca="1">(risk="Sub-standard")
*tblRiderCF[[#This Row],[RiderTermFlag]]</f>
        <v>#N/A</v>
      </c>
      <c r="F79" t="e">
        <f ca="1">(tblRiderCF[[#This Row],[Year]]&lt;=prem_load_term)
*tblRiderCF[[#This Row],[SubStandardFlag]]</f>
        <v>#N/A</v>
      </c>
      <c r="G79" t="e">
        <f ca="1">(tblRiderCF[[#This Row],[Year]]&lt;=pm_load_term)
*tblRiderCF[[#This Row],[SubStandardFlag]]</f>
        <v>#N/A</v>
      </c>
      <c r="H79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79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79" s="150" t="e" cm="1">
        <f t="array" aca="1" ref="J7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79" s="150" t="e">
        <f ca="1">add_rate*tblRiderCF[[#This Row],[SI]]*(rider=K$11)</f>
        <v>#N/A</v>
      </c>
      <c r="L79" s="150" t="e">
        <f ca="1">INDEX(tblPPDRate[Annualized GPR],MATCH(tblRiderCF[[#This Row],[Age]],tblPPDRate[Min age],1))*tblRiderCF[[#This Row],[SI]]
*(rider=L$11)</f>
        <v>#N/A</v>
      </c>
      <c r="M79" s="150" t="e">
        <f ca="1">INDEX(IF(gender="Male",tblCIR1Rate[Male],tblCIR1Rate[Female]),MATCH(tblRiderCF[[#This Row],[Age]],tblCIR1Rate[Age],0))/1000*tblRiderCF[[#This Row],[SI]]
*(rider=M$11)</f>
        <v>#N/A</v>
      </c>
      <c r="N79" s="150" t="e">
        <f ca="1">INDEX(IF(gender="Male",tblCIR2Rate[Male],tblCIR2Rate[Female]),MATCH(tblRiderCF[[#This Row],[Age]],tblCIR2Rate[Age],0))/1000*tblRiderCF[[#This Row],[SI]]
*(rider=N$11)</f>
        <v>#N/A</v>
      </c>
      <c r="O79" s="150" t="e">
        <f>INDEX(tblHOP2Rate[Premium],MATCH(hop2_option,tblHOP2Rate[Option],0))
*(rider=O$11)</f>
        <v>#N/A</v>
      </c>
      <c r="P79" s="150" t="e">
        <f ca="1">INDEX(Tariff!$CC$5:$CS$44,
MATCH(tblRiderCF[[#This Row],[Age]],Tariff!$CB$5:$CB$44,0),
MATCH(term+1-tblRiderCF[[#This Row],[Year]],Tariff!$CC$4:$CS$4,0))
*(rider=P$11)</f>
        <v>#N/A</v>
      </c>
      <c r="Q79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79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79" s="150" t="e">
        <f ca="1">INDEX(tblRiderCF[[#This Row],[ADD1UnroundedPrem]:[WOP2UnroundedPrem]],MATCH(rider,$K$11:$R$11,0))
*tblRiderCF[[#This Row],[RiderTermFlag]]</f>
        <v>#N/A</v>
      </c>
      <c r="T79" s="150" t="e">
        <f ca="1">tblRiderCF[[#This Row],[UnroundedPrem]]*prem_load</f>
        <v>#N/A</v>
      </c>
      <c r="U79" s="150" t="e">
        <f ca="1">pm_load/1000*tblRiderCF[[#This Row],[SI]]
*tblRiderCF[[#This Row],[RiderTermFlag]]</f>
        <v>#N/A</v>
      </c>
      <c r="V79" s="151" t="e">
        <f ca="1">ROUND(tblRiderCF[[#This Row],[UnroundedPrem]]*V$10,-3)</f>
        <v>#N/A</v>
      </c>
      <c r="W79" t="e">
        <f ca="1">ROUND(tblRiderCF[[#This Row],[UnroundedPremLoad]]*W$10,-3)</f>
        <v>#N/A</v>
      </c>
      <c r="X79" t="e">
        <f ca="1">ROUND(tblRiderCF[[#This Row],[UnroundedPMLoad]]*X$10,-3)</f>
        <v>#N/A</v>
      </c>
      <c r="Y79" t="e">
        <f ca="1">tblRiderCF[[#This Row],[PremLoad]]+tblRiderCF[[#This Row],[PMLoad]]</f>
        <v>#N/A</v>
      </c>
      <c r="Z79" t="e">
        <f ca="1">tblRiderCF[[#This Row],[Prem]]+tblRiderCF[[#This Row],[Load]]</f>
        <v>#N/A</v>
      </c>
      <c r="AA79" t="e">
        <f ca="1">ROUND(tblRiderCF[[#This Row],[UnroundedPrem]]*AA$10,-3)</f>
        <v>#N/A</v>
      </c>
      <c r="AB79" t="e">
        <f ca="1">ROUND(tblRiderCF[[#This Row],[UnroundedPremLoad]]*AB$10,-3)</f>
        <v>#N/A</v>
      </c>
      <c r="AC79" t="e">
        <f ca="1">ROUND(tblRiderCF[[#This Row],[UnroundedPMLoad]]*AC$10,-3)</f>
        <v>#N/A</v>
      </c>
      <c r="AD79" t="e">
        <f ca="1">tblRiderCF[[#This Row],[SemiAnnualPremLoad]]+tblRiderCF[[#This Row],[SemiAnnualPMLoad]]</f>
        <v>#N/A</v>
      </c>
      <c r="AE79" t="e">
        <f ca="1">tblRiderCF[[#This Row],[SemiAnnualPrem]]+tblRiderCF[[#This Row],[SemiAnnualLoad]]</f>
        <v>#N/A</v>
      </c>
      <c r="AF79" t="e">
        <f ca="1">ROUND(tblRiderCF[[#This Row],[UnroundedPrem]]*AF$10,-3)</f>
        <v>#N/A</v>
      </c>
      <c r="AG79" t="e">
        <f ca="1">ROUND(tblRiderCF[[#This Row],[UnroundedPremLoad]]*AG$10,-3)</f>
        <v>#N/A</v>
      </c>
      <c r="AH79" t="e">
        <f ca="1">ROUND(tblRiderCF[[#This Row],[UnroundedPMLoad]]*AH$10,-3)</f>
        <v>#N/A</v>
      </c>
      <c r="AI79" t="e">
        <f ca="1">tblRiderCF[[#This Row],[QuarterlyPremLoad]]+tblRiderCF[[#This Row],[QuarterlyPMLoad]]</f>
        <v>#N/A</v>
      </c>
      <c r="AJ79" t="e">
        <f ca="1">tblRiderCF[[#This Row],[QuarterlyPrem]]+tblRiderCF[[#This Row],[QuarterlyLoad]]</f>
        <v>#N/A</v>
      </c>
      <c r="AK79" t="e">
        <f ca="1">ROUND(tblRiderCF[[#This Row],[UnroundedPrem]]*AK$10,-3)</f>
        <v>#N/A</v>
      </c>
      <c r="AL79" t="e">
        <f ca="1">ROUND(tblRiderCF[[#This Row],[UnroundedPremLoad]]*AL$10,-3)</f>
        <v>#N/A</v>
      </c>
      <c r="AM79" t="e">
        <f ca="1">ROUND(tblRiderCF[[#This Row],[UnroundedPMLoad]]*AM$10,-3)</f>
        <v>#N/A</v>
      </c>
      <c r="AN79" t="e">
        <f ca="1">tblRiderCF[[#This Row],[MonthlyPremLoad]]+tblRiderCF[[#This Row],[MonthlyPMLoad]]</f>
        <v>#N/A</v>
      </c>
      <c r="AO79" t="e">
        <f ca="1">tblRiderCF[[#This Row],[MonthlyPrem]]+tblRiderCF[[#This Row],[MonthlyLoad]]</f>
        <v>#N/A</v>
      </c>
      <c r="AS79">
        <f t="shared" si="9"/>
        <v>0</v>
      </c>
      <c r="AT79">
        <f t="shared" si="10"/>
        <v>0</v>
      </c>
      <c r="AU79">
        <f ca="1">tblRiderCF[[#This Row],[Year]]</f>
        <v>66</v>
      </c>
      <c r="AV79" t="e">
        <f ca="1">tblRiderCF[[#This Row],[Age]]</f>
        <v>#N/A</v>
      </c>
      <c r="AW79">
        <f t="shared" si="11"/>
        <v>0</v>
      </c>
      <c r="AX79" t="e">
        <f t="shared" si="12"/>
        <v>#N/A</v>
      </c>
      <c r="AY79">
        <f t="shared" si="13"/>
        <v>0</v>
      </c>
      <c r="AZ79" s="47" t="e">
        <f ca="1">tblRiderCF[[#This Row],[SI]]</f>
        <v>#N/A</v>
      </c>
      <c r="BA79" t="e">
        <f ca="1">tblRiderCF[[#This Row],[TotalPrem]]</f>
        <v>#N/A</v>
      </c>
      <c r="BB79" t="e">
        <f ca="1">tblRiderCF[[#This Row],[SemiAnnualTotalPrem]]</f>
        <v>#N/A</v>
      </c>
      <c r="BC79" t="e">
        <f ca="1">tblRiderCF[[#This Row],[QuarterlyTotalPrem]]</f>
        <v>#N/A</v>
      </c>
      <c r="BD79" t="e">
        <f ca="1">tblRiderCF[[#This Row],[MonthlyTotalPrem]]</f>
        <v>#N/A</v>
      </c>
      <c r="BG79" t="s">
        <v>135</v>
      </c>
      <c r="BH79" t="s">
        <v>188</v>
      </c>
      <c r="BI79">
        <v>36</v>
      </c>
      <c r="BJ79">
        <v>66</v>
      </c>
      <c r="BK79" t="s">
        <v>483</v>
      </c>
      <c r="BL79">
        <v>44</v>
      </c>
      <c r="BM79">
        <v>0</v>
      </c>
      <c r="BN79">
        <v>250000000</v>
      </c>
      <c r="BO79">
        <v>16416000</v>
      </c>
      <c r="BP79">
        <v>8700000</v>
      </c>
      <c r="BQ79">
        <v>4433000</v>
      </c>
      <c r="BR79">
        <v>1478000</v>
      </c>
    </row>
    <row r="80" spans="2:70" x14ac:dyDescent="0.25">
      <c r="B80">
        <f ca="1">OFFSET(tblRiderCF[[#This Row],[Year]],-1,0)+1</f>
        <v>67</v>
      </c>
      <c r="C80" t="e">
        <f ca="1">(tblRiderCF[[#This Row],[Year]]&lt;=term)*1</f>
        <v>#N/A</v>
      </c>
      <c r="D80" t="e">
        <f ca="1">(entry_age+tblRiderCF[[#This Row],[Year]]-1)
*tblRiderCF[[#This Row],[RiderTermFlag]]</f>
        <v>#N/A</v>
      </c>
      <c r="E80" t="e">
        <f ca="1">(risk="Sub-standard")
*tblRiderCF[[#This Row],[RiderTermFlag]]</f>
        <v>#N/A</v>
      </c>
      <c r="F80" t="e">
        <f ca="1">(tblRiderCF[[#This Row],[Year]]&lt;=prem_load_term)
*tblRiderCF[[#This Row],[SubStandardFlag]]</f>
        <v>#N/A</v>
      </c>
      <c r="G80" t="e">
        <f ca="1">(tblRiderCF[[#This Row],[Year]]&lt;=pm_load_term)
*tblRiderCF[[#This Row],[SubStandardFlag]]</f>
        <v>#N/A</v>
      </c>
      <c r="H80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0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0" s="150" t="e" cm="1">
        <f t="array" aca="1" ref="J8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0" s="150" t="e">
        <f ca="1">add_rate*tblRiderCF[[#This Row],[SI]]*(rider=K$11)</f>
        <v>#N/A</v>
      </c>
      <c r="L80" s="150" t="e">
        <f ca="1">INDEX(tblPPDRate[Annualized GPR],MATCH(tblRiderCF[[#This Row],[Age]],tblPPDRate[Min age],1))*tblRiderCF[[#This Row],[SI]]
*(rider=L$11)</f>
        <v>#N/A</v>
      </c>
      <c r="M80" s="150" t="e">
        <f ca="1">INDEX(IF(gender="Male",tblCIR1Rate[Male],tblCIR1Rate[Female]),MATCH(tblRiderCF[[#This Row],[Age]],tblCIR1Rate[Age],0))/1000*tblRiderCF[[#This Row],[SI]]
*(rider=M$11)</f>
        <v>#N/A</v>
      </c>
      <c r="N80" s="150" t="e">
        <f ca="1">INDEX(IF(gender="Male",tblCIR2Rate[Male],tblCIR2Rate[Female]),MATCH(tblRiderCF[[#This Row],[Age]],tblCIR2Rate[Age],0))/1000*tblRiderCF[[#This Row],[SI]]
*(rider=N$11)</f>
        <v>#N/A</v>
      </c>
      <c r="O80" s="150" t="e">
        <f>INDEX(tblHOP2Rate[Premium],MATCH(hop2_option,tblHOP2Rate[Option],0))
*(rider=O$11)</f>
        <v>#N/A</v>
      </c>
      <c r="P80" s="150" t="e">
        <f ca="1">INDEX(Tariff!$CC$5:$CS$44,
MATCH(tblRiderCF[[#This Row],[Age]],Tariff!$CB$5:$CB$44,0),
MATCH(term+1-tblRiderCF[[#This Row],[Year]],Tariff!$CC$4:$CS$4,0))
*(rider=P$11)</f>
        <v>#N/A</v>
      </c>
      <c r="Q80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0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0" s="150" t="e">
        <f ca="1">INDEX(tblRiderCF[[#This Row],[ADD1UnroundedPrem]:[WOP2UnroundedPrem]],MATCH(rider,$K$11:$R$11,0))
*tblRiderCF[[#This Row],[RiderTermFlag]]</f>
        <v>#N/A</v>
      </c>
      <c r="T80" s="150" t="e">
        <f ca="1">tblRiderCF[[#This Row],[UnroundedPrem]]*prem_load</f>
        <v>#N/A</v>
      </c>
      <c r="U80" s="150" t="e">
        <f ca="1">pm_load/1000*tblRiderCF[[#This Row],[SI]]
*tblRiderCF[[#This Row],[RiderTermFlag]]</f>
        <v>#N/A</v>
      </c>
      <c r="V80" s="151" t="e">
        <f ca="1">ROUND(tblRiderCF[[#This Row],[UnroundedPrem]]*V$10,-3)</f>
        <v>#N/A</v>
      </c>
      <c r="W80" t="e">
        <f ca="1">ROUND(tblRiderCF[[#This Row],[UnroundedPremLoad]]*W$10,-3)</f>
        <v>#N/A</v>
      </c>
      <c r="X80" t="e">
        <f ca="1">ROUND(tblRiderCF[[#This Row],[UnroundedPMLoad]]*X$10,-3)</f>
        <v>#N/A</v>
      </c>
      <c r="Y80" t="e">
        <f ca="1">tblRiderCF[[#This Row],[PremLoad]]+tblRiderCF[[#This Row],[PMLoad]]</f>
        <v>#N/A</v>
      </c>
      <c r="Z80" t="e">
        <f ca="1">tblRiderCF[[#This Row],[Prem]]+tblRiderCF[[#This Row],[Load]]</f>
        <v>#N/A</v>
      </c>
      <c r="AA80" t="e">
        <f ca="1">ROUND(tblRiderCF[[#This Row],[UnroundedPrem]]*AA$10,-3)</f>
        <v>#N/A</v>
      </c>
      <c r="AB80" t="e">
        <f ca="1">ROUND(tblRiderCF[[#This Row],[UnroundedPremLoad]]*AB$10,-3)</f>
        <v>#N/A</v>
      </c>
      <c r="AC80" t="e">
        <f ca="1">ROUND(tblRiderCF[[#This Row],[UnroundedPMLoad]]*AC$10,-3)</f>
        <v>#N/A</v>
      </c>
      <c r="AD80" t="e">
        <f ca="1">tblRiderCF[[#This Row],[SemiAnnualPremLoad]]+tblRiderCF[[#This Row],[SemiAnnualPMLoad]]</f>
        <v>#N/A</v>
      </c>
      <c r="AE80" t="e">
        <f ca="1">tblRiderCF[[#This Row],[SemiAnnualPrem]]+tblRiderCF[[#This Row],[SemiAnnualLoad]]</f>
        <v>#N/A</v>
      </c>
      <c r="AF80" t="e">
        <f ca="1">ROUND(tblRiderCF[[#This Row],[UnroundedPrem]]*AF$10,-3)</f>
        <v>#N/A</v>
      </c>
      <c r="AG80" t="e">
        <f ca="1">ROUND(tblRiderCF[[#This Row],[UnroundedPremLoad]]*AG$10,-3)</f>
        <v>#N/A</v>
      </c>
      <c r="AH80" t="e">
        <f ca="1">ROUND(tblRiderCF[[#This Row],[UnroundedPMLoad]]*AH$10,-3)</f>
        <v>#N/A</v>
      </c>
      <c r="AI80" t="e">
        <f ca="1">tblRiderCF[[#This Row],[QuarterlyPremLoad]]+tblRiderCF[[#This Row],[QuarterlyPMLoad]]</f>
        <v>#N/A</v>
      </c>
      <c r="AJ80" t="e">
        <f ca="1">tblRiderCF[[#This Row],[QuarterlyPrem]]+tblRiderCF[[#This Row],[QuarterlyLoad]]</f>
        <v>#N/A</v>
      </c>
      <c r="AK80" t="e">
        <f ca="1">ROUND(tblRiderCF[[#This Row],[UnroundedPrem]]*AK$10,-3)</f>
        <v>#N/A</v>
      </c>
      <c r="AL80" t="e">
        <f ca="1">ROUND(tblRiderCF[[#This Row],[UnroundedPremLoad]]*AL$10,-3)</f>
        <v>#N/A</v>
      </c>
      <c r="AM80" t="e">
        <f ca="1">ROUND(tblRiderCF[[#This Row],[UnroundedPMLoad]]*AM$10,-3)</f>
        <v>#N/A</v>
      </c>
      <c r="AN80" t="e">
        <f ca="1">tblRiderCF[[#This Row],[MonthlyPremLoad]]+tblRiderCF[[#This Row],[MonthlyPMLoad]]</f>
        <v>#N/A</v>
      </c>
      <c r="AO80" t="e">
        <f ca="1">tblRiderCF[[#This Row],[MonthlyPrem]]+tblRiderCF[[#This Row],[MonthlyLoad]]</f>
        <v>#N/A</v>
      </c>
      <c r="AS80">
        <f t="shared" si="9"/>
        <v>0</v>
      </c>
      <c r="AT80">
        <f t="shared" si="10"/>
        <v>0</v>
      </c>
      <c r="AU80">
        <f ca="1">tblRiderCF[[#This Row],[Year]]</f>
        <v>67</v>
      </c>
      <c r="AV80" t="e">
        <f ca="1">tblRiderCF[[#This Row],[Age]]</f>
        <v>#N/A</v>
      </c>
      <c r="AW80">
        <f t="shared" si="11"/>
        <v>0</v>
      </c>
      <c r="AX80" t="e">
        <f t="shared" si="12"/>
        <v>#N/A</v>
      </c>
      <c r="AY80">
        <f t="shared" si="13"/>
        <v>0</v>
      </c>
      <c r="AZ80" s="47" t="e">
        <f ca="1">tblRiderCF[[#This Row],[SI]]</f>
        <v>#N/A</v>
      </c>
      <c r="BA80" t="e">
        <f ca="1">tblRiderCF[[#This Row],[TotalPrem]]</f>
        <v>#N/A</v>
      </c>
      <c r="BB80" t="e">
        <f ca="1">tblRiderCF[[#This Row],[SemiAnnualTotalPrem]]</f>
        <v>#N/A</v>
      </c>
      <c r="BC80" t="e">
        <f ca="1">tblRiderCF[[#This Row],[QuarterlyTotalPrem]]</f>
        <v>#N/A</v>
      </c>
      <c r="BD80" t="e">
        <f ca="1">tblRiderCF[[#This Row],[MonthlyTotalPrem]]</f>
        <v>#N/A</v>
      </c>
      <c r="BG80" t="s">
        <v>135</v>
      </c>
      <c r="BH80" t="s">
        <v>188</v>
      </c>
      <c r="BI80">
        <v>37</v>
      </c>
      <c r="BJ80">
        <v>67</v>
      </c>
      <c r="BK80" t="s">
        <v>483</v>
      </c>
      <c r="BL80">
        <v>44</v>
      </c>
      <c r="BM80">
        <v>0</v>
      </c>
      <c r="BN80">
        <v>250000000</v>
      </c>
      <c r="BO80">
        <v>18075000</v>
      </c>
      <c r="BP80">
        <v>9580000</v>
      </c>
      <c r="BQ80">
        <v>4880000</v>
      </c>
      <c r="BR80">
        <v>1627000</v>
      </c>
    </row>
    <row r="81" spans="2:70" x14ac:dyDescent="0.25">
      <c r="B81">
        <f ca="1">OFFSET(tblRiderCF[[#This Row],[Year]],-1,0)+1</f>
        <v>68</v>
      </c>
      <c r="C81" t="e">
        <f ca="1">(tblRiderCF[[#This Row],[Year]]&lt;=term)*1</f>
        <v>#N/A</v>
      </c>
      <c r="D81" t="e">
        <f ca="1">(entry_age+tblRiderCF[[#This Row],[Year]]-1)
*tblRiderCF[[#This Row],[RiderTermFlag]]</f>
        <v>#N/A</v>
      </c>
      <c r="E81" t="e">
        <f ca="1">(risk="Sub-standard")
*tblRiderCF[[#This Row],[RiderTermFlag]]</f>
        <v>#N/A</v>
      </c>
      <c r="F81" t="e">
        <f ca="1">(tblRiderCF[[#This Row],[Year]]&lt;=prem_load_term)
*tblRiderCF[[#This Row],[SubStandardFlag]]</f>
        <v>#N/A</v>
      </c>
      <c r="G81" t="e">
        <f ca="1">(tblRiderCF[[#This Row],[Year]]&lt;=pm_load_term)
*tblRiderCF[[#This Row],[SubStandardFlag]]</f>
        <v>#N/A</v>
      </c>
      <c r="H81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1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1" s="150" t="e" cm="1">
        <f t="array" aca="1" ref="J8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1" s="150" t="e">
        <f ca="1">add_rate*tblRiderCF[[#This Row],[SI]]*(rider=K$11)</f>
        <v>#N/A</v>
      </c>
      <c r="L81" s="150" t="e">
        <f ca="1">INDEX(tblPPDRate[Annualized GPR],MATCH(tblRiderCF[[#This Row],[Age]],tblPPDRate[Min age],1))*tblRiderCF[[#This Row],[SI]]
*(rider=L$11)</f>
        <v>#N/A</v>
      </c>
      <c r="M81" s="150" t="e">
        <f ca="1">INDEX(IF(gender="Male",tblCIR1Rate[Male],tblCIR1Rate[Female]),MATCH(tblRiderCF[[#This Row],[Age]],tblCIR1Rate[Age],0))/1000*tblRiderCF[[#This Row],[SI]]
*(rider=M$11)</f>
        <v>#N/A</v>
      </c>
      <c r="N81" s="150" t="e">
        <f ca="1">INDEX(IF(gender="Male",tblCIR2Rate[Male],tblCIR2Rate[Female]),MATCH(tblRiderCF[[#This Row],[Age]],tblCIR2Rate[Age],0))/1000*tblRiderCF[[#This Row],[SI]]
*(rider=N$11)</f>
        <v>#N/A</v>
      </c>
      <c r="O81" s="150" t="e">
        <f>INDEX(tblHOP2Rate[Premium],MATCH(hop2_option,tblHOP2Rate[Option],0))
*(rider=O$11)</f>
        <v>#N/A</v>
      </c>
      <c r="P81" s="150" t="e">
        <f ca="1">INDEX(Tariff!$CC$5:$CS$44,
MATCH(tblRiderCF[[#This Row],[Age]],Tariff!$CB$5:$CB$44,0),
MATCH(term+1-tblRiderCF[[#This Row],[Year]],Tariff!$CC$4:$CS$4,0))
*(rider=P$11)</f>
        <v>#N/A</v>
      </c>
      <c r="Q81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1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1" s="150" t="e">
        <f ca="1">INDEX(tblRiderCF[[#This Row],[ADD1UnroundedPrem]:[WOP2UnroundedPrem]],MATCH(rider,$K$11:$R$11,0))
*tblRiderCF[[#This Row],[RiderTermFlag]]</f>
        <v>#N/A</v>
      </c>
      <c r="T81" s="150" t="e">
        <f ca="1">tblRiderCF[[#This Row],[UnroundedPrem]]*prem_load</f>
        <v>#N/A</v>
      </c>
      <c r="U81" s="150" t="e">
        <f ca="1">pm_load/1000*tblRiderCF[[#This Row],[SI]]
*tblRiderCF[[#This Row],[RiderTermFlag]]</f>
        <v>#N/A</v>
      </c>
      <c r="V81" s="151" t="e">
        <f ca="1">ROUND(tblRiderCF[[#This Row],[UnroundedPrem]]*V$10,-3)</f>
        <v>#N/A</v>
      </c>
      <c r="W81" t="e">
        <f ca="1">ROUND(tblRiderCF[[#This Row],[UnroundedPremLoad]]*W$10,-3)</f>
        <v>#N/A</v>
      </c>
      <c r="X81" t="e">
        <f ca="1">ROUND(tblRiderCF[[#This Row],[UnroundedPMLoad]]*X$10,-3)</f>
        <v>#N/A</v>
      </c>
      <c r="Y81" t="e">
        <f ca="1">tblRiderCF[[#This Row],[PremLoad]]+tblRiderCF[[#This Row],[PMLoad]]</f>
        <v>#N/A</v>
      </c>
      <c r="Z81" t="e">
        <f ca="1">tblRiderCF[[#This Row],[Prem]]+tblRiderCF[[#This Row],[Load]]</f>
        <v>#N/A</v>
      </c>
      <c r="AA81" t="e">
        <f ca="1">ROUND(tblRiderCF[[#This Row],[UnroundedPrem]]*AA$10,-3)</f>
        <v>#N/A</v>
      </c>
      <c r="AB81" t="e">
        <f ca="1">ROUND(tblRiderCF[[#This Row],[UnroundedPremLoad]]*AB$10,-3)</f>
        <v>#N/A</v>
      </c>
      <c r="AC81" t="e">
        <f ca="1">ROUND(tblRiderCF[[#This Row],[UnroundedPMLoad]]*AC$10,-3)</f>
        <v>#N/A</v>
      </c>
      <c r="AD81" t="e">
        <f ca="1">tblRiderCF[[#This Row],[SemiAnnualPremLoad]]+tblRiderCF[[#This Row],[SemiAnnualPMLoad]]</f>
        <v>#N/A</v>
      </c>
      <c r="AE81" t="e">
        <f ca="1">tblRiderCF[[#This Row],[SemiAnnualPrem]]+tblRiderCF[[#This Row],[SemiAnnualLoad]]</f>
        <v>#N/A</v>
      </c>
      <c r="AF81" t="e">
        <f ca="1">ROUND(tblRiderCF[[#This Row],[UnroundedPrem]]*AF$10,-3)</f>
        <v>#N/A</v>
      </c>
      <c r="AG81" t="e">
        <f ca="1">ROUND(tblRiderCF[[#This Row],[UnroundedPremLoad]]*AG$10,-3)</f>
        <v>#N/A</v>
      </c>
      <c r="AH81" t="e">
        <f ca="1">ROUND(tblRiderCF[[#This Row],[UnroundedPMLoad]]*AH$10,-3)</f>
        <v>#N/A</v>
      </c>
      <c r="AI81" t="e">
        <f ca="1">tblRiderCF[[#This Row],[QuarterlyPremLoad]]+tblRiderCF[[#This Row],[QuarterlyPMLoad]]</f>
        <v>#N/A</v>
      </c>
      <c r="AJ81" t="e">
        <f ca="1">tblRiderCF[[#This Row],[QuarterlyPrem]]+tblRiderCF[[#This Row],[QuarterlyLoad]]</f>
        <v>#N/A</v>
      </c>
      <c r="AK81" t="e">
        <f ca="1">ROUND(tblRiderCF[[#This Row],[UnroundedPrem]]*AK$10,-3)</f>
        <v>#N/A</v>
      </c>
      <c r="AL81" t="e">
        <f ca="1">ROUND(tblRiderCF[[#This Row],[UnroundedPremLoad]]*AL$10,-3)</f>
        <v>#N/A</v>
      </c>
      <c r="AM81" t="e">
        <f ca="1">ROUND(tblRiderCF[[#This Row],[UnroundedPMLoad]]*AM$10,-3)</f>
        <v>#N/A</v>
      </c>
      <c r="AN81" t="e">
        <f ca="1">tblRiderCF[[#This Row],[MonthlyPremLoad]]+tblRiderCF[[#This Row],[MonthlyPMLoad]]</f>
        <v>#N/A</v>
      </c>
      <c r="AO81" t="e">
        <f ca="1">tblRiderCF[[#This Row],[MonthlyPrem]]+tblRiderCF[[#This Row],[MonthlyLoad]]</f>
        <v>#N/A</v>
      </c>
      <c r="AS81">
        <f t="shared" si="9"/>
        <v>0</v>
      </c>
      <c r="AT81">
        <f t="shared" si="10"/>
        <v>0</v>
      </c>
      <c r="AU81">
        <f ca="1">tblRiderCF[[#This Row],[Year]]</f>
        <v>68</v>
      </c>
      <c r="AV81" t="e">
        <f ca="1">tblRiderCF[[#This Row],[Age]]</f>
        <v>#N/A</v>
      </c>
      <c r="AW81">
        <f t="shared" si="11"/>
        <v>0</v>
      </c>
      <c r="AX81" t="e">
        <f t="shared" si="12"/>
        <v>#N/A</v>
      </c>
      <c r="AY81">
        <f t="shared" si="13"/>
        <v>0</v>
      </c>
      <c r="AZ81" s="47" t="e">
        <f ca="1">tblRiderCF[[#This Row],[SI]]</f>
        <v>#N/A</v>
      </c>
      <c r="BA81" t="e">
        <f ca="1">tblRiderCF[[#This Row],[TotalPrem]]</f>
        <v>#N/A</v>
      </c>
      <c r="BB81" t="e">
        <f ca="1">tblRiderCF[[#This Row],[SemiAnnualTotalPrem]]</f>
        <v>#N/A</v>
      </c>
      <c r="BC81" t="e">
        <f ca="1">tblRiderCF[[#This Row],[QuarterlyTotalPrem]]</f>
        <v>#N/A</v>
      </c>
      <c r="BD81" t="e">
        <f ca="1">tblRiderCF[[#This Row],[MonthlyTotalPrem]]</f>
        <v>#N/A</v>
      </c>
      <c r="BG81" t="s">
        <v>135</v>
      </c>
      <c r="BH81" t="s">
        <v>188</v>
      </c>
      <c r="BI81">
        <v>38</v>
      </c>
      <c r="BJ81">
        <v>68</v>
      </c>
      <c r="BK81" t="s">
        <v>483</v>
      </c>
      <c r="BL81">
        <v>44</v>
      </c>
      <c r="BM81">
        <v>0</v>
      </c>
      <c r="BN81">
        <v>250000000</v>
      </c>
      <c r="BO81">
        <v>19951000</v>
      </c>
      <c r="BP81">
        <v>10574000</v>
      </c>
      <c r="BQ81">
        <v>5387000</v>
      </c>
      <c r="BR81">
        <v>1795000</v>
      </c>
    </row>
    <row r="82" spans="2:70" x14ac:dyDescent="0.25">
      <c r="B82">
        <f ca="1">OFFSET(tblRiderCF[[#This Row],[Year]],-1,0)+1</f>
        <v>69</v>
      </c>
      <c r="C82" t="e">
        <f ca="1">(tblRiderCF[[#This Row],[Year]]&lt;=term)*1</f>
        <v>#N/A</v>
      </c>
      <c r="D82" t="e">
        <f ca="1">(entry_age+tblRiderCF[[#This Row],[Year]]-1)
*tblRiderCF[[#This Row],[RiderTermFlag]]</f>
        <v>#N/A</v>
      </c>
      <c r="E82" t="e">
        <f ca="1">(risk="Sub-standard")
*tblRiderCF[[#This Row],[RiderTermFlag]]</f>
        <v>#N/A</v>
      </c>
      <c r="F82" t="e">
        <f ca="1">(tblRiderCF[[#This Row],[Year]]&lt;=prem_load_term)
*tblRiderCF[[#This Row],[SubStandardFlag]]</f>
        <v>#N/A</v>
      </c>
      <c r="G82" t="e">
        <f ca="1">(tblRiderCF[[#This Row],[Year]]&lt;=pm_load_term)
*tblRiderCF[[#This Row],[SubStandardFlag]]</f>
        <v>#N/A</v>
      </c>
      <c r="H82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2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2" s="150" t="e" cm="1">
        <f t="array" aca="1" ref="J8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2" s="150" t="e">
        <f ca="1">add_rate*tblRiderCF[[#This Row],[SI]]*(rider=K$11)</f>
        <v>#N/A</v>
      </c>
      <c r="L82" s="150" t="e">
        <f ca="1">INDEX(tblPPDRate[Annualized GPR],MATCH(tblRiderCF[[#This Row],[Age]],tblPPDRate[Min age],1))*tblRiderCF[[#This Row],[SI]]
*(rider=L$11)</f>
        <v>#N/A</v>
      </c>
      <c r="M82" s="150" t="e">
        <f ca="1">INDEX(IF(gender="Male",tblCIR1Rate[Male],tblCIR1Rate[Female]),MATCH(tblRiderCF[[#This Row],[Age]],tblCIR1Rate[Age],0))/1000*tblRiderCF[[#This Row],[SI]]
*(rider=M$11)</f>
        <v>#N/A</v>
      </c>
      <c r="N82" s="150" t="e">
        <f ca="1">INDEX(IF(gender="Male",tblCIR2Rate[Male],tblCIR2Rate[Female]),MATCH(tblRiderCF[[#This Row],[Age]],tblCIR2Rate[Age],0))/1000*tblRiderCF[[#This Row],[SI]]
*(rider=N$11)</f>
        <v>#N/A</v>
      </c>
      <c r="O82" s="150" t="e">
        <f>INDEX(tblHOP2Rate[Premium],MATCH(hop2_option,tblHOP2Rate[Option],0))
*(rider=O$11)</f>
        <v>#N/A</v>
      </c>
      <c r="P82" s="150" t="e">
        <f ca="1">INDEX(Tariff!$CC$5:$CS$44,
MATCH(tblRiderCF[[#This Row],[Age]],Tariff!$CB$5:$CB$44,0),
MATCH(term+1-tblRiderCF[[#This Row],[Year]],Tariff!$CC$4:$CS$4,0))
*(rider=P$11)</f>
        <v>#N/A</v>
      </c>
      <c r="Q82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2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2" s="150" t="e">
        <f ca="1">INDEX(tblRiderCF[[#This Row],[ADD1UnroundedPrem]:[WOP2UnroundedPrem]],MATCH(rider,$K$11:$R$11,0))
*tblRiderCF[[#This Row],[RiderTermFlag]]</f>
        <v>#N/A</v>
      </c>
      <c r="T82" s="150" t="e">
        <f ca="1">tblRiderCF[[#This Row],[UnroundedPrem]]*prem_load</f>
        <v>#N/A</v>
      </c>
      <c r="U82" s="150" t="e">
        <f ca="1">pm_load/1000*tblRiderCF[[#This Row],[SI]]
*tblRiderCF[[#This Row],[RiderTermFlag]]</f>
        <v>#N/A</v>
      </c>
      <c r="V82" s="151" t="e">
        <f ca="1">ROUND(tblRiderCF[[#This Row],[UnroundedPrem]]*V$10,-3)</f>
        <v>#N/A</v>
      </c>
      <c r="W82" t="e">
        <f ca="1">ROUND(tblRiderCF[[#This Row],[UnroundedPremLoad]]*W$10,-3)</f>
        <v>#N/A</v>
      </c>
      <c r="X82" t="e">
        <f ca="1">ROUND(tblRiderCF[[#This Row],[UnroundedPMLoad]]*X$10,-3)</f>
        <v>#N/A</v>
      </c>
      <c r="Y82" t="e">
        <f ca="1">tblRiderCF[[#This Row],[PremLoad]]+tblRiderCF[[#This Row],[PMLoad]]</f>
        <v>#N/A</v>
      </c>
      <c r="Z82" t="e">
        <f ca="1">tblRiderCF[[#This Row],[Prem]]+tblRiderCF[[#This Row],[Load]]</f>
        <v>#N/A</v>
      </c>
      <c r="AA82" t="e">
        <f ca="1">ROUND(tblRiderCF[[#This Row],[UnroundedPrem]]*AA$10,-3)</f>
        <v>#N/A</v>
      </c>
      <c r="AB82" t="e">
        <f ca="1">ROUND(tblRiderCF[[#This Row],[UnroundedPremLoad]]*AB$10,-3)</f>
        <v>#N/A</v>
      </c>
      <c r="AC82" t="e">
        <f ca="1">ROUND(tblRiderCF[[#This Row],[UnroundedPMLoad]]*AC$10,-3)</f>
        <v>#N/A</v>
      </c>
      <c r="AD82" t="e">
        <f ca="1">tblRiderCF[[#This Row],[SemiAnnualPremLoad]]+tblRiderCF[[#This Row],[SemiAnnualPMLoad]]</f>
        <v>#N/A</v>
      </c>
      <c r="AE82" t="e">
        <f ca="1">tblRiderCF[[#This Row],[SemiAnnualPrem]]+tblRiderCF[[#This Row],[SemiAnnualLoad]]</f>
        <v>#N/A</v>
      </c>
      <c r="AF82" t="e">
        <f ca="1">ROUND(tblRiderCF[[#This Row],[UnroundedPrem]]*AF$10,-3)</f>
        <v>#N/A</v>
      </c>
      <c r="AG82" t="e">
        <f ca="1">ROUND(tblRiderCF[[#This Row],[UnroundedPremLoad]]*AG$10,-3)</f>
        <v>#N/A</v>
      </c>
      <c r="AH82" t="e">
        <f ca="1">ROUND(tblRiderCF[[#This Row],[UnroundedPMLoad]]*AH$10,-3)</f>
        <v>#N/A</v>
      </c>
      <c r="AI82" t="e">
        <f ca="1">tblRiderCF[[#This Row],[QuarterlyPremLoad]]+tblRiderCF[[#This Row],[QuarterlyPMLoad]]</f>
        <v>#N/A</v>
      </c>
      <c r="AJ82" t="e">
        <f ca="1">tblRiderCF[[#This Row],[QuarterlyPrem]]+tblRiderCF[[#This Row],[QuarterlyLoad]]</f>
        <v>#N/A</v>
      </c>
      <c r="AK82" t="e">
        <f ca="1">ROUND(tblRiderCF[[#This Row],[UnroundedPrem]]*AK$10,-3)</f>
        <v>#N/A</v>
      </c>
      <c r="AL82" t="e">
        <f ca="1">ROUND(tblRiderCF[[#This Row],[UnroundedPremLoad]]*AL$10,-3)</f>
        <v>#N/A</v>
      </c>
      <c r="AM82" t="e">
        <f ca="1">ROUND(tblRiderCF[[#This Row],[UnroundedPMLoad]]*AM$10,-3)</f>
        <v>#N/A</v>
      </c>
      <c r="AN82" t="e">
        <f ca="1">tblRiderCF[[#This Row],[MonthlyPremLoad]]+tblRiderCF[[#This Row],[MonthlyPMLoad]]</f>
        <v>#N/A</v>
      </c>
      <c r="AO82" t="e">
        <f ca="1">tblRiderCF[[#This Row],[MonthlyPrem]]+tblRiderCF[[#This Row],[MonthlyLoad]]</f>
        <v>#N/A</v>
      </c>
      <c r="AS82">
        <f t="shared" si="9"/>
        <v>0</v>
      </c>
      <c r="AT82">
        <f t="shared" si="10"/>
        <v>0</v>
      </c>
      <c r="AU82">
        <f ca="1">tblRiderCF[[#This Row],[Year]]</f>
        <v>69</v>
      </c>
      <c r="AV82" t="e">
        <f ca="1">tblRiderCF[[#This Row],[Age]]</f>
        <v>#N/A</v>
      </c>
      <c r="AW82">
        <f t="shared" si="11"/>
        <v>0</v>
      </c>
      <c r="AX82" t="e">
        <f t="shared" si="12"/>
        <v>#N/A</v>
      </c>
      <c r="AY82">
        <f t="shared" si="13"/>
        <v>0</v>
      </c>
      <c r="AZ82" s="47" t="e">
        <f ca="1">tblRiderCF[[#This Row],[SI]]</f>
        <v>#N/A</v>
      </c>
      <c r="BA82" t="e">
        <f ca="1">tblRiderCF[[#This Row],[TotalPrem]]</f>
        <v>#N/A</v>
      </c>
      <c r="BB82" t="e">
        <f ca="1">tblRiderCF[[#This Row],[SemiAnnualTotalPrem]]</f>
        <v>#N/A</v>
      </c>
      <c r="BC82" t="e">
        <f ca="1">tblRiderCF[[#This Row],[QuarterlyTotalPrem]]</f>
        <v>#N/A</v>
      </c>
      <c r="BD82" t="e">
        <f ca="1">tblRiderCF[[#This Row],[MonthlyTotalPrem]]</f>
        <v>#N/A</v>
      </c>
      <c r="BG82" t="s">
        <v>135</v>
      </c>
      <c r="BH82" t="s">
        <v>188</v>
      </c>
      <c r="BI82">
        <v>39</v>
      </c>
      <c r="BJ82">
        <v>69</v>
      </c>
      <c r="BK82" t="s">
        <v>483</v>
      </c>
      <c r="BL82">
        <v>44</v>
      </c>
      <c r="BM82">
        <v>0</v>
      </c>
      <c r="BN82">
        <v>250000000</v>
      </c>
      <c r="BO82">
        <v>22012000</v>
      </c>
      <c r="BP82">
        <v>11666000</v>
      </c>
      <c r="BQ82">
        <v>5943000</v>
      </c>
      <c r="BR82">
        <v>1981000</v>
      </c>
    </row>
    <row r="83" spans="2:70" x14ac:dyDescent="0.25">
      <c r="B83">
        <f ca="1">OFFSET(tblRiderCF[[#This Row],[Year]],-1,0)+1</f>
        <v>70</v>
      </c>
      <c r="C83" t="e">
        <f ca="1">(tblRiderCF[[#This Row],[Year]]&lt;=term)*1</f>
        <v>#N/A</v>
      </c>
      <c r="D83" t="e">
        <f ca="1">(entry_age+tblRiderCF[[#This Row],[Year]]-1)
*tblRiderCF[[#This Row],[RiderTermFlag]]</f>
        <v>#N/A</v>
      </c>
      <c r="E83" t="e">
        <f ca="1">(risk="Sub-standard")
*tblRiderCF[[#This Row],[RiderTermFlag]]</f>
        <v>#N/A</v>
      </c>
      <c r="F83" t="e">
        <f ca="1">(tblRiderCF[[#This Row],[Year]]&lt;=prem_load_term)
*tblRiderCF[[#This Row],[SubStandardFlag]]</f>
        <v>#N/A</v>
      </c>
      <c r="G83" t="e">
        <f ca="1">(tblRiderCF[[#This Row],[Year]]&lt;=pm_load_term)
*tblRiderCF[[#This Row],[SubStandardFlag]]</f>
        <v>#N/A</v>
      </c>
      <c r="H83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3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3" s="150" t="e" cm="1">
        <f t="array" aca="1" ref="J8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3" s="150" t="e">
        <f ca="1">add_rate*tblRiderCF[[#This Row],[SI]]*(rider=K$11)</f>
        <v>#N/A</v>
      </c>
      <c r="L83" s="150" t="e">
        <f ca="1">INDEX(tblPPDRate[Annualized GPR],MATCH(tblRiderCF[[#This Row],[Age]],tblPPDRate[Min age],1))*tblRiderCF[[#This Row],[SI]]
*(rider=L$11)</f>
        <v>#N/A</v>
      </c>
      <c r="M83" s="150" t="e">
        <f ca="1">INDEX(IF(gender="Male",tblCIR1Rate[Male],tblCIR1Rate[Female]),MATCH(tblRiderCF[[#This Row],[Age]],tblCIR1Rate[Age],0))/1000*tblRiderCF[[#This Row],[SI]]
*(rider=M$11)</f>
        <v>#N/A</v>
      </c>
      <c r="N83" s="150" t="e">
        <f ca="1">INDEX(IF(gender="Male",tblCIR2Rate[Male],tblCIR2Rate[Female]),MATCH(tblRiderCF[[#This Row],[Age]],tblCIR2Rate[Age],0))/1000*tblRiderCF[[#This Row],[SI]]
*(rider=N$11)</f>
        <v>#N/A</v>
      </c>
      <c r="O83" s="150" t="e">
        <f>INDEX(tblHOP2Rate[Premium],MATCH(hop2_option,tblHOP2Rate[Option],0))
*(rider=O$11)</f>
        <v>#N/A</v>
      </c>
      <c r="P83" s="150" t="e">
        <f ca="1">INDEX(Tariff!$CC$5:$CS$44,
MATCH(tblRiderCF[[#This Row],[Age]],Tariff!$CB$5:$CB$44,0),
MATCH(term+1-tblRiderCF[[#This Row],[Year]],Tariff!$CC$4:$CS$4,0))
*(rider=P$11)</f>
        <v>#N/A</v>
      </c>
      <c r="Q83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3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3" s="150" t="e">
        <f ca="1">INDEX(tblRiderCF[[#This Row],[ADD1UnroundedPrem]:[WOP2UnroundedPrem]],MATCH(rider,$K$11:$R$11,0))
*tblRiderCF[[#This Row],[RiderTermFlag]]</f>
        <v>#N/A</v>
      </c>
      <c r="T83" s="150" t="e">
        <f ca="1">tblRiderCF[[#This Row],[UnroundedPrem]]*prem_load</f>
        <v>#N/A</v>
      </c>
      <c r="U83" s="150" t="e">
        <f ca="1">pm_load/1000*tblRiderCF[[#This Row],[SI]]
*tblRiderCF[[#This Row],[RiderTermFlag]]</f>
        <v>#N/A</v>
      </c>
      <c r="V83" s="151" t="e">
        <f ca="1">ROUND(tblRiderCF[[#This Row],[UnroundedPrem]]*V$10,-3)</f>
        <v>#N/A</v>
      </c>
      <c r="W83" t="e">
        <f ca="1">ROUND(tblRiderCF[[#This Row],[UnroundedPremLoad]]*W$10,-3)</f>
        <v>#N/A</v>
      </c>
      <c r="X83" t="e">
        <f ca="1">ROUND(tblRiderCF[[#This Row],[UnroundedPMLoad]]*X$10,-3)</f>
        <v>#N/A</v>
      </c>
      <c r="Y83" t="e">
        <f ca="1">tblRiderCF[[#This Row],[PremLoad]]+tblRiderCF[[#This Row],[PMLoad]]</f>
        <v>#N/A</v>
      </c>
      <c r="Z83" t="e">
        <f ca="1">tblRiderCF[[#This Row],[Prem]]+tblRiderCF[[#This Row],[Load]]</f>
        <v>#N/A</v>
      </c>
      <c r="AA83" t="e">
        <f ca="1">ROUND(tblRiderCF[[#This Row],[UnroundedPrem]]*AA$10,-3)</f>
        <v>#N/A</v>
      </c>
      <c r="AB83" t="e">
        <f ca="1">ROUND(tblRiderCF[[#This Row],[UnroundedPremLoad]]*AB$10,-3)</f>
        <v>#N/A</v>
      </c>
      <c r="AC83" t="e">
        <f ca="1">ROUND(tblRiderCF[[#This Row],[UnroundedPMLoad]]*AC$10,-3)</f>
        <v>#N/A</v>
      </c>
      <c r="AD83" t="e">
        <f ca="1">tblRiderCF[[#This Row],[SemiAnnualPremLoad]]+tblRiderCF[[#This Row],[SemiAnnualPMLoad]]</f>
        <v>#N/A</v>
      </c>
      <c r="AE83" t="e">
        <f ca="1">tblRiderCF[[#This Row],[SemiAnnualPrem]]+tblRiderCF[[#This Row],[SemiAnnualLoad]]</f>
        <v>#N/A</v>
      </c>
      <c r="AF83" t="e">
        <f ca="1">ROUND(tblRiderCF[[#This Row],[UnroundedPrem]]*AF$10,-3)</f>
        <v>#N/A</v>
      </c>
      <c r="AG83" t="e">
        <f ca="1">ROUND(tblRiderCF[[#This Row],[UnroundedPremLoad]]*AG$10,-3)</f>
        <v>#N/A</v>
      </c>
      <c r="AH83" t="e">
        <f ca="1">ROUND(tblRiderCF[[#This Row],[UnroundedPMLoad]]*AH$10,-3)</f>
        <v>#N/A</v>
      </c>
      <c r="AI83" t="e">
        <f ca="1">tblRiderCF[[#This Row],[QuarterlyPremLoad]]+tblRiderCF[[#This Row],[QuarterlyPMLoad]]</f>
        <v>#N/A</v>
      </c>
      <c r="AJ83" t="e">
        <f ca="1">tblRiderCF[[#This Row],[QuarterlyPrem]]+tblRiderCF[[#This Row],[QuarterlyLoad]]</f>
        <v>#N/A</v>
      </c>
      <c r="AK83" t="e">
        <f ca="1">ROUND(tblRiderCF[[#This Row],[UnroundedPrem]]*AK$10,-3)</f>
        <v>#N/A</v>
      </c>
      <c r="AL83" t="e">
        <f ca="1">ROUND(tblRiderCF[[#This Row],[UnroundedPremLoad]]*AL$10,-3)</f>
        <v>#N/A</v>
      </c>
      <c r="AM83" t="e">
        <f ca="1">ROUND(tblRiderCF[[#This Row],[UnroundedPMLoad]]*AM$10,-3)</f>
        <v>#N/A</v>
      </c>
      <c r="AN83" t="e">
        <f ca="1">tblRiderCF[[#This Row],[MonthlyPremLoad]]+tblRiderCF[[#This Row],[MonthlyPMLoad]]</f>
        <v>#N/A</v>
      </c>
      <c r="AO83" t="e">
        <f ca="1">tblRiderCF[[#This Row],[MonthlyPrem]]+tblRiderCF[[#This Row],[MonthlyLoad]]</f>
        <v>#N/A</v>
      </c>
      <c r="AS83">
        <f t="shared" si="9"/>
        <v>0</v>
      </c>
      <c r="AT83">
        <f t="shared" si="10"/>
        <v>0</v>
      </c>
      <c r="AU83">
        <f ca="1">tblRiderCF[[#This Row],[Year]]</f>
        <v>70</v>
      </c>
      <c r="AV83" t="e">
        <f ca="1">tblRiderCF[[#This Row],[Age]]</f>
        <v>#N/A</v>
      </c>
      <c r="AW83">
        <f t="shared" si="11"/>
        <v>0</v>
      </c>
      <c r="AX83" t="e">
        <f t="shared" si="12"/>
        <v>#N/A</v>
      </c>
      <c r="AY83">
        <f t="shared" si="13"/>
        <v>0</v>
      </c>
      <c r="AZ83" s="47" t="e">
        <f ca="1">tblRiderCF[[#This Row],[SI]]</f>
        <v>#N/A</v>
      </c>
      <c r="BA83" t="e">
        <f ca="1">tblRiderCF[[#This Row],[TotalPrem]]</f>
        <v>#N/A</v>
      </c>
      <c r="BB83" t="e">
        <f ca="1">tblRiderCF[[#This Row],[SemiAnnualTotalPrem]]</f>
        <v>#N/A</v>
      </c>
      <c r="BC83" t="e">
        <f ca="1">tblRiderCF[[#This Row],[QuarterlyTotalPrem]]</f>
        <v>#N/A</v>
      </c>
      <c r="BD83" t="e">
        <f ca="1">tblRiderCF[[#This Row],[MonthlyTotalPrem]]</f>
        <v>#N/A</v>
      </c>
      <c r="BG83" t="s">
        <v>135</v>
      </c>
      <c r="BH83" t="s">
        <v>188</v>
      </c>
      <c r="BI83">
        <v>40</v>
      </c>
      <c r="BJ83">
        <v>70</v>
      </c>
      <c r="BK83" t="s">
        <v>483</v>
      </c>
      <c r="BL83">
        <v>44</v>
      </c>
      <c r="BM83">
        <v>0</v>
      </c>
      <c r="BN83">
        <v>250000000</v>
      </c>
      <c r="BO83">
        <v>24011000</v>
      </c>
      <c r="BP83">
        <v>12726000</v>
      </c>
      <c r="BQ83">
        <v>6483000</v>
      </c>
      <c r="BR83">
        <v>2161000</v>
      </c>
    </row>
    <row r="84" spans="2:70" x14ac:dyDescent="0.25">
      <c r="B84">
        <f ca="1">OFFSET(tblRiderCF[[#This Row],[Year]],-1,0)+1</f>
        <v>71</v>
      </c>
      <c r="C84" t="e">
        <f ca="1">(tblRiderCF[[#This Row],[Year]]&lt;=term)*1</f>
        <v>#N/A</v>
      </c>
      <c r="D84" t="e">
        <f ca="1">(entry_age+tblRiderCF[[#This Row],[Year]]-1)
*tblRiderCF[[#This Row],[RiderTermFlag]]</f>
        <v>#N/A</v>
      </c>
      <c r="E84" t="e">
        <f ca="1">(risk="Sub-standard")
*tblRiderCF[[#This Row],[RiderTermFlag]]</f>
        <v>#N/A</v>
      </c>
      <c r="F84" t="e">
        <f ca="1">(tblRiderCF[[#This Row],[Year]]&lt;=prem_load_term)
*tblRiderCF[[#This Row],[SubStandardFlag]]</f>
        <v>#N/A</v>
      </c>
      <c r="G84" t="e">
        <f ca="1">(tblRiderCF[[#This Row],[Year]]&lt;=pm_load_term)
*tblRiderCF[[#This Row],[SubStandardFlag]]</f>
        <v>#N/A</v>
      </c>
      <c r="H84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4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4" s="150" t="e" cm="1">
        <f t="array" aca="1" ref="J8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4" s="150" t="e">
        <f ca="1">add_rate*tblRiderCF[[#This Row],[SI]]*(rider=K$11)</f>
        <v>#N/A</v>
      </c>
      <c r="L84" s="150" t="e">
        <f ca="1">INDEX(tblPPDRate[Annualized GPR],MATCH(tblRiderCF[[#This Row],[Age]],tblPPDRate[Min age],1))*tblRiderCF[[#This Row],[SI]]
*(rider=L$11)</f>
        <v>#N/A</v>
      </c>
      <c r="M84" s="150" t="e">
        <f ca="1">INDEX(IF(gender="Male",tblCIR1Rate[Male],tblCIR1Rate[Female]),MATCH(tblRiderCF[[#This Row],[Age]],tblCIR1Rate[Age],0))/1000*tblRiderCF[[#This Row],[SI]]
*(rider=M$11)</f>
        <v>#N/A</v>
      </c>
      <c r="N84" s="150" t="e">
        <f ca="1">INDEX(IF(gender="Male",tblCIR2Rate[Male],tblCIR2Rate[Female]),MATCH(tblRiderCF[[#This Row],[Age]],tblCIR2Rate[Age],0))/1000*tblRiderCF[[#This Row],[SI]]
*(rider=N$11)</f>
        <v>#N/A</v>
      </c>
      <c r="O84" s="150" t="e">
        <f>INDEX(tblHOP2Rate[Premium],MATCH(hop2_option,tblHOP2Rate[Option],0))
*(rider=O$11)</f>
        <v>#N/A</v>
      </c>
      <c r="P84" s="150" t="e">
        <f ca="1">INDEX(Tariff!$CC$5:$CS$44,
MATCH(tblRiderCF[[#This Row],[Age]],Tariff!$CB$5:$CB$44,0),
MATCH(term+1-tblRiderCF[[#This Row],[Year]],Tariff!$CC$4:$CS$4,0))
*(rider=P$11)</f>
        <v>#N/A</v>
      </c>
      <c r="Q84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4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4" s="150" t="e">
        <f ca="1">INDEX(tblRiderCF[[#This Row],[ADD1UnroundedPrem]:[WOP2UnroundedPrem]],MATCH(rider,$K$11:$R$11,0))
*tblRiderCF[[#This Row],[RiderTermFlag]]</f>
        <v>#N/A</v>
      </c>
      <c r="T84" s="150" t="e">
        <f ca="1">tblRiderCF[[#This Row],[UnroundedPrem]]*prem_load</f>
        <v>#N/A</v>
      </c>
      <c r="U84" s="150" t="e">
        <f ca="1">pm_load/1000*tblRiderCF[[#This Row],[SI]]
*tblRiderCF[[#This Row],[RiderTermFlag]]</f>
        <v>#N/A</v>
      </c>
      <c r="V84" s="151" t="e">
        <f ca="1">ROUND(tblRiderCF[[#This Row],[UnroundedPrem]]*V$10,-3)</f>
        <v>#N/A</v>
      </c>
      <c r="W84" t="e">
        <f ca="1">ROUND(tblRiderCF[[#This Row],[UnroundedPremLoad]]*W$10,-3)</f>
        <v>#N/A</v>
      </c>
      <c r="X84" t="e">
        <f ca="1">ROUND(tblRiderCF[[#This Row],[UnroundedPMLoad]]*X$10,-3)</f>
        <v>#N/A</v>
      </c>
      <c r="Y84" t="e">
        <f ca="1">tblRiderCF[[#This Row],[PremLoad]]+tblRiderCF[[#This Row],[PMLoad]]</f>
        <v>#N/A</v>
      </c>
      <c r="Z84" t="e">
        <f ca="1">tblRiderCF[[#This Row],[Prem]]+tblRiderCF[[#This Row],[Load]]</f>
        <v>#N/A</v>
      </c>
      <c r="AA84" t="e">
        <f ca="1">ROUND(tblRiderCF[[#This Row],[UnroundedPrem]]*AA$10,-3)</f>
        <v>#N/A</v>
      </c>
      <c r="AB84" t="e">
        <f ca="1">ROUND(tblRiderCF[[#This Row],[UnroundedPremLoad]]*AB$10,-3)</f>
        <v>#N/A</v>
      </c>
      <c r="AC84" t="e">
        <f ca="1">ROUND(tblRiderCF[[#This Row],[UnroundedPMLoad]]*AC$10,-3)</f>
        <v>#N/A</v>
      </c>
      <c r="AD84" t="e">
        <f ca="1">tblRiderCF[[#This Row],[SemiAnnualPremLoad]]+tblRiderCF[[#This Row],[SemiAnnualPMLoad]]</f>
        <v>#N/A</v>
      </c>
      <c r="AE84" t="e">
        <f ca="1">tblRiderCF[[#This Row],[SemiAnnualPrem]]+tblRiderCF[[#This Row],[SemiAnnualLoad]]</f>
        <v>#N/A</v>
      </c>
      <c r="AF84" t="e">
        <f ca="1">ROUND(tblRiderCF[[#This Row],[UnroundedPrem]]*AF$10,-3)</f>
        <v>#N/A</v>
      </c>
      <c r="AG84" t="e">
        <f ca="1">ROUND(tblRiderCF[[#This Row],[UnroundedPremLoad]]*AG$10,-3)</f>
        <v>#N/A</v>
      </c>
      <c r="AH84" t="e">
        <f ca="1">ROUND(tblRiderCF[[#This Row],[UnroundedPMLoad]]*AH$10,-3)</f>
        <v>#N/A</v>
      </c>
      <c r="AI84" t="e">
        <f ca="1">tblRiderCF[[#This Row],[QuarterlyPremLoad]]+tblRiderCF[[#This Row],[QuarterlyPMLoad]]</f>
        <v>#N/A</v>
      </c>
      <c r="AJ84" t="e">
        <f ca="1">tblRiderCF[[#This Row],[QuarterlyPrem]]+tblRiderCF[[#This Row],[QuarterlyLoad]]</f>
        <v>#N/A</v>
      </c>
      <c r="AK84" t="e">
        <f ca="1">ROUND(tblRiderCF[[#This Row],[UnroundedPrem]]*AK$10,-3)</f>
        <v>#N/A</v>
      </c>
      <c r="AL84" t="e">
        <f ca="1">ROUND(tblRiderCF[[#This Row],[UnroundedPremLoad]]*AL$10,-3)</f>
        <v>#N/A</v>
      </c>
      <c r="AM84" t="e">
        <f ca="1">ROUND(tblRiderCF[[#This Row],[UnroundedPMLoad]]*AM$10,-3)</f>
        <v>#N/A</v>
      </c>
      <c r="AN84" t="e">
        <f ca="1">tblRiderCF[[#This Row],[MonthlyPremLoad]]+tblRiderCF[[#This Row],[MonthlyPMLoad]]</f>
        <v>#N/A</v>
      </c>
      <c r="AO84" t="e">
        <f ca="1">tblRiderCF[[#This Row],[MonthlyPrem]]+tblRiderCF[[#This Row],[MonthlyLoad]]</f>
        <v>#N/A</v>
      </c>
      <c r="AS84">
        <f t="shared" si="9"/>
        <v>0</v>
      </c>
      <c r="AT84">
        <f t="shared" si="10"/>
        <v>0</v>
      </c>
      <c r="AU84">
        <f ca="1">tblRiderCF[[#This Row],[Year]]</f>
        <v>71</v>
      </c>
      <c r="AV84" t="e">
        <f ca="1">tblRiderCF[[#This Row],[Age]]</f>
        <v>#N/A</v>
      </c>
      <c r="AW84">
        <f t="shared" si="11"/>
        <v>0</v>
      </c>
      <c r="AX84" t="e">
        <f t="shared" si="12"/>
        <v>#N/A</v>
      </c>
      <c r="AY84">
        <f t="shared" si="13"/>
        <v>0</v>
      </c>
      <c r="AZ84" s="47" t="e">
        <f ca="1">tblRiderCF[[#This Row],[SI]]</f>
        <v>#N/A</v>
      </c>
      <c r="BA84" t="e">
        <f ca="1">tblRiderCF[[#This Row],[TotalPrem]]</f>
        <v>#N/A</v>
      </c>
      <c r="BB84" t="e">
        <f ca="1">tblRiderCF[[#This Row],[SemiAnnualTotalPrem]]</f>
        <v>#N/A</v>
      </c>
      <c r="BC84" t="e">
        <f ca="1">tblRiderCF[[#This Row],[QuarterlyTotalPrem]]</f>
        <v>#N/A</v>
      </c>
      <c r="BD84" t="e">
        <f ca="1">tblRiderCF[[#This Row],[MonthlyTotalPrem]]</f>
        <v>#N/A</v>
      </c>
      <c r="BG84" t="s">
        <v>135</v>
      </c>
      <c r="BH84" t="s">
        <v>188</v>
      </c>
      <c r="BI84">
        <v>41</v>
      </c>
      <c r="BJ84">
        <v>71</v>
      </c>
      <c r="BK84" t="s">
        <v>483</v>
      </c>
      <c r="BL84">
        <v>44</v>
      </c>
      <c r="BM84">
        <v>0</v>
      </c>
      <c r="BN84">
        <v>250000000</v>
      </c>
      <c r="BO84">
        <v>26225000</v>
      </c>
      <c r="BP84">
        <v>13899000</v>
      </c>
      <c r="BQ84">
        <v>7081000</v>
      </c>
      <c r="BR84">
        <v>2360000</v>
      </c>
    </row>
    <row r="85" spans="2:70" x14ac:dyDescent="0.25">
      <c r="B85">
        <f ca="1">OFFSET(tblRiderCF[[#This Row],[Year]],-1,0)+1</f>
        <v>72</v>
      </c>
      <c r="C85" t="e">
        <f ca="1">(tblRiderCF[[#This Row],[Year]]&lt;=term)*1</f>
        <v>#N/A</v>
      </c>
      <c r="D85" t="e">
        <f ca="1">(entry_age+tblRiderCF[[#This Row],[Year]]-1)
*tblRiderCF[[#This Row],[RiderTermFlag]]</f>
        <v>#N/A</v>
      </c>
      <c r="E85" t="e">
        <f ca="1">(risk="Sub-standard")
*tblRiderCF[[#This Row],[RiderTermFlag]]</f>
        <v>#N/A</v>
      </c>
      <c r="F85" t="e">
        <f ca="1">(tblRiderCF[[#This Row],[Year]]&lt;=prem_load_term)
*tblRiderCF[[#This Row],[SubStandardFlag]]</f>
        <v>#N/A</v>
      </c>
      <c r="G85" t="e">
        <f ca="1">(tblRiderCF[[#This Row],[Year]]&lt;=pm_load_term)
*tblRiderCF[[#This Row],[SubStandardFlag]]</f>
        <v>#N/A</v>
      </c>
      <c r="H85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5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5" s="150" t="e" cm="1">
        <f t="array" aca="1" ref="J8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5" s="150" t="e">
        <f ca="1">add_rate*tblRiderCF[[#This Row],[SI]]*(rider=K$11)</f>
        <v>#N/A</v>
      </c>
      <c r="L85" s="150" t="e">
        <f ca="1">INDEX(tblPPDRate[Annualized GPR],MATCH(tblRiderCF[[#This Row],[Age]],tblPPDRate[Min age],1))*tblRiderCF[[#This Row],[SI]]
*(rider=L$11)</f>
        <v>#N/A</v>
      </c>
      <c r="M85" s="150" t="e">
        <f ca="1">INDEX(IF(gender="Male",tblCIR1Rate[Male],tblCIR1Rate[Female]),MATCH(tblRiderCF[[#This Row],[Age]],tblCIR1Rate[Age],0))/1000*tblRiderCF[[#This Row],[SI]]
*(rider=M$11)</f>
        <v>#N/A</v>
      </c>
      <c r="N85" s="150" t="e">
        <f ca="1">INDEX(IF(gender="Male",tblCIR2Rate[Male],tblCIR2Rate[Female]),MATCH(tblRiderCF[[#This Row],[Age]],tblCIR2Rate[Age],0))/1000*tblRiderCF[[#This Row],[SI]]
*(rider=N$11)</f>
        <v>#N/A</v>
      </c>
      <c r="O85" s="150" t="e">
        <f>INDEX(tblHOP2Rate[Premium],MATCH(hop2_option,tblHOP2Rate[Option],0))
*(rider=O$11)</f>
        <v>#N/A</v>
      </c>
      <c r="P85" s="150" t="e">
        <f ca="1">INDEX(Tariff!$CC$5:$CS$44,
MATCH(tblRiderCF[[#This Row],[Age]],Tariff!$CB$5:$CB$44,0),
MATCH(term+1-tblRiderCF[[#This Row],[Year]],Tariff!$CC$4:$CS$4,0))
*(rider=P$11)</f>
        <v>#N/A</v>
      </c>
      <c r="Q85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5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5" s="150" t="e">
        <f ca="1">INDEX(tblRiderCF[[#This Row],[ADD1UnroundedPrem]:[WOP2UnroundedPrem]],MATCH(rider,$K$11:$R$11,0))
*tblRiderCF[[#This Row],[RiderTermFlag]]</f>
        <v>#N/A</v>
      </c>
      <c r="T85" s="150" t="e">
        <f ca="1">tblRiderCF[[#This Row],[UnroundedPrem]]*prem_load</f>
        <v>#N/A</v>
      </c>
      <c r="U85" s="150" t="e">
        <f ca="1">pm_load/1000*tblRiderCF[[#This Row],[SI]]
*tblRiderCF[[#This Row],[RiderTermFlag]]</f>
        <v>#N/A</v>
      </c>
      <c r="V85" s="151" t="e">
        <f ca="1">ROUND(tblRiderCF[[#This Row],[UnroundedPrem]]*V$10,-3)</f>
        <v>#N/A</v>
      </c>
      <c r="W85" t="e">
        <f ca="1">ROUND(tblRiderCF[[#This Row],[UnroundedPremLoad]]*W$10,-3)</f>
        <v>#N/A</v>
      </c>
      <c r="X85" t="e">
        <f ca="1">ROUND(tblRiderCF[[#This Row],[UnroundedPMLoad]]*X$10,-3)</f>
        <v>#N/A</v>
      </c>
      <c r="Y85" t="e">
        <f ca="1">tblRiderCF[[#This Row],[PremLoad]]+tblRiderCF[[#This Row],[PMLoad]]</f>
        <v>#N/A</v>
      </c>
      <c r="Z85" t="e">
        <f ca="1">tblRiderCF[[#This Row],[Prem]]+tblRiderCF[[#This Row],[Load]]</f>
        <v>#N/A</v>
      </c>
      <c r="AA85" t="e">
        <f ca="1">ROUND(tblRiderCF[[#This Row],[UnroundedPrem]]*AA$10,-3)</f>
        <v>#N/A</v>
      </c>
      <c r="AB85" t="e">
        <f ca="1">ROUND(tblRiderCF[[#This Row],[UnroundedPremLoad]]*AB$10,-3)</f>
        <v>#N/A</v>
      </c>
      <c r="AC85" t="e">
        <f ca="1">ROUND(tblRiderCF[[#This Row],[UnroundedPMLoad]]*AC$10,-3)</f>
        <v>#N/A</v>
      </c>
      <c r="AD85" t="e">
        <f ca="1">tblRiderCF[[#This Row],[SemiAnnualPremLoad]]+tblRiderCF[[#This Row],[SemiAnnualPMLoad]]</f>
        <v>#N/A</v>
      </c>
      <c r="AE85" t="e">
        <f ca="1">tblRiderCF[[#This Row],[SemiAnnualPrem]]+tblRiderCF[[#This Row],[SemiAnnualLoad]]</f>
        <v>#N/A</v>
      </c>
      <c r="AF85" t="e">
        <f ca="1">ROUND(tblRiderCF[[#This Row],[UnroundedPrem]]*AF$10,-3)</f>
        <v>#N/A</v>
      </c>
      <c r="AG85" t="e">
        <f ca="1">ROUND(tblRiderCF[[#This Row],[UnroundedPremLoad]]*AG$10,-3)</f>
        <v>#N/A</v>
      </c>
      <c r="AH85" t="e">
        <f ca="1">ROUND(tblRiderCF[[#This Row],[UnroundedPMLoad]]*AH$10,-3)</f>
        <v>#N/A</v>
      </c>
      <c r="AI85" t="e">
        <f ca="1">tblRiderCF[[#This Row],[QuarterlyPremLoad]]+tblRiderCF[[#This Row],[QuarterlyPMLoad]]</f>
        <v>#N/A</v>
      </c>
      <c r="AJ85" t="e">
        <f ca="1">tblRiderCF[[#This Row],[QuarterlyPrem]]+tblRiderCF[[#This Row],[QuarterlyLoad]]</f>
        <v>#N/A</v>
      </c>
      <c r="AK85" t="e">
        <f ca="1">ROUND(tblRiderCF[[#This Row],[UnroundedPrem]]*AK$10,-3)</f>
        <v>#N/A</v>
      </c>
      <c r="AL85" t="e">
        <f ca="1">ROUND(tblRiderCF[[#This Row],[UnroundedPremLoad]]*AL$10,-3)</f>
        <v>#N/A</v>
      </c>
      <c r="AM85" t="e">
        <f ca="1">ROUND(tblRiderCF[[#This Row],[UnroundedPMLoad]]*AM$10,-3)</f>
        <v>#N/A</v>
      </c>
      <c r="AN85" t="e">
        <f ca="1">tblRiderCF[[#This Row],[MonthlyPremLoad]]+tblRiderCF[[#This Row],[MonthlyPMLoad]]</f>
        <v>#N/A</v>
      </c>
      <c r="AO85" t="e">
        <f ca="1">tblRiderCF[[#This Row],[MonthlyPrem]]+tblRiderCF[[#This Row],[MonthlyLoad]]</f>
        <v>#N/A</v>
      </c>
      <c r="AS85">
        <f t="shared" si="9"/>
        <v>0</v>
      </c>
      <c r="AT85">
        <f t="shared" si="10"/>
        <v>0</v>
      </c>
      <c r="AU85">
        <f ca="1">tblRiderCF[[#This Row],[Year]]</f>
        <v>72</v>
      </c>
      <c r="AV85" t="e">
        <f ca="1">tblRiderCF[[#This Row],[Age]]</f>
        <v>#N/A</v>
      </c>
      <c r="AW85">
        <f t="shared" si="11"/>
        <v>0</v>
      </c>
      <c r="AX85" t="e">
        <f t="shared" si="12"/>
        <v>#N/A</v>
      </c>
      <c r="AY85">
        <f t="shared" si="13"/>
        <v>0</v>
      </c>
      <c r="AZ85" s="47" t="e">
        <f ca="1">tblRiderCF[[#This Row],[SI]]</f>
        <v>#N/A</v>
      </c>
      <c r="BA85" t="e">
        <f ca="1">tblRiderCF[[#This Row],[TotalPrem]]</f>
        <v>#N/A</v>
      </c>
      <c r="BB85" t="e">
        <f ca="1">tblRiderCF[[#This Row],[SemiAnnualTotalPrem]]</f>
        <v>#N/A</v>
      </c>
      <c r="BC85" t="e">
        <f ca="1">tblRiderCF[[#This Row],[QuarterlyTotalPrem]]</f>
        <v>#N/A</v>
      </c>
      <c r="BD85" t="e">
        <f ca="1">tblRiderCF[[#This Row],[MonthlyTotalPrem]]</f>
        <v>#N/A</v>
      </c>
      <c r="BG85" t="s">
        <v>135</v>
      </c>
      <c r="BH85" t="s">
        <v>188</v>
      </c>
      <c r="BI85">
        <v>42</v>
      </c>
      <c r="BJ85">
        <v>72</v>
      </c>
      <c r="BK85" t="s">
        <v>483</v>
      </c>
      <c r="BL85">
        <v>44</v>
      </c>
      <c r="BM85">
        <v>0</v>
      </c>
      <c r="BN85">
        <v>250000000</v>
      </c>
      <c r="BO85">
        <v>28540000</v>
      </c>
      <c r="BP85">
        <v>15126000</v>
      </c>
      <c r="BQ85">
        <v>7706000</v>
      </c>
      <c r="BR85">
        <v>2569000</v>
      </c>
    </row>
    <row r="86" spans="2:70" x14ac:dyDescent="0.25">
      <c r="B86">
        <f ca="1">OFFSET(tblRiderCF[[#This Row],[Year]],-1,0)+1</f>
        <v>73</v>
      </c>
      <c r="C86" t="e">
        <f ca="1">(tblRiderCF[[#This Row],[Year]]&lt;=term)*1</f>
        <v>#N/A</v>
      </c>
      <c r="D86" t="e">
        <f ca="1">(entry_age+tblRiderCF[[#This Row],[Year]]-1)
*tblRiderCF[[#This Row],[RiderTermFlag]]</f>
        <v>#N/A</v>
      </c>
      <c r="E86" t="e">
        <f ca="1">(risk="Sub-standard")
*tblRiderCF[[#This Row],[RiderTermFlag]]</f>
        <v>#N/A</v>
      </c>
      <c r="F86" t="e">
        <f ca="1">(tblRiderCF[[#This Row],[Year]]&lt;=prem_load_term)
*tblRiderCF[[#This Row],[SubStandardFlag]]</f>
        <v>#N/A</v>
      </c>
      <c r="G86" t="e">
        <f ca="1">(tblRiderCF[[#This Row],[Year]]&lt;=pm_load_term)
*tblRiderCF[[#This Row],[SubStandardFlag]]</f>
        <v>#N/A</v>
      </c>
      <c r="H86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6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6" s="150" t="e" cm="1">
        <f t="array" aca="1" ref="J8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6" s="150" t="e">
        <f ca="1">add_rate*tblRiderCF[[#This Row],[SI]]*(rider=K$11)</f>
        <v>#N/A</v>
      </c>
      <c r="L86" s="150" t="e">
        <f ca="1">INDEX(tblPPDRate[Annualized GPR],MATCH(tblRiderCF[[#This Row],[Age]],tblPPDRate[Min age],1))*tblRiderCF[[#This Row],[SI]]
*(rider=L$11)</f>
        <v>#N/A</v>
      </c>
      <c r="M86" s="150" t="e">
        <f ca="1">INDEX(IF(gender="Male",tblCIR1Rate[Male],tblCIR1Rate[Female]),MATCH(tblRiderCF[[#This Row],[Age]],tblCIR1Rate[Age],0))/1000*tblRiderCF[[#This Row],[SI]]
*(rider=M$11)</f>
        <v>#N/A</v>
      </c>
      <c r="N86" s="150" t="e">
        <f ca="1">INDEX(IF(gender="Male",tblCIR2Rate[Male],tblCIR2Rate[Female]),MATCH(tblRiderCF[[#This Row],[Age]],tblCIR2Rate[Age],0))/1000*tblRiderCF[[#This Row],[SI]]
*(rider=N$11)</f>
        <v>#N/A</v>
      </c>
      <c r="O86" s="150" t="e">
        <f>INDEX(tblHOP2Rate[Premium],MATCH(hop2_option,tblHOP2Rate[Option],0))
*(rider=O$11)</f>
        <v>#N/A</v>
      </c>
      <c r="P86" s="150" t="e">
        <f ca="1">INDEX(Tariff!$CC$5:$CS$44,
MATCH(tblRiderCF[[#This Row],[Age]],Tariff!$CB$5:$CB$44,0),
MATCH(term+1-tblRiderCF[[#This Row],[Year]],Tariff!$CC$4:$CS$4,0))
*(rider=P$11)</f>
        <v>#N/A</v>
      </c>
      <c r="Q86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6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6" s="150" t="e">
        <f ca="1">INDEX(tblRiderCF[[#This Row],[ADD1UnroundedPrem]:[WOP2UnroundedPrem]],MATCH(rider,$K$11:$R$11,0))
*tblRiderCF[[#This Row],[RiderTermFlag]]</f>
        <v>#N/A</v>
      </c>
      <c r="T86" s="150" t="e">
        <f ca="1">tblRiderCF[[#This Row],[UnroundedPrem]]*prem_load</f>
        <v>#N/A</v>
      </c>
      <c r="U86" s="150" t="e">
        <f ca="1">pm_load/1000*tblRiderCF[[#This Row],[SI]]
*tblRiderCF[[#This Row],[RiderTermFlag]]</f>
        <v>#N/A</v>
      </c>
      <c r="V86" s="151" t="e">
        <f ca="1">ROUND(tblRiderCF[[#This Row],[UnroundedPrem]]*V$10,-3)</f>
        <v>#N/A</v>
      </c>
      <c r="W86" t="e">
        <f ca="1">ROUND(tblRiderCF[[#This Row],[UnroundedPremLoad]]*W$10,-3)</f>
        <v>#N/A</v>
      </c>
      <c r="X86" t="e">
        <f ca="1">ROUND(tblRiderCF[[#This Row],[UnroundedPMLoad]]*X$10,-3)</f>
        <v>#N/A</v>
      </c>
      <c r="Y86" t="e">
        <f ca="1">tblRiderCF[[#This Row],[PremLoad]]+tblRiderCF[[#This Row],[PMLoad]]</f>
        <v>#N/A</v>
      </c>
      <c r="Z86" t="e">
        <f ca="1">tblRiderCF[[#This Row],[Prem]]+tblRiderCF[[#This Row],[Load]]</f>
        <v>#N/A</v>
      </c>
      <c r="AA86" t="e">
        <f ca="1">ROUND(tblRiderCF[[#This Row],[UnroundedPrem]]*AA$10,-3)</f>
        <v>#N/A</v>
      </c>
      <c r="AB86" t="e">
        <f ca="1">ROUND(tblRiderCF[[#This Row],[UnroundedPremLoad]]*AB$10,-3)</f>
        <v>#N/A</v>
      </c>
      <c r="AC86" t="e">
        <f ca="1">ROUND(tblRiderCF[[#This Row],[UnroundedPMLoad]]*AC$10,-3)</f>
        <v>#N/A</v>
      </c>
      <c r="AD86" t="e">
        <f ca="1">tblRiderCF[[#This Row],[SemiAnnualPremLoad]]+tblRiderCF[[#This Row],[SemiAnnualPMLoad]]</f>
        <v>#N/A</v>
      </c>
      <c r="AE86" t="e">
        <f ca="1">tblRiderCF[[#This Row],[SemiAnnualPrem]]+tblRiderCF[[#This Row],[SemiAnnualLoad]]</f>
        <v>#N/A</v>
      </c>
      <c r="AF86" t="e">
        <f ca="1">ROUND(tblRiderCF[[#This Row],[UnroundedPrem]]*AF$10,-3)</f>
        <v>#N/A</v>
      </c>
      <c r="AG86" t="e">
        <f ca="1">ROUND(tblRiderCF[[#This Row],[UnroundedPremLoad]]*AG$10,-3)</f>
        <v>#N/A</v>
      </c>
      <c r="AH86" t="e">
        <f ca="1">ROUND(tblRiderCF[[#This Row],[UnroundedPMLoad]]*AH$10,-3)</f>
        <v>#N/A</v>
      </c>
      <c r="AI86" t="e">
        <f ca="1">tblRiderCF[[#This Row],[QuarterlyPremLoad]]+tblRiderCF[[#This Row],[QuarterlyPMLoad]]</f>
        <v>#N/A</v>
      </c>
      <c r="AJ86" t="e">
        <f ca="1">tblRiderCF[[#This Row],[QuarterlyPrem]]+tblRiderCF[[#This Row],[QuarterlyLoad]]</f>
        <v>#N/A</v>
      </c>
      <c r="AK86" t="e">
        <f ca="1">ROUND(tblRiderCF[[#This Row],[UnroundedPrem]]*AK$10,-3)</f>
        <v>#N/A</v>
      </c>
      <c r="AL86" t="e">
        <f ca="1">ROUND(tblRiderCF[[#This Row],[UnroundedPremLoad]]*AL$10,-3)</f>
        <v>#N/A</v>
      </c>
      <c r="AM86" t="e">
        <f ca="1">ROUND(tblRiderCF[[#This Row],[UnroundedPMLoad]]*AM$10,-3)</f>
        <v>#N/A</v>
      </c>
      <c r="AN86" t="e">
        <f ca="1">tblRiderCF[[#This Row],[MonthlyPremLoad]]+tblRiderCF[[#This Row],[MonthlyPMLoad]]</f>
        <v>#N/A</v>
      </c>
      <c r="AO86" t="e">
        <f ca="1">tblRiderCF[[#This Row],[MonthlyPrem]]+tblRiderCF[[#This Row],[MonthlyLoad]]</f>
        <v>#N/A</v>
      </c>
      <c r="AS86">
        <f t="shared" si="9"/>
        <v>0</v>
      </c>
      <c r="AT86">
        <f t="shared" si="10"/>
        <v>0</v>
      </c>
      <c r="AU86">
        <f ca="1">tblRiderCF[[#This Row],[Year]]</f>
        <v>73</v>
      </c>
      <c r="AV86" t="e">
        <f ca="1">tblRiderCF[[#This Row],[Age]]</f>
        <v>#N/A</v>
      </c>
      <c r="AW86">
        <f t="shared" si="11"/>
        <v>0</v>
      </c>
      <c r="AX86" t="e">
        <f t="shared" si="12"/>
        <v>#N/A</v>
      </c>
      <c r="AY86">
        <f t="shared" si="13"/>
        <v>0</v>
      </c>
      <c r="AZ86" s="47" t="e">
        <f ca="1">tblRiderCF[[#This Row],[SI]]</f>
        <v>#N/A</v>
      </c>
      <c r="BA86" t="e">
        <f ca="1">tblRiderCF[[#This Row],[TotalPrem]]</f>
        <v>#N/A</v>
      </c>
      <c r="BB86" t="e">
        <f ca="1">tblRiderCF[[#This Row],[SemiAnnualTotalPrem]]</f>
        <v>#N/A</v>
      </c>
      <c r="BC86" t="e">
        <f ca="1">tblRiderCF[[#This Row],[QuarterlyTotalPrem]]</f>
        <v>#N/A</v>
      </c>
      <c r="BD86" t="e">
        <f ca="1">tblRiderCF[[#This Row],[MonthlyTotalPrem]]</f>
        <v>#N/A</v>
      </c>
      <c r="BG86" t="s">
        <v>135</v>
      </c>
      <c r="BH86" t="s">
        <v>188</v>
      </c>
      <c r="BI86">
        <v>43</v>
      </c>
      <c r="BJ86">
        <v>73</v>
      </c>
      <c r="BK86" t="s">
        <v>483</v>
      </c>
      <c r="BL86">
        <v>44</v>
      </c>
      <c r="BM86">
        <v>0</v>
      </c>
      <c r="BN86">
        <v>250000000</v>
      </c>
      <c r="BO86">
        <v>30793000</v>
      </c>
      <c r="BP86">
        <v>16320000</v>
      </c>
      <c r="BQ86">
        <v>8314000</v>
      </c>
      <c r="BR86">
        <v>2771000</v>
      </c>
    </row>
    <row r="87" spans="2:70" x14ac:dyDescent="0.25">
      <c r="B87">
        <f ca="1">OFFSET(tblRiderCF[[#This Row],[Year]],-1,0)+1</f>
        <v>74</v>
      </c>
      <c r="C87" t="e">
        <f ca="1">(tblRiderCF[[#This Row],[Year]]&lt;=term)*1</f>
        <v>#N/A</v>
      </c>
      <c r="D87" t="e">
        <f ca="1">(entry_age+tblRiderCF[[#This Row],[Year]]-1)
*tblRiderCF[[#This Row],[RiderTermFlag]]</f>
        <v>#N/A</v>
      </c>
      <c r="E87" t="e">
        <f ca="1">(risk="Sub-standard")
*tblRiderCF[[#This Row],[RiderTermFlag]]</f>
        <v>#N/A</v>
      </c>
      <c r="F87" t="e">
        <f ca="1">(tblRiderCF[[#This Row],[Year]]&lt;=prem_load_term)
*tblRiderCF[[#This Row],[SubStandardFlag]]</f>
        <v>#N/A</v>
      </c>
      <c r="G87" t="e">
        <f ca="1">(tblRiderCF[[#This Row],[Year]]&lt;=pm_load_term)
*tblRiderCF[[#This Row],[SubStandardFlag]]</f>
        <v>#N/A</v>
      </c>
      <c r="H87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7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7" s="150" t="e" cm="1">
        <f t="array" aca="1" ref="J8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7" s="150" t="e">
        <f ca="1">add_rate*tblRiderCF[[#This Row],[SI]]*(rider=K$11)</f>
        <v>#N/A</v>
      </c>
      <c r="L87" s="150" t="e">
        <f ca="1">INDEX(tblPPDRate[Annualized GPR],MATCH(tblRiderCF[[#This Row],[Age]],tblPPDRate[Min age],1))*tblRiderCF[[#This Row],[SI]]
*(rider=L$11)</f>
        <v>#N/A</v>
      </c>
      <c r="M87" s="150" t="e">
        <f ca="1">INDEX(IF(gender="Male",tblCIR1Rate[Male],tblCIR1Rate[Female]),MATCH(tblRiderCF[[#This Row],[Age]],tblCIR1Rate[Age],0))/1000*tblRiderCF[[#This Row],[SI]]
*(rider=M$11)</f>
        <v>#N/A</v>
      </c>
      <c r="N87" s="150" t="e">
        <f ca="1">INDEX(IF(gender="Male",tblCIR2Rate[Male],tblCIR2Rate[Female]),MATCH(tblRiderCF[[#This Row],[Age]],tblCIR2Rate[Age],0))/1000*tblRiderCF[[#This Row],[SI]]
*(rider=N$11)</f>
        <v>#N/A</v>
      </c>
      <c r="O87" s="150" t="e">
        <f>INDEX(tblHOP2Rate[Premium],MATCH(hop2_option,tblHOP2Rate[Option],0))
*(rider=O$11)</f>
        <v>#N/A</v>
      </c>
      <c r="P87" s="150" t="e">
        <f ca="1">INDEX(Tariff!$CC$5:$CS$44,
MATCH(tblRiderCF[[#This Row],[Age]],Tariff!$CB$5:$CB$44,0),
MATCH(term+1-tblRiderCF[[#This Row],[Year]],Tariff!$CC$4:$CS$4,0))
*(rider=P$11)</f>
        <v>#N/A</v>
      </c>
      <c r="Q87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7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7" s="150" t="e">
        <f ca="1">INDEX(tblRiderCF[[#This Row],[ADD1UnroundedPrem]:[WOP2UnroundedPrem]],MATCH(rider,$K$11:$R$11,0))
*tblRiderCF[[#This Row],[RiderTermFlag]]</f>
        <v>#N/A</v>
      </c>
      <c r="T87" s="150" t="e">
        <f ca="1">tblRiderCF[[#This Row],[UnroundedPrem]]*prem_load</f>
        <v>#N/A</v>
      </c>
      <c r="U87" s="150" t="e">
        <f ca="1">pm_load/1000*tblRiderCF[[#This Row],[SI]]
*tblRiderCF[[#This Row],[RiderTermFlag]]</f>
        <v>#N/A</v>
      </c>
      <c r="V87" s="151" t="e">
        <f ca="1">ROUND(tblRiderCF[[#This Row],[UnroundedPrem]]*V$10,-3)</f>
        <v>#N/A</v>
      </c>
      <c r="W87" t="e">
        <f ca="1">ROUND(tblRiderCF[[#This Row],[UnroundedPremLoad]]*W$10,-3)</f>
        <v>#N/A</v>
      </c>
      <c r="X87" t="e">
        <f ca="1">ROUND(tblRiderCF[[#This Row],[UnroundedPMLoad]]*X$10,-3)</f>
        <v>#N/A</v>
      </c>
      <c r="Y87" t="e">
        <f ca="1">tblRiderCF[[#This Row],[PremLoad]]+tblRiderCF[[#This Row],[PMLoad]]</f>
        <v>#N/A</v>
      </c>
      <c r="Z87" t="e">
        <f ca="1">tblRiderCF[[#This Row],[Prem]]+tblRiderCF[[#This Row],[Load]]</f>
        <v>#N/A</v>
      </c>
      <c r="AA87" t="e">
        <f ca="1">ROUND(tblRiderCF[[#This Row],[UnroundedPrem]]*AA$10,-3)</f>
        <v>#N/A</v>
      </c>
      <c r="AB87" t="e">
        <f ca="1">ROUND(tblRiderCF[[#This Row],[UnroundedPremLoad]]*AB$10,-3)</f>
        <v>#N/A</v>
      </c>
      <c r="AC87" t="e">
        <f ca="1">ROUND(tblRiderCF[[#This Row],[UnroundedPMLoad]]*AC$10,-3)</f>
        <v>#N/A</v>
      </c>
      <c r="AD87" t="e">
        <f ca="1">tblRiderCF[[#This Row],[SemiAnnualPremLoad]]+tblRiderCF[[#This Row],[SemiAnnualPMLoad]]</f>
        <v>#N/A</v>
      </c>
      <c r="AE87" t="e">
        <f ca="1">tblRiderCF[[#This Row],[SemiAnnualPrem]]+tblRiderCF[[#This Row],[SemiAnnualLoad]]</f>
        <v>#N/A</v>
      </c>
      <c r="AF87" t="e">
        <f ca="1">ROUND(tblRiderCF[[#This Row],[UnroundedPrem]]*AF$10,-3)</f>
        <v>#N/A</v>
      </c>
      <c r="AG87" t="e">
        <f ca="1">ROUND(tblRiderCF[[#This Row],[UnroundedPremLoad]]*AG$10,-3)</f>
        <v>#N/A</v>
      </c>
      <c r="AH87" t="e">
        <f ca="1">ROUND(tblRiderCF[[#This Row],[UnroundedPMLoad]]*AH$10,-3)</f>
        <v>#N/A</v>
      </c>
      <c r="AI87" t="e">
        <f ca="1">tblRiderCF[[#This Row],[QuarterlyPremLoad]]+tblRiderCF[[#This Row],[QuarterlyPMLoad]]</f>
        <v>#N/A</v>
      </c>
      <c r="AJ87" t="e">
        <f ca="1">tblRiderCF[[#This Row],[QuarterlyPrem]]+tblRiderCF[[#This Row],[QuarterlyLoad]]</f>
        <v>#N/A</v>
      </c>
      <c r="AK87" t="e">
        <f ca="1">ROUND(tblRiderCF[[#This Row],[UnroundedPrem]]*AK$10,-3)</f>
        <v>#N/A</v>
      </c>
      <c r="AL87" t="e">
        <f ca="1">ROUND(tblRiderCF[[#This Row],[UnroundedPremLoad]]*AL$10,-3)</f>
        <v>#N/A</v>
      </c>
      <c r="AM87" t="e">
        <f ca="1">ROUND(tblRiderCF[[#This Row],[UnroundedPMLoad]]*AM$10,-3)</f>
        <v>#N/A</v>
      </c>
      <c r="AN87" t="e">
        <f ca="1">tblRiderCF[[#This Row],[MonthlyPremLoad]]+tblRiderCF[[#This Row],[MonthlyPMLoad]]</f>
        <v>#N/A</v>
      </c>
      <c r="AO87" t="e">
        <f ca="1">tblRiderCF[[#This Row],[MonthlyPrem]]+tblRiderCF[[#This Row],[MonthlyLoad]]</f>
        <v>#N/A</v>
      </c>
      <c r="AS87">
        <f t="shared" si="9"/>
        <v>0</v>
      </c>
      <c r="AT87">
        <f t="shared" si="10"/>
        <v>0</v>
      </c>
      <c r="AU87">
        <f ca="1">tblRiderCF[[#This Row],[Year]]</f>
        <v>74</v>
      </c>
      <c r="AV87" t="e">
        <f ca="1">tblRiderCF[[#This Row],[Age]]</f>
        <v>#N/A</v>
      </c>
      <c r="AW87">
        <f t="shared" si="11"/>
        <v>0</v>
      </c>
      <c r="AX87" t="e">
        <f t="shared" si="12"/>
        <v>#N/A</v>
      </c>
      <c r="AY87">
        <f t="shared" si="13"/>
        <v>0</v>
      </c>
      <c r="AZ87" s="47" t="e">
        <f ca="1">tblRiderCF[[#This Row],[SI]]</f>
        <v>#N/A</v>
      </c>
      <c r="BA87" t="e">
        <f ca="1">tblRiderCF[[#This Row],[TotalPrem]]</f>
        <v>#N/A</v>
      </c>
      <c r="BB87" t="e">
        <f ca="1">tblRiderCF[[#This Row],[SemiAnnualTotalPrem]]</f>
        <v>#N/A</v>
      </c>
      <c r="BC87" t="e">
        <f ca="1">tblRiderCF[[#This Row],[QuarterlyTotalPrem]]</f>
        <v>#N/A</v>
      </c>
      <c r="BD87" t="e">
        <f ca="1">tblRiderCF[[#This Row],[MonthlyTotalPrem]]</f>
        <v>#N/A</v>
      </c>
      <c r="BG87" t="s">
        <v>135</v>
      </c>
      <c r="BH87" t="s">
        <v>188</v>
      </c>
      <c r="BI87">
        <v>44</v>
      </c>
      <c r="BJ87">
        <v>74</v>
      </c>
      <c r="BK87" t="s">
        <v>483</v>
      </c>
      <c r="BL87">
        <v>44</v>
      </c>
      <c r="BM87">
        <v>0</v>
      </c>
      <c r="BN87">
        <v>250000000</v>
      </c>
      <c r="BO87">
        <v>33230000</v>
      </c>
      <c r="BP87">
        <v>17611000</v>
      </c>
      <c r="BQ87">
        <v>8972000</v>
      </c>
      <c r="BR87">
        <v>2990000</v>
      </c>
    </row>
    <row r="88" spans="2:70" x14ac:dyDescent="0.25">
      <c r="B88">
        <f ca="1">OFFSET(tblRiderCF[[#This Row],[Year]],-1,0)+1</f>
        <v>75</v>
      </c>
      <c r="C88" t="e">
        <f ca="1">(tblRiderCF[[#This Row],[Year]]&lt;=term)*1</f>
        <v>#N/A</v>
      </c>
      <c r="D88" t="e">
        <f ca="1">(entry_age+tblRiderCF[[#This Row],[Year]]-1)
*tblRiderCF[[#This Row],[RiderTermFlag]]</f>
        <v>#N/A</v>
      </c>
      <c r="E88" t="e">
        <f ca="1">(risk="Sub-standard")
*tblRiderCF[[#This Row],[RiderTermFlag]]</f>
        <v>#N/A</v>
      </c>
      <c r="F88" t="e">
        <f ca="1">(tblRiderCF[[#This Row],[Year]]&lt;=prem_load_term)
*tblRiderCF[[#This Row],[SubStandardFlag]]</f>
        <v>#N/A</v>
      </c>
      <c r="G88" t="e">
        <f ca="1">(tblRiderCF[[#This Row],[Year]]&lt;=pm_load_term)
*tblRiderCF[[#This Row],[SubStandardFlag]]</f>
        <v>#N/A</v>
      </c>
      <c r="H88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8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8" s="150" t="e" cm="1">
        <f t="array" aca="1" ref="J8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8" s="150" t="e">
        <f ca="1">add_rate*tblRiderCF[[#This Row],[SI]]*(rider=K$11)</f>
        <v>#N/A</v>
      </c>
      <c r="L88" s="150" t="e">
        <f ca="1">INDEX(tblPPDRate[Annualized GPR],MATCH(tblRiderCF[[#This Row],[Age]],tblPPDRate[Min age],1))*tblRiderCF[[#This Row],[SI]]
*(rider=L$11)</f>
        <v>#N/A</v>
      </c>
      <c r="M88" s="150" t="e">
        <f ca="1">INDEX(IF(gender="Male",tblCIR1Rate[Male],tblCIR1Rate[Female]),MATCH(tblRiderCF[[#This Row],[Age]],tblCIR1Rate[Age],0))/1000*tblRiderCF[[#This Row],[SI]]
*(rider=M$11)</f>
        <v>#N/A</v>
      </c>
      <c r="N88" s="150" t="e">
        <f ca="1">INDEX(IF(gender="Male",tblCIR2Rate[Male],tblCIR2Rate[Female]),MATCH(tblRiderCF[[#This Row],[Age]],tblCIR2Rate[Age],0))/1000*tblRiderCF[[#This Row],[SI]]
*(rider=N$11)</f>
        <v>#N/A</v>
      </c>
      <c r="O88" s="150" t="e">
        <f>INDEX(tblHOP2Rate[Premium],MATCH(hop2_option,tblHOP2Rate[Option],0))
*(rider=O$11)</f>
        <v>#N/A</v>
      </c>
      <c r="P88" s="150" t="e">
        <f ca="1">INDEX(Tariff!$CC$5:$CS$44,
MATCH(tblRiderCF[[#This Row],[Age]],Tariff!$CB$5:$CB$44,0),
MATCH(term+1-tblRiderCF[[#This Row],[Year]],Tariff!$CC$4:$CS$4,0))
*(rider=P$11)</f>
        <v>#N/A</v>
      </c>
      <c r="Q88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8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8" s="150" t="e">
        <f ca="1">INDEX(tblRiderCF[[#This Row],[ADD1UnroundedPrem]:[WOP2UnroundedPrem]],MATCH(rider,$K$11:$R$11,0))
*tblRiderCF[[#This Row],[RiderTermFlag]]</f>
        <v>#N/A</v>
      </c>
      <c r="T88" s="150" t="e">
        <f ca="1">tblRiderCF[[#This Row],[UnroundedPrem]]*prem_load</f>
        <v>#N/A</v>
      </c>
      <c r="U88" s="150" t="e">
        <f ca="1">pm_load/1000*tblRiderCF[[#This Row],[SI]]
*tblRiderCF[[#This Row],[RiderTermFlag]]</f>
        <v>#N/A</v>
      </c>
      <c r="V88" s="151" t="e">
        <f ca="1">ROUND(tblRiderCF[[#This Row],[UnroundedPrem]]*V$10,-3)</f>
        <v>#N/A</v>
      </c>
      <c r="W88" t="e">
        <f ca="1">ROUND(tblRiderCF[[#This Row],[UnroundedPremLoad]]*W$10,-3)</f>
        <v>#N/A</v>
      </c>
      <c r="X88" t="e">
        <f ca="1">ROUND(tblRiderCF[[#This Row],[UnroundedPMLoad]]*X$10,-3)</f>
        <v>#N/A</v>
      </c>
      <c r="Y88" t="e">
        <f ca="1">tblRiderCF[[#This Row],[PremLoad]]+tblRiderCF[[#This Row],[PMLoad]]</f>
        <v>#N/A</v>
      </c>
      <c r="Z88" t="e">
        <f ca="1">tblRiderCF[[#This Row],[Prem]]+tblRiderCF[[#This Row],[Load]]</f>
        <v>#N/A</v>
      </c>
      <c r="AA88" t="e">
        <f ca="1">ROUND(tblRiderCF[[#This Row],[UnroundedPrem]]*AA$10,-3)</f>
        <v>#N/A</v>
      </c>
      <c r="AB88" t="e">
        <f ca="1">ROUND(tblRiderCF[[#This Row],[UnroundedPremLoad]]*AB$10,-3)</f>
        <v>#N/A</v>
      </c>
      <c r="AC88" t="e">
        <f ca="1">ROUND(tblRiderCF[[#This Row],[UnroundedPMLoad]]*AC$10,-3)</f>
        <v>#N/A</v>
      </c>
      <c r="AD88" t="e">
        <f ca="1">tblRiderCF[[#This Row],[SemiAnnualPremLoad]]+tblRiderCF[[#This Row],[SemiAnnualPMLoad]]</f>
        <v>#N/A</v>
      </c>
      <c r="AE88" t="e">
        <f ca="1">tblRiderCF[[#This Row],[SemiAnnualPrem]]+tblRiderCF[[#This Row],[SemiAnnualLoad]]</f>
        <v>#N/A</v>
      </c>
      <c r="AF88" t="e">
        <f ca="1">ROUND(tblRiderCF[[#This Row],[UnroundedPrem]]*AF$10,-3)</f>
        <v>#N/A</v>
      </c>
      <c r="AG88" t="e">
        <f ca="1">ROUND(tblRiderCF[[#This Row],[UnroundedPremLoad]]*AG$10,-3)</f>
        <v>#N/A</v>
      </c>
      <c r="AH88" t="e">
        <f ca="1">ROUND(tblRiderCF[[#This Row],[UnroundedPMLoad]]*AH$10,-3)</f>
        <v>#N/A</v>
      </c>
      <c r="AI88" t="e">
        <f ca="1">tblRiderCF[[#This Row],[QuarterlyPremLoad]]+tblRiderCF[[#This Row],[QuarterlyPMLoad]]</f>
        <v>#N/A</v>
      </c>
      <c r="AJ88" t="e">
        <f ca="1">tblRiderCF[[#This Row],[QuarterlyPrem]]+tblRiderCF[[#This Row],[QuarterlyLoad]]</f>
        <v>#N/A</v>
      </c>
      <c r="AK88" t="e">
        <f ca="1">ROUND(tblRiderCF[[#This Row],[UnroundedPrem]]*AK$10,-3)</f>
        <v>#N/A</v>
      </c>
      <c r="AL88" t="e">
        <f ca="1">ROUND(tblRiderCF[[#This Row],[UnroundedPremLoad]]*AL$10,-3)</f>
        <v>#N/A</v>
      </c>
      <c r="AM88" t="e">
        <f ca="1">ROUND(tblRiderCF[[#This Row],[UnroundedPMLoad]]*AM$10,-3)</f>
        <v>#N/A</v>
      </c>
      <c r="AN88" t="e">
        <f ca="1">tblRiderCF[[#This Row],[MonthlyPremLoad]]+tblRiderCF[[#This Row],[MonthlyPMLoad]]</f>
        <v>#N/A</v>
      </c>
      <c r="AO88" t="e">
        <f ca="1">tblRiderCF[[#This Row],[MonthlyPrem]]+tblRiderCF[[#This Row],[MonthlyLoad]]</f>
        <v>#N/A</v>
      </c>
      <c r="AS88">
        <f t="shared" si="9"/>
        <v>0</v>
      </c>
      <c r="AT88">
        <f t="shared" si="10"/>
        <v>0</v>
      </c>
      <c r="AU88">
        <f ca="1">tblRiderCF[[#This Row],[Year]]</f>
        <v>75</v>
      </c>
      <c r="AV88" t="e">
        <f ca="1">tblRiderCF[[#This Row],[Age]]</f>
        <v>#N/A</v>
      </c>
      <c r="AW88">
        <f t="shared" si="11"/>
        <v>0</v>
      </c>
      <c r="AX88" t="e">
        <f t="shared" si="12"/>
        <v>#N/A</v>
      </c>
      <c r="AY88">
        <f t="shared" si="13"/>
        <v>0</v>
      </c>
      <c r="AZ88" s="47" t="e">
        <f ca="1">tblRiderCF[[#This Row],[SI]]</f>
        <v>#N/A</v>
      </c>
      <c r="BA88" t="e">
        <f ca="1">tblRiderCF[[#This Row],[TotalPrem]]</f>
        <v>#N/A</v>
      </c>
      <c r="BB88" t="e">
        <f ca="1">tblRiderCF[[#This Row],[SemiAnnualTotalPrem]]</f>
        <v>#N/A</v>
      </c>
      <c r="BC88" t="e">
        <f ca="1">tblRiderCF[[#This Row],[QuarterlyTotalPrem]]</f>
        <v>#N/A</v>
      </c>
      <c r="BD88" t="e">
        <f ca="1">tblRiderCF[[#This Row],[MonthlyTotalPrem]]</f>
        <v>#N/A</v>
      </c>
      <c r="BG88" t="s">
        <v>135</v>
      </c>
      <c r="BH88" t="s">
        <v>188</v>
      </c>
      <c r="BI88">
        <v>1</v>
      </c>
      <c r="BJ88">
        <v>31</v>
      </c>
      <c r="BK88" t="s">
        <v>484</v>
      </c>
      <c r="BL88">
        <v>17</v>
      </c>
      <c r="BM88">
        <v>0</v>
      </c>
      <c r="BN88">
        <v>0</v>
      </c>
      <c r="BO88">
        <v>620000</v>
      </c>
      <c r="BP88">
        <v>329000</v>
      </c>
      <c r="BQ88">
        <v>168000</v>
      </c>
      <c r="BR88">
        <v>56000</v>
      </c>
    </row>
    <row r="89" spans="2:70" x14ac:dyDescent="0.25">
      <c r="B89">
        <f ca="1">OFFSET(tblRiderCF[[#This Row],[Year]],-1,0)+1</f>
        <v>76</v>
      </c>
      <c r="C89" t="e">
        <f ca="1">(tblRiderCF[[#This Row],[Year]]&lt;=term)*1</f>
        <v>#N/A</v>
      </c>
      <c r="D89" t="e">
        <f ca="1">(entry_age+tblRiderCF[[#This Row],[Year]]-1)
*tblRiderCF[[#This Row],[RiderTermFlag]]</f>
        <v>#N/A</v>
      </c>
      <c r="E89" t="e">
        <f ca="1">(risk="Sub-standard")
*tblRiderCF[[#This Row],[RiderTermFlag]]</f>
        <v>#N/A</v>
      </c>
      <c r="F89" t="e">
        <f ca="1">(tblRiderCF[[#This Row],[Year]]&lt;=prem_load_term)
*tblRiderCF[[#This Row],[SubStandardFlag]]</f>
        <v>#N/A</v>
      </c>
      <c r="G89" t="e">
        <f ca="1">(tblRiderCF[[#This Row],[Year]]&lt;=pm_load_term)
*tblRiderCF[[#This Row],[SubStandardFlag]]</f>
        <v>#N/A</v>
      </c>
      <c r="H89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89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89" s="150" t="e" cm="1">
        <f t="array" aca="1" ref="J8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89" s="150" t="e">
        <f ca="1">add_rate*tblRiderCF[[#This Row],[SI]]*(rider=K$11)</f>
        <v>#N/A</v>
      </c>
      <c r="L89" s="150" t="e">
        <f ca="1">INDEX(tblPPDRate[Annualized GPR],MATCH(tblRiderCF[[#This Row],[Age]],tblPPDRate[Min age],1))*tblRiderCF[[#This Row],[SI]]
*(rider=L$11)</f>
        <v>#N/A</v>
      </c>
      <c r="M89" s="150" t="e">
        <f ca="1">INDEX(IF(gender="Male",tblCIR1Rate[Male],tblCIR1Rate[Female]),MATCH(tblRiderCF[[#This Row],[Age]],tblCIR1Rate[Age],0))/1000*tblRiderCF[[#This Row],[SI]]
*(rider=M$11)</f>
        <v>#N/A</v>
      </c>
      <c r="N89" s="150" t="e">
        <f ca="1">INDEX(IF(gender="Male",tblCIR2Rate[Male],tblCIR2Rate[Female]),MATCH(tblRiderCF[[#This Row],[Age]],tblCIR2Rate[Age],0))/1000*tblRiderCF[[#This Row],[SI]]
*(rider=N$11)</f>
        <v>#N/A</v>
      </c>
      <c r="O89" s="150" t="e">
        <f>INDEX(tblHOP2Rate[Premium],MATCH(hop2_option,tblHOP2Rate[Option],0))
*(rider=O$11)</f>
        <v>#N/A</v>
      </c>
      <c r="P89" s="150" t="e">
        <f ca="1">INDEX(Tariff!$CC$5:$CS$44,
MATCH(tblRiderCF[[#This Row],[Age]],Tariff!$CB$5:$CB$44,0),
MATCH(term+1-tblRiderCF[[#This Row],[Year]],Tariff!$CC$4:$CS$4,0))
*(rider=P$11)</f>
        <v>#N/A</v>
      </c>
      <c r="Q89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89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89" s="150" t="e">
        <f ca="1">INDEX(tblRiderCF[[#This Row],[ADD1UnroundedPrem]:[WOP2UnroundedPrem]],MATCH(rider,$K$11:$R$11,0))
*tblRiderCF[[#This Row],[RiderTermFlag]]</f>
        <v>#N/A</v>
      </c>
      <c r="T89" s="150" t="e">
        <f ca="1">tblRiderCF[[#This Row],[UnroundedPrem]]*prem_load</f>
        <v>#N/A</v>
      </c>
      <c r="U89" s="150" t="e">
        <f ca="1">pm_load/1000*tblRiderCF[[#This Row],[SI]]
*tblRiderCF[[#This Row],[RiderTermFlag]]</f>
        <v>#N/A</v>
      </c>
      <c r="V89" s="151" t="e">
        <f ca="1">ROUND(tblRiderCF[[#This Row],[UnroundedPrem]]*V$10,-3)</f>
        <v>#N/A</v>
      </c>
      <c r="W89" t="e">
        <f ca="1">ROUND(tblRiderCF[[#This Row],[UnroundedPremLoad]]*W$10,-3)</f>
        <v>#N/A</v>
      </c>
      <c r="X89" t="e">
        <f ca="1">ROUND(tblRiderCF[[#This Row],[UnroundedPMLoad]]*X$10,-3)</f>
        <v>#N/A</v>
      </c>
      <c r="Y89" t="e">
        <f ca="1">tblRiderCF[[#This Row],[PremLoad]]+tblRiderCF[[#This Row],[PMLoad]]</f>
        <v>#N/A</v>
      </c>
      <c r="Z89" t="e">
        <f ca="1">tblRiderCF[[#This Row],[Prem]]+tblRiderCF[[#This Row],[Load]]</f>
        <v>#N/A</v>
      </c>
      <c r="AA89" t="e">
        <f ca="1">ROUND(tblRiderCF[[#This Row],[UnroundedPrem]]*AA$10,-3)</f>
        <v>#N/A</v>
      </c>
      <c r="AB89" t="e">
        <f ca="1">ROUND(tblRiderCF[[#This Row],[UnroundedPremLoad]]*AB$10,-3)</f>
        <v>#N/A</v>
      </c>
      <c r="AC89" t="e">
        <f ca="1">ROUND(tblRiderCF[[#This Row],[UnroundedPMLoad]]*AC$10,-3)</f>
        <v>#N/A</v>
      </c>
      <c r="AD89" t="e">
        <f ca="1">tblRiderCF[[#This Row],[SemiAnnualPremLoad]]+tblRiderCF[[#This Row],[SemiAnnualPMLoad]]</f>
        <v>#N/A</v>
      </c>
      <c r="AE89" t="e">
        <f ca="1">tblRiderCF[[#This Row],[SemiAnnualPrem]]+tblRiderCF[[#This Row],[SemiAnnualLoad]]</f>
        <v>#N/A</v>
      </c>
      <c r="AF89" t="e">
        <f ca="1">ROUND(tblRiderCF[[#This Row],[UnroundedPrem]]*AF$10,-3)</f>
        <v>#N/A</v>
      </c>
      <c r="AG89" t="e">
        <f ca="1">ROUND(tblRiderCF[[#This Row],[UnroundedPremLoad]]*AG$10,-3)</f>
        <v>#N/A</v>
      </c>
      <c r="AH89" t="e">
        <f ca="1">ROUND(tblRiderCF[[#This Row],[UnroundedPMLoad]]*AH$10,-3)</f>
        <v>#N/A</v>
      </c>
      <c r="AI89" t="e">
        <f ca="1">tblRiderCF[[#This Row],[QuarterlyPremLoad]]+tblRiderCF[[#This Row],[QuarterlyPMLoad]]</f>
        <v>#N/A</v>
      </c>
      <c r="AJ89" t="e">
        <f ca="1">tblRiderCF[[#This Row],[QuarterlyPrem]]+tblRiderCF[[#This Row],[QuarterlyLoad]]</f>
        <v>#N/A</v>
      </c>
      <c r="AK89" t="e">
        <f ca="1">ROUND(tblRiderCF[[#This Row],[UnroundedPrem]]*AK$10,-3)</f>
        <v>#N/A</v>
      </c>
      <c r="AL89" t="e">
        <f ca="1">ROUND(tblRiderCF[[#This Row],[UnroundedPremLoad]]*AL$10,-3)</f>
        <v>#N/A</v>
      </c>
      <c r="AM89" t="e">
        <f ca="1">ROUND(tblRiderCF[[#This Row],[UnroundedPMLoad]]*AM$10,-3)</f>
        <v>#N/A</v>
      </c>
      <c r="AN89" t="e">
        <f ca="1">tblRiderCF[[#This Row],[MonthlyPremLoad]]+tblRiderCF[[#This Row],[MonthlyPMLoad]]</f>
        <v>#N/A</v>
      </c>
      <c r="AO89" t="e">
        <f ca="1">tblRiderCF[[#This Row],[MonthlyPrem]]+tblRiderCF[[#This Row],[MonthlyLoad]]</f>
        <v>#N/A</v>
      </c>
      <c r="AS89">
        <f t="shared" si="9"/>
        <v>0</v>
      </c>
      <c r="AT89">
        <f t="shared" si="10"/>
        <v>0</v>
      </c>
      <c r="AU89">
        <f ca="1">tblRiderCF[[#This Row],[Year]]</f>
        <v>76</v>
      </c>
      <c r="AV89" t="e">
        <f ca="1">tblRiderCF[[#This Row],[Age]]</f>
        <v>#N/A</v>
      </c>
      <c r="AW89">
        <f t="shared" si="11"/>
        <v>0</v>
      </c>
      <c r="AX89" t="e">
        <f t="shared" si="12"/>
        <v>#N/A</v>
      </c>
      <c r="AY89">
        <f t="shared" si="13"/>
        <v>0</v>
      </c>
      <c r="AZ89" s="47" t="e">
        <f ca="1">tblRiderCF[[#This Row],[SI]]</f>
        <v>#N/A</v>
      </c>
      <c r="BA89" t="e">
        <f ca="1">tblRiderCF[[#This Row],[TotalPrem]]</f>
        <v>#N/A</v>
      </c>
      <c r="BB89" t="e">
        <f ca="1">tblRiderCF[[#This Row],[SemiAnnualTotalPrem]]</f>
        <v>#N/A</v>
      </c>
      <c r="BC89" t="e">
        <f ca="1">tblRiderCF[[#This Row],[QuarterlyTotalPrem]]</f>
        <v>#N/A</v>
      </c>
      <c r="BD89" t="e">
        <f ca="1">tblRiderCF[[#This Row],[MonthlyTotalPrem]]</f>
        <v>#N/A</v>
      </c>
      <c r="BG89" t="s">
        <v>135</v>
      </c>
      <c r="BH89" t="s">
        <v>188</v>
      </c>
      <c r="BI89">
        <v>2</v>
      </c>
      <c r="BJ89">
        <v>32</v>
      </c>
      <c r="BK89" t="s">
        <v>484</v>
      </c>
      <c r="BL89">
        <v>17</v>
      </c>
      <c r="BM89">
        <v>0</v>
      </c>
      <c r="BN89">
        <v>0</v>
      </c>
      <c r="BO89">
        <v>614000</v>
      </c>
      <c r="BP89">
        <v>325000</v>
      </c>
      <c r="BQ89">
        <v>166000</v>
      </c>
      <c r="BR89">
        <v>56000</v>
      </c>
    </row>
    <row r="90" spans="2:70" x14ac:dyDescent="0.25">
      <c r="B90">
        <f ca="1">OFFSET(tblRiderCF[[#This Row],[Year]],-1,0)+1</f>
        <v>77</v>
      </c>
      <c r="C90" t="e">
        <f ca="1">(tblRiderCF[[#This Row],[Year]]&lt;=term)*1</f>
        <v>#N/A</v>
      </c>
      <c r="D90" t="e">
        <f ca="1">(entry_age+tblRiderCF[[#This Row],[Year]]-1)
*tblRiderCF[[#This Row],[RiderTermFlag]]</f>
        <v>#N/A</v>
      </c>
      <c r="E90" t="e">
        <f ca="1">(risk="Sub-standard")
*tblRiderCF[[#This Row],[RiderTermFlag]]</f>
        <v>#N/A</v>
      </c>
      <c r="F90" t="e">
        <f ca="1">(tblRiderCF[[#This Row],[Year]]&lt;=prem_load_term)
*tblRiderCF[[#This Row],[SubStandardFlag]]</f>
        <v>#N/A</v>
      </c>
      <c r="G90" t="e">
        <f ca="1">(tblRiderCF[[#This Row],[Year]]&lt;=pm_load_term)
*tblRiderCF[[#This Row],[SubStandardFlag]]</f>
        <v>#N/A</v>
      </c>
      <c r="H90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0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0" s="150" t="e" cm="1">
        <f t="array" aca="1" ref="J9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0" s="150" t="e">
        <f ca="1">add_rate*tblRiderCF[[#This Row],[SI]]*(rider=K$11)</f>
        <v>#N/A</v>
      </c>
      <c r="L90" s="150" t="e">
        <f ca="1">INDEX(tblPPDRate[Annualized GPR],MATCH(tblRiderCF[[#This Row],[Age]],tblPPDRate[Min age],1))*tblRiderCF[[#This Row],[SI]]
*(rider=L$11)</f>
        <v>#N/A</v>
      </c>
      <c r="M90" s="150" t="e">
        <f ca="1">INDEX(IF(gender="Male",tblCIR1Rate[Male],tblCIR1Rate[Female]),MATCH(tblRiderCF[[#This Row],[Age]],tblCIR1Rate[Age],0))/1000*tblRiderCF[[#This Row],[SI]]
*(rider=M$11)</f>
        <v>#N/A</v>
      </c>
      <c r="N90" s="150" t="e">
        <f ca="1">INDEX(IF(gender="Male",tblCIR2Rate[Male],tblCIR2Rate[Female]),MATCH(tblRiderCF[[#This Row],[Age]],tblCIR2Rate[Age],0))/1000*tblRiderCF[[#This Row],[SI]]
*(rider=N$11)</f>
        <v>#N/A</v>
      </c>
      <c r="O90" s="150" t="e">
        <f>INDEX(tblHOP2Rate[Premium],MATCH(hop2_option,tblHOP2Rate[Option],0))
*(rider=O$11)</f>
        <v>#N/A</v>
      </c>
      <c r="P90" s="150" t="e">
        <f ca="1">INDEX(Tariff!$CC$5:$CS$44,
MATCH(tblRiderCF[[#This Row],[Age]],Tariff!$CB$5:$CB$44,0),
MATCH(term+1-tblRiderCF[[#This Row],[Year]],Tariff!$CC$4:$CS$4,0))
*(rider=P$11)</f>
        <v>#N/A</v>
      </c>
      <c r="Q90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0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0" s="150" t="e">
        <f ca="1">INDEX(tblRiderCF[[#This Row],[ADD1UnroundedPrem]:[WOP2UnroundedPrem]],MATCH(rider,$K$11:$R$11,0))
*tblRiderCF[[#This Row],[RiderTermFlag]]</f>
        <v>#N/A</v>
      </c>
      <c r="T90" s="150" t="e">
        <f ca="1">tblRiderCF[[#This Row],[UnroundedPrem]]*prem_load</f>
        <v>#N/A</v>
      </c>
      <c r="U90" s="150" t="e">
        <f ca="1">pm_load/1000*tblRiderCF[[#This Row],[SI]]
*tblRiderCF[[#This Row],[RiderTermFlag]]</f>
        <v>#N/A</v>
      </c>
      <c r="V90" s="151" t="e">
        <f ca="1">ROUND(tblRiderCF[[#This Row],[UnroundedPrem]]*V$10,-3)</f>
        <v>#N/A</v>
      </c>
      <c r="W90" t="e">
        <f ca="1">ROUND(tblRiderCF[[#This Row],[UnroundedPremLoad]]*W$10,-3)</f>
        <v>#N/A</v>
      </c>
      <c r="X90" t="e">
        <f ca="1">ROUND(tblRiderCF[[#This Row],[UnroundedPMLoad]]*X$10,-3)</f>
        <v>#N/A</v>
      </c>
      <c r="Y90" t="e">
        <f ca="1">tblRiderCF[[#This Row],[PremLoad]]+tblRiderCF[[#This Row],[PMLoad]]</f>
        <v>#N/A</v>
      </c>
      <c r="Z90" t="e">
        <f ca="1">tblRiderCF[[#This Row],[Prem]]+tblRiderCF[[#This Row],[Load]]</f>
        <v>#N/A</v>
      </c>
      <c r="AA90" t="e">
        <f ca="1">ROUND(tblRiderCF[[#This Row],[UnroundedPrem]]*AA$10,-3)</f>
        <v>#N/A</v>
      </c>
      <c r="AB90" t="e">
        <f ca="1">ROUND(tblRiderCF[[#This Row],[UnroundedPremLoad]]*AB$10,-3)</f>
        <v>#N/A</v>
      </c>
      <c r="AC90" t="e">
        <f ca="1">ROUND(tblRiderCF[[#This Row],[UnroundedPMLoad]]*AC$10,-3)</f>
        <v>#N/A</v>
      </c>
      <c r="AD90" t="e">
        <f ca="1">tblRiderCF[[#This Row],[SemiAnnualPremLoad]]+tblRiderCF[[#This Row],[SemiAnnualPMLoad]]</f>
        <v>#N/A</v>
      </c>
      <c r="AE90" t="e">
        <f ca="1">tblRiderCF[[#This Row],[SemiAnnualPrem]]+tblRiderCF[[#This Row],[SemiAnnualLoad]]</f>
        <v>#N/A</v>
      </c>
      <c r="AF90" t="e">
        <f ca="1">ROUND(tblRiderCF[[#This Row],[UnroundedPrem]]*AF$10,-3)</f>
        <v>#N/A</v>
      </c>
      <c r="AG90" t="e">
        <f ca="1">ROUND(tblRiderCF[[#This Row],[UnroundedPremLoad]]*AG$10,-3)</f>
        <v>#N/A</v>
      </c>
      <c r="AH90" t="e">
        <f ca="1">ROUND(tblRiderCF[[#This Row],[UnroundedPMLoad]]*AH$10,-3)</f>
        <v>#N/A</v>
      </c>
      <c r="AI90" t="e">
        <f ca="1">tblRiderCF[[#This Row],[QuarterlyPremLoad]]+tblRiderCF[[#This Row],[QuarterlyPMLoad]]</f>
        <v>#N/A</v>
      </c>
      <c r="AJ90" t="e">
        <f ca="1">tblRiderCF[[#This Row],[QuarterlyPrem]]+tblRiderCF[[#This Row],[QuarterlyLoad]]</f>
        <v>#N/A</v>
      </c>
      <c r="AK90" t="e">
        <f ca="1">ROUND(tblRiderCF[[#This Row],[UnroundedPrem]]*AK$10,-3)</f>
        <v>#N/A</v>
      </c>
      <c r="AL90" t="e">
        <f ca="1">ROUND(tblRiderCF[[#This Row],[UnroundedPremLoad]]*AL$10,-3)</f>
        <v>#N/A</v>
      </c>
      <c r="AM90" t="e">
        <f ca="1">ROUND(tblRiderCF[[#This Row],[UnroundedPMLoad]]*AM$10,-3)</f>
        <v>#N/A</v>
      </c>
      <c r="AN90" t="e">
        <f ca="1">tblRiderCF[[#This Row],[MonthlyPremLoad]]+tblRiderCF[[#This Row],[MonthlyPMLoad]]</f>
        <v>#N/A</v>
      </c>
      <c r="AO90" t="e">
        <f ca="1">tblRiderCF[[#This Row],[MonthlyPrem]]+tblRiderCF[[#This Row],[MonthlyLoad]]</f>
        <v>#N/A</v>
      </c>
      <c r="AS90">
        <f t="shared" si="9"/>
        <v>0</v>
      </c>
      <c r="AT90">
        <f t="shared" si="10"/>
        <v>0</v>
      </c>
      <c r="AU90">
        <f ca="1">tblRiderCF[[#This Row],[Year]]</f>
        <v>77</v>
      </c>
      <c r="AV90" t="e">
        <f ca="1">tblRiderCF[[#This Row],[Age]]</f>
        <v>#N/A</v>
      </c>
      <c r="AW90">
        <f t="shared" si="11"/>
        <v>0</v>
      </c>
      <c r="AX90" t="e">
        <f t="shared" si="12"/>
        <v>#N/A</v>
      </c>
      <c r="AY90">
        <f t="shared" si="13"/>
        <v>0</v>
      </c>
      <c r="AZ90" s="47" t="e">
        <f ca="1">tblRiderCF[[#This Row],[SI]]</f>
        <v>#N/A</v>
      </c>
      <c r="BA90" t="e">
        <f ca="1">tblRiderCF[[#This Row],[TotalPrem]]</f>
        <v>#N/A</v>
      </c>
      <c r="BB90" t="e">
        <f ca="1">tblRiderCF[[#This Row],[SemiAnnualTotalPrem]]</f>
        <v>#N/A</v>
      </c>
      <c r="BC90" t="e">
        <f ca="1">tblRiderCF[[#This Row],[QuarterlyTotalPrem]]</f>
        <v>#N/A</v>
      </c>
      <c r="BD90" t="e">
        <f ca="1">tblRiderCF[[#This Row],[MonthlyTotalPrem]]</f>
        <v>#N/A</v>
      </c>
      <c r="BG90" t="s">
        <v>135</v>
      </c>
      <c r="BH90" t="s">
        <v>188</v>
      </c>
      <c r="BI90">
        <v>3</v>
      </c>
      <c r="BJ90">
        <v>33</v>
      </c>
      <c r="BK90" t="s">
        <v>484</v>
      </c>
      <c r="BL90">
        <v>17</v>
      </c>
      <c r="BM90">
        <v>0</v>
      </c>
      <c r="BN90">
        <v>0</v>
      </c>
      <c r="BO90">
        <v>605000</v>
      </c>
      <c r="BP90">
        <v>320000</v>
      </c>
      <c r="BQ90">
        <v>163000</v>
      </c>
      <c r="BR90">
        <v>54000</v>
      </c>
    </row>
    <row r="91" spans="2:70" x14ac:dyDescent="0.25">
      <c r="B91">
        <f ca="1">OFFSET(tblRiderCF[[#This Row],[Year]],-1,0)+1</f>
        <v>78</v>
      </c>
      <c r="C91" t="e">
        <f ca="1">(tblRiderCF[[#This Row],[Year]]&lt;=term)*1</f>
        <v>#N/A</v>
      </c>
      <c r="D91" t="e">
        <f ca="1">(entry_age+tblRiderCF[[#This Row],[Year]]-1)
*tblRiderCF[[#This Row],[RiderTermFlag]]</f>
        <v>#N/A</v>
      </c>
      <c r="E91" t="e">
        <f ca="1">(risk="Sub-standard")
*tblRiderCF[[#This Row],[RiderTermFlag]]</f>
        <v>#N/A</v>
      </c>
      <c r="F91" t="e">
        <f ca="1">(tblRiderCF[[#This Row],[Year]]&lt;=prem_load_term)
*tblRiderCF[[#This Row],[SubStandardFlag]]</f>
        <v>#N/A</v>
      </c>
      <c r="G91" t="e">
        <f ca="1">(tblRiderCF[[#This Row],[Year]]&lt;=pm_load_term)
*tblRiderCF[[#This Row],[SubStandardFlag]]</f>
        <v>#N/A</v>
      </c>
      <c r="H91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1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1" s="150" t="e" cm="1">
        <f t="array" aca="1" ref="J9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1" s="150" t="e">
        <f ca="1">add_rate*tblRiderCF[[#This Row],[SI]]*(rider=K$11)</f>
        <v>#N/A</v>
      </c>
      <c r="L91" s="150" t="e">
        <f ca="1">INDEX(tblPPDRate[Annualized GPR],MATCH(tblRiderCF[[#This Row],[Age]],tblPPDRate[Min age],1))*tblRiderCF[[#This Row],[SI]]
*(rider=L$11)</f>
        <v>#N/A</v>
      </c>
      <c r="M91" s="150" t="e">
        <f ca="1">INDEX(IF(gender="Male",tblCIR1Rate[Male],tblCIR1Rate[Female]),MATCH(tblRiderCF[[#This Row],[Age]],tblCIR1Rate[Age],0))/1000*tblRiderCF[[#This Row],[SI]]
*(rider=M$11)</f>
        <v>#N/A</v>
      </c>
      <c r="N91" s="150" t="e">
        <f ca="1">INDEX(IF(gender="Male",tblCIR2Rate[Male],tblCIR2Rate[Female]),MATCH(tblRiderCF[[#This Row],[Age]],tblCIR2Rate[Age],0))/1000*tblRiderCF[[#This Row],[SI]]
*(rider=N$11)</f>
        <v>#N/A</v>
      </c>
      <c r="O91" s="150" t="e">
        <f>INDEX(tblHOP2Rate[Premium],MATCH(hop2_option,tblHOP2Rate[Option],0))
*(rider=O$11)</f>
        <v>#N/A</v>
      </c>
      <c r="P91" s="150" t="e">
        <f ca="1">INDEX(Tariff!$CC$5:$CS$44,
MATCH(tblRiderCF[[#This Row],[Age]],Tariff!$CB$5:$CB$44,0),
MATCH(term+1-tblRiderCF[[#This Row],[Year]],Tariff!$CC$4:$CS$4,0))
*(rider=P$11)</f>
        <v>#N/A</v>
      </c>
      <c r="Q91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1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1" s="150" t="e">
        <f ca="1">INDEX(tblRiderCF[[#This Row],[ADD1UnroundedPrem]:[WOP2UnroundedPrem]],MATCH(rider,$K$11:$R$11,0))
*tblRiderCF[[#This Row],[RiderTermFlag]]</f>
        <v>#N/A</v>
      </c>
      <c r="T91" s="150" t="e">
        <f ca="1">tblRiderCF[[#This Row],[UnroundedPrem]]*prem_load</f>
        <v>#N/A</v>
      </c>
      <c r="U91" s="150" t="e">
        <f ca="1">pm_load/1000*tblRiderCF[[#This Row],[SI]]
*tblRiderCF[[#This Row],[RiderTermFlag]]</f>
        <v>#N/A</v>
      </c>
      <c r="V91" s="151" t="e">
        <f ca="1">ROUND(tblRiderCF[[#This Row],[UnroundedPrem]]*V$10,-3)</f>
        <v>#N/A</v>
      </c>
      <c r="W91" t="e">
        <f ca="1">ROUND(tblRiderCF[[#This Row],[UnroundedPremLoad]]*W$10,-3)</f>
        <v>#N/A</v>
      </c>
      <c r="X91" t="e">
        <f ca="1">ROUND(tblRiderCF[[#This Row],[UnroundedPMLoad]]*X$10,-3)</f>
        <v>#N/A</v>
      </c>
      <c r="Y91" t="e">
        <f ca="1">tblRiderCF[[#This Row],[PremLoad]]+tblRiderCF[[#This Row],[PMLoad]]</f>
        <v>#N/A</v>
      </c>
      <c r="Z91" t="e">
        <f ca="1">tblRiderCF[[#This Row],[Prem]]+tblRiderCF[[#This Row],[Load]]</f>
        <v>#N/A</v>
      </c>
      <c r="AA91" t="e">
        <f ca="1">ROUND(tblRiderCF[[#This Row],[UnroundedPrem]]*AA$10,-3)</f>
        <v>#N/A</v>
      </c>
      <c r="AB91" t="e">
        <f ca="1">ROUND(tblRiderCF[[#This Row],[UnroundedPremLoad]]*AB$10,-3)</f>
        <v>#N/A</v>
      </c>
      <c r="AC91" t="e">
        <f ca="1">ROUND(tblRiderCF[[#This Row],[UnroundedPMLoad]]*AC$10,-3)</f>
        <v>#N/A</v>
      </c>
      <c r="AD91" t="e">
        <f ca="1">tblRiderCF[[#This Row],[SemiAnnualPremLoad]]+tblRiderCF[[#This Row],[SemiAnnualPMLoad]]</f>
        <v>#N/A</v>
      </c>
      <c r="AE91" t="e">
        <f ca="1">tblRiderCF[[#This Row],[SemiAnnualPrem]]+tblRiderCF[[#This Row],[SemiAnnualLoad]]</f>
        <v>#N/A</v>
      </c>
      <c r="AF91" t="e">
        <f ca="1">ROUND(tblRiderCF[[#This Row],[UnroundedPrem]]*AF$10,-3)</f>
        <v>#N/A</v>
      </c>
      <c r="AG91" t="e">
        <f ca="1">ROUND(tblRiderCF[[#This Row],[UnroundedPremLoad]]*AG$10,-3)</f>
        <v>#N/A</v>
      </c>
      <c r="AH91" t="e">
        <f ca="1">ROUND(tblRiderCF[[#This Row],[UnroundedPMLoad]]*AH$10,-3)</f>
        <v>#N/A</v>
      </c>
      <c r="AI91" t="e">
        <f ca="1">tblRiderCF[[#This Row],[QuarterlyPremLoad]]+tblRiderCF[[#This Row],[QuarterlyPMLoad]]</f>
        <v>#N/A</v>
      </c>
      <c r="AJ91" t="e">
        <f ca="1">tblRiderCF[[#This Row],[QuarterlyPrem]]+tblRiderCF[[#This Row],[QuarterlyLoad]]</f>
        <v>#N/A</v>
      </c>
      <c r="AK91" t="e">
        <f ca="1">ROUND(tblRiderCF[[#This Row],[UnroundedPrem]]*AK$10,-3)</f>
        <v>#N/A</v>
      </c>
      <c r="AL91" t="e">
        <f ca="1">ROUND(tblRiderCF[[#This Row],[UnroundedPremLoad]]*AL$10,-3)</f>
        <v>#N/A</v>
      </c>
      <c r="AM91" t="e">
        <f ca="1">ROUND(tblRiderCF[[#This Row],[UnroundedPMLoad]]*AM$10,-3)</f>
        <v>#N/A</v>
      </c>
      <c r="AN91" t="e">
        <f ca="1">tblRiderCF[[#This Row],[MonthlyPremLoad]]+tblRiderCF[[#This Row],[MonthlyPMLoad]]</f>
        <v>#N/A</v>
      </c>
      <c r="AO91" t="e">
        <f ca="1">tblRiderCF[[#This Row],[MonthlyPrem]]+tblRiderCF[[#This Row],[MonthlyLoad]]</f>
        <v>#N/A</v>
      </c>
      <c r="AS91">
        <f t="shared" si="9"/>
        <v>0</v>
      </c>
      <c r="AT91">
        <f t="shared" si="10"/>
        <v>0</v>
      </c>
      <c r="AU91">
        <f ca="1">tblRiderCF[[#This Row],[Year]]</f>
        <v>78</v>
      </c>
      <c r="AV91" t="e">
        <f ca="1">tblRiderCF[[#This Row],[Age]]</f>
        <v>#N/A</v>
      </c>
      <c r="AW91">
        <f t="shared" si="11"/>
        <v>0</v>
      </c>
      <c r="AX91" t="e">
        <f t="shared" si="12"/>
        <v>#N/A</v>
      </c>
      <c r="AY91">
        <f t="shared" si="13"/>
        <v>0</v>
      </c>
      <c r="AZ91" s="47" t="e">
        <f ca="1">tblRiderCF[[#This Row],[SI]]</f>
        <v>#N/A</v>
      </c>
      <c r="BA91" t="e">
        <f ca="1">tblRiderCF[[#This Row],[TotalPrem]]</f>
        <v>#N/A</v>
      </c>
      <c r="BB91" t="e">
        <f ca="1">tblRiderCF[[#This Row],[SemiAnnualTotalPrem]]</f>
        <v>#N/A</v>
      </c>
      <c r="BC91" t="e">
        <f ca="1">tblRiderCF[[#This Row],[QuarterlyTotalPrem]]</f>
        <v>#N/A</v>
      </c>
      <c r="BD91" t="e">
        <f ca="1">tblRiderCF[[#This Row],[MonthlyTotalPrem]]</f>
        <v>#N/A</v>
      </c>
      <c r="BG91" t="s">
        <v>135</v>
      </c>
      <c r="BH91" t="s">
        <v>188</v>
      </c>
      <c r="BI91">
        <v>4</v>
      </c>
      <c r="BJ91">
        <v>34</v>
      </c>
      <c r="BK91" t="s">
        <v>484</v>
      </c>
      <c r="BL91">
        <v>17</v>
      </c>
      <c r="BM91">
        <v>0</v>
      </c>
      <c r="BN91">
        <v>0</v>
      </c>
      <c r="BO91">
        <v>593000</v>
      </c>
      <c r="BP91">
        <v>314000</v>
      </c>
      <c r="BQ91">
        <v>160000</v>
      </c>
      <c r="BR91">
        <v>53000</v>
      </c>
    </row>
    <row r="92" spans="2:70" x14ac:dyDescent="0.25">
      <c r="B92">
        <f ca="1">OFFSET(tblRiderCF[[#This Row],[Year]],-1,0)+1</f>
        <v>79</v>
      </c>
      <c r="C92" t="e">
        <f ca="1">(tblRiderCF[[#This Row],[Year]]&lt;=term)*1</f>
        <v>#N/A</v>
      </c>
      <c r="D92" t="e">
        <f ca="1">(entry_age+tblRiderCF[[#This Row],[Year]]-1)
*tblRiderCF[[#This Row],[RiderTermFlag]]</f>
        <v>#N/A</v>
      </c>
      <c r="E92" t="e">
        <f ca="1">(risk="Sub-standard")
*tblRiderCF[[#This Row],[RiderTermFlag]]</f>
        <v>#N/A</v>
      </c>
      <c r="F92" t="e">
        <f ca="1">(tblRiderCF[[#This Row],[Year]]&lt;=prem_load_term)
*tblRiderCF[[#This Row],[SubStandardFlag]]</f>
        <v>#N/A</v>
      </c>
      <c r="G92" t="e">
        <f ca="1">(tblRiderCF[[#This Row],[Year]]&lt;=pm_load_term)
*tblRiderCF[[#This Row],[SubStandardFlag]]</f>
        <v>#N/A</v>
      </c>
      <c r="H92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2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2" s="150" t="e" cm="1">
        <f t="array" aca="1" ref="J9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2" s="150" t="e">
        <f ca="1">add_rate*tblRiderCF[[#This Row],[SI]]*(rider=K$11)</f>
        <v>#N/A</v>
      </c>
      <c r="L92" s="150" t="e">
        <f ca="1">INDEX(tblPPDRate[Annualized GPR],MATCH(tblRiderCF[[#This Row],[Age]],tblPPDRate[Min age],1))*tblRiderCF[[#This Row],[SI]]
*(rider=L$11)</f>
        <v>#N/A</v>
      </c>
      <c r="M92" s="150" t="e">
        <f ca="1">INDEX(IF(gender="Male",tblCIR1Rate[Male],tblCIR1Rate[Female]),MATCH(tblRiderCF[[#This Row],[Age]],tblCIR1Rate[Age],0))/1000*tblRiderCF[[#This Row],[SI]]
*(rider=M$11)</f>
        <v>#N/A</v>
      </c>
      <c r="N92" s="150" t="e">
        <f ca="1">INDEX(IF(gender="Male",tblCIR2Rate[Male],tblCIR2Rate[Female]),MATCH(tblRiderCF[[#This Row],[Age]],tblCIR2Rate[Age],0))/1000*tblRiderCF[[#This Row],[SI]]
*(rider=N$11)</f>
        <v>#N/A</v>
      </c>
      <c r="O92" s="150" t="e">
        <f>INDEX(tblHOP2Rate[Premium],MATCH(hop2_option,tblHOP2Rate[Option],0))
*(rider=O$11)</f>
        <v>#N/A</v>
      </c>
      <c r="P92" s="150" t="e">
        <f ca="1">INDEX(Tariff!$CC$5:$CS$44,
MATCH(tblRiderCF[[#This Row],[Age]],Tariff!$CB$5:$CB$44,0),
MATCH(term+1-tblRiderCF[[#This Row],[Year]],Tariff!$CC$4:$CS$4,0))
*(rider=P$11)</f>
        <v>#N/A</v>
      </c>
      <c r="Q92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2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2" s="150" t="e">
        <f ca="1">INDEX(tblRiderCF[[#This Row],[ADD1UnroundedPrem]:[WOP2UnroundedPrem]],MATCH(rider,$K$11:$R$11,0))
*tblRiderCF[[#This Row],[RiderTermFlag]]</f>
        <v>#N/A</v>
      </c>
      <c r="T92" s="150" t="e">
        <f ca="1">tblRiderCF[[#This Row],[UnroundedPrem]]*prem_load</f>
        <v>#N/A</v>
      </c>
      <c r="U92" s="150" t="e">
        <f ca="1">pm_load/1000*tblRiderCF[[#This Row],[SI]]
*tblRiderCF[[#This Row],[RiderTermFlag]]</f>
        <v>#N/A</v>
      </c>
      <c r="V92" s="151" t="e">
        <f ca="1">ROUND(tblRiderCF[[#This Row],[UnroundedPrem]]*V$10,-3)</f>
        <v>#N/A</v>
      </c>
      <c r="W92" t="e">
        <f ca="1">ROUND(tblRiderCF[[#This Row],[UnroundedPremLoad]]*W$10,-3)</f>
        <v>#N/A</v>
      </c>
      <c r="X92" t="e">
        <f ca="1">ROUND(tblRiderCF[[#This Row],[UnroundedPMLoad]]*X$10,-3)</f>
        <v>#N/A</v>
      </c>
      <c r="Y92" t="e">
        <f ca="1">tblRiderCF[[#This Row],[PremLoad]]+tblRiderCF[[#This Row],[PMLoad]]</f>
        <v>#N/A</v>
      </c>
      <c r="Z92" t="e">
        <f ca="1">tblRiderCF[[#This Row],[Prem]]+tblRiderCF[[#This Row],[Load]]</f>
        <v>#N/A</v>
      </c>
      <c r="AA92" t="e">
        <f ca="1">ROUND(tblRiderCF[[#This Row],[UnroundedPrem]]*AA$10,-3)</f>
        <v>#N/A</v>
      </c>
      <c r="AB92" t="e">
        <f ca="1">ROUND(tblRiderCF[[#This Row],[UnroundedPremLoad]]*AB$10,-3)</f>
        <v>#N/A</v>
      </c>
      <c r="AC92" t="e">
        <f ca="1">ROUND(tblRiderCF[[#This Row],[UnroundedPMLoad]]*AC$10,-3)</f>
        <v>#N/A</v>
      </c>
      <c r="AD92" t="e">
        <f ca="1">tblRiderCF[[#This Row],[SemiAnnualPremLoad]]+tblRiderCF[[#This Row],[SemiAnnualPMLoad]]</f>
        <v>#N/A</v>
      </c>
      <c r="AE92" t="e">
        <f ca="1">tblRiderCF[[#This Row],[SemiAnnualPrem]]+tblRiderCF[[#This Row],[SemiAnnualLoad]]</f>
        <v>#N/A</v>
      </c>
      <c r="AF92" t="e">
        <f ca="1">ROUND(tblRiderCF[[#This Row],[UnroundedPrem]]*AF$10,-3)</f>
        <v>#N/A</v>
      </c>
      <c r="AG92" t="e">
        <f ca="1">ROUND(tblRiderCF[[#This Row],[UnroundedPremLoad]]*AG$10,-3)</f>
        <v>#N/A</v>
      </c>
      <c r="AH92" t="e">
        <f ca="1">ROUND(tblRiderCF[[#This Row],[UnroundedPMLoad]]*AH$10,-3)</f>
        <v>#N/A</v>
      </c>
      <c r="AI92" t="e">
        <f ca="1">tblRiderCF[[#This Row],[QuarterlyPremLoad]]+tblRiderCF[[#This Row],[QuarterlyPMLoad]]</f>
        <v>#N/A</v>
      </c>
      <c r="AJ92" t="e">
        <f ca="1">tblRiderCF[[#This Row],[QuarterlyPrem]]+tblRiderCF[[#This Row],[QuarterlyLoad]]</f>
        <v>#N/A</v>
      </c>
      <c r="AK92" t="e">
        <f ca="1">ROUND(tblRiderCF[[#This Row],[UnroundedPrem]]*AK$10,-3)</f>
        <v>#N/A</v>
      </c>
      <c r="AL92" t="e">
        <f ca="1">ROUND(tblRiderCF[[#This Row],[UnroundedPremLoad]]*AL$10,-3)</f>
        <v>#N/A</v>
      </c>
      <c r="AM92" t="e">
        <f ca="1">ROUND(tblRiderCF[[#This Row],[UnroundedPMLoad]]*AM$10,-3)</f>
        <v>#N/A</v>
      </c>
      <c r="AN92" t="e">
        <f ca="1">tblRiderCF[[#This Row],[MonthlyPremLoad]]+tblRiderCF[[#This Row],[MonthlyPMLoad]]</f>
        <v>#N/A</v>
      </c>
      <c r="AO92" t="e">
        <f ca="1">tblRiderCF[[#This Row],[MonthlyPrem]]+tblRiderCF[[#This Row],[MonthlyLoad]]</f>
        <v>#N/A</v>
      </c>
      <c r="AS92">
        <f t="shared" si="9"/>
        <v>0</v>
      </c>
      <c r="AT92">
        <f t="shared" si="10"/>
        <v>0</v>
      </c>
      <c r="AU92">
        <f ca="1">tblRiderCF[[#This Row],[Year]]</f>
        <v>79</v>
      </c>
      <c r="AV92" t="e">
        <f ca="1">tblRiderCF[[#This Row],[Age]]</f>
        <v>#N/A</v>
      </c>
      <c r="AW92">
        <f t="shared" si="11"/>
        <v>0</v>
      </c>
      <c r="AX92" t="e">
        <f t="shared" si="12"/>
        <v>#N/A</v>
      </c>
      <c r="AY92">
        <f t="shared" si="13"/>
        <v>0</v>
      </c>
      <c r="AZ92" s="47" t="e">
        <f ca="1">tblRiderCF[[#This Row],[SI]]</f>
        <v>#N/A</v>
      </c>
      <c r="BA92" t="e">
        <f ca="1">tblRiderCF[[#This Row],[TotalPrem]]</f>
        <v>#N/A</v>
      </c>
      <c r="BB92" t="e">
        <f ca="1">tblRiderCF[[#This Row],[SemiAnnualTotalPrem]]</f>
        <v>#N/A</v>
      </c>
      <c r="BC92" t="e">
        <f ca="1">tblRiderCF[[#This Row],[QuarterlyTotalPrem]]</f>
        <v>#N/A</v>
      </c>
      <c r="BD92" t="e">
        <f ca="1">tblRiderCF[[#This Row],[MonthlyTotalPrem]]</f>
        <v>#N/A</v>
      </c>
      <c r="BG92" t="s">
        <v>135</v>
      </c>
      <c r="BH92" t="s">
        <v>188</v>
      </c>
      <c r="BI92">
        <v>5</v>
      </c>
      <c r="BJ92">
        <v>35</v>
      </c>
      <c r="BK92" t="s">
        <v>484</v>
      </c>
      <c r="BL92">
        <v>17</v>
      </c>
      <c r="BM92">
        <v>0</v>
      </c>
      <c r="BN92">
        <v>0</v>
      </c>
      <c r="BO92">
        <v>595000</v>
      </c>
      <c r="BP92">
        <v>315000</v>
      </c>
      <c r="BQ92">
        <v>161000</v>
      </c>
      <c r="BR92">
        <v>54000</v>
      </c>
    </row>
    <row r="93" spans="2:70" x14ac:dyDescent="0.25">
      <c r="B93">
        <f ca="1">OFFSET(tblRiderCF[[#This Row],[Year]],-1,0)+1</f>
        <v>80</v>
      </c>
      <c r="C93" t="e">
        <f ca="1">(tblRiderCF[[#This Row],[Year]]&lt;=term)*1</f>
        <v>#N/A</v>
      </c>
      <c r="D93" t="e">
        <f ca="1">(entry_age+tblRiderCF[[#This Row],[Year]]-1)
*tblRiderCF[[#This Row],[RiderTermFlag]]</f>
        <v>#N/A</v>
      </c>
      <c r="E93" t="e">
        <f ca="1">(risk="Sub-standard")
*tblRiderCF[[#This Row],[RiderTermFlag]]</f>
        <v>#N/A</v>
      </c>
      <c r="F93" t="e">
        <f ca="1">(tblRiderCF[[#This Row],[Year]]&lt;=prem_load_term)
*tblRiderCF[[#This Row],[SubStandardFlag]]</f>
        <v>#N/A</v>
      </c>
      <c r="G93" t="e">
        <f ca="1">(tblRiderCF[[#This Row],[Year]]&lt;=pm_load_term)
*tblRiderCF[[#This Row],[SubStandardFlag]]</f>
        <v>#N/A</v>
      </c>
      <c r="H93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3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3" s="150" t="e" cm="1">
        <f t="array" aca="1" ref="J9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3" s="150" t="e">
        <f ca="1">add_rate*tblRiderCF[[#This Row],[SI]]*(rider=K$11)</f>
        <v>#N/A</v>
      </c>
      <c r="L93" s="150" t="e">
        <f ca="1">INDEX(tblPPDRate[Annualized GPR],MATCH(tblRiderCF[[#This Row],[Age]],tblPPDRate[Min age],1))*tblRiderCF[[#This Row],[SI]]
*(rider=L$11)</f>
        <v>#N/A</v>
      </c>
      <c r="M93" s="150" t="e">
        <f ca="1">INDEX(IF(gender="Male",tblCIR1Rate[Male],tblCIR1Rate[Female]),MATCH(tblRiderCF[[#This Row],[Age]],tblCIR1Rate[Age],0))/1000*tblRiderCF[[#This Row],[SI]]
*(rider=M$11)</f>
        <v>#N/A</v>
      </c>
      <c r="N93" s="150" t="e">
        <f ca="1">INDEX(IF(gender="Male",tblCIR2Rate[Male],tblCIR2Rate[Female]),MATCH(tblRiderCF[[#This Row],[Age]],tblCIR2Rate[Age],0))/1000*tblRiderCF[[#This Row],[SI]]
*(rider=N$11)</f>
        <v>#N/A</v>
      </c>
      <c r="O93" s="150" t="e">
        <f>INDEX(tblHOP2Rate[Premium],MATCH(hop2_option,tblHOP2Rate[Option],0))
*(rider=O$11)</f>
        <v>#N/A</v>
      </c>
      <c r="P93" s="150" t="e">
        <f ca="1">INDEX(Tariff!$CC$5:$CS$44,
MATCH(tblRiderCF[[#This Row],[Age]],Tariff!$CB$5:$CB$44,0),
MATCH(term+1-tblRiderCF[[#This Row],[Year]],Tariff!$CC$4:$CS$4,0))
*(rider=P$11)</f>
        <v>#N/A</v>
      </c>
      <c r="Q93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3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3" s="150" t="e">
        <f ca="1">INDEX(tblRiderCF[[#This Row],[ADD1UnroundedPrem]:[WOP2UnroundedPrem]],MATCH(rider,$K$11:$R$11,0))
*tblRiderCF[[#This Row],[RiderTermFlag]]</f>
        <v>#N/A</v>
      </c>
      <c r="T93" s="150" t="e">
        <f ca="1">tblRiderCF[[#This Row],[UnroundedPrem]]*prem_load</f>
        <v>#N/A</v>
      </c>
      <c r="U93" s="150" t="e">
        <f ca="1">pm_load/1000*tblRiderCF[[#This Row],[SI]]
*tblRiderCF[[#This Row],[RiderTermFlag]]</f>
        <v>#N/A</v>
      </c>
      <c r="V93" s="151" t="e">
        <f ca="1">ROUND(tblRiderCF[[#This Row],[UnroundedPrem]]*V$10,-3)</f>
        <v>#N/A</v>
      </c>
      <c r="W93" t="e">
        <f ca="1">ROUND(tblRiderCF[[#This Row],[UnroundedPremLoad]]*W$10,-3)</f>
        <v>#N/A</v>
      </c>
      <c r="X93" t="e">
        <f ca="1">ROUND(tblRiderCF[[#This Row],[UnroundedPMLoad]]*X$10,-3)</f>
        <v>#N/A</v>
      </c>
      <c r="Y93" t="e">
        <f ca="1">tblRiderCF[[#This Row],[PremLoad]]+tblRiderCF[[#This Row],[PMLoad]]</f>
        <v>#N/A</v>
      </c>
      <c r="Z93" t="e">
        <f ca="1">tblRiderCF[[#This Row],[Prem]]+tblRiderCF[[#This Row],[Load]]</f>
        <v>#N/A</v>
      </c>
      <c r="AA93" t="e">
        <f ca="1">ROUND(tblRiderCF[[#This Row],[UnroundedPrem]]*AA$10,-3)</f>
        <v>#N/A</v>
      </c>
      <c r="AB93" t="e">
        <f ca="1">ROUND(tblRiderCF[[#This Row],[UnroundedPremLoad]]*AB$10,-3)</f>
        <v>#N/A</v>
      </c>
      <c r="AC93" t="e">
        <f ca="1">ROUND(tblRiderCF[[#This Row],[UnroundedPMLoad]]*AC$10,-3)</f>
        <v>#N/A</v>
      </c>
      <c r="AD93" t="e">
        <f ca="1">tblRiderCF[[#This Row],[SemiAnnualPremLoad]]+tblRiderCF[[#This Row],[SemiAnnualPMLoad]]</f>
        <v>#N/A</v>
      </c>
      <c r="AE93" t="e">
        <f ca="1">tblRiderCF[[#This Row],[SemiAnnualPrem]]+tblRiderCF[[#This Row],[SemiAnnualLoad]]</f>
        <v>#N/A</v>
      </c>
      <c r="AF93" t="e">
        <f ca="1">ROUND(tblRiderCF[[#This Row],[UnroundedPrem]]*AF$10,-3)</f>
        <v>#N/A</v>
      </c>
      <c r="AG93" t="e">
        <f ca="1">ROUND(tblRiderCF[[#This Row],[UnroundedPremLoad]]*AG$10,-3)</f>
        <v>#N/A</v>
      </c>
      <c r="AH93" t="e">
        <f ca="1">ROUND(tblRiderCF[[#This Row],[UnroundedPMLoad]]*AH$10,-3)</f>
        <v>#N/A</v>
      </c>
      <c r="AI93" t="e">
        <f ca="1">tblRiderCF[[#This Row],[QuarterlyPremLoad]]+tblRiderCF[[#This Row],[QuarterlyPMLoad]]</f>
        <v>#N/A</v>
      </c>
      <c r="AJ93" t="e">
        <f ca="1">tblRiderCF[[#This Row],[QuarterlyPrem]]+tblRiderCF[[#This Row],[QuarterlyLoad]]</f>
        <v>#N/A</v>
      </c>
      <c r="AK93" t="e">
        <f ca="1">ROUND(tblRiderCF[[#This Row],[UnroundedPrem]]*AK$10,-3)</f>
        <v>#N/A</v>
      </c>
      <c r="AL93" t="e">
        <f ca="1">ROUND(tblRiderCF[[#This Row],[UnroundedPremLoad]]*AL$10,-3)</f>
        <v>#N/A</v>
      </c>
      <c r="AM93" t="e">
        <f ca="1">ROUND(tblRiderCF[[#This Row],[UnroundedPMLoad]]*AM$10,-3)</f>
        <v>#N/A</v>
      </c>
      <c r="AN93" t="e">
        <f ca="1">tblRiderCF[[#This Row],[MonthlyPremLoad]]+tblRiderCF[[#This Row],[MonthlyPMLoad]]</f>
        <v>#N/A</v>
      </c>
      <c r="AO93" t="e">
        <f ca="1">tblRiderCF[[#This Row],[MonthlyPrem]]+tblRiderCF[[#This Row],[MonthlyLoad]]</f>
        <v>#N/A</v>
      </c>
      <c r="AS93">
        <f t="shared" si="9"/>
        <v>0</v>
      </c>
      <c r="AT93">
        <f t="shared" si="10"/>
        <v>0</v>
      </c>
      <c r="AU93">
        <f ca="1">tblRiderCF[[#This Row],[Year]]</f>
        <v>80</v>
      </c>
      <c r="AV93" t="e">
        <f ca="1">tblRiderCF[[#This Row],[Age]]</f>
        <v>#N/A</v>
      </c>
      <c r="AW93">
        <f t="shared" si="11"/>
        <v>0</v>
      </c>
      <c r="AX93" t="e">
        <f t="shared" si="12"/>
        <v>#N/A</v>
      </c>
      <c r="AY93">
        <f t="shared" si="13"/>
        <v>0</v>
      </c>
      <c r="AZ93" s="47" t="e">
        <f ca="1">tblRiderCF[[#This Row],[SI]]</f>
        <v>#N/A</v>
      </c>
      <c r="BA93" t="e">
        <f ca="1">tblRiderCF[[#This Row],[TotalPrem]]</f>
        <v>#N/A</v>
      </c>
      <c r="BB93" t="e">
        <f ca="1">tblRiderCF[[#This Row],[SemiAnnualTotalPrem]]</f>
        <v>#N/A</v>
      </c>
      <c r="BC93" t="e">
        <f ca="1">tblRiderCF[[#This Row],[QuarterlyTotalPrem]]</f>
        <v>#N/A</v>
      </c>
      <c r="BD93" t="e">
        <f ca="1">tblRiderCF[[#This Row],[MonthlyTotalPrem]]</f>
        <v>#N/A</v>
      </c>
      <c r="BG93" t="s">
        <v>135</v>
      </c>
      <c r="BH93" t="s">
        <v>188</v>
      </c>
      <c r="BI93">
        <v>6</v>
      </c>
      <c r="BJ93">
        <v>36</v>
      </c>
      <c r="BK93" t="s">
        <v>484</v>
      </c>
      <c r="BL93">
        <v>17</v>
      </c>
      <c r="BM93">
        <v>0</v>
      </c>
      <c r="BN93">
        <v>0</v>
      </c>
      <c r="BO93">
        <v>609000</v>
      </c>
      <c r="BP93">
        <v>322000</v>
      </c>
      <c r="BQ93">
        <v>164000</v>
      </c>
      <c r="BR93">
        <v>54000</v>
      </c>
    </row>
    <row r="94" spans="2:70" x14ac:dyDescent="0.25">
      <c r="B94">
        <f ca="1">OFFSET(tblRiderCF[[#This Row],[Year]],-1,0)+1</f>
        <v>81</v>
      </c>
      <c r="C94" t="e">
        <f ca="1">(tblRiderCF[[#This Row],[Year]]&lt;=term)*1</f>
        <v>#N/A</v>
      </c>
      <c r="D94" t="e">
        <f ca="1">(entry_age+tblRiderCF[[#This Row],[Year]]-1)
*tblRiderCF[[#This Row],[RiderTermFlag]]</f>
        <v>#N/A</v>
      </c>
      <c r="E94" t="e">
        <f ca="1">(risk="Sub-standard")
*tblRiderCF[[#This Row],[RiderTermFlag]]</f>
        <v>#N/A</v>
      </c>
      <c r="F94" t="e">
        <f ca="1">(tblRiderCF[[#This Row],[Year]]&lt;=prem_load_term)
*tblRiderCF[[#This Row],[SubStandardFlag]]</f>
        <v>#N/A</v>
      </c>
      <c r="G94" t="e">
        <f ca="1">(tblRiderCF[[#This Row],[Year]]&lt;=pm_load_term)
*tblRiderCF[[#This Row],[SubStandardFlag]]</f>
        <v>#N/A</v>
      </c>
      <c r="H94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4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4" s="150" t="e" cm="1">
        <f t="array" aca="1" ref="J9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4" s="150" t="e">
        <f ca="1">add_rate*tblRiderCF[[#This Row],[SI]]*(rider=K$11)</f>
        <v>#N/A</v>
      </c>
      <c r="L94" s="150" t="e">
        <f ca="1">INDEX(tblPPDRate[Annualized GPR],MATCH(tblRiderCF[[#This Row],[Age]],tblPPDRate[Min age],1))*tblRiderCF[[#This Row],[SI]]
*(rider=L$11)</f>
        <v>#N/A</v>
      </c>
      <c r="M94" s="150" t="e">
        <f ca="1">INDEX(IF(gender="Male",tblCIR1Rate[Male],tblCIR1Rate[Female]),MATCH(tblRiderCF[[#This Row],[Age]],tblCIR1Rate[Age],0))/1000*tblRiderCF[[#This Row],[SI]]
*(rider=M$11)</f>
        <v>#N/A</v>
      </c>
      <c r="N94" s="150" t="e">
        <f ca="1">INDEX(IF(gender="Male",tblCIR2Rate[Male],tblCIR2Rate[Female]),MATCH(tblRiderCF[[#This Row],[Age]],tblCIR2Rate[Age],0))/1000*tblRiderCF[[#This Row],[SI]]
*(rider=N$11)</f>
        <v>#N/A</v>
      </c>
      <c r="O94" s="150" t="e">
        <f>INDEX(tblHOP2Rate[Premium],MATCH(hop2_option,tblHOP2Rate[Option],0))
*(rider=O$11)</f>
        <v>#N/A</v>
      </c>
      <c r="P94" s="150" t="e">
        <f ca="1">INDEX(Tariff!$CC$5:$CS$44,
MATCH(tblRiderCF[[#This Row],[Age]],Tariff!$CB$5:$CB$44,0),
MATCH(term+1-tblRiderCF[[#This Row],[Year]],Tariff!$CC$4:$CS$4,0))
*(rider=P$11)</f>
        <v>#N/A</v>
      </c>
      <c r="Q94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4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4" s="150" t="e">
        <f ca="1">INDEX(tblRiderCF[[#This Row],[ADD1UnroundedPrem]:[WOP2UnroundedPrem]],MATCH(rider,$K$11:$R$11,0))
*tblRiderCF[[#This Row],[RiderTermFlag]]</f>
        <v>#N/A</v>
      </c>
      <c r="T94" s="150" t="e">
        <f ca="1">tblRiderCF[[#This Row],[UnroundedPrem]]*prem_load</f>
        <v>#N/A</v>
      </c>
      <c r="U94" s="150" t="e">
        <f ca="1">pm_load/1000*tblRiderCF[[#This Row],[SI]]
*tblRiderCF[[#This Row],[RiderTermFlag]]</f>
        <v>#N/A</v>
      </c>
      <c r="V94" s="151" t="e">
        <f ca="1">ROUND(tblRiderCF[[#This Row],[UnroundedPrem]]*V$10,-3)</f>
        <v>#N/A</v>
      </c>
      <c r="W94" t="e">
        <f ca="1">ROUND(tblRiderCF[[#This Row],[UnroundedPremLoad]]*W$10,-3)</f>
        <v>#N/A</v>
      </c>
      <c r="X94" t="e">
        <f ca="1">ROUND(tblRiderCF[[#This Row],[UnroundedPMLoad]]*X$10,-3)</f>
        <v>#N/A</v>
      </c>
      <c r="Y94" t="e">
        <f ca="1">tblRiderCF[[#This Row],[PremLoad]]+tblRiderCF[[#This Row],[PMLoad]]</f>
        <v>#N/A</v>
      </c>
      <c r="Z94" t="e">
        <f ca="1">tblRiderCF[[#This Row],[Prem]]+tblRiderCF[[#This Row],[Load]]</f>
        <v>#N/A</v>
      </c>
      <c r="AA94" t="e">
        <f ca="1">ROUND(tblRiderCF[[#This Row],[UnroundedPrem]]*AA$10,-3)</f>
        <v>#N/A</v>
      </c>
      <c r="AB94" t="e">
        <f ca="1">ROUND(tblRiderCF[[#This Row],[UnroundedPremLoad]]*AB$10,-3)</f>
        <v>#N/A</v>
      </c>
      <c r="AC94" t="e">
        <f ca="1">ROUND(tblRiderCF[[#This Row],[UnroundedPMLoad]]*AC$10,-3)</f>
        <v>#N/A</v>
      </c>
      <c r="AD94" t="e">
        <f ca="1">tblRiderCF[[#This Row],[SemiAnnualPremLoad]]+tblRiderCF[[#This Row],[SemiAnnualPMLoad]]</f>
        <v>#N/A</v>
      </c>
      <c r="AE94" t="e">
        <f ca="1">tblRiderCF[[#This Row],[SemiAnnualPrem]]+tblRiderCF[[#This Row],[SemiAnnualLoad]]</f>
        <v>#N/A</v>
      </c>
      <c r="AF94" t="e">
        <f ca="1">ROUND(tblRiderCF[[#This Row],[UnroundedPrem]]*AF$10,-3)</f>
        <v>#N/A</v>
      </c>
      <c r="AG94" t="e">
        <f ca="1">ROUND(tblRiderCF[[#This Row],[UnroundedPremLoad]]*AG$10,-3)</f>
        <v>#N/A</v>
      </c>
      <c r="AH94" t="e">
        <f ca="1">ROUND(tblRiderCF[[#This Row],[UnroundedPMLoad]]*AH$10,-3)</f>
        <v>#N/A</v>
      </c>
      <c r="AI94" t="e">
        <f ca="1">tblRiderCF[[#This Row],[QuarterlyPremLoad]]+tblRiderCF[[#This Row],[QuarterlyPMLoad]]</f>
        <v>#N/A</v>
      </c>
      <c r="AJ94" t="e">
        <f ca="1">tblRiderCF[[#This Row],[QuarterlyPrem]]+tblRiderCF[[#This Row],[QuarterlyLoad]]</f>
        <v>#N/A</v>
      </c>
      <c r="AK94" t="e">
        <f ca="1">ROUND(tblRiderCF[[#This Row],[UnroundedPrem]]*AK$10,-3)</f>
        <v>#N/A</v>
      </c>
      <c r="AL94" t="e">
        <f ca="1">ROUND(tblRiderCF[[#This Row],[UnroundedPremLoad]]*AL$10,-3)</f>
        <v>#N/A</v>
      </c>
      <c r="AM94" t="e">
        <f ca="1">ROUND(tblRiderCF[[#This Row],[UnroundedPMLoad]]*AM$10,-3)</f>
        <v>#N/A</v>
      </c>
      <c r="AN94" t="e">
        <f ca="1">tblRiderCF[[#This Row],[MonthlyPremLoad]]+tblRiderCF[[#This Row],[MonthlyPMLoad]]</f>
        <v>#N/A</v>
      </c>
      <c r="AO94" t="e">
        <f ca="1">tblRiderCF[[#This Row],[MonthlyPrem]]+tblRiderCF[[#This Row],[MonthlyLoad]]</f>
        <v>#N/A</v>
      </c>
      <c r="AS94">
        <f t="shared" si="9"/>
        <v>0</v>
      </c>
      <c r="AT94">
        <f t="shared" si="10"/>
        <v>0</v>
      </c>
      <c r="AU94">
        <f ca="1">tblRiderCF[[#This Row],[Year]]</f>
        <v>81</v>
      </c>
      <c r="AV94" t="e">
        <f ca="1">tblRiderCF[[#This Row],[Age]]</f>
        <v>#N/A</v>
      </c>
      <c r="AW94">
        <f t="shared" si="11"/>
        <v>0</v>
      </c>
      <c r="AX94" t="e">
        <f t="shared" si="12"/>
        <v>#N/A</v>
      </c>
      <c r="AY94">
        <f t="shared" si="13"/>
        <v>0</v>
      </c>
      <c r="AZ94" s="47" t="e">
        <f ca="1">tblRiderCF[[#This Row],[SI]]</f>
        <v>#N/A</v>
      </c>
      <c r="BA94" t="e">
        <f ca="1">tblRiderCF[[#This Row],[TotalPrem]]</f>
        <v>#N/A</v>
      </c>
      <c r="BB94" t="e">
        <f ca="1">tblRiderCF[[#This Row],[SemiAnnualTotalPrem]]</f>
        <v>#N/A</v>
      </c>
      <c r="BC94" t="e">
        <f ca="1">tblRiderCF[[#This Row],[QuarterlyTotalPrem]]</f>
        <v>#N/A</v>
      </c>
      <c r="BD94" t="e">
        <f ca="1">tblRiderCF[[#This Row],[MonthlyTotalPrem]]</f>
        <v>#N/A</v>
      </c>
      <c r="BG94" t="s">
        <v>135</v>
      </c>
      <c r="BH94" t="s">
        <v>188</v>
      </c>
      <c r="BI94">
        <v>7</v>
      </c>
      <c r="BJ94">
        <v>37</v>
      </c>
      <c r="BK94" t="s">
        <v>484</v>
      </c>
      <c r="BL94">
        <v>17</v>
      </c>
      <c r="BM94">
        <v>0</v>
      </c>
      <c r="BN94">
        <v>0</v>
      </c>
      <c r="BO94">
        <v>599000</v>
      </c>
      <c r="BP94">
        <v>317000</v>
      </c>
      <c r="BQ94">
        <v>161000</v>
      </c>
      <c r="BR94">
        <v>54000</v>
      </c>
    </row>
    <row r="95" spans="2:70" x14ac:dyDescent="0.25">
      <c r="B95">
        <f ca="1">OFFSET(tblRiderCF[[#This Row],[Year]],-1,0)+1</f>
        <v>82</v>
      </c>
      <c r="C95" t="e">
        <f ca="1">(tblRiderCF[[#This Row],[Year]]&lt;=term)*1</f>
        <v>#N/A</v>
      </c>
      <c r="D95" t="e">
        <f ca="1">(entry_age+tblRiderCF[[#This Row],[Year]]-1)
*tblRiderCF[[#This Row],[RiderTermFlag]]</f>
        <v>#N/A</v>
      </c>
      <c r="E95" t="e">
        <f ca="1">(risk="Sub-standard")
*tblRiderCF[[#This Row],[RiderTermFlag]]</f>
        <v>#N/A</v>
      </c>
      <c r="F95" t="e">
        <f ca="1">(tblRiderCF[[#This Row],[Year]]&lt;=prem_load_term)
*tblRiderCF[[#This Row],[SubStandardFlag]]</f>
        <v>#N/A</v>
      </c>
      <c r="G95" t="e">
        <f ca="1">(tblRiderCF[[#This Row],[Year]]&lt;=pm_load_term)
*tblRiderCF[[#This Row],[SubStandardFlag]]</f>
        <v>#N/A</v>
      </c>
      <c r="H95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5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5" s="150" t="e" cm="1">
        <f t="array" aca="1" ref="J9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5" s="150" t="e">
        <f ca="1">add_rate*tblRiderCF[[#This Row],[SI]]*(rider=K$11)</f>
        <v>#N/A</v>
      </c>
      <c r="L95" s="150" t="e">
        <f ca="1">INDEX(tblPPDRate[Annualized GPR],MATCH(tblRiderCF[[#This Row],[Age]],tblPPDRate[Min age],1))*tblRiderCF[[#This Row],[SI]]
*(rider=L$11)</f>
        <v>#N/A</v>
      </c>
      <c r="M95" s="150" t="e">
        <f ca="1">INDEX(IF(gender="Male",tblCIR1Rate[Male],tblCIR1Rate[Female]),MATCH(tblRiderCF[[#This Row],[Age]],tblCIR1Rate[Age],0))/1000*tblRiderCF[[#This Row],[SI]]
*(rider=M$11)</f>
        <v>#N/A</v>
      </c>
      <c r="N95" s="150" t="e">
        <f ca="1">INDEX(IF(gender="Male",tblCIR2Rate[Male],tblCIR2Rate[Female]),MATCH(tblRiderCF[[#This Row],[Age]],tblCIR2Rate[Age],0))/1000*tblRiderCF[[#This Row],[SI]]
*(rider=N$11)</f>
        <v>#N/A</v>
      </c>
      <c r="O95" s="150" t="e">
        <f>INDEX(tblHOP2Rate[Premium],MATCH(hop2_option,tblHOP2Rate[Option],0))
*(rider=O$11)</f>
        <v>#N/A</v>
      </c>
      <c r="P95" s="150" t="e">
        <f ca="1">INDEX(Tariff!$CC$5:$CS$44,
MATCH(tblRiderCF[[#This Row],[Age]],Tariff!$CB$5:$CB$44,0),
MATCH(term+1-tblRiderCF[[#This Row],[Year]],Tariff!$CC$4:$CS$4,0))
*(rider=P$11)</f>
        <v>#N/A</v>
      </c>
      <c r="Q95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5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5" s="150" t="e">
        <f ca="1">INDEX(tblRiderCF[[#This Row],[ADD1UnroundedPrem]:[WOP2UnroundedPrem]],MATCH(rider,$K$11:$R$11,0))
*tblRiderCF[[#This Row],[RiderTermFlag]]</f>
        <v>#N/A</v>
      </c>
      <c r="T95" s="150" t="e">
        <f ca="1">tblRiderCF[[#This Row],[UnroundedPrem]]*prem_load</f>
        <v>#N/A</v>
      </c>
      <c r="U95" s="150" t="e">
        <f ca="1">pm_load/1000*tblRiderCF[[#This Row],[SI]]
*tblRiderCF[[#This Row],[RiderTermFlag]]</f>
        <v>#N/A</v>
      </c>
      <c r="V95" s="151" t="e">
        <f ca="1">ROUND(tblRiderCF[[#This Row],[UnroundedPrem]]*V$10,-3)</f>
        <v>#N/A</v>
      </c>
      <c r="W95" t="e">
        <f ca="1">ROUND(tblRiderCF[[#This Row],[UnroundedPremLoad]]*W$10,-3)</f>
        <v>#N/A</v>
      </c>
      <c r="X95" t="e">
        <f ca="1">ROUND(tblRiderCF[[#This Row],[UnroundedPMLoad]]*X$10,-3)</f>
        <v>#N/A</v>
      </c>
      <c r="Y95" t="e">
        <f ca="1">tblRiderCF[[#This Row],[PremLoad]]+tblRiderCF[[#This Row],[PMLoad]]</f>
        <v>#N/A</v>
      </c>
      <c r="Z95" t="e">
        <f ca="1">tblRiderCF[[#This Row],[Prem]]+tblRiderCF[[#This Row],[Load]]</f>
        <v>#N/A</v>
      </c>
      <c r="AA95" t="e">
        <f ca="1">ROUND(tblRiderCF[[#This Row],[UnroundedPrem]]*AA$10,-3)</f>
        <v>#N/A</v>
      </c>
      <c r="AB95" t="e">
        <f ca="1">ROUND(tblRiderCF[[#This Row],[UnroundedPremLoad]]*AB$10,-3)</f>
        <v>#N/A</v>
      </c>
      <c r="AC95" t="e">
        <f ca="1">ROUND(tblRiderCF[[#This Row],[UnroundedPMLoad]]*AC$10,-3)</f>
        <v>#N/A</v>
      </c>
      <c r="AD95" t="e">
        <f ca="1">tblRiderCF[[#This Row],[SemiAnnualPremLoad]]+tblRiderCF[[#This Row],[SemiAnnualPMLoad]]</f>
        <v>#N/A</v>
      </c>
      <c r="AE95" t="e">
        <f ca="1">tblRiderCF[[#This Row],[SemiAnnualPrem]]+tblRiderCF[[#This Row],[SemiAnnualLoad]]</f>
        <v>#N/A</v>
      </c>
      <c r="AF95" t="e">
        <f ca="1">ROUND(tblRiderCF[[#This Row],[UnroundedPrem]]*AF$10,-3)</f>
        <v>#N/A</v>
      </c>
      <c r="AG95" t="e">
        <f ca="1">ROUND(tblRiderCF[[#This Row],[UnroundedPremLoad]]*AG$10,-3)</f>
        <v>#N/A</v>
      </c>
      <c r="AH95" t="e">
        <f ca="1">ROUND(tblRiderCF[[#This Row],[UnroundedPMLoad]]*AH$10,-3)</f>
        <v>#N/A</v>
      </c>
      <c r="AI95" t="e">
        <f ca="1">tblRiderCF[[#This Row],[QuarterlyPremLoad]]+tblRiderCF[[#This Row],[QuarterlyPMLoad]]</f>
        <v>#N/A</v>
      </c>
      <c r="AJ95" t="e">
        <f ca="1">tblRiderCF[[#This Row],[QuarterlyPrem]]+tblRiderCF[[#This Row],[QuarterlyLoad]]</f>
        <v>#N/A</v>
      </c>
      <c r="AK95" t="e">
        <f ca="1">ROUND(tblRiderCF[[#This Row],[UnroundedPrem]]*AK$10,-3)</f>
        <v>#N/A</v>
      </c>
      <c r="AL95" t="e">
        <f ca="1">ROUND(tblRiderCF[[#This Row],[UnroundedPremLoad]]*AL$10,-3)</f>
        <v>#N/A</v>
      </c>
      <c r="AM95" t="e">
        <f ca="1">ROUND(tblRiderCF[[#This Row],[UnroundedPMLoad]]*AM$10,-3)</f>
        <v>#N/A</v>
      </c>
      <c r="AN95" t="e">
        <f ca="1">tblRiderCF[[#This Row],[MonthlyPremLoad]]+tblRiderCF[[#This Row],[MonthlyPMLoad]]</f>
        <v>#N/A</v>
      </c>
      <c r="AO95" t="e">
        <f ca="1">tblRiderCF[[#This Row],[MonthlyPrem]]+tblRiderCF[[#This Row],[MonthlyLoad]]</f>
        <v>#N/A</v>
      </c>
      <c r="AS95">
        <f t="shared" si="9"/>
        <v>0</v>
      </c>
      <c r="AT95">
        <f t="shared" si="10"/>
        <v>0</v>
      </c>
      <c r="AU95">
        <f ca="1">tblRiderCF[[#This Row],[Year]]</f>
        <v>82</v>
      </c>
      <c r="AV95" t="e">
        <f ca="1">tblRiderCF[[#This Row],[Age]]</f>
        <v>#N/A</v>
      </c>
      <c r="AW95">
        <f t="shared" si="11"/>
        <v>0</v>
      </c>
      <c r="AX95" t="e">
        <f t="shared" si="12"/>
        <v>#N/A</v>
      </c>
      <c r="AY95">
        <f t="shared" si="13"/>
        <v>0</v>
      </c>
      <c r="AZ95" s="47" t="e">
        <f ca="1">tblRiderCF[[#This Row],[SI]]</f>
        <v>#N/A</v>
      </c>
      <c r="BA95" t="e">
        <f ca="1">tblRiderCF[[#This Row],[TotalPrem]]</f>
        <v>#N/A</v>
      </c>
      <c r="BB95" t="e">
        <f ca="1">tblRiderCF[[#This Row],[SemiAnnualTotalPrem]]</f>
        <v>#N/A</v>
      </c>
      <c r="BC95" t="e">
        <f ca="1">tblRiderCF[[#This Row],[QuarterlyTotalPrem]]</f>
        <v>#N/A</v>
      </c>
      <c r="BD95" t="e">
        <f ca="1">tblRiderCF[[#This Row],[MonthlyTotalPrem]]</f>
        <v>#N/A</v>
      </c>
      <c r="BG95" t="s">
        <v>135</v>
      </c>
      <c r="BH95" t="s">
        <v>188</v>
      </c>
      <c r="BI95">
        <v>8</v>
      </c>
      <c r="BJ95">
        <v>38</v>
      </c>
      <c r="BK95" t="s">
        <v>484</v>
      </c>
      <c r="BL95">
        <v>17</v>
      </c>
      <c r="BM95">
        <v>0</v>
      </c>
      <c r="BN95">
        <v>0</v>
      </c>
      <c r="BO95">
        <v>597000</v>
      </c>
      <c r="BP95">
        <v>317000</v>
      </c>
      <c r="BQ95">
        <v>161000</v>
      </c>
      <c r="BR95">
        <v>54000</v>
      </c>
    </row>
    <row r="96" spans="2:70" x14ac:dyDescent="0.25">
      <c r="B96">
        <f ca="1">OFFSET(tblRiderCF[[#This Row],[Year]],-1,0)+1</f>
        <v>83</v>
      </c>
      <c r="C96" t="e">
        <f ca="1">(tblRiderCF[[#This Row],[Year]]&lt;=term)*1</f>
        <v>#N/A</v>
      </c>
      <c r="D96" t="e">
        <f ca="1">(entry_age+tblRiderCF[[#This Row],[Year]]-1)
*tblRiderCF[[#This Row],[RiderTermFlag]]</f>
        <v>#N/A</v>
      </c>
      <c r="E96" t="e">
        <f ca="1">(risk="Sub-standard")
*tblRiderCF[[#This Row],[RiderTermFlag]]</f>
        <v>#N/A</v>
      </c>
      <c r="F96" t="e">
        <f ca="1">(tblRiderCF[[#This Row],[Year]]&lt;=prem_load_term)
*tblRiderCF[[#This Row],[SubStandardFlag]]</f>
        <v>#N/A</v>
      </c>
      <c r="G96" t="e">
        <f ca="1">(tblRiderCF[[#This Row],[Year]]&lt;=pm_load_term)
*tblRiderCF[[#This Row],[SubStandardFlag]]</f>
        <v>#N/A</v>
      </c>
      <c r="H96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6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6" s="150" t="e" cm="1">
        <f t="array" aca="1" ref="J9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6" s="150" t="e">
        <f ca="1">add_rate*tblRiderCF[[#This Row],[SI]]*(rider=K$11)</f>
        <v>#N/A</v>
      </c>
      <c r="L96" s="150" t="e">
        <f ca="1">INDEX(tblPPDRate[Annualized GPR],MATCH(tblRiderCF[[#This Row],[Age]],tblPPDRate[Min age],1))*tblRiderCF[[#This Row],[SI]]
*(rider=L$11)</f>
        <v>#N/A</v>
      </c>
      <c r="M96" s="150" t="e">
        <f ca="1">INDEX(IF(gender="Male",tblCIR1Rate[Male],tblCIR1Rate[Female]),MATCH(tblRiderCF[[#This Row],[Age]],tblCIR1Rate[Age],0))/1000*tblRiderCF[[#This Row],[SI]]
*(rider=M$11)</f>
        <v>#N/A</v>
      </c>
      <c r="N96" s="150" t="e">
        <f ca="1">INDEX(IF(gender="Male",tblCIR2Rate[Male],tblCIR2Rate[Female]),MATCH(tblRiderCF[[#This Row],[Age]],tblCIR2Rate[Age],0))/1000*tblRiderCF[[#This Row],[SI]]
*(rider=N$11)</f>
        <v>#N/A</v>
      </c>
      <c r="O96" s="150" t="e">
        <f>INDEX(tblHOP2Rate[Premium],MATCH(hop2_option,tblHOP2Rate[Option],0))
*(rider=O$11)</f>
        <v>#N/A</v>
      </c>
      <c r="P96" s="150" t="e">
        <f ca="1">INDEX(Tariff!$CC$5:$CS$44,
MATCH(tblRiderCF[[#This Row],[Age]],Tariff!$CB$5:$CB$44,0),
MATCH(term+1-tblRiderCF[[#This Row],[Year]],Tariff!$CC$4:$CS$4,0))
*(rider=P$11)</f>
        <v>#N/A</v>
      </c>
      <c r="Q96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6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6" s="150" t="e">
        <f ca="1">INDEX(tblRiderCF[[#This Row],[ADD1UnroundedPrem]:[WOP2UnroundedPrem]],MATCH(rider,$K$11:$R$11,0))
*tblRiderCF[[#This Row],[RiderTermFlag]]</f>
        <v>#N/A</v>
      </c>
      <c r="T96" s="150" t="e">
        <f ca="1">tblRiderCF[[#This Row],[UnroundedPrem]]*prem_load</f>
        <v>#N/A</v>
      </c>
      <c r="U96" s="150" t="e">
        <f ca="1">pm_load/1000*tblRiderCF[[#This Row],[SI]]
*tblRiderCF[[#This Row],[RiderTermFlag]]</f>
        <v>#N/A</v>
      </c>
      <c r="V96" s="151" t="e">
        <f ca="1">ROUND(tblRiderCF[[#This Row],[UnroundedPrem]]*V$10,-3)</f>
        <v>#N/A</v>
      </c>
      <c r="W96" t="e">
        <f ca="1">ROUND(tblRiderCF[[#This Row],[UnroundedPremLoad]]*W$10,-3)</f>
        <v>#N/A</v>
      </c>
      <c r="X96" t="e">
        <f ca="1">ROUND(tblRiderCF[[#This Row],[UnroundedPMLoad]]*X$10,-3)</f>
        <v>#N/A</v>
      </c>
      <c r="Y96" t="e">
        <f ca="1">tblRiderCF[[#This Row],[PremLoad]]+tblRiderCF[[#This Row],[PMLoad]]</f>
        <v>#N/A</v>
      </c>
      <c r="Z96" t="e">
        <f ca="1">tblRiderCF[[#This Row],[Prem]]+tblRiderCF[[#This Row],[Load]]</f>
        <v>#N/A</v>
      </c>
      <c r="AA96" t="e">
        <f ca="1">ROUND(tblRiderCF[[#This Row],[UnroundedPrem]]*AA$10,-3)</f>
        <v>#N/A</v>
      </c>
      <c r="AB96" t="e">
        <f ca="1">ROUND(tblRiderCF[[#This Row],[UnroundedPremLoad]]*AB$10,-3)</f>
        <v>#N/A</v>
      </c>
      <c r="AC96" t="e">
        <f ca="1">ROUND(tblRiderCF[[#This Row],[UnroundedPMLoad]]*AC$10,-3)</f>
        <v>#N/A</v>
      </c>
      <c r="AD96" t="e">
        <f ca="1">tblRiderCF[[#This Row],[SemiAnnualPremLoad]]+tblRiderCF[[#This Row],[SemiAnnualPMLoad]]</f>
        <v>#N/A</v>
      </c>
      <c r="AE96" t="e">
        <f ca="1">tblRiderCF[[#This Row],[SemiAnnualPrem]]+tblRiderCF[[#This Row],[SemiAnnualLoad]]</f>
        <v>#N/A</v>
      </c>
      <c r="AF96" t="e">
        <f ca="1">ROUND(tblRiderCF[[#This Row],[UnroundedPrem]]*AF$10,-3)</f>
        <v>#N/A</v>
      </c>
      <c r="AG96" t="e">
        <f ca="1">ROUND(tblRiderCF[[#This Row],[UnroundedPremLoad]]*AG$10,-3)</f>
        <v>#N/A</v>
      </c>
      <c r="AH96" t="e">
        <f ca="1">ROUND(tblRiderCF[[#This Row],[UnroundedPMLoad]]*AH$10,-3)</f>
        <v>#N/A</v>
      </c>
      <c r="AI96" t="e">
        <f ca="1">tblRiderCF[[#This Row],[QuarterlyPremLoad]]+tblRiderCF[[#This Row],[QuarterlyPMLoad]]</f>
        <v>#N/A</v>
      </c>
      <c r="AJ96" t="e">
        <f ca="1">tblRiderCF[[#This Row],[QuarterlyPrem]]+tblRiderCF[[#This Row],[QuarterlyLoad]]</f>
        <v>#N/A</v>
      </c>
      <c r="AK96" t="e">
        <f ca="1">ROUND(tblRiderCF[[#This Row],[UnroundedPrem]]*AK$10,-3)</f>
        <v>#N/A</v>
      </c>
      <c r="AL96" t="e">
        <f ca="1">ROUND(tblRiderCF[[#This Row],[UnroundedPremLoad]]*AL$10,-3)</f>
        <v>#N/A</v>
      </c>
      <c r="AM96" t="e">
        <f ca="1">ROUND(tblRiderCF[[#This Row],[UnroundedPMLoad]]*AM$10,-3)</f>
        <v>#N/A</v>
      </c>
      <c r="AN96" t="e">
        <f ca="1">tblRiderCF[[#This Row],[MonthlyPremLoad]]+tblRiderCF[[#This Row],[MonthlyPMLoad]]</f>
        <v>#N/A</v>
      </c>
      <c r="AO96" t="e">
        <f ca="1">tblRiderCF[[#This Row],[MonthlyPrem]]+tblRiderCF[[#This Row],[MonthlyLoad]]</f>
        <v>#N/A</v>
      </c>
      <c r="AS96">
        <f t="shared" si="9"/>
        <v>0</v>
      </c>
      <c r="AT96">
        <f t="shared" si="10"/>
        <v>0</v>
      </c>
      <c r="AU96">
        <f ca="1">tblRiderCF[[#This Row],[Year]]</f>
        <v>83</v>
      </c>
      <c r="AV96" t="e">
        <f ca="1">tblRiderCF[[#This Row],[Age]]</f>
        <v>#N/A</v>
      </c>
      <c r="AW96">
        <f t="shared" si="11"/>
        <v>0</v>
      </c>
      <c r="AX96" t="e">
        <f t="shared" si="12"/>
        <v>#N/A</v>
      </c>
      <c r="AY96">
        <f t="shared" si="13"/>
        <v>0</v>
      </c>
      <c r="AZ96" s="47" t="e">
        <f ca="1">tblRiderCF[[#This Row],[SI]]</f>
        <v>#N/A</v>
      </c>
      <c r="BA96" t="e">
        <f ca="1">tblRiderCF[[#This Row],[TotalPrem]]</f>
        <v>#N/A</v>
      </c>
      <c r="BB96" t="e">
        <f ca="1">tblRiderCF[[#This Row],[SemiAnnualTotalPrem]]</f>
        <v>#N/A</v>
      </c>
      <c r="BC96" t="e">
        <f ca="1">tblRiderCF[[#This Row],[QuarterlyTotalPrem]]</f>
        <v>#N/A</v>
      </c>
      <c r="BD96" t="e">
        <f ca="1">tblRiderCF[[#This Row],[MonthlyTotalPrem]]</f>
        <v>#N/A</v>
      </c>
      <c r="BG96" t="s">
        <v>135</v>
      </c>
      <c r="BH96" t="s">
        <v>188</v>
      </c>
      <c r="BI96">
        <v>9</v>
      </c>
      <c r="BJ96">
        <v>39</v>
      </c>
      <c r="BK96" t="s">
        <v>484</v>
      </c>
      <c r="BL96">
        <v>17</v>
      </c>
      <c r="BM96">
        <v>0</v>
      </c>
      <c r="BN96">
        <v>0</v>
      </c>
      <c r="BO96">
        <v>586000</v>
      </c>
      <c r="BP96">
        <v>310000</v>
      </c>
      <c r="BQ96">
        <v>158000</v>
      </c>
      <c r="BR96">
        <v>53000</v>
      </c>
    </row>
    <row r="97" spans="2:70" x14ac:dyDescent="0.25">
      <c r="B97">
        <f ca="1">OFFSET(tblRiderCF[[#This Row],[Year]],-1,0)+1</f>
        <v>84</v>
      </c>
      <c r="C97" t="e">
        <f ca="1">(tblRiderCF[[#This Row],[Year]]&lt;=term)*1</f>
        <v>#N/A</v>
      </c>
      <c r="D97" t="e">
        <f ca="1">(entry_age+tblRiderCF[[#This Row],[Year]]-1)
*tblRiderCF[[#This Row],[RiderTermFlag]]</f>
        <v>#N/A</v>
      </c>
      <c r="E97" t="e">
        <f ca="1">(risk="Sub-standard")
*tblRiderCF[[#This Row],[RiderTermFlag]]</f>
        <v>#N/A</v>
      </c>
      <c r="F97" t="e">
        <f ca="1">(tblRiderCF[[#This Row],[Year]]&lt;=prem_load_term)
*tblRiderCF[[#This Row],[SubStandardFlag]]</f>
        <v>#N/A</v>
      </c>
      <c r="G97" t="e">
        <f ca="1">(tblRiderCF[[#This Row],[Year]]&lt;=pm_load_term)
*tblRiderCF[[#This Row],[SubStandardFlag]]</f>
        <v>#N/A</v>
      </c>
      <c r="H97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7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7" s="150" t="e" cm="1">
        <f t="array" aca="1" ref="J9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7" s="150" t="e">
        <f ca="1">add_rate*tblRiderCF[[#This Row],[SI]]*(rider=K$11)</f>
        <v>#N/A</v>
      </c>
      <c r="L97" s="150" t="e">
        <f ca="1">INDEX(tblPPDRate[Annualized GPR],MATCH(tblRiderCF[[#This Row],[Age]],tblPPDRate[Min age],1))*tblRiderCF[[#This Row],[SI]]
*(rider=L$11)</f>
        <v>#N/A</v>
      </c>
      <c r="M97" s="150" t="e">
        <f ca="1">INDEX(IF(gender="Male",tblCIR1Rate[Male],tblCIR1Rate[Female]),MATCH(tblRiderCF[[#This Row],[Age]],tblCIR1Rate[Age],0))/1000*tblRiderCF[[#This Row],[SI]]
*(rider=M$11)</f>
        <v>#N/A</v>
      </c>
      <c r="N97" s="150" t="e">
        <f ca="1">INDEX(IF(gender="Male",tblCIR2Rate[Male],tblCIR2Rate[Female]),MATCH(tblRiderCF[[#This Row],[Age]],tblCIR2Rate[Age],0))/1000*tblRiderCF[[#This Row],[SI]]
*(rider=N$11)</f>
        <v>#N/A</v>
      </c>
      <c r="O97" s="150" t="e">
        <f>INDEX(tblHOP2Rate[Premium],MATCH(hop2_option,tblHOP2Rate[Option],0))
*(rider=O$11)</f>
        <v>#N/A</v>
      </c>
      <c r="P97" s="150" t="e">
        <f ca="1">INDEX(Tariff!$CC$5:$CS$44,
MATCH(tblRiderCF[[#This Row],[Age]],Tariff!$CB$5:$CB$44,0),
MATCH(term+1-tblRiderCF[[#This Row],[Year]],Tariff!$CC$4:$CS$4,0))
*(rider=P$11)</f>
        <v>#N/A</v>
      </c>
      <c r="Q97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7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7" s="150" t="e">
        <f ca="1">INDEX(tblRiderCF[[#This Row],[ADD1UnroundedPrem]:[WOP2UnroundedPrem]],MATCH(rider,$K$11:$R$11,0))
*tblRiderCF[[#This Row],[RiderTermFlag]]</f>
        <v>#N/A</v>
      </c>
      <c r="T97" s="150" t="e">
        <f ca="1">tblRiderCF[[#This Row],[UnroundedPrem]]*prem_load</f>
        <v>#N/A</v>
      </c>
      <c r="U97" s="150" t="e">
        <f ca="1">pm_load/1000*tblRiderCF[[#This Row],[SI]]
*tblRiderCF[[#This Row],[RiderTermFlag]]</f>
        <v>#N/A</v>
      </c>
      <c r="V97" s="151" t="e">
        <f ca="1">ROUND(tblRiderCF[[#This Row],[UnroundedPrem]]*V$10,-3)</f>
        <v>#N/A</v>
      </c>
      <c r="W97" t="e">
        <f ca="1">ROUND(tblRiderCF[[#This Row],[UnroundedPremLoad]]*W$10,-3)</f>
        <v>#N/A</v>
      </c>
      <c r="X97" t="e">
        <f ca="1">ROUND(tblRiderCF[[#This Row],[UnroundedPMLoad]]*X$10,-3)</f>
        <v>#N/A</v>
      </c>
      <c r="Y97" t="e">
        <f ca="1">tblRiderCF[[#This Row],[PremLoad]]+tblRiderCF[[#This Row],[PMLoad]]</f>
        <v>#N/A</v>
      </c>
      <c r="Z97" t="e">
        <f ca="1">tblRiderCF[[#This Row],[Prem]]+tblRiderCF[[#This Row],[Load]]</f>
        <v>#N/A</v>
      </c>
      <c r="AA97" t="e">
        <f ca="1">ROUND(tblRiderCF[[#This Row],[UnroundedPrem]]*AA$10,-3)</f>
        <v>#N/A</v>
      </c>
      <c r="AB97" t="e">
        <f ca="1">ROUND(tblRiderCF[[#This Row],[UnroundedPremLoad]]*AB$10,-3)</f>
        <v>#N/A</v>
      </c>
      <c r="AC97" t="e">
        <f ca="1">ROUND(tblRiderCF[[#This Row],[UnroundedPMLoad]]*AC$10,-3)</f>
        <v>#N/A</v>
      </c>
      <c r="AD97" t="e">
        <f ca="1">tblRiderCF[[#This Row],[SemiAnnualPremLoad]]+tblRiderCF[[#This Row],[SemiAnnualPMLoad]]</f>
        <v>#N/A</v>
      </c>
      <c r="AE97" t="e">
        <f ca="1">tblRiderCF[[#This Row],[SemiAnnualPrem]]+tblRiderCF[[#This Row],[SemiAnnualLoad]]</f>
        <v>#N/A</v>
      </c>
      <c r="AF97" t="e">
        <f ca="1">ROUND(tblRiderCF[[#This Row],[UnroundedPrem]]*AF$10,-3)</f>
        <v>#N/A</v>
      </c>
      <c r="AG97" t="e">
        <f ca="1">ROUND(tblRiderCF[[#This Row],[UnroundedPremLoad]]*AG$10,-3)</f>
        <v>#N/A</v>
      </c>
      <c r="AH97" t="e">
        <f ca="1">ROUND(tblRiderCF[[#This Row],[UnroundedPMLoad]]*AH$10,-3)</f>
        <v>#N/A</v>
      </c>
      <c r="AI97" t="e">
        <f ca="1">tblRiderCF[[#This Row],[QuarterlyPremLoad]]+tblRiderCF[[#This Row],[QuarterlyPMLoad]]</f>
        <v>#N/A</v>
      </c>
      <c r="AJ97" t="e">
        <f ca="1">tblRiderCF[[#This Row],[QuarterlyPrem]]+tblRiderCF[[#This Row],[QuarterlyLoad]]</f>
        <v>#N/A</v>
      </c>
      <c r="AK97" t="e">
        <f ca="1">ROUND(tblRiderCF[[#This Row],[UnroundedPrem]]*AK$10,-3)</f>
        <v>#N/A</v>
      </c>
      <c r="AL97" t="e">
        <f ca="1">ROUND(tblRiderCF[[#This Row],[UnroundedPremLoad]]*AL$10,-3)</f>
        <v>#N/A</v>
      </c>
      <c r="AM97" t="e">
        <f ca="1">ROUND(tblRiderCF[[#This Row],[UnroundedPMLoad]]*AM$10,-3)</f>
        <v>#N/A</v>
      </c>
      <c r="AN97" t="e">
        <f ca="1">tblRiderCF[[#This Row],[MonthlyPremLoad]]+tblRiderCF[[#This Row],[MonthlyPMLoad]]</f>
        <v>#N/A</v>
      </c>
      <c r="AO97" t="e">
        <f ca="1">tblRiderCF[[#This Row],[MonthlyPrem]]+tblRiderCF[[#This Row],[MonthlyLoad]]</f>
        <v>#N/A</v>
      </c>
      <c r="AS97">
        <f t="shared" si="9"/>
        <v>0</v>
      </c>
      <c r="AT97">
        <f t="shared" si="10"/>
        <v>0</v>
      </c>
      <c r="AU97">
        <f ca="1">tblRiderCF[[#This Row],[Year]]</f>
        <v>84</v>
      </c>
      <c r="AV97" t="e">
        <f ca="1">tblRiderCF[[#This Row],[Age]]</f>
        <v>#N/A</v>
      </c>
      <c r="AW97">
        <f t="shared" si="11"/>
        <v>0</v>
      </c>
      <c r="AX97" t="e">
        <f t="shared" si="12"/>
        <v>#N/A</v>
      </c>
      <c r="AY97">
        <f t="shared" si="13"/>
        <v>0</v>
      </c>
      <c r="AZ97" s="47" t="e">
        <f ca="1">tblRiderCF[[#This Row],[SI]]</f>
        <v>#N/A</v>
      </c>
      <c r="BA97" t="e">
        <f ca="1">tblRiderCF[[#This Row],[TotalPrem]]</f>
        <v>#N/A</v>
      </c>
      <c r="BB97" t="e">
        <f ca="1">tblRiderCF[[#This Row],[SemiAnnualTotalPrem]]</f>
        <v>#N/A</v>
      </c>
      <c r="BC97" t="e">
        <f ca="1">tblRiderCF[[#This Row],[QuarterlyTotalPrem]]</f>
        <v>#N/A</v>
      </c>
      <c r="BD97" t="e">
        <f ca="1">tblRiderCF[[#This Row],[MonthlyTotalPrem]]</f>
        <v>#N/A</v>
      </c>
      <c r="BG97" t="s">
        <v>135</v>
      </c>
      <c r="BH97" t="s">
        <v>188</v>
      </c>
      <c r="BI97">
        <v>10</v>
      </c>
      <c r="BJ97">
        <v>40</v>
      </c>
      <c r="BK97" t="s">
        <v>484</v>
      </c>
      <c r="BL97">
        <v>17</v>
      </c>
      <c r="BM97">
        <v>0</v>
      </c>
      <c r="BN97">
        <v>0</v>
      </c>
      <c r="BO97">
        <v>577000</v>
      </c>
      <c r="BP97">
        <v>306000</v>
      </c>
      <c r="BQ97">
        <v>156000</v>
      </c>
      <c r="BR97">
        <v>52000</v>
      </c>
    </row>
    <row r="98" spans="2:70" x14ac:dyDescent="0.25">
      <c r="B98">
        <f ca="1">OFFSET(tblRiderCF[[#This Row],[Year]],-1,0)+1</f>
        <v>85</v>
      </c>
      <c r="C98" t="e">
        <f ca="1">(tblRiderCF[[#This Row],[Year]]&lt;=term)*1</f>
        <v>#N/A</v>
      </c>
      <c r="D98" t="e">
        <f ca="1">(entry_age+tblRiderCF[[#This Row],[Year]]-1)
*tblRiderCF[[#This Row],[RiderTermFlag]]</f>
        <v>#N/A</v>
      </c>
      <c r="E98" t="e">
        <f ca="1">(risk="Sub-standard")
*tblRiderCF[[#This Row],[RiderTermFlag]]</f>
        <v>#N/A</v>
      </c>
      <c r="F98" t="e">
        <f ca="1">(tblRiderCF[[#This Row],[Year]]&lt;=prem_load_term)
*tblRiderCF[[#This Row],[SubStandardFlag]]</f>
        <v>#N/A</v>
      </c>
      <c r="G98" t="e">
        <f ca="1">(tblRiderCF[[#This Row],[Year]]&lt;=pm_load_term)
*tblRiderCF[[#This Row],[SubStandardFlag]]</f>
        <v>#N/A</v>
      </c>
      <c r="H98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8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8" s="150" t="e" cm="1">
        <f t="array" aca="1" ref="J9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8" s="150" t="e">
        <f ca="1">add_rate*tblRiderCF[[#This Row],[SI]]*(rider=K$11)</f>
        <v>#N/A</v>
      </c>
      <c r="L98" s="150" t="e">
        <f ca="1">INDEX(tblPPDRate[Annualized GPR],MATCH(tblRiderCF[[#This Row],[Age]],tblPPDRate[Min age],1))*tblRiderCF[[#This Row],[SI]]
*(rider=L$11)</f>
        <v>#N/A</v>
      </c>
      <c r="M98" s="150" t="e">
        <f ca="1">INDEX(IF(gender="Male",tblCIR1Rate[Male],tblCIR1Rate[Female]),MATCH(tblRiderCF[[#This Row],[Age]],tblCIR1Rate[Age],0))/1000*tblRiderCF[[#This Row],[SI]]
*(rider=M$11)</f>
        <v>#N/A</v>
      </c>
      <c r="N98" s="150" t="e">
        <f ca="1">INDEX(IF(gender="Male",tblCIR2Rate[Male],tblCIR2Rate[Female]),MATCH(tblRiderCF[[#This Row],[Age]],tblCIR2Rate[Age],0))/1000*tblRiderCF[[#This Row],[SI]]
*(rider=N$11)</f>
        <v>#N/A</v>
      </c>
      <c r="O98" s="150" t="e">
        <f>INDEX(tblHOP2Rate[Premium],MATCH(hop2_option,tblHOP2Rate[Option],0))
*(rider=O$11)</f>
        <v>#N/A</v>
      </c>
      <c r="P98" s="150" t="e">
        <f ca="1">INDEX(Tariff!$CC$5:$CS$44,
MATCH(tblRiderCF[[#This Row],[Age]],Tariff!$CB$5:$CB$44,0),
MATCH(term+1-tblRiderCF[[#This Row],[Year]],Tariff!$CC$4:$CS$4,0))
*(rider=P$11)</f>
        <v>#N/A</v>
      </c>
      <c r="Q98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8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8" s="150" t="e">
        <f ca="1">INDEX(tblRiderCF[[#This Row],[ADD1UnroundedPrem]:[WOP2UnroundedPrem]],MATCH(rider,$K$11:$R$11,0))
*tblRiderCF[[#This Row],[RiderTermFlag]]</f>
        <v>#N/A</v>
      </c>
      <c r="T98" s="150" t="e">
        <f ca="1">tblRiderCF[[#This Row],[UnroundedPrem]]*prem_load</f>
        <v>#N/A</v>
      </c>
      <c r="U98" s="150" t="e">
        <f ca="1">pm_load/1000*tblRiderCF[[#This Row],[SI]]
*tblRiderCF[[#This Row],[RiderTermFlag]]</f>
        <v>#N/A</v>
      </c>
      <c r="V98" s="151" t="e">
        <f ca="1">ROUND(tblRiderCF[[#This Row],[UnroundedPrem]]*V$10,-3)</f>
        <v>#N/A</v>
      </c>
      <c r="W98" t="e">
        <f ca="1">ROUND(tblRiderCF[[#This Row],[UnroundedPremLoad]]*W$10,-3)</f>
        <v>#N/A</v>
      </c>
      <c r="X98" t="e">
        <f ca="1">ROUND(tblRiderCF[[#This Row],[UnroundedPMLoad]]*X$10,-3)</f>
        <v>#N/A</v>
      </c>
      <c r="Y98" t="e">
        <f ca="1">tblRiderCF[[#This Row],[PremLoad]]+tblRiderCF[[#This Row],[PMLoad]]</f>
        <v>#N/A</v>
      </c>
      <c r="Z98" t="e">
        <f ca="1">tblRiderCF[[#This Row],[Prem]]+tblRiderCF[[#This Row],[Load]]</f>
        <v>#N/A</v>
      </c>
      <c r="AA98" t="e">
        <f ca="1">ROUND(tblRiderCF[[#This Row],[UnroundedPrem]]*AA$10,-3)</f>
        <v>#N/A</v>
      </c>
      <c r="AB98" t="e">
        <f ca="1">ROUND(tblRiderCF[[#This Row],[UnroundedPremLoad]]*AB$10,-3)</f>
        <v>#N/A</v>
      </c>
      <c r="AC98" t="e">
        <f ca="1">ROUND(tblRiderCF[[#This Row],[UnroundedPMLoad]]*AC$10,-3)</f>
        <v>#N/A</v>
      </c>
      <c r="AD98" t="e">
        <f ca="1">tblRiderCF[[#This Row],[SemiAnnualPremLoad]]+tblRiderCF[[#This Row],[SemiAnnualPMLoad]]</f>
        <v>#N/A</v>
      </c>
      <c r="AE98" t="e">
        <f ca="1">tblRiderCF[[#This Row],[SemiAnnualPrem]]+tblRiderCF[[#This Row],[SemiAnnualLoad]]</f>
        <v>#N/A</v>
      </c>
      <c r="AF98" t="e">
        <f ca="1">ROUND(tblRiderCF[[#This Row],[UnroundedPrem]]*AF$10,-3)</f>
        <v>#N/A</v>
      </c>
      <c r="AG98" t="e">
        <f ca="1">ROUND(tblRiderCF[[#This Row],[UnroundedPremLoad]]*AG$10,-3)</f>
        <v>#N/A</v>
      </c>
      <c r="AH98" t="e">
        <f ca="1">ROUND(tblRiderCF[[#This Row],[UnroundedPMLoad]]*AH$10,-3)</f>
        <v>#N/A</v>
      </c>
      <c r="AI98" t="e">
        <f ca="1">tblRiderCF[[#This Row],[QuarterlyPremLoad]]+tblRiderCF[[#This Row],[QuarterlyPMLoad]]</f>
        <v>#N/A</v>
      </c>
      <c r="AJ98" t="e">
        <f ca="1">tblRiderCF[[#This Row],[QuarterlyPrem]]+tblRiderCF[[#This Row],[QuarterlyLoad]]</f>
        <v>#N/A</v>
      </c>
      <c r="AK98" t="e">
        <f ca="1">ROUND(tblRiderCF[[#This Row],[UnroundedPrem]]*AK$10,-3)</f>
        <v>#N/A</v>
      </c>
      <c r="AL98" t="e">
        <f ca="1">ROUND(tblRiderCF[[#This Row],[UnroundedPremLoad]]*AL$10,-3)</f>
        <v>#N/A</v>
      </c>
      <c r="AM98" t="e">
        <f ca="1">ROUND(tblRiderCF[[#This Row],[UnroundedPMLoad]]*AM$10,-3)</f>
        <v>#N/A</v>
      </c>
      <c r="AN98" t="e">
        <f ca="1">tblRiderCF[[#This Row],[MonthlyPremLoad]]+tblRiderCF[[#This Row],[MonthlyPMLoad]]</f>
        <v>#N/A</v>
      </c>
      <c r="AO98" t="e">
        <f ca="1">tblRiderCF[[#This Row],[MonthlyPrem]]+tblRiderCF[[#This Row],[MonthlyLoad]]</f>
        <v>#N/A</v>
      </c>
      <c r="AS98">
        <f t="shared" si="9"/>
        <v>0</v>
      </c>
      <c r="AT98">
        <f t="shared" si="10"/>
        <v>0</v>
      </c>
      <c r="AU98">
        <f ca="1">tblRiderCF[[#This Row],[Year]]</f>
        <v>85</v>
      </c>
      <c r="AV98" t="e">
        <f ca="1">tblRiderCF[[#This Row],[Age]]</f>
        <v>#N/A</v>
      </c>
      <c r="AW98">
        <f t="shared" si="11"/>
        <v>0</v>
      </c>
      <c r="AX98" t="e">
        <f t="shared" si="12"/>
        <v>#N/A</v>
      </c>
      <c r="AY98">
        <f t="shared" si="13"/>
        <v>0</v>
      </c>
      <c r="AZ98" s="47" t="e">
        <f ca="1">tblRiderCF[[#This Row],[SI]]</f>
        <v>#N/A</v>
      </c>
      <c r="BA98" t="e">
        <f ca="1">tblRiderCF[[#This Row],[TotalPrem]]</f>
        <v>#N/A</v>
      </c>
      <c r="BB98" t="e">
        <f ca="1">tblRiderCF[[#This Row],[SemiAnnualTotalPrem]]</f>
        <v>#N/A</v>
      </c>
      <c r="BC98" t="e">
        <f ca="1">tblRiderCF[[#This Row],[QuarterlyTotalPrem]]</f>
        <v>#N/A</v>
      </c>
      <c r="BD98" t="e">
        <f ca="1">tblRiderCF[[#This Row],[MonthlyTotalPrem]]</f>
        <v>#N/A</v>
      </c>
      <c r="BG98" t="s">
        <v>135</v>
      </c>
      <c r="BH98" t="s">
        <v>188</v>
      </c>
      <c r="BI98">
        <v>11</v>
      </c>
      <c r="BJ98">
        <v>41</v>
      </c>
      <c r="BK98" t="s">
        <v>484</v>
      </c>
      <c r="BL98">
        <v>17</v>
      </c>
      <c r="BM98">
        <v>0</v>
      </c>
      <c r="BN98">
        <v>0</v>
      </c>
      <c r="BO98">
        <v>556000</v>
      </c>
      <c r="BP98">
        <v>295000</v>
      </c>
      <c r="BQ98">
        <v>150000</v>
      </c>
      <c r="BR98">
        <v>50000</v>
      </c>
    </row>
    <row r="99" spans="2:70" x14ac:dyDescent="0.25">
      <c r="B99">
        <f ca="1">OFFSET(tblRiderCF[[#This Row],[Year]],-1,0)+1</f>
        <v>86</v>
      </c>
      <c r="C99" t="e">
        <f ca="1">(tblRiderCF[[#This Row],[Year]]&lt;=term)*1</f>
        <v>#N/A</v>
      </c>
      <c r="D99" t="e">
        <f ca="1">(entry_age+tblRiderCF[[#This Row],[Year]]-1)
*tblRiderCF[[#This Row],[RiderTermFlag]]</f>
        <v>#N/A</v>
      </c>
      <c r="E99" t="e">
        <f ca="1">(risk="Sub-standard")
*tblRiderCF[[#This Row],[RiderTermFlag]]</f>
        <v>#N/A</v>
      </c>
      <c r="F99" t="e">
        <f ca="1">(tblRiderCF[[#This Row],[Year]]&lt;=prem_load_term)
*tblRiderCF[[#This Row],[SubStandardFlag]]</f>
        <v>#N/A</v>
      </c>
      <c r="G99" t="e">
        <f ca="1">(tblRiderCF[[#This Row],[Year]]&lt;=pm_load_term)
*tblRiderCF[[#This Row],[SubStandardFlag]]</f>
        <v>#N/A</v>
      </c>
      <c r="H99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99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99" s="150" t="e" cm="1">
        <f t="array" aca="1" ref="J9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99" s="150" t="e">
        <f ca="1">add_rate*tblRiderCF[[#This Row],[SI]]*(rider=K$11)</f>
        <v>#N/A</v>
      </c>
      <c r="L99" s="150" t="e">
        <f ca="1">INDEX(tblPPDRate[Annualized GPR],MATCH(tblRiderCF[[#This Row],[Age]],tblPPDRate[Min age],1))*tblRiderCF[[#This Row],[SI]]
*(rider=L$11)</f>
        <v>#N/A</v>
      </c>
      <c r="M99" s="150" t="e">
        <f ca="1">INDEX(IF(gender="Male",tblCIR1Rate[Male],tblCIR1Rate[Female]),MATCH(tblRiderCF[[#This Row],[Age]],tblCIR1Rate[Age],0))/1000*tblRiderCF[[#This Row],[SI]]
*(rider=M$11)</f>
        <v>#N/A</v>
      </c>
      <c r="N99" s="150" t="e">
        <f ca="1">INDEX(IF(gender="Male",tblCIR2Rate[Male],tblCIR2Rate[Female]),MATCH(tblRiderCF[[#This Row],[Age]],tblCIR2Rate[Age],0))/1000*tblRiderCF[[#This Row],[SI]]
*(rider=N$11)</f>
        <v>#N/A</v>
      </c>
      <c r="O99" s="150" t="e">
        <f>INDEX(tblHOP2Rate[Premium],MATCH(hop2_option,tblHOP2Rate[Option],0))
*(rider=O$11)</f>
        <v>#N/A</v>
      </c>
      <c r="P99" s="150" t="e">
        <f ca="1">INDEX(Tariff!$CC$5:$CS$44,
MATCH(tblRiderCF[[#This Row],[Age]],Tariff!$CB$5:$CB$44,0),
MATCH(term+1-tblRiderCF[[#This Row],[Year]],Tariff!$CC$4:$CS$4,0))
*(rider=P$11)</f>
        <v>#N/A</v>
      </c>
      <c r="Q99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99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99" s="150" t="e">
        <f ca="1">INDEX(tblRiderCF[[#This Row],[ADD1UnroundedPrem]:[WOP2UnroundedPrem]],MATCH(rider,$K$11:$R$11,0))
*tblRiderCF[[#This Row],[RiderTermFlag]]</f>
        <v>#N/A</v>
      </c>
      <c r="T99" s="150" t="e">
        <f ca="1">tblRiderCF[[#This Row],[UnroundedPrem]]*prem_load</f>
        <v>#N/A</v>
      </c>
      <c r="U99" s="150" t="e">
        <f ca="1">pm_load/1000*tblRiderCF[[#This Row],[SI]]
*tblRiderCF[[#This Row],[RiderTermFlag]]</f>
        <v>#N/A</v>
      </c>
      <c r="V99" s="151" t="e">
        <f ca="1">ROUND(tblRiderCF[[#This Row],[UnroundedPrem]]*V$10,-3)</f>
        <v>#N/A</v>
      </c>
      <c r="W99" t="e">
        <f ca="1">ROUND(tblRiderCF[[#This Row],[UnroundedPremLoad]]*W$10,-3)</f>
        <v>#N/A</v>
      </c>
      <c r="X99" t="e">
        <f ca="1">ROUND(tblRiderCF[[#This Row],[UnroundedPMLoad]]*X$10,-3)</f>
        <v>#N/A</v>
      </c>
      <c r="Y99" t="e">
        <f ca="1">tblRiderCF[[#This Row],[PremLoad]]+tblRiderCF[[#This Row],[PMLoad]]</f>
        <v>#N/A</v>
      </c>
      <c r="Z99" t="e">
        <f ca="1">tblRiderCF[[#This Row],[Prem]]+tblRiderCF[[#This Row],[Load]]</f>
        <v>#N/A</v>
      </c>
      <c r="AA99" t="e">
        <f ca="1">ROUND(tblRiderCF[[#This Row],[UnroundedPrem]]*AA$10,-3)</f>
        <v>#N/A</v>
      </c>
      <c r="AB99" t="e">
        <f ca="1">ROUND(tblRiderCF[[#This Row],[UnroundedPremLoad]]*AB$10,-3)</f>
        <v>#N/A</v>
      </c>
      <c r="AC99" t="e">
        <f ca="1">ROUND(tblRiderCF[[#This Row],[UnroundedPMLoad]]*AC$10,-3)</f>
        <v>#N/A</v>
      </c>
      <c r="AD99" t="e">
        <f ca="1">tblRiderCF[[#This Row],[SemiAnnualPremLoad]]+tblRiderCF[[#This Row],[SemiAnnualPMLoad]]</f>
        <v>#N/A</v>
      </c>
      <c r="AE99" t="e">
        <f ca="1">tblRiderCF[[#This Row],[SemiAnnualPrem]]+tblRiderCF[[#This Row],[SemiAnnualLoad]]</f>
        <v>#N/A</v>
      </c>
      <c r="AF99" t="e">
        <f ca="1">ROUND(tblRiderCF[[#This Row],[UnroundedPrem]]*AF$10,-3)</f>
        <v>#N/A</v>
      </c>
      <c r="AG99" t="e">
        <f ca="1">ROUND(tblRiderCF[[#This Row],[UnroundedPremLoad]]*AG$10,-3)</f>
        <v>#N/A</v>
      </c>
      <c r="AH99" t="e">
        <f ca="1">ROUND(tblRiderCF[[#This Row],[UnroundedPMLoad]]*AH$10,-3)</f>
        <v>#N/A</v>
      </c>
      <c r="AI99" t="e">
        <f ca="1">tblRiderCF[[#This Row],[QuarterlyPremLoad]]+tblRiderCF[[#This Row],[QuarterlyPMLoad]]</f>
        <v>#N/A</v>
      </c>
      <c r="AJ99" t="e">
        <f ca="1">tblRiderCF[[#This Row],[QuarterlyPrem]]+tblRiderCF[[#This Row],[QuarterlyLoad]]</f>
        <v>#N/A</v>
      </c>
      <c r="AK99" t="e">
        <f ca="1">ROUND(tblRiderCF[[#This Row],[UnroundedPrem]]*AK$10,-3)</f>
        <v>#N/A</v>
      </c>
      <c r="AL99" t="e">
        <f ca="1">ROUND(tblRiderCF[[#This Row],[UnroundedPremLoad]]*AL$10,-3)</f>
        <v>#N/A</v>
      </c>
      <c r="AM99" t="e">
        <f ca="1">ROUND(tblRiderCF[[#This Row],[UnroundedPMLoad]]*AM$10,-3)</f>
        <v>#N/A</v>
      </c>
      <c r="AN99" t="e">
        <f ca="1">tblRiderCF[[#This Row],[MonthlyPremLoad]]+tblRiderCF[[#This Row],[MonthlyPMLoad]]</f>
        <v>#N/A</v>
      </c>
      <c r="AO99" t="e">
        <f ca="1">tblRiderCF[[#This Row],[MonthlyPrem]]+tblRiderCF[[#This Row],[MonthlyLoad]]</f>
        <v>#N/A</v>
      </c>
      <c r="AS99">
        <f t="shared" si="9"/>
        <v>0</v>
      </c>
      <c r="AT99">
        <f t="shared" si="10"/>
        <v>0</v>
      </c>
      <c r="AU99">
        <f ca="1">tblRiderCF[[#This Row],[Year]]</f>
        <v>86</v>
      </c>
      <c r="AV99" t="e">
        <f ca="1">tblRiderCF[[#This Row],[Age]]</f>
        <v>#N/A</v>
      </c>
      <c r="AW99">
        <f t="shared" si="11"/>
        <v>0</v>
      </c>
      <c r="AX99" t="e">
        <f t="shared" si="12"/>
        <v>#N/A</v>
      </c>
      <c r="AY99">
        <f t="shared" si="13"/>
        <v>0</v>
      </c>
      <c r="AZ99" s="47" t="e">
        <f ca="1">tblRiderCF[[#This Row],[SI]]</f>
        <v>#N/A</v>
      </c>
      <c r="BA99" t="e">
        <f ca="1">tblRiderCF[[#This Row],[TotalPrem]]</f>
        <v>#N/A</v>
      </c>
      <c r="BB99" t="e">
        <f ca="1">tblRiderCF[[#This Row],[SemiAnnualTotalPrem]]</f>
        <v>#N/A</v>
      </c>
      <c r="BC99" t="e">
        <f ca="1">tblRiderCF[[#This Row],[QuarterlyTotalPrem]]</f>
        <v>#N/A</v>
      </c>
      <c r="BD99" t="e">
        <f ca="1">tblRiderCF[[#This Row],[MonthlyTotalPrem]]</f>
        <v>#N/A</v>
      </c>
      <c r="BG99" t="s">
        <v>135</v>
      </c>
      <c r="BH99" t="s">
        <v>188</v>
      </c>
      <c r="BI99">
        <v>12</v>
      </c>
      <c r="BJ99">
        <v>42</v>
      </c>
      <c r="BK99" t="s">
        <v>484</v>
      </c>
      <c r="BL99">
        <v>17</v>
      </c>
      <c r="BM99">
        <v>0</v>
      </c>
      <c r="BN99">
        <v>0</v>
      </c>
      <c r="BO99">
        <v>532000</v>
      </c>
      <c r="BP99">
        <v>282000</v>
      </c>
      <c r="BQ99">
        <v>144000</v>
      </c>
      <c r="BR99">
        <v>48000</v>
      </c>
    </row>
    <row r="100" spans="2:70" x14ac:dyDescent="0.25">
      <c r="B100">
        <f ca="1">OFFSET(tblRiderCF[[#This Row],[Year]],-1,0)+1</f>
        <v>87</v>
      </c>
      <c r="C100" t="e">
        <f ca="1">(tblRiderCF[[#This Row],[Year]]&lt;=term)*1</f>
        <v>#N/A</v>
      </c>
      <c r="D100" t="e">
        <f ca="1">(entry_age+tblRiderCF[[#This Row],[Year]]-1)
*tblRiderCF[[#This Row],[RiderTermFlag]]</f>
        <v>#N/A</v>
      </c>
      <c r="E100" t="e">
        <f ca="1">(risk="Sub-standard")
*tblRiderCF[[#This Row],[RiderTermFlag]]</f>
        <v>#N/A</v>
      </c>
      <c r="F100" t="e">
        <f ca="1">(tblRiderCF[[#This Row],[Year]]&lt;=prem_load_term)
*tblRiderCF[[#This Row],[SubStandardFlag]]</f>
        <v>#N/A</v>
      </c>
      <c r="G100" t="e">
        <f ca="1">(tblRiderCF[[#This Row],[Year]]&lt;=pm_load_term)
*tblRiderCF[[#This Row],[SubStandardFlag]]</f>
        <v>#N/A</v>
      </c>
      <c r="H100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0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0" s="150" t="e" cm="1">
        <f t="array" aca="1" ref="J10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0" s="150" t="e">
        <f ca="1">add_rate*tblRiderCF[[#This Row],[SI]]*(rider=K$11)</f>
        <v>#N/A</v>
      </c>
      <c r="L100" s="150" t="e">
        <f ca="1">INDEX(tblPPDRate[Annualized GPR],MATCH(tblRiderCF[[#This Row],[Age]],tblPPDRate[Min age],1))*tblRiderCF[[#This Row],[SI]]
*(rider=L$11)</f>
        <v>#N/A</v>
      </c>
      <c r="M100" s="150" t="e">
        <f ca="1">INDEX(IF(gender="Male",tblCIR1Rate[Male],tblCIR1Rate[Female]),MATCH(tblRiderCF[[#This Row],[Age]],tblCIR1Rate[Age],0))/1000*tblRiderCF[[#This Row],[SI]]
*(rider=M$11)</f>
        <v>#N/A</v>
      </c>
      <c r="N100" s="150" t="e">
        <f ca="1">INDEX(IF(gender="Male",tblCIR2Rate[Male],tblCIR2Rate[Female]),MATCH(tblRiderCF[[#This Row],[Age]],tblCIR2Rate[Age],0))/1000*tblRiderCF[[#This Row],[SI]]
*(rider=N$11)</f>
        <v>#N/A</v>
      </c>
      <c r="O100" s="150" t="e">
        <f>INDEX(tblHOP2Rate[Premium],MATCH(hop2_option,tblHOP2Rate[Option],0))
*(rider=O$11)</f>
        <v>#N/A</v>
      </c>
      <c r="P100" s="150" t="e">
        <f ca="1">INDEX(Tariff!$CC$5:$CS$44,
MATCH(tblRiderCF[[#This Row],[Age]],Tariff!$CB$5:$CB$44,0),
MATCH(term+1-tblRiderCF[[#This Row],[Year]],Tariff!$CC$4:$CS$4,0))
*(rider=P$11)</f>
        <v>#N/A</v>
      </c>
      <c r="Q100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0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0" s="150" t="e">
        <f ca="1">INDEX(tblRiderCF[[#This Row],[ADD1UnroundedPrem]:[WOP2UnroundedPrem]],MATCH(rider,$K$11:$R$11,0))
*tblRiderCF[[#This Row],[RiderTermFlag]]</f>
        <v>#N/A</v>
      </c>
      <c r="T100" s="150" t="e">
        <f ca="1">tblRiderCF[[#This Row],[UnroundedPrem]]*prem_load</f>
        <v>#N/A</v>
      </c>
      <c r="U100" s="150" t="e">
        <f ca="1">pm_load/1000*tblRiderCF[[#This Row],[SI]]
*tblRiderCF[[#This Row],[RiderTermFlag]]</f>
        <v>#N/A</v>
      </c>
      <c r="V100" s="151" t="e">
        <f ca="1">ROUND(tblRiderCF[[#This Row],[UnroundedPrem]]*V$10,-3)</f>
        <v>#N/A</v>
      </c>
      <c r="W100" t="e">
        <f ca="1">ROUND(tblRiderCF[[#This Row],[UnroundedPremLoad]]*W$10,-3)</f>
        <v>#N/A</v>
      </c>
      <c r="X100" t="e">
        <f ca="1">ROUND(tblRiderCF[[#This Row],[UnroundedPMLoad]]*X$10,-3)</f>
        <v>#N/A</v>
      </c>
      <c r="Y100" t="e">
        <f ca="1">tblRiderCF[[#This Row],[PremLoad]]+tblRiderCF[[#This Row],[PMLoad]]</f>
        <v>#N/A</v>
      </c>
      <c r="Z100" t="e">
        <f ca="1">tblRiderCF[[#This Row],[Prem]]+tblRiderCF[[#This Row],[Load]]</f>
        <v>#N/A</v>
      </c>
      <c r="AA100" t="e">
        <f ca="1">ROUND(tblRiderCF[[#This Row],[UnroundedPrem]]*AA$10,-3)</f>
        <v>#N/A</v>
      </c>
      <c r="AB100" t="e">
        <f ca="1">ROUND(tblRiderCF[[#This Row],[UnroundedPremLoad]]*AB$10,-3)</f>
        <v>#N/A</v>
      </c>
      <c r="AC100" t="e">
        <f ca="1">ROUND(tblRiderCF[[#This Row],[UnroundedPMLoad]]*AC$10,-3)</f>
        <v>#N/A</v>
      </c>
      <c r="AD100" t="e">
        <f ca="1">tblRiderCF[[#This Row],[SemiAnnualPremLoad]]+tblRiderCF[[#This Row],[SemiAnnualPMLoad]]</f>
        <v>#N/A</v>
      </c>
      <c r="AE100" t="e">
        <f ca="1">tblRiderCF[[#This Row],[SemiAnnualPrem]]+tblRiderCF[[#This Row],[SemiAnnualLoad]]</f>
        <v>#N/A</v>
      </c>
      <c r="AF100" t="e">
        <f ca="1">ROUND(tblRiderCF[[#This Row],[UnroundedPrem]]*AF$10,-3)</f>
        <v>#N/A</v>
      </c>
      <c r="AG100" t="e">
        <f ca="1">ROUND(tblRiderCF[[#This Row],[UnroundedPremLoad]]*AG$10,-3)</f>
        <v>#N/A</v>
      </c>
      <c r="AH100" t="e">
        <f ca="1">ROUND(tblRiderCF[[#This Row],[UnroundedPMLoad]]*AH$10,-3)</f>
        <v>#N/A</v>
      </c>
      <c r="AI100" t="e">
        <f ca="1">tblRiderCF[[#This Row],[QuarterlyPremLoad]]+tblRiderCF[[#This Row],[QuarterlyPMLoad]]</f>
        <v>#N/A</v>
      </c>
      <c r="AJ100" t="e">
        <f ca="1">tblRiderCF[[#This Row],[QuarterlyPrem]]+tblRiderCF[[#This Row],[QuarterlyLoad]]</f>
        <v>#N/A</v>
      </c>
      <c r="AK100" t="e">
        <f ca="1">ROUND(tblRiderCF[[#This Row],[UnroundedPrem]]*AK$10,-3)</f>
        <v>#N/A</v>
      </c>
      <c r="AL100" t="e">
        <f ca="1">ROUND(tblRiderCF[[#This Row],[UnroundedPremLoad]]*AL$10,-3)</f>
        <v>#N/A</v>
      </c>
      <c r="AM100" t="e">
        <f ca="1">ROUND(tblRiderCF[[#This Row],[UnroundedPMLoad]]*AM$10,-3)</f>
        <v>#N/A</v>
      </c>
      <c r="AN100" t="e">
        <f ca="1">tblRiderCF[[#This Row],[MonthlyPremLoad]]+tblRiderCF[[#This Row],[MonthlyPMLoad]]</f>
        <v>#N/A</v>
      </c>
      <c r="AO100" t="e">
        <f ca="1">tblRiderCF[[#This Row],[MonthlyPrem]]+tblRiderCF[[#This Row],[MonthlyLoad]]</f>
        <v>#N/A</v>
      </c>
      <c r="AS100">
        <f t="shared" si="9"/>
        <v>0</v>
      </c>
      <c r="AT100">
        <f t="shared" si="10"/>
        <v>0</v>
      </c>
      <c r="AU100">
        <f ca="1">tblRiderCF[[#This Row],[Year]]</f>
        <v>87</v>
      </c>
      <c r="AV100" t="e">
        <f ca="1">tblRiderCF[[#This Row],[Age]]</f>
        <v>#N/A</v>
      </c>
      <c r="AW100">
        <f t="shared" si="11"/>
        <v>0</v>
      </c>
      <c r="AX100" t="e">
        <f t="shared" si="12"/>
        <v>#N/A</v>
      </c>
      <c r="AY100">
        <f t="shared" si="13"/>
        <v>0</v>
      </c>
      <c r="AZ100" s="47" t="e">
        <f ca="1">tblRiderCF[[#This Row],[SI]]</f>
        <v>#N/A</v>
      </c>
      <c r="BA100" t="e">
        <f ca="1">tblRiderCF[[#This Row],[TotalPrem]]</f>
        <v>#N/A</v>
      </c>
      <c r="BB100" t="e">
        <f ca="1">tblRiderCF[[#This Row],[SemiAnnualTotalPrem]]</f>
        <v>#N/A</v>
      </c>
      <c r="BC100" t="e">
        <f ca="1">tblRiderCF[[#This Row],[QuarterlyTotalPrem]]</f>
        <v>#N/A</v>
      </c>
      <c r="BD100" t="e">
        <f ca="1">tblRiderCF[[#This Row],[MonthlyTotalPrem]]</f>
        <v>#N/A</v>
      </c>
      <c r="BG100" t="s">
        <v>135</v>
      </c>
      <c r="BH100" t="s">
        <v>188</v>
      </c>
      <c r="BI100">
        <v>13</v>
      </c>
      <c r="BJ100">
        <v>43</v>
      </c>
      <c r="BK100" t="s">
        <v>484</v>
      </c>
      <c r="BL100">
        <v>17</v>
      </c>
      <c r="BM100">
        <v>0</v>
      </c>
      <c r="BN100">
        <v>0</v>
      </c>
      <c r="BO100">
        <v>490000</v>
      </c>
      <c r="BP100">
        <v>259000</v>
      </c>
      <c r="BQ100">
        <v>133000</v>
      </c>
      <c r="BR100">
        <v>44000</v>
      </c>
    </row>
    <row r="101" spans="2:70" x14ac:dyDescent="0.25">
      <c r="B101">
        <f ca="1">OFFSET(tblRiderCF[[#This Row],[Year]],-1,0)+1</f>
        <v>88</v>
      </c>
      <c r="C101" t="e">
        <f ca="1">(tblRiderCF[[#This Row],[Year]]&lt;=term)*1</f>
        <v>#N/A</v>
      </c>
      <c r="D101" t="e">
        <f ca="1">(entry_age+tblRiderCF[[#This Row],[Year]]-1)
*tblRiderCF[[#This Row],[RiderTermFlag]]</f>
        <v>#N/A</v>
      </c>
      <c r="E101" t="e">
        <f ca="1">(risk="Sub-standard")
*tblRiderCF[[#This Row],[RiderTermFlag]]</f>
        <v>#N/A</v>
      </c>
      <c r="F101" t="e">
        <f ca="1">(tblRiderCF[[#This Row],[Year]]&lt;=prem_load_term)
*tblRiderCF[[#This Row],[SubStandardFlag]]</f>
        <v>#N/A</v>
      </c>
      <c r="G101" t="e">
        <f ca="1">(tblRiderCF[[#This Row],[Year]]&lt;=pm_load_term)
*tblRiderCF[[#This Row],[SubStandardFlag]]</f>
        <v>#N/A</v>
      </c>
      <c r="H101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1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1" s="150" t="e" cm="1">
        <f t="array" aca="1" ref="J10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1" s="150" t="e">
        <f ca="1">add_rate*tblRiderCF[[#This Row],[SI]]*(rider=K$11)</f>
        <v>#N/A</v>
      </c>
      <c r="L101" s="150" t="e">
        <f ca="1">INDEX(tblPPDRate[Annualized GPR],MATCH(tblRiderCF[[#This Row],[Age]],tblPPDRate[Min age],1))*tblRiderCF[[#This Row],[SI]]
*(rider=L$11)</f>
        <v>#N/A</v>
      </c>
      <c r="M101" s="150" t="e">
        <f ca="1">INDEX(IF(gender="Male",tblCIR1Rate[Male],tblCIR1Rate[Female]),MATCH(tblRiderCF[[#This Row],[Age]],tblCIR1Rate[Age],0))/1000*tblRiderCF[[#This Row],[SI]]
*(rider=M$11)</f>
        <v>#N/A</v>
      </c>
      <c r="N101" s="150" t="e">
        <f ca="1">INDEX(IF(gender="Male",tblCIR2Rate[Male],tblCIR2Rate[Female]),MATCH(tblRiderCF[[#This Row],[Age]],tblCIR2Rate[Age],0))/1000*tblRiderCF[[#This Row],[SI]]
*(rider=N$11)</f>
        <v>#N/A</v>
      </c>
      <c r="O101" s="150" t="e">
        <f>INDEX(tblHOP2Rate[Premium],MATCH(hop2_option,tblHOP2Rate[Option],0))
*(rider=O$11)</f>
        <v>#N/A</v>
      </c>
      <c r="P101" s="150" t="e">
        <f ca="1">INDEX(Tariff!$CC$5:$CS$44,
MATCH(tblRiderCF[[#This Row],[Age]],Tariff!$CB$5:$CB$44,0),
MATCH(term+1-tblRiderCF[[#This Row],[Year]],Tariff!$CC$4:$CS$4,0))
*(rider=P$11)</f>
        <v>#N/A</v>
      </c>
      <c r="Q101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1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1" s="150" t="e">
        <f ca="1">INDEX(tblRiderCF[[#This Row],[ADD1UnroundedPrem]:[WOP2UnroundedPrem]],MATCH(rider,$K$11:$R$11,0))
*tblRiderCF[[#This Row],[RiderTermFlag]]</f>
        <v>#N/A</v>
      </c>
      <c r="T101" s="150" t="e">
        <f ca="1">tblRiderCF[[#This Row],[UnroundedPrem]]*prem_load</f>
        <v>#N/A</v>
      </c>
      <c r="U101" s="150" t="e">
        <f ca="1">pm_load/1000*tblRiderCF[[#This Row],[SI]]
*tblRiderCF[[#This Row],[RiderTermFlag]]</f>
        <v>#N/A</v>
      </c>
      <c r="V101" s="151" t="e">
        <f ca="1">ROUND(tblRiderCF[[#This Row],[UnroundedPrem]]*V$10,-3)</f>
        <v>#N/A</v>
      </c>
      <c r="W101" t="e">
        <f ca="1">ROUND(tblRiderCF[[#This Row],[UnroundedPremLoad]]*W$10,-3)</f>
        <v>#N/A</v>
      </c>
      <c r="X101" t="e">
        <f ca="1">ROUND(tblRiderCF[[#This Row],[UnroundedPMLoad]]*X$10,-3)</f>
        <v>#N/A</v>
      </c>
      <c r="Y101" t="e">
        <f ca="1">tblRiderCF[[#This Row],[PremLoad]]+tblRiderCF[[#This Row],[PMLoad]]</f>
        <v>#N/A</v>
      </c>
      <c r="Z101" t="e">
        <f ca="1">tblRiderCF[[#This Row],[Prem]]+tblRiderCF[[#This Row],[Load]]</f>
        <v>#N/A</v>
      </c>
      <c r="AA101" t="e">
        <f ca="1">ROUND(tblRiderCF[[#This Row],[UnroundedPrem]]*AA$10,-3)</f>
        <v>#N/A</v>
      </c>
      <c r="AB101" t="e">
        <f ca="1">ROUND(tblRiderCF[[#This Row],[UnroundedPremLoad]]*AB$10,-3)</f>
        <v>#N/A</v>
      </c>
      <c r="AC101" t="e">
        <f ca="1">ROUND(tblRiderCF[[#This Row],[UnroundedPMLoad]]*AC$10,-3)</f>
        <v>#N/A</v>
      </c>
      <c r="AD101" t="e">
        <f ca="1">tblRiderCF[[#This Row],[SemiAnnualPremLoad]]+tblRiderCF[[#This Row],[SemiAnnualPMLoad]]</f>
        <v>#N/A</v>
      </c>
      <c r="AE101" t="e">
        <f ca="1">tblRiderCF[[#This Row],[SemiAnnualPrem]]+tblRiderCF[[#This Row],[SemiAnnualLoad]]</f>
        <v>#N/A</v>
      </c>
      <c r="AF101" t="e">
        <f ca="1">ROUND(tblRiderCF[[#This Row],[UnroundedPrem]]*AF$10,-3)</f>
        <v>#N/A</v>
      </c>
      <c r="AG101" t="e">
        <f ca="1">ROUND(tblRiderCF[[#This Row],[UnroundedPremLoad]]*AG$10,-3)</f>
        <v>#N/A</v>
      </c>
      <c r="AH101" t="e">
        <f ca="1">ROUND(tblRiderCF[[#This Row],[UnroundedPMLoad]]*AH$10,-3)</f>
        <v>#N/A</v>
      </c>
      <c r="AI101" t="e">
        <f ca="1">tblRiderCF[[#This Row],[QuarterlyPremLoad]]+tblRiderCF[[#This Row],[QuarterlyPMLoad]]</f>
        <v>#N/A</v>
      </c>
      <c r="AJ101" t="e">
        <f ca="1">tblRiderCF[[#This Row],[QuarterlyPrem]]+tblRiderCF[[#This Row],[QuarterlyLoad]]</f>
        <v>#N/A</v>
      </c>
      <c r="AK101" t="e">
        <f ca="1">ROUND(tblRiderCF[[#This Row],[UnroundedPrem]]*AK$10,-3)</f>
        <v>#N/A</v>
      </c>
      <c r="AL101" t="e">
        <f ca="1">ROUND(tblRiderCF[[#This Row],[UnroundedPremLoad]]*AL$10,-3)</f>
        <v>#N/A</v>
      </c>
      <c r="AM101" t="e">
        <f ca="1">ROUND(tblRiderCF[[#This Row],[UnroundedPMLoad]]*AM$10,-3)</f>
        <v>#N/A</v>
      </c>
      <c r="AN101" t="e">
        <f ca="1">tblRiderCF[[#This Row],[MonthlyPremLoad]]+tblRiderCF[[#This Row],[MonthlyPMLoad]]</f>
        <v>#N/A</v>
      </c>
      <c r="AO101" t="e">
        <f ca="1">tblRiderCF[[#This Row],[MonthlyPrem]]+tblRiderCF[[#This Row],[MonthlyLoad]]</f>
        <v>#N/A</v>
      </c>
      <c r="AS101">
        <f t="shared" si="9"/>
        <v>0</v>
      </c>
      <c r="AT101">
        <f t="shared" si="10"/>
        <v>0</v>
      </c>
      <c r="AU101">
        <f ca="1">tblRiderCF[[#This Row],[Year]]</f>
        <v>88</v>
      </c>
      <c r="AV101" t="e">
        <f ca="1">tblRiderCF[[#This Row],[Age]]</f>
        <v>#N/A</v>
      </c>
      <c r="AW101">
        <f t="shared" si="11"/>
        <v>0</v>
      </c>
      <c r="AX101" t="e">
        <f t="shared" si="12"/>
        <v>#N/A</v>
      </c>
      <c r="AY101">
        <f t="shared" si="13"/>
        <v>0</v>
      </c>
      <c r="AZ101" s="47" t="e">
        <f ca="1">tblRiderCF[[#This Row],[SI]]</f>
        <v>#N/A</v>
      </c>
      <c r="BA101" t="e">
        <f ca="1">tblRiderCF[[#This Row],[TotalPrem]]</f>
        <v>#N/A</v>
      </c>
      <c r="BB101" t="e">
        <f ca="1">tblRiderCF[[#This Row],[SemiAnnualTotalPrem]]</f>
        <v>#N/A</v>
      </c>
      <c r="BC101" t="e">
        <f ca="1">tblRiderCF[[#This Row],[QuarterlyTotalPrem]]</f>
        <v>#N/A</v>
      </c>
      <c r="BD101" t="e">
        <f ca="1">tblRiderCF[[#This Row],[MonthlyTotalPrem]]</f>
        <v>#N/A</v>
      </c>
      <c r="BG101" t="s">
        <v>135</v>
      </c>
      <c r="BH101" t="s">
        <v>188</v>
      </c>
      <c r="BI101">
        <v>14</v>
      </c>
      <c r="BJ101">
        <v>44</v>
      </c>
      <c r="BK101" t="s">
        <v>484</v>
      </c>
      <c r="BL101">
        <v>17</v>
      </c>
      <c r="BM101">
        <v>0</v>
      </c>
      <c r="BN101">
        <v>0</v>
      </c>
      <c r="BO101">
        <v>431000</v>
      </c>
      <c r="BP101">
        <v>228000</v>
      </c>
      <c r="BQ101">
        <v>116000</v>
      </c>
      <c r="BR101">
        <v>39000</v>
      </c>
    </row>
    <row r="102" spans="2:70" x14ac:dyDescent="0.25">
      <c r="B102">
        <f ca="1">OFFSET(tblRiderCF[[#This Row],[Year]],-1,0)+1</f>
        <v>89</v>
      </c>
      <c r="C102" t="e">
        <f ca="1">(tblRiderCF[[#This Row],[Year]]&lt;=term)*1</f>
        <v>#N/A</v>
      </c>
      <c r="D102" t="e">
        <f ca="1">(entry_age+tblRiderCF[[#This Row],[Year]]-1)
*tblRiderCF[[#This Row],[RiderTermFlag]]</f>
        <v>#N/A</v>
      </c>
      <c r="E102" t="e">
        <f ca="1">(risk="Sub-standard")
*tblRiderCF[[#This Row],[RiderTermFlag]]</f>
        <v>#N/A</v>
      </c>
      <c r="F102" t="e">
        <f ca="1">(tblRiderCF[[#This Row],[Year]]&lt;=prem_load_term)
*tblRiderCF[[#This Row],[SubStandardFlag]]</f>
        <v>#N/A</v>
      </c>
      <c r="G102" t="e">
        <f ca="1">(tblRiderCF[[#This Row],[Year]]&lt;=pm_load_term)
*tblRiderCF[[#This Row],[SubStandardFlag]]</f>
        <v>#N/A</v>
      </c>
      <c r="H102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2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2" s="150" t="e" cm="1">
        <f t="array" aca="1" ref="J10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2" s="150" t="e">
        <f ca="1">add_rate*tblRiderCF[[#This Row],[SI]]*(rider=K$11)</f>
        <v>#N/A</v>
      </c>
      <c r="L102" s="150" t="e">
        <f ca="1">INDEX(tblPPDRate[Annualized GPR],MATCH(tblRiderCF[[#This Row],[Age]],tblPPDRate[Min age],1))*tblRiderCF[[#This Row],[SI]]
*(rider=L$11)</f>
        <v>#N/A</v>
      </c>
      <c r="M102" s="150" t="e">
        <f ca="1">INDEX(IF(gender="Male",tblCIR1Rate[Male],tblCIR1Rate[Female]),MATCH(tblRiderCF[[#This Row],[Age]],tblCIR1Rate[Age],0))/1000*tblRiderCF[[#This Row],[SI]]
*(rider=M$11)</f>
        <v>#N/A</v>
      </c>
      <c r="N102" s="150" t="e">
        <f ca="1">INDEX(IF(gender="Male",tblCIR2Rate[Male],tblCIR2Rate[Female]),MATCH(tblRiderCF[[#This Row],[Age]],tblCIR2Rate[Age],0))/1000*tblRiderCF[[#This Row],[SI]]
*(rider=N$11)</f>
        <v>#N/A</v>
      </c>
      <c r="O102" s="150" t="e">
        <f>INDEX(tblHOP2Rate[Premium],MATCH(hop2_option,tblHOP2Rate[Option],0))
*(rider=O$11)</f>
        <v>#N/A</v>
      </c>
      <c r="P102" s="150" t="e">
        <f ca="1">INDEX(Tariff!$CC$5:$CS$44,
MATCH(tblRiderCF[[#This Row],[Age]],Tariff!$CB$5:$CB$44,0),
MATCH(term+1-tblRiderCF[[#This Row],[Year]],Tariff!$CC$4:$CS$4,0))
*(rider=P$11)</f>
        <v>#N/A</v>
      </c>
      <c r="Q102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2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2" s="150" t="e">
        <f ca="1">INDEX(tblRiderCF[[#This Row],[ADD1UnroundedPrem]:[WOP2UnroundedPrem]],MATCH(rider,$K$11:$R$11,0))
*tblRiderCF[[#This Row],[RiderTermFlag]]</f>
        <v>#N/A</v>
      </c>
      <c r="T102" s="150" t="e">
        <f ca="1">tblRiderCF[[#This Row],[UnroundedPrem]]*prem_load</f>
        <v>#N/A</v>
      </c>
      <c r="U102" s="150" t="e">
        <f ca="1">pm_load/1000*tblRiderCF[[#This Row],[SI]]
*tblRiderCF[[#This Row],[RiderTermFlag]]</f>
        <v>#N/A</v>
      </c>
      <c r="V102" s="151" t="e">
        <f ca="1">ROUND(tblRiderCF[[#This Row],[UnroundedPrem]]*V$10,-3)</f>
        <v>#N/A</v>
      </c>
      <c r="W102" t="e">
        <f ca="1">ROUND(tblRiderCF[[#This Row],[UnroundedPremLoad]]*W$10,-3)</f>
        <v>#N/A</v>
      </c>
      <c r="X102" t="e">
        <f ca="1">ROUND(tblRiderCF[[#This Row],[UnroundedPMLoad]]*X$10,-3)</f>
        <v>#N/A</v>
      </c>
      <c r="Y102" t="e">
        <f ca="1">tblRiderCF[[#This Row],[PremLoad]]+tblRiderCF[[#This Row],[PMLoad]]</f>
        <v>#N/A</v>
      </c>
      <c r="Z102" t="e">
        <f ca="1">tblRiderCF[[#This Row],[Prem]]+tblRiderCF[[#This Row],[Load]]</f>
        <v>#N/A</v>
      </c>
      <c r="AA102" t="e">
        <f ca="1">ROUND(tblRiderCF[[#This Row],[UnroundedPrem]]*AA$10,-3)</f>
        <v>#N/A</v>
      </c>
      <c r="AB102" t="e">
        <f ca="1">ROUND(tblRiderCF[[#This Row],[UnroundedPremLoad]]*AB$10,-3)</f>
        <v>#N/A</v>
      </c>
      <c r="AC102" t="e">
        <f ca="1">ROUND(tblRiderCF[[#This Row],[UnroundedPMLoad]]*AC$10,-3)</f>
        <v>#N/A</v>
      </c>
      <c r="AD102" t="e">
        <f ca="1">tblRiderCF[[#This Row],[SemiAnnualPremLoad]]+tblRiderCF[[#This Row],[SemiAnnualPMLoad]]</f>
        <v>#N/A</v>
      </c>
      <c r="AE102" t="e">
        <f ca="1">tblRiderCF[[#This Row],[SemiAnnualPrem]]+tblRiderCF[[#This Row],[SemiAnnualLoad]]</f>
        <v>#N/A</v>
      </c>
      <c r="AF102" t="e">
        <f ca="1">ROUND(tblRiderCF[[#This Row],[UnroundedPrem]]*AF$10,-3)</f>
        <v>#N/A</v>
      </c>
      <c r="AG102" t="e">
        <f ca="1">ROUND(tblRiderCF[[#This Row],[UnroundedPremLoad]]*AG$10,-3)</f>
        <v>#N/A</v>
      </c>
      <c r="AH102" t="e">
        <f ca="1">ROUND(tblRiderCF[[#This Row],[UnroundedPMLoad]]*AH$10,-3)</f>
        <v>#N/A</v>
      </c>
      <c r="AI102" t="e">
        <f ca="1">tblRiderCF[[#This Row],[QuarterlyPremLoad]]+tblRiderCF[[#This Row],[QuarterlyPMLoad]]</f>
        <v>#N/A</v>
      </c>
      <c r="AJ102" t="e">
        <f ca="1">tblRiderCF[[#This Row],[QuarterlyPrem]]+tblRiderCF[[#This Row],[QuarterlyLoad]]</f>
        <v>#N/A</v>
      </c>
      <c r="AK102" t="e">
        <f ca="1">ROUND(tblRiderCF[[#This Row],[UnroundedPrem]]*AK$10,-3)</f>
        <v>#N/A</v>
      </c>
      <c r="AL102" t="e">
        <f ca="1">ROUND(tblRiderCF[[#This Row],[UnroundedPremLoad]]*AL$10,-3)</f>
        <v>#N/A</v>
      </c>
      <c r="AM102" t="e">
        <f ca="1">ROUND(tblRiderCF[[#This Row],[UnroundedPMLoad]]*AM$10,-3)</f>
        <v>#N/A</v>
      </c>
      <c r="AN102" t="e">
        <f ca="1">tblRiderCF[[#This Row],[MonthlyPremLoad]]+tblRiderCF[[#This Row],[MonthlyPMLoad]]</f>
        <v>#N/A</v>
      </c>
      <c r="AO102" t="e">
        <f ca="1">tblRiderCF[[#This Row],[MonthlyPrem]]+tblRiderCF[[#This Row],[MonthlyLoad]]</f>
        <v>#N/A</v>
      </c>
      <c r="AS102">
        <f t="shared" si="9"/>
        <v>0</v>
      </c>
      <c r="AT102">
        <f t="shared" si="10"/>
        <v>0</v>
      </c>
      <c r="AU102">
        <f ca="1">tblRiderCF[[#This Row],[Year]]</f>
        <v>89</v>
      </c>
      <c r="AV102" t="e">
        <f ca="1">tblRiderCF[[#This Row],[Age]]</f>
        <v>#N/A</v>
      </c>
      <c r="AW102">
        <f t="shared" si="11"/>
        <v>0</v>
      </c>
      <c r="AX102" t="e">
        <f t="shared" si="12"/>
        <v>#N/A</v>
      </c>
      <c r="AY102">
        <f t="shared" si="13"/>
        <v>0</v>
      </c>
      <c r="AZ102" s="47" t="e">
        <f ca="1">tblRiderCF[[#This Row],[SI]]</f>
        <v>#N/A</v>
      </c>
      <c r="BA102" t="e">
        <f ca="1">tblRiderCF[[#This Row],[TotalPrem]]</f>
        <v>#N/A</v>
      </c>
      <c r="BB102" t="e">
        <f ca="1">tblRiderCF[[#This Row],[SemiAnnualTotalPrem]]</f>
        <v>#N/A</v>
      </c>
      <c r="BC102" t="e">
        <f ca="1">tblRiderCF[[#This Row],[QuarterlyTotalPrem]]</f>
        <v>#N/A</v>
      </c>
      <c r="BD102" t="e">
        <f ca="1">tblRiderCF[[#This Row],[MonthlyTotalPrem]]</f>
        <v>#N/A</v>
      </c>
      <c r="BG102" t="s">
        <v>135</v>
      </c>
      <c r="BH102" t="s">
        <v>188</v>
      </c>
      <c r="BI102">
        <v>15</v>
      </c>
      <c r="BJ102">
        <v>45</v>
      </c>
      <c r="BK102" t="s">
        <v>484</v>
      </c>
      <c r="BL102">
        <v>17</v>
      </c>
      <c r="BM102">
        <v>0</v>
      </c>
      <c r="BN102">
        <v>0</v>
      </c>
      <c r="BO102">
        <v>358000</v>
      </c>
      <c r="BP102">
        <v>189000</v>
      </c>
      <c r="BQ102">
        <v>96000</v>
      </c>
      <c r="BR102">
        <v>32000</v>
      </c>
    </row>
    <row r="103" spans="2:70" x14ac:dyDescent="0.25">
      <c r="B103">
        <f ca="1">OFFSET(tblRiderCF[[#This Row],[Year]],-1,0)+1</f>
        <v>90</v>
      </c>
      <c r="C103" t="e">
        <f ca="1">(tblRiderCF[[#This Row],[Year]]&lt;=term)*1</f>
        <v>#N/A</v>
      </c>
      <c r="D103" t="e">
        <f ca="1">(entry_age+tblRiderCF[[#This Row],[Year]]-1)
*tblRiderCF[[#This Row],[RiderTermFlag]]</f>
        <v>#N/A</v>
      </c>
      <c r="E103" t="e">
        <f ca="1">(risk="Sub-standard")
*tblRiderCF[[#This Row],[RiderTermFlag]]</f>
        <v>#N/A</v>
      </c>
      <c r="F103" t="e">
        <f ca="1">(tblRiderCF[[#This Row],[Year]]&lt;=prem_load_term)
*tblRiderCF[[#This Row],[SubStandardFlag]]</f>
        <v>#N/A</v>
      </c>
      <c r="G103" t="e">
        <f ca="1">(tblRiderCF[[#This Row],[Year]]&lt;=pm_load_term)
*tblRiderCF[[#This Row],[SubStandardFlag]]</f>
        <v>#N/A</v>
      </c>
      <c r="H103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3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3" s="150" t="e" cm="1">
        <f t="array" aca="1" ref="J10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3" s="150" t="e">
        <f ca="1">add_rate*tblRiderCF[[#This Row],[SI]]*(rider=K$11)</f>
        <v>#N/A</v>
      </c>
      <c r="L103" s="150" t="e">
        <f ca="1">INDEX(tblPPDRate[Annualized GPR],MATCH(tblRiderCF[[#This Row],[Age]],tblPPDRate[Min age],1))*tblRiderCF[[#This Row],[SI]]
*(rider=L$11)</f>
        <v>#N/A</v>
      </c>
      <c r="M103" s="150" t="e">
        <f ca="1">INDEX(IF(gender="Male",tblCIR1Rate[Male],tblCIR1Rate[Female]),MATCH(tblRiderCF[[#This Row],[Age]],tblCIR1Rate[Age],0))/1000*tblRiderCF[[#This Row],[SI]]
*(rider=M$11)</f>
        <v>#N/A</v>
      </c>
      <c r="N103" s="150" t="e">
        <f ca="1">INDEX(IF(gender="Male",tblCIR2Rate[Male],tblCIR2Rate[Female]),MATCH(tblRiderCF[[#This Row],[Age]],tblCIR2Rate[Age],0))/1000*tblRiderCF[[#This Row],[SI]]
*(rider=N$11)</f>
        <v>#N/A</v>
      </c>
      <c r="O103" s="150" t="e">
        <f>INDEX(tblHOP2Rate[Premium],MATCH(hop2_option,tblHOP2Rate[Option],0))
*(rider=O$11)</f>
        <v>#N/A</v>
      </c>
      <c r="P103" s="150" t="e">
        <f ca="1">INDEX(Tariff!$CC$5:$CS$44,
MATCH(tblRiderCF[[#This Row],[Age]],Tariff!$CB$5:$CB$44,0),
MATCH(term+1-tblRiderCF[[#This Row],[Year]],Tariff!$CC$4:$CS$4,0))
*(rider=P$11)</f>
        <v>#N/A</v>
      </c>
      <c r="Q103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3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3" s="150" t="e">
        <f ca="1">INDEX(tblRiderCF[[#This Row],[ADD1UnroundedPrem]:[WOP2UnroundedPrem]],MATCH(rider,$K$11:$R$11,0))
*tblRiderCF[[#This Row],[RiderTermFlag]]</f>
        <v>#N/A</v>
      </c>
      <c r="T103" s="150" t="e">
        <f ca="1">tblRiderCF[[#This Row],[UnroundedPrem]]*prem_load</f>
        <v>#N/A</v>
      </c>
      <c r="U103" s="150" t="e">
        <f ca="1">pm_load/1000*tblRiderCF[[#This Row],[SI]]
*tblRiderCF[[#This Row],[RiderTermFlag]]</f>
        <v>#N/A</v>
      </c>
      <c r="V103" s="151" t="e">
        <f ca="1">ROUND(tblRiderCF[[#This Row],[UnroundedPrem]]*V$10,-3)</f>
        <v>#N/A</v>
      </c>
      <c r="W103" t="e">
        <f ca="1">ROUND(tblRiderCF[[#This Row],[UnroundedPremLoad]]*W$10,-3)</f>
        <v>#N/A</v>
      </c>
      <c r="X103" t="e">
        <f ca="1">ROUND(tblRiderCF[[#This Row],[UnroundedPMLoad]]*X$10,-3)</f>
        <v>#N/A</v>
      </c>
      <c r="Y103" t="e">
        <f ca="1">tblRiderCF[[#This Row],[PremLoad]]+tblRiderCF[[#This Row],[PMLoad]]</f>
        <v>#N/A</v>
      </c>
      <c r="Z103" t="e">
        <f ca="1">tblRiderCF[[#This Row],[Prem]]+tblRiderCF[[#This Row],[Load]]</f>
        <v>#N/A</v>
      </c>
      <c r="AA103" t="e">
        <f ca="1">ROUND(tblRiderCF[[#This Row],[UnroundedPrem]]*AA$10,-3)</f>
        <v>#N/A</v>
      </c>
      <c r="AB103" t="e">
        <f ca="1">ROUND(tblRiderCF[[#This Row],[UnroundedPremLoad]]*AB$10,-3)</f>
        <v>#N/A</v>
      </c>
      <c r="AC103" t="e">
        <f ca="1">ROUND(tblRiderCF[[#This Row],[UnroundedPMLoad]]*AC$10,-3)</f>
        <v>#N/A</v>
      </c>
      <c r="AD103" t="e">
        <f ca="1">tblRiderCF[[#This Row],[SemiAnnualPremLoad]]+tblRiderCF[[#This Row],[SemiAnnualPMLoad]]</f>
        <v>#N/A</v>
      </c>
      <c r="AE103" t="e">
        <f ca="1">tblRiderCF[[#This Row],[SemiAnnualPrem]]+tblRiderCF[[#This Row],[SemiAnnualLoad]]</f>
        <v>#N/A</v>
      </c>
      <c r="AF103" t="e">
        <f ca="1">ROUND(tblRiderCF[[#This Row],[UnroundedPrem]]*AF$10,-3)</f>
        <v>#N/A</v>
      </c>
      <c r="AG103" t="e">
        <f ca="1">ROUND(tblRiderCF[[#This Row],[UnroundedPremLoad]]*AG$10,-3)</f>
        <v>#N/A</v>
      </c>
      <c r="AH103" t="e">
        <f ca="1">ROUND(tblRiderCF[[#This Row],[UnroundedPMLoad]]*AH$10,-3)</f>
        <v>#N/A</v>
      </c>
      <c r="AI103" t="e">
        <f ca="1">tblRiderCF[[#This Row],[QuarterlyPremLoad]]+tblRiderCF[[#This Row],[QuarterlyPMLoad]]</f>
        <v>#N/A</v>
      </c>
      <c r="AJ103" t="e">
        <f ca="1">tblRiderCF[[#This Row],[QuarterlyPrem]]+tblRiderCF[[#This Row],[QuarterlyLoad]]</f>
        <v>#N/A</v>
      </c>
      <c r="AK103" t="e">
        <f ca="1">ROUND(tblRiderCF[[#This Row],[UnroundedPrem]]*AK$10,-3)</f>
        <v>#N/A</v>
      </c>
      <c r="AL103" t="e">
        <f ca="1">ROUND(tblRiderCF[[#This Row],[UnroundedPremLoad]]*AL$10,-3)</f>
        <v>#N/A</v>
      </c>
      <c r="AM103" t="e">
        <f ca="1">ROUND(tblRiderCF[[#This Row],[UnroundedPMLoad]]*AM$10,-3)</f>
        <v>#N/A</v>
      </c>
      <c r="AN103" t="e">
        <f ca="1">tblRiderCF[[#This Row],[MonthlyPremLoad]]+tblRiderCF[[#This Row],[MonthlyPMLoad]]</f>
        <v>#N/A</v>
      </c>
      <c r="AO103" t="e">
        <f ca="1">tblRiderCF[[#This Row],[MonthlyPrem]]+tblRiderCF[[#This Row],[MonthlyLoad]]</f>
        <v>#N/A</v>
      </c>
      <c r="AS103">
        <f t="shared" si="9"/>
        <v>0</v>
      </c>
      <c r="AT103">
        <f t="shared" si="10"/>
        <v>0</v>
      </c>
      <c r="AU103">
        <f ca="1">tblRiderCF[[#This Row],[Year]]</f>
        <v>90</v>
      </c>
      <c r="AV103" t="e">
        <f ca="1">tblRiderCF[[#This Row],[Age]]</f>
        <v>#N/A</v>
      </c>
      <c r="AW103">
        <f t="shared" si="11"/>
        <v>0</v>
      </c>
      <c r="AX103" t="e">
        <f t="shared" si="12"/>
        <v>#N/A</v>
      </c>
      <c r="AY103">
        <f t="shared" si="13"/>
        <v>0</v>
      </c>
      <c r="AZ103" s="47" t="e">
        <f ca="1">tblRiderCF[[#This Row],[SI]]</f>
        <v>#N/A</v>
      </c>
      <c r="BA103" t="e">
        <f ca="1">tblRiderCF[[#This Row],[TotalPrem]]</f>
        <v>#N/A</v>
      </c>
      <c r="BB103" t="e">
        <f ca="1">tblRiderCF[[#This Row],[SemiAnnualTotalPrem]]</f>
        <v>#N/A</v>
      </c>
      <c r="BC103" t="e">
        <f ca="1">tblRiderCF[[#This Row],[QuarterlyTotalPrem]]</f>
        <v>#N/A</v>
      </c>
      <c r="BD103" t="e">
        <f ca="1">tblRiderCF[[#This Row],[MonthlyTotalPrem]]</f>
        <v>#N/A</v>
      </c>
      <c r="BG103" t="s">
        <v>135</v>
      </c>
      <c r="BH103" t="s">
        <v>188</v>
      </c>
      <c r="BI103">
        <v>16</v>
      </c>
      <c r="BJ103">
        <v>46</v>
      </c>
      <c r="BK103" t="s">
        <v>484</v>
      </c>
      <c r="BL103">
        <v>17</v>
      </c>
      <c r="BM103">
        <v>0</v>
      </c>
      <c r="BN103">
        <v>0</v>
      </c>
      <c r="BO103">
        <v>263000</v>
      </c>
      <c r="BP103">
        <v>140000</v>
      </c>
      <c r="BQ103">
        <v>71000</v>
      </c>
      <c r="BR103">
        <v>24000</v>
      </c>
    </row>
    <row r="104" spans="2:70" x14ac:dyDescent="0.25">
      <c r="B104">
        <f ca="1">OFFSET(tblRiderCF[[#This Row],[Year]],-1,0)+1</f>
        <v>91</v>
      </c>
      <c r="C104" t="e">
        <f ca="1">(tblRiderCF[[#This Row],[Year]]&lt;=term)*1</f>
        <v>#N/A</v>
      </c>
      <c r="D104" t="e">
        <f ca="1">(entry_age+tblRiderCF[[#This Row],[Year]]-1)
*tblRiderCF[[#This Row],[RiderTermFlag]]</f>
        <v>#N/A</v>
      </c>
      <c r="E104" t="e">
        <f ca="1">(risk="Sub-standard")
*tblRiderCF[[#This Row],[RiderTermFlag]]</f>
        <v>#N/A</v>
      </c>
      <c r="F104" t="e">
        <f ca="1">(tblRiderCF[[#This Row],[Year]]&lt;=prem_load_term)
*tblRiderCF[[#This Row],[SubStandardFlag]]</f>
        <v>#N/A</v>
      </c>
      <c r="G104" t="e">
        <f ca="1">(tblRiderCF[[#This Row],[Year]]&lt;=pm_load_term)
*tblRiderCF[[#This Row],[SubStandardFlag]]</f>
        <v>#N/A</v>
      </c>
      <c r="H104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4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4" s="150" t="e" cm="1">
        <f t="array" aca="1" ref="J104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4" s="150" t="e">
        <f ca="1">add_rate*tblRiderCF[[#This Row],[SI]]*(rider=K$11)</f>
        <v>#N/A</v>
      </c>
      <c r="L104" s="150" t="e">
        <f ca="1">INDEX(tblPPDRate[Annualized GPR],MATCH(tblRiderCF[[#This Row],[Age]],tblPPDRate[Min age],1))*tblRiderCF[[#This Row],[SI]]
*(rider=L$11)</f>
        <v>#N/A</v>
      </c>
      <c r="M104" s="150" t="e">
        <f ca="1">INDEX(IF(gender="Male",tblCIR1Rate[Male],tblCIR1Rate[Female]),MATCH(tblRiderCF[[#This Row],[Age]],tblCIR1Rate[Age],0))/1000*tblRiderCF[[#This Row],[SI]]
*(rider=M$11)</f>
        <v>#N/A</v>
      </c>
      <c r="N104" s="150" t="e">
        <f ca="1">INDEX(IF(gender="Male",tblCIR2Rate[Male],tblCIR2Rate[Female]),MATCH(tblRiderCF[[#This Row],[Age]],tblCIR2Rate[Age],0))/1000*tblRiderCF[[#This Row],[SI]]
*(rider=N$11)</f>
        <v>#N/A</v>
      </c>
      <c r="O104" s="150" t="e">
        <f>INDEX(tblHOP2Rate[Premium],MATCH(hop2_option,tblHOP2Rate[Option],0))
*(rider=O$11)</f>
        <v>#N/A</v>
      </c>
      <c r="P104" s="150" t="e">
        <f ca="1">INDEX(Tariff!$CC$5:$CS$44,
MATCH(tblRiderCF[[#This Row],[Age]],Tariff!$CB$5:$CB$44,0),
MATCH(term+1-tblRiderCF[[#This Row],[Year]],Tariff!$CC$4:$CS$4,0))
*(rider=P$11)</f>
        <v>#N/A</v>
      </c>
      <c r="Q104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4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4" s="150" t="e">
        <f ca="1">INDEX(tblRiderCF[[#This Row],[ADD1UnroundedPrem]:[WOP2UnroundedPrem]],MATCH(rider,$K$11:$R$11,0))
*tblRiderCF[[#This Row],[RiderTermFlag]]</f>
        <v>#N/A</v>
      </c>
      <c r="T104" s="150" t="e">
        <f ca="1">tblRiderCF[[#This Row],[UnroundedPrem]]*prem_load</f>
        <v>#N/A</v>
      </c>
      <c r="U104" s="150" t="e">
        <f ca="1">pm_load/1000*tblRiderCF[[#This Row],[SI]]
*tblRiderCF[[#This Row],[RiderTermFlag]]</f>
        <v>#N/A</v>
      </c>
      <c r="V104" s="151" t="e">
        <f ca="1">ROUND(tblRiderCF[[#This Row],[UnroundedPrem]]*V$10,-3)</f>
        <v>#N/A</v>
      </c>
      <c r="W104" t="e">
        <f ca="1">ROUND(tblRiderCF[[#This Row],[UnroundedPremLoad]]*W$10,-3)</f>
        <v>#N/A</v>
      </c>
      <c r="X104" t="e">
        <f ca="1">ROUND(tblRiderCF[[#This Row],[UnroundedPMLoad]]*X$10,-3)</f>
        <v>#N/A</v>
      </c>
      <c r="Y104" t="e">
        <f ca="1">tblRiderCF[[#This Row],[PremLoad]]+tblRiderCF[[#This Row],[PMLoad]]</f>
        <v>#N/A</v>
      </c>
      <c r="Z104" t="e">
        <f ca="1">tblRiderCF[[#This Row],[Prem]]+tblRiderCF[[#This Row],[Load]]</f>
        <v>#N/A</v>
      </c>
      <c r="AA104" t="e">
        <f ca="1">ROUND(tblRiderCF[[#This Row],[UnroundedPrem]]*AA$10,-3)</f>
        <v>#N/A</v>
      </c>
      <c r="AB104" t="e">
        <f ca="1">ROUND(tblRiderCF[[#This Row],[UnroundedPremLoad]]*AB$10,-3)</f>
        <v>#N/A</v>
      </c>
      <c r="AC104" t="e">
        <f ca="1">ROUND(tblRiderCF[[#This Row],[UnroundedPMLoad]]*AC$10,-3)</f>
        <v>#N/A</v>
      </c>
      <c r="AD104" t="e">
        <f ca="1">tblRiderCF[[#This Row],[SemiAnnualPremLoad]]+tblRiderCF[[#This Row],[SemiAnnualPMLoad]]</f>
        <v>#N/A</v>
      </c>
      <c r="AE104" t="e">
        <f ca="1">tblRiderCF[[#This Row],[SemiAnnualPrem]]+tblRiderCF[[#This Row],[SemiAnnualLoad]]</f>
        <v>#N/A</v>
      </c>
      <c r="AF104" t="e">
        <f ca="1">ROUND(tblRiderCF[[#This Row],[UnroundedPrem]]*AF$10,-3)</f>
        <v>#N/A</v>
      </c>
      <c r="AG104" t="e">
        <f ca="1">ROUND(tblRiderCF[[#This Row],[UnroundedPremLoad]]*AG$10,-3)</f>
        <v>#N/A</v>
      </c>
      <c r="AH104" t="e">
        <f ca="1">ROUND(tblRiderCF[[#This Row],[UnroundedPMLoad]]*AH$10,-3)</f>
        <v>#N/A</v>
      </c>
      <c r="AI104" t="e">
        <f ca="1">tblRiderCF[[#This Row],[QuarterlyPremLoad]]+tblRiderCF[[#This Row],[QuarterlyPMLoad]]</f>
        <v>#N/A</v>
      </c>
      <c r="AJ104" t="e">
        <f ca="1">tblRiderCF[[#This Row],[QuarterlyPrem]]+tblRiderCF[[#This Row],[QuarterlyLoad]]</f>
        <v>#N/A</v>
      </c>
      <c r="AK104" t="e">
        <f ca="1">ROUND(tblRiderCF[[#This Row],[UnroundedPrem]]*AK$10,-3)</f>
        <v>#N/A</v>
      </c>
      <c r="AL104" t="e">
        <f ca="1">ROUND(tblRiderCF[[#This Row],[UnroundedPremLoad]]*AL$10,-3)</f>
        <v>#N/A</v>
      </c>
      <c r="AM104" t="e">
        <f ca="1">ROUND(tblRiderCF[[#This Row],[UnroundedPMLoad]]*AM$10,-3)</f>
        <v>#N/A</v>
      </c>
      <c r="AN104" t="e">
        <f ca="1">tblRiderCF[[#This Row],[MonthlyPremLoad]]+tblRiderCF[[#This Row],[MonthlyPMLoad]]</f>
        <v>#N/A</v>
      </c>
      <c r="AO104" t="e">
        <f ca="1">tblRiderCF[[#This Row],[MonthlyPrem]]+tblRiderCF[[#This Row],[MonthlyLoad]]</f>
        <v>#N/A</v>
      </c>
      <c r="AS104">
        <f t="shared" si="9"/>
        <v>0</v>
      </c>
      <c r="AT104">
        <f t="shared" si="10"/>
        <v>0</v>
      </c>
      <c r="AU104">
        <f ca="1">tblRiderCF[[#This Row],[Year]]</f>
        <v>91</v>
      </c>
      <c r="AV104" t="e">
        <f ca="1">tblRiderCF[[#This Row],[Age]]</f>
        <v>#N/A</v>
      </c>
      <c r="AW104">
        <f t="shared" si="11"/>
        <v>0</v>
      </c>
      <c r="AX104" t="e">
        <f t="shared" si="12"/>
        <v>#N/A</v>
      </c>
      <c r="AY104">
        <f t="shared" si="13"/>
        <v>0</v>
      </c>
      <c r="AZ104" s="47" t="e">
        <f ca="1">tblRiderCF[[#This Row],[SI]]</f>
        <v>#N/A</v>
      </c>
      <c r="BA104" t="e">
        <f ca="1">tblRiderCF[[#This Row],[TotalPrem]]</f>
        <v>#N/A</v>
      </c>
      <c r="BB104" t="e">
        <f ca="1">tblRiderCF[[#This Row],[SemiAnnualTotalPrem]]</f>
        <v>#N/A</v>
      </c>
      <c r="BC104" t="e">
        <f ca="1">tblRiderCF[[#This Row],[QuarterlyTotalPrem]]</f>
        <v>#N/A</v>
      </c>
      <c r="BD104" t="e">
        <f ca="1">tblRiderCF[[#This Row],[MonthlyTotalPrem]]</f>
        <v>#N/A</v>
      </c>
      <c r="BG104" t="s">
        <v>135</v>
      </c>
      <c r="BH104" t="s">
        <v>188</v>
      </c>
      <c r="BI104">
        <v>17</v>
      </c>
      <c r="BJ104">
        <v>47</v>
      </c>
      <c r="BK104" t="s">
        <v>484</v>
      </c>
      <c r="BL104">
        <v>17</v>
      </c>
      <c r="BM104">
        <v>0</v>
      </c>
      <c r="BN104">
        <v>0</v>
      </c>
      <c r="BO104">
        <v>144000</v>
      </c>
      <c r="BP104">
        <v>77000</v>
      </c>
      <c r="BQ104">
        <v>39000</v>
      </c>
      <c r="BR104">
        <v>13000</v>
      </c>
    </row>
    <row r="105" spans="2:70" x14ac:dyDescent="0.25">
      <c r="B105">
        <f ca="1">OFFSET(tblRiderCF[[#This Row],[Year]],-1,0)+1</f>
        <v>92</v>
      </c>
      <c r="C105" t="e">
        <f ca="1">(tblRiderCF[[#This Row],[Year]]&lt;=term)*1</f>
        <v>#N/A</v>
      </c>
      <c r="D105" t="e">
        <f ca="1">(entry_age+tblRiderCF[[#This Row],[Year]]-1)
*tblRiderCF[[#This Row],[RiderTermFlag]]</f>
        <v>#N/A</v>
      </c>
      <c r="E105" t="e">
        <f ca="1">(risk="Sub-standard")
*tblRiderCF[[#This Row],[RiderTermFlag]]</f>
        <v>#N/A</v>
      </c>
      <c r="F105" t="e">
        <f ca="1">(tblRiderCF[[#This Row],[Year]]&lt;=prem_load_term)
*tblRiderCF[[#This Row],[SubStandardFlag]]</f>
        <v>#N/A</v>
      </c>
      <c r="G105" t="e">
        <f ca="1">(tblRiderCF[[#This Row],[Year]]&lt;=pm_load_term)
*tblRiderCF[[#This Row],[SubStandardFlag]]</f>
        <v>#N/A</v>
      </c>
      <c r="H105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5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5" s="150" t="e" cm="1">
        <f t="array" aca="1" ref="J105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5" s="150" t="e">
        <f ca="1">add_rate*tblRiderCF[[#This Row],[SI]]*(rider=K$11)</f>
        <v>#N/A</v>
      </c>
      <c r="L105" s="150" t="e">
        <f ca="1">INDEX(tblPPDRate[Annualized GPR],MATCH(tblRiderCF[[#This Row],[Age]],tblPPDRate[Min age],1))*tblRiderCF[[#This Row],[SI]]
*(rider=L$11)</f>
        <v>#N/A</v>
      </c>
      <c r="M105" s="150" t="e">
        <f ca="1">INDEX(IF(gender="Male",tblCIR1Rate[Male],tblCIR1Rate[Female]),MATCH(tblRiderCF[[#This Row],[Age]],tblCIR1Rate[Age],0))/1000*tblRiderCF[[#This Row],[SI]]
*(rider=M$11)</f>
        <v>#N/A</v>
      </c>
      <c r="N105" s="150" t="e">
        <f ca="1">INDEX(IF(gender="Male",tblCIR2Rate[Male],tblCIR2Rate[Female]),MATCH(tblRiderCF[[#This Row],[Age]],tblCIR2Rate[Age],0))/1000*tblRiderCF[[#This Row],[SI]]
*(rider=N$11)</f>
        <v>#N/A</v>
      </c>
      <c r="O105" s="150" t="e">
        <f>INDEX(tblHOP2Rate[Premium],MATCH(hop2_option,tblHOP2Rate[Option],0))
*(rider=O$11)</f>
        <v>#N/A</v>
      </c>
      <c r="P105" s="150" t="e">
        <f ca="1">INDEX(Tariff!$CC$5:$CS$44,
MATCH(tblRiderCF[[#This Row],[Age]],Tariff!$CB$5:$CB$44,0),
MATCH(term+1-tblRiderCF[[#This Row],[Year]],Tariff!$CC$4:$CS$4,0))
*(rider=P$11)</f>
        <v>#N/A</v>
      </c>
      <c r="Q105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5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5" s="150" t="e">
        <f ca="1">INDEX(tblRiderCF[[#This Row],[ADD1UnroundedPrem]:[WOP2UnroundedPrem]],MATCH(rider,$K$11:$R$11,0))
*tblRiderCF[[#This Row],[RiderTermFlag]]</f>
        <v>#N/A</v>
      </c>
      <c r="T105" s="150" t="e">
        <f ca="1">tblRiderCF[[#This Row],[UnroundedPrem]]*prem_load</f>
        <v>#N/A</v>
      </c>
      <c r="U105" s="150" t="e">
        <f ca="1">pm_load/1000*tblRiderCF[[#This Row],[SI]]
*tblRiderCF[[#This Row],[RiderTermFlag]]</f>
        <v>#N/A</v>
      </c>
      <c r="V105" s="151" t="e">
        <f ca="1">ROUND(tblRiderCF[[#This Row],[UnroundedPrem]]*V$10,-3)</f>
        <v>#N/A</v>
      </c>
      <c r="W105" t="e">
        <f ca="1">ROUND(tblRiderCF[[#This Row],[UnroundedPremLoad]]*W$10,-3)</f>
        <v>#N/A</v>
      </c>
      <c r="X105" t="e">
        <f ca="1">ROUND(tblRiderCF[[#This Row],[UnroundedPMLoad]]*X$10,-3)</f>
        <v>#N/A</v>
      </c>
      <c r="Y105" t="e">
        <f ca="1">tblRiderCF[[#This Row],[PremLoad]]+tblRiderCF[[#This Row],[PMLoad]]</f>
        <v>#N/A</v>
      </c>
      <c r="Z105" t="e">
        <f ca="1">tblRiderCF[[#This Row],[Prem]]+tblRiderCF[[#This Row],[Load]]</f>
        <v>#N/A</v>
      </c>
      <c r="AA105" t="e">
        <f ca="1">ROUND(tblRiderCF[[#This Row],[UnroundedPrem]]*AA$10,-3)</f>
        <v>#N/A</v>
      </c>
      <c r="AB105" t="e">
        <f ca="1">ROUND(tblRiderCF[[#This Row],[UnroundedPremLoad]]*AB$10,-3)</f>
        <v>#N/A</v>
      </c>
      <c r="AC105" t="e">
        <f ca="1">ROUND(tblRiderCF[[#This Row],[UnroundedPMLoad]]*AC$10,-3)</f>
        <v>#N/A</v>
      </c>
      <c r="AD105" t="e">
        <f ca="1">tblRiderCF[[#This Row],[SemiAnnualPremLoad]]+tblRiderCF[[#This Row],[SemiAnnualPMLoad]]</f>
        <v>#N/A</v>
      </c>
      <c r="AE105" t="e">
        <f ca="1">tblRiderCF[[#This Row],[SemiAnnualPrem]]+tblRiderCF[[#This Row],[SemiAnnualLoad]]</f>
        <v>#N/A</v>
      </c>
      <c r="AF105" t="e">
        <f ca="1">ROUND(tblRiderCF[[#This Row],[UnroundedPrem]]*AF$10,-3)</f>
        <v>#N/A</v>
      </c>
      <c r="AG105" t="e">
        <f ca="1">ROUND(tblRiderCF[[#This Row],[UnroundedPremLoad]]*AG$10,-3)</f>
        <v>#N/A</v>
      </c>
      <c r="AH105" t="e">
        <f ca="1">ROUND(tblRiderCF[[#This Row],[UnroundedPMLoad]]*AH$10,-3)</f>
        <v>#N/A</v>
      </c>
      <c r="AI105" t="e">
        <f ca="1">tblRiderCF[[#This Row],[QuarterlyPremLoad]]+tblRiderCF[[#This Row],[QuarterlyPMLoad]]</f>
        <v>#N/A</v>
      </c>
      <c r="AJ105" t="e">
        <f ca="1">tblRiderCF[[#This Row],[QuarterlyPrem]]+tblRiderCF[[#This Row],[QuarterlyLoad]]</f>
        <v>#N/A</v>
      </c>
      <c r="AK105" t="e">
        <f ca="1">ROUND(tblRiderCF[[#This Row],[UnroundedPrem]]*AK$10,-3)</f>
        <v>#N/A</v>
      </c>
      <c r="AL105" t="e">
        <f ca="1">ROUND(tblRiderCF[[#This Row],[UnroundedPremLoad]]*AL$10,-3)</f>
        <v>#N/A</v>
      </c>
      <c r="AM105" t="e">
        <f ca="1">ROUND(tblRiderCF[[#This Row],[UnroundedPMLoad]]*AM$10,-3)</f>
        <v>#N/A</v>
      </c>
      <c r="AN105" t="e">
        <f ca="1">tblRiderCF[[#This Row],[MonthlyPremLoad]]+tblRiderCF[[#This Row],[MonthlyPMLoad]]</f>
        <v>#N/A</v>
      </c>
      <c r="AO105" t="e">
        <f ca="1">tblRiderCF[[#This Row],[MonthlyPrem]]+tblRiderCF[[#This Row],[MonthlyLoad]]</f>
        <v>#N/A</v>
      </c>
      <c r="AS105">
        <f t="shared" si="9"/>
        <v>0</v>
      </c>
      <c r="AT105">
        <f t="shared" si="10"/>
        <v>0</v>
      </c>
      <c r="AU105">
        <f ca="1">tblRiderCF[[#This Row],[Year]]</f>
        <v>92</v>
      </c>
      <c r="AV105" t="e">
        <f ca="1">tblRiderCF[[#This Row],[Age]]</f>
        <v>#N/A</v>
      </c>
      <c r="AW105">
        <f t="shared" si="11"/>
        <v>0</v>
      </c>
      <c r="AX105" t="e">
        <f t="shared" si="12"/>
        <v>#N/A</v>
      </c>
      <c r="AY105">
        <f t="shared" si="13"/>
        <v>0</v>
      </c>
      <c r="AZ105" s="47" t="e">
        <f ca="1">tblRiderCF[[#This Row],[SI]]</f>
        <v>#N/A</v>
      </c>
      <c r="BA105" t="e">
        <f ca="1">tblRiderCF[[#This Row],[TotalPrem]]</f>
        <v>#N/A</v>
      </c>
      <c r="BB105" t="e">
        <f ca="1">tblRiderCF[[#This Row],[SemiAnnualTotalPrem]]</f>
        <v>#N/A</v>
      </c>
      <c r="BC105" t="e">
        <f ca="1">tblRiderCF[[#This Row],[QuarterlyTotalPrem]]</f>
        <v>#N/A</v>
      </c>
      <c r="BD105" t="e">
        <f ca="1">tblRiderCF[[#This Row],[MonthlyTotalPrem]]</f>
        <v>#N/A</v>
      </c>
      <c r="BG105" t="s">
        <v>135</v>
      </c>
      <c r="BH105" t="s">
        <v>186</v>
      </c>
      <c r="BI105">
        <v>1</v>
      </c>
      <c r="BJ105">
        <v>0</v>
      </c>
      <c r="BK105" t="s">
        <v>485</v>
      </c>
      <c r="BL105">
        <v>71</v>
      </c>
      <c r="BM105">
        <v>0</v>
      </c>
      <c r="BN105">
        <v>120000000</v>
      </c>
      <c r="BO105">
        <v>537000</v>
      </c>
      <c r="BP105">
        <v>279000</v>
      </c>
      <c r="BQ105">
        <v>142000</v>
      </c>
      <c r="BR105">
        <v>48000</v>
      </c>
    </row>
    <row r="106" spans="2:70" x14ac:dyDescent="0.25">
      <c r="B106">
        <f ca="1">OFFSET(tblRiderCF[[#This Row],[Year]],-1,0)+1</f>
        <v>93</v>
      </c>
      <c r="C106" t="e">
        <f ca="1">(tblRiderCF[[#This Row],[Year]]&lt;=term)*1</f>
        <v>#N/A</v>
      </c>
      <c r="D106" t="e">
        <f ca="1">(entry_age+tblRiderCF[[#This Row],[Year]]-1)
*tblRiderCF[[#This Row],[RiderTermFlag]]</f>
        <v>#N/A</v>
      </c>
      <c r="E106" t="e">
        <f ca="1">(risk="Sub-standard")
*tblRiderCF[[#This Row],[RiderTermFlag]]</f>
        <v>#N/A</v>
      </c>
      <c r="F106" t="e">
        <f ca="1">(tblRiderCF[[#This Row],[Year]]&lt;=prem_load_term)
*tblRiderCF[[#This Row],[SubStandardFlag]]</f>
        <v>#N/A</v>
      </c>
      <c r="G106" t="e">
        <f ca="1">(tblRiderCF[[#This Row],[Year]]&lt;=pm_load_term)
*tblRiderCF[[#This Row],[SubStandardFlag]]</f>
        <v>#N/A</v>
      </c>
      <c r="H106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6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6" s="150" t="e" cm="1">
        <f t="array" aca="1" ref="J106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6" s="150" t="e">
        <f ca="1">add_rate*tblRiderCF[[#This Row],[SI]]*(rider=K$11)</f>
        <v>#N/A</v>
      </c>
      <c r="L106" s="150" t="e">
        <f ca="1">INDEX(tblPPDRate[Annualized GPR],MATCH(tblRiderCF[[#This Row],[Age]],tblPPDRate[Min age],1))*tblRiderCF[[#This Row],[SI]]
*(rider=L$11)</f>
        <v>#N/A</v>
      </c>
      <c r="M106" s="150" t="e">
        <f ca="1">INDEX(IF(gender="Male",tblCIR1Rate[Male],tblCIR1Rate[Female]),MATCH(tblRiderCF[[#This Row],[Age]],tblCIR1Rate[Age],0))/1000*tblRiderCF[[#This Row],[SI]]
*(rider=M$11)</f>
        <v>#N/A</v>
      </c>
      <c r="N106" s="150" t="e">
        <f ca="1">INDEX(IF(gender="Male",tblCIR2Rate[Male],tblCIR2Rate[Female]),MATCH(tblRiderCF[[#This Row],[Age]],tblCIR2Rate[Age],0))/1000*tblRiderCF[[#This Row],[SI]]
*(rider=N$11)</f>
        <v>#N/A</v>
      </c>
      <c r="O106" s="150" t="e">
        <f>INDEX(tblHOP2Rate[Premium],MATCH(hop2_option,tblHOP2Rate[Option],0))
*(rider=O$11)</f>
        <v>#N/A</v>
      </c>
      <c r="P106" s="150" t="e">
        <f ca="1">INDEX(Tariff!$CC$5:$CS$44,
MATCH(tblRiderCF[[#This Row],[Age]],Tariff!$CB$5:$CB$44,0),
MATCH(term+1-tblRiderCF[[#This Row],[Year]],Tariff!$CC$4:$CS$4,0))
*(rider=P$11)</f>
        <v>#N/A</v>
      </c>
      <c r="Q106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6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6" s="150" t="e">
        <f ca="1">INDEX(tblRiderCF[[#This Row],[ADD1UnroundedPrem]:[WOP2UnroundedPrem]],MATCH(rider,$K$11:$R$11,0))
*tblRiderCF[[#This Row],[RiderTermFlag]]</f>
        <v>#N/A</v>
      </c>
      <c r="T106" s="150" t="e">
        <f ca="1">tblRiderCF[[#This Row],[UnroundedPrem]]*prem_load</f>
        <v>#N/A</v>
      </c>
      <c r="U106" s="150" t="e">
        <f ca="1">pm_load/1000*tblRiderCF[[#This Row],[SI]]
*tblRiderCF[[#This Row],[RiderTermFlag]]</f>
        <v>#N/A</v>
      </c>
      <c r="V106" s="151" t="e">
        <f ca="1">ROUND(tblRiderCF[[#This Row],[UnroundedPrem]]*V$10,-3)</f>
        <v>#N/A</v>
      </c>
      <c r="W106" t="e">
        <f ca="1">ROUND(tblRiderCF[[#This Row],[UnroundedPremLoad]]*W$10,-3)</f>
        <v>#N/A</v>
      </c>
      <c r="X106" t="e">
        <f ca="1">ROUND(tblRiderCF[[#This Row],[UnroundedPMLoad]]*X$10,-3)</f>
        <v>#N/A</v>
      </c>
      <c r="Y106" t="e">
        <f ca="1">tblRiderCF[[#This Row],[PremLoad]]+tblRiderCF[[#This Row],[PMLoad]]</f>
        <v>#N/A</v>
      </c>
      <c r="Z106" t="e">
        <f ca="1">tblRiderCF[[#This Row],[Prem]]+tblRiderCF[[#This Row],[Load]]</f>
        <v>#N/A</v>
      </c>
      <c r="AA106" t="e">
        <f ca="1">ROUND(tblRiderCF[[#This Row],[UnroundedPrem]]*AA$10,-3)</f>
        <v>#N/A</v>
      </c>
      <c r="AB106" t="e">
        <f ca="1">ROUND(tblRiderCF[[#This Row],[UnroundedPremLoad]]*AB$10,-3)</f>
        <v>#N/A</v>
      </c>
      <c r="AC106" t="e">
        <f ca="1">ROUND(tblRiderCF[[#This Row],[UnroundedPMLoad]]*AC$10,-3)</f>
        <v>#N/A</v>
      </c>
      <c r="AD106" t="e">
        <f ca="1">tblRiderCF[[#This Row],[SemiAnnualPremLoad]]+tblRiderCF[[#This Row],[SemiAnnualPMLoad]]</f>
        <v>#N/A</v>
      </c>
      <c r="AE106" t="e">
        <f ca="1">tblRiderCF[[#This Row],[SemiAnnualPrem]]+tblRiderCF[[#This Row],[SemiAnnualLoad]]</f>
        <v>#N/A</v>
      </c>
      <c r="AF106" t="e">
        <f ca="1">ROUND(tblRiderCF[[#This Row],[UnroundedPrem]]*AF$10,-3)</f>
        <v>#N/A</v>
      </c>
      <c r="AG106" t="e">
        <f ca="1">ROUND(tblRiderCF[[#This Row],[UnroundedPremLoad]]*AG$10,-3)</f>
        <v>#N/A</v>
      </c>
      <c r="AH106" t="e">
        <f ca="1">ROUND(tblRiderCF[[#This Row],[UnroundedPMLoad]]*AH$10,-3)</f>
        <v>#N/A</v>
      </c>
      <c r="AI106" t="e">
        <f ca="1">tblRiderCF[[#This Row],[QuarterlyPremLoad]]+tblRiderCF[[#This Row],[QuarterlyPMLoad]]</f>
        <v>#N/A</v>
      </c>
      <c r="AJ106" t="e">
        <f ca="1">tblRiderCF[[#This Row],[QuarterlyPrem]]+tblRiderCF[[#This Row],[QuarterlyLoad]]</f>
        <v>#N/A</v>
      </c>
      <c r="AK106" t="e">
        <f ca="1">ROUND(tblRiderCF[[#This Row],[UnroundedPrem]]*AK$10,-3)</f>
        <v>#N/A</v>
      </c>
      <c r="AL106" t="e">
        <f ca="1">ROUND(tblRiderCF[[#This Row],[UnroundedPremLoad]]*AL$10,-3)</f>
        <v>#N/A</v>
      </c>
      <c r="AM106" t="e">
        <f ca="1">ROUND(tblRiderCF[[#This Row],[UnroundedPMLoad]]*AM$10,-3)</f>
        <v>#N/A</v>
      </c>
      <c r="AN106" t="e">
        <f ca="1">tblRiderCF[[#This Row],[MonthlyPremLoad]]+tblRiderCF[[#This Row],[MonthlyPMLoad]]</f>
        <v>#N/A</v>
      </c>
      <c r="AO106" t="e">
        <f ca="1">tblRiderCF[[#This Row],[MonthlyPrem]]+tblRiderCF[[#This Row],[MonthlyLoad]]</f>
        <v>#N/A</v>
      </c>
      <c r="AS106">
        <f t="shared" si="9"/>
        <v>0</v>
      </c>
      <c r="AT106">
        <f t="shared" si="10"/>
        <v>0</v>
      </c>
      <c r="AU106">
        <f ca="1">tblRiderCF[[#This Row],[Year]]</f>
        <v>93</v>
      </c>
      <c r="AV106" t="e">
        <f ca="1">tblRiderCF[[#This Row],[Age]]</f>
        <v>#N/A</v>
      </c>
      <c r="AW106">
        <f t="shared" si="11"/>
        <v>0</v>
      </c>
      <c r="AX106" t="e">
        <f t="shared" si="12"/>
        <v>#N/A</v>
      </c>
      <c r="AY106">
        <f t="shared" si="13"/>
        <v>0</v>
      </c>
      <c r="AZ106" s="47" t="e">
        <f ca="1">tblRiderCF[[#This Row],[SI]]</f>
        <v>#N/A</v>
      </c>
      <c r="BA106" t="e">
        <f ca="1">tblRiderCF[[#This Row],[TotalPrem]]</f>
        <v>#N/A</v>
      </c>
      <c r="BB106" t="e">
        <f ca="1">tblRiderCF[[#This Row],[SemiAnnualTotalPrem]]</f>
        <v>#N/A</v>
      </c>
      <c r="BC106" t="e">
        <f ca="1">tblRiderCF[[#This Row],[QuarterlyTotalPrem]]</f>
        <v>#N/A</v>
      </c>
      <c r="BD106" t="e">
        <f ca="1">tblRiderCF[[#This Row],[MonthlyTotalPrem]]</f>
        <v>#N/A</v>
      </c>
      <c r="BG106" t="s">
        <v>135</v>
      </c>
      <c r="BH106" t="s">
        <v>186</v>
      </c>
      <c r="BI106">
        <v>2</v>
      </c>
      <c r="BJ106">
        <v>1</v>
      </c>
      <c r="BK106" t="s">
        <v>485</v>
      </c>
      <c r="BL106">
        <v>71</v>
      </c>
      <c r="BM106">
        <v>0</v>
      </c>
      <c r="BN106">
        <v>120000000</v>
      </c>
      <c r="BO106">
        <v>537000</v>
      </c>
      <c r="BP106">
        <v>279000</v>
      </c>
      <c r="BQ106">
        <v>142000</v>
      </c>
      <c r="BR106">
        <v>48000</v>
      </c>
    </row>
    <row r="107" spans="2:70" x14ac:dyDescent="0.25">
      <c r="B107">
        <f ca="1">OFFSET(tblRiderCF[[#This Row],[Year]],-1,0)+1</f>
        <v>94</v>
      </c>
      <c r="C107" t="e">
        <f ca="1">(tblRiderCF[[#This Row],[Year]]&lt;=term)*1</f>
        <v>#N/A</v>
      </c>
      <c r="D107" t="e">
        <f ca="1">(entry_age+tblRiderCF[[#This Row],[Year]]-1)
*tblRiderCF[[#This Row],[RiderTermFlag]]</f>
        <v>#N/A</v>
      </c>
      <c r="E107" t="e">
        <f ca="1">(risk="Sub-standard")
*tblRiderCF[[#This Row],[RiderTermFlag]]</f>
        <v>#N/A</v>
      </c>
      <c r="F107" t="e">
        <f ca="1">(tblRiderCF[[#This Row],[Year]]&lt;=prem_load_term)
*tblRiderCF[[#This Row],[SubStandardFlag]]</f>
        <v>#N/A</v>
      </c>
      <c r="G107" t="e">
        <f ca="1">(tblRiderCF[[#This Row],[Year]]&lt;=pm_load_term)
*tblRiderCF[[#This Row],[SubStandardFlag]]</f>
        <v>#N/A</v>
      </c>
      <c r="H107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7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7" s="150" t="e" cm="1">
        <f t="array" aca="1" ref="J107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7" s="150" t="e">
        <f ca="1">add_rate*tblRiderCF[[#This Row],[SI]]*(rider=K$11)</f>
        <v>#N/A</v>
      </c>
      <c r="L107" s="150" t="e">
        <f ca="1">INDEX(tblPPDRate[Annualized GPR],MATCH(tblRiderCF[[#This Row],[Age]],tblPPDRate[Min age],1))*tblRiderCF[[#This Row],[SI]]
*(rider=L$11)</f>
        <v>#N/A</v>
      </c>
      <c r="M107" s="150" t="e">
        <f ca="1">INDEX(IF(gender="Male",tblCIR1Rate[Male],tblCIR1Rate[Female]),MATCH(tblRiderCF[[#This Row],[Age]],tblCIR1Rate[Age],0))/1000*tblRiderCF[[#This Row],[SI]]
*(rider=M$11)</f>
        <v>#N/A</v>
      </c>
      <c r="N107" s="150" t="e">
        <f ca="1">INDEX(IF(gender="Male",tblCIR2Rate[Male],tblCIR2Rate[Female]),MATCH(tblRiderCF[[#This Row],[Age]],tblCIR2Rate[Age],0))/1000*tblRiderCF[[#This Row],[SI]]
*(rider=N$11)</f>
        <v>#N/A</v>
      </c>
      <c r="O107" s="150" t="e">
        <f>INDEX(tblHOP2Rate[Premium],MATCH(hop2_option,tblHOP2Rate[Option],0))
*(rider=O$11)</f>
        <v>#N/A</v>
      </c>
      <c r="P107" s="150" t="e">
        <f ca="1">INDEX(Tariff!$CC$5:$CS$44,
MATCH(tblRiderCF[[#This Row],[Age]],Tariff!$CB$5:$CB$44,0),
MATCH(term+1-tblRiderCF[[#This Row],[Year]],Tariff!$CC$4:$CS$4,0))
*(rider=P$11)</f>
        <v>#N/A</v>
      </c>
      <c r="Q107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7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7" s="150" t="e">
        <f ca="1">INDEX(tblRiderCF[[#This Row],[ADD1UnroundedPrem]:[WOP2UnroundedPrem]],MATCH(rider,$K$11:$R$11,0))
*tblRiderCF[[#This Row],[RiderTermFlag]]</f>
        <v>#N/A</v>
      </c>
      <c r="T107" s="150" t="e">
        <f ca="1">tblRiderCF[[#This Row],[UnroundedPrem]]*prem_load</f>
        <v>#N/A</v>
      </c>
      <c r="U107" s="150" t="e">
        <f ca="1">pm_load/1000*tblRiderCF[[#This Row],[SI]]
*tblRiderCF[[#This Row],[RiderTermFlag]]</f>
        <v>#N/A</v>
      </c>
      <c r="V107" s="151" t="e">
        <f ca="1">ROUND(tblRiderCF[[#This Row],[UnroundedPrem]]*V$10,-3)</f>
        <v>#N/A</v>
      </c>
      <c r="W107" t="e">
        <f ca="1">ROUND(tblRiderCF[[#This Row],[UnroundedPremLoad]]*W$10,-3)</f>
        <v>#N/A</v>
      </c>
      <c r="X107" t="e">
        <f ca="1">ROUND(tblRiderCF[[#This Row],[UnroundedPMLoad]]*X$10,-3)</f>
        <v>#N/A</v>
      </c>
      <c r="Y107" t="e">
        <f ca="1">tblRiderCF[[#This Row],[PremLoad]]+tblRiderCF[[#This Row],[PMLoad]]</f>
        <v>#N/A</v>
      </c>
      <c r="Z107" t="e">
        <f ca="1">tblRiderCF[[#This Row],[Prem]]+tblRiderCF[[#This Row],[Load]]</f>
        <v>#N/A</v>
      </c>
      <c r="AA107" t="e">
        <f ca="1">ROUND(tblRiderCF[[#This Row],[UnroundedPrem]]*AA$10,-3)</f>
        <v>#N/A</v>
      </c>
      <c r="AB107" t="e">
        <f ca="1">ROUND(tblRiderCF[[#This Row],[UnroundedPremLoad]]*AB$10,-3)</f>
        <v>#N/A</v>
      </c>
      <c r="AC107" t="e">
        <f ca="1">ROUND(tblRiderCF[[#This Row],[UnroundedPMLoad]]*AC$10,-3)</f>
        <v>#N/A</v>
      </c>
      <c r="AD107" t="e">
        <f ca="1">tblRiderCF[[#This Row],[SemiAnnualPremLoad]]+tblRiderCF[[#This Row],[SemiAnnualPMLoad]]</f>
        <v>#N/A</v>
      </c>
      <c r="AE107" t="e">
        <f ca="1">tblRiderCF[[#This Row],[SemiAnnualPrem]]+tblRiderCF[[#This Row],[SemiAnnualLoad]]</f>
        <v>#N/A</v>
      </c>
      <c r="AF107" t="e">
        <f ca="1">ROUND(tblRiderCF[[#This Row],[UnroundedPrem]]*AF$10,-3)</f>
        <v>#N/A</v>
      </c>
      <c r="AG107" t="e">
        <f ca="1">ROUND(tblRiderCF[[#This Row],[UnroundedPremLoad]]*AG$10,-3)</f>
        <v>#N/A</v>
      </c>
      <c r="AH107" t="e">
        <f ca="1">ROUND(tblRiderCF[[#This Row],[UnroundedPMLoad]]*AH$10,-3)</f>
        <v>#N/A</v>
      </c>
      <c r="AI107" t="e">
        <f ca="1">tblRiderCF[[#This Row],[QuarterlyPremLoad]]+tblRiderCF[[#This Row],[QuarterlyPMLoad]]</f>
        <v>#N/A</v>
      </c>
      <c r="AJ107" t="e">
        <f ca="1">tblRiderCF[[#This Row],[QuarterlyPrem]]+tblRiderCF[[#This Row],[QuarterlyLoad]]</f>
        <v>#N/A</v>
      </c>
      <c r="AK107" t="e">
        <f ca="1">ROUND(tblRiderCF[[#This Row],[UnroundedPrem]]*AK$10,-3)</f>
        <v>#N/A</v>
      </c>
      <c r="AL107" t="e">
        <f ca="1">ROUND(tblRiderCF[[#This Row],[UnroundedPremLoad]]*AL$10,-3)</f>
        <v>#N/A</v>
      </c>
      <c r="AM107" t="e">
        <f ca="1">ROUND(tblRiderCF[[#This Row],[UnroundedPMLoad]]*AM$10,-3)</f>
        <v>#N/A</v>
      </c>
      <c r="AN107" t="e">
        <f ca="1">tblRiderCF[[#This Row],[MonthlyPremLoad]]+tblRiderCF[[#This Row],[MonthlyPMLoad]]</f>
        <v>#N/A</v>
      </c>
      <c r="AO107" t="e">
        <f ca="1">tblRiderCF[[#This Row],[MonthlyPrem]]+tblRiderCF[[#This Row],[MonthlyLoad]]</f>
        <v>#N/A</v>
      </c>
      <c r="AS107">
        <f t="shared" si="9"/>
        <v>0</v>
      </c>
      <c r="AT107">
        <f t="shared" si="10"/>
        <v>0</v>
      </c>
      <c r="AU107">
        <f ca="1">tblRiderCF[[#This Row],[Year]]</f>
        <v>94</v>
      </c>
      <c r="AV107" t="e">
        <f ca="1">tblRiderCF[[#This Row],[Age]]</f>
        <v>#N/A</v>
      </c>
      <c r="AW107">
        <f t="shared" si="11"/>
        <v>0</v>
      </c>
      <c r="AX107" t="e">
        <f t="shared" si="12"/>
        <v>#N/A</v>
      </c>
      <c r="AY107">
        <f t="shared" si="13"/>
        <v>0</v>
      </c>
      <c r="AZ107" s="47" t="e">
        <f ca="1">tblRiderCF[[#This Row],[SI]]</f>
        <v>#N/A</v>
      </c>
      <c r="BA107" t="e">
        <f ca="1">tblRiderCF[[#This Row],[TotalPrem]]</f>
        <v>#N/A</v>
      </c>
      <c r="BB107" t="e">
        <f ca="1">tblRiderCF[[#This Row],[SemiAnnualTotalPrem]]</f>
        <v>#N/A</v>
      </c>
      <c r="BC107" t="e">
        <f ca="1">tblRiderCF[[#This Row],[QuarterlyTotalPrem]]</f>
        <v>#N/A</v>
      </c>
      <c r="BD107" t="e">
        <f ca="1">tblRiderCF[[#This Row],[MonthlyTotalPrem]]</f>
        <v>#N/A</v>
      </c>
      <c r="BG107" t="s">
        <v>135</v>
      </c>
      <c r="BH107" t="s">
        <v>186</v>
      </c>
      <c r="BI107">
        <v>3</v>
      </c>
      <c r="BJ107">
        <v>2</v>
      </c>
      <c r="BK107" t="s">
        <v>485</v>
      </c>
      <c r="BL107">
        <v>71</v>
      </c>
      <c r="BM107">
        <v>0</v>
      </c>
      <c r="BN107">
        <v>120000000</v>
      </c>
      <c r="BO107">
        <v>537000</v>
      </c>
      <c r="BP107">
        <v>279000</v>
      </c>
      <c r="BQ107">
        <v>142000</v>
      </c>
      <c r="BR107">
        <v>48000</v>
      </c>
    </row>
    <row r="108" spans="2:70" x14ac:dyDescent="0.25">
      <c r="B108">
        <f ca="1">OFFSET(tblRiderCF[[#This Row],[Year]],-1,0)+1</f>
        <v>95</v>
      </c>
      <c r="C108" t="e">
        <f ca="1">(tblRiderCF[[#This Row],[Year]]&lt;=term)*1</f>
        <v>#N/A</v>
      </c>
      <c r="D108" t="e">
        <f ca="1">(entry_age+tblRiderCF[[#This Row],[Year]]-1)
*tblRiderCF[[#This Row],[RiderTermFlag]]</f>
        <v>#N/A</v>
      </c>
      <c r="E108" t="e">
        <f ca="1">(risk="Sub-standard")
*tblRiderCF[[#This Row],[RiderTermFlag]]</f>
        <v>#N/A</v>
      </c>
      <c r="F108" t="e">
        <f ca="1">(tblRiderCF[[#This Row],[Year]]&lt;=prem_load_term)
*tblRiderCF[[#This Row],[SubStandardFlag]]</f>
        <v>#N/A</v>
      </c>
      <c r="G108" t="e">
        <f ca="1">(tblRiderCF[[#This Row],[Year]]&lt;=pm_load_term)
*tblRiderCF[[#This Row],[SubStandardFlag]]</f>
        <v>#N/A</v>
      </c>
      <c r="H108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8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8" s="150" t="e" cm="1">
        <f t="array" aca="1" ref="J108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8" s="150" t="e">
        <f ca="1">add_rate*tblRiderCF[[#This Row],[SI]]*(rider=K$11)</f>
        <v>#N/A</v>
      </c>
      <c r="L108" s="150" t="e">
        <f ca="1">INDEX(tblPPDRate[Annualized GPR],MATCH(tblRiderCF[[#This Row],[Age]],tblPPDRate[Min age],1))*tblRiderCF[[#This Row],[SI]]
*(rider=L$11)</f>
        <v>#N/A</v>
      </c>
      <c r="M108" s="150" t="e">
        <f ca="1">INDEX(IF(gender="Male",tblCIR1Rate[Male],tblCIR1Rate[Female]),MATCH(tblRiderCF[[#This Row],[Age]],tblCIR1Rate[Age],0))/1000*tblRiderCF[[#This Row],[SI]]
*(rider=M$11)</f>
        <v>#N/A</v>
      </c>
      <c r="N108" s="150" t="e">
        <f ca="1">INDEX(IF(gender="Male",tblCIR2Rate[Male],tblCIR2Rate[Female]),MATCH(tblRiderCF[[#This Row],[Age]],tblCIR2Rate[Age],0))/1000*tblRiderCF[[#This Row],[SI]]
*(rider=N$11)</f>
        <v>#N/A</v>
      </c>
      <c r="O108" s="150" t="e">
        <f>INDEX(tblHOP2Rate[Premium],MATCH(hop2_option,tblHOP2Rate[Option],0))
*(rider=O$11)</f>
        <v>#N/A</v>
      </c>
      <c r="P108" s="150" t="e">
        <f ca="1">INDEX(Tariff!$CC$5:$CS$44,
MATCH(tblRiderCF[[#This Row],[Age]],Tariff!$CB$5:$CB$44,0),
MATCH(term+1-tblRiderCF[[#This Row],[Year]],Tariff!$CC$4:$CS$4,0))
*(rider=P$11)</f>
        <v>#N/A</v>
      </c>
      <c r="Q108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8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8" s="150" t="e">
        <f ca="1">INDEX(tblRiderCF[[#This Row],[ADD1UnroundedPrem]:[WOP2UnroundedPrem]],MATCH(rider,$K$11:$R$11,0))
*tblRiderCF[[#This Row],[RiderTermFlag]]</f>
        <v>#N/A</v>
      </c>
      <c r="T108" s="150" t="e">
        <f ca="1">tblRiderCF[[#This Row],[UnroundedPrem]]*prem_load</f>
        <v>#N/A</v>
      </c>
      <c r="U108" s="150" t="e">
        <f ca="1">pm_load/1000*tblRiderCF[[#This Row],[SI]]
*tblRiderCF[[#This Row],[RiderTermFlag]]</f>
        <v>#N/A</v>
      </c>
      <c r="V108" s="151" t="e">
        <f ca="1">ROUND(tblRiderCF[[#This Row],[UnroundedPrem]]*V$10,-3)</f>
        <v>#N/A</v>
      </c>
      <c r="W108" t="e">
        <f ca="1">ROUND(tblRiderCF[[#This Row],[UnroundedPremLoad]]*W$10,-3)</f>
        <v>#N/A</v>
      </c>
      <c r="X108" t="e">
        <f ca="1">ROUND(tblRiderCF[[#This Row],[UnroundedPMLoad]]*X$10,-3)</f>
        <v>#N/A</v>
      </c>
      <c r="Y108" t="e">
        <f ca="1">tblRiderCF[[#This Row],[PremLoad]]+tblRiderCF[[#This Row],[PMLoad]]</f>
        <v>#N/A</v>
      </c>
      <c r="Z108" t="e">
        <f ca="1">tblRiderCF[[#This Row],[Prem]]+tblRiderCF[[#This Row],[Load]]</f>
        <v>#N/A</v>
      </c>
      <c r="AA108" t="e">
        <f ca="1">ROUND(tblRiderCF[[#This Row],[UnroundedPrem]]*AA$10,-3)</f>
        <v>#N/A</v>
      </c>
      <c r="AB108" t="e">
        <f ca="1">ROUND(tblRiderCF[[#This Row],[UnroundedPremLoad]]*AB$10,-3)</f>
        <v>#N/A</v>
      </c>
      <c r="AC108" t="e">
        <f ca="1">ROUND(tblRiderCF[[#This Row],[UnroundedPMLoad]]*AC$10,-3)</f>
        <v>#N/A</v>
      </c>
      <c r="AD108" t="e">
        <f ca="1">tblRiderCF[[#This Row],[SemiAnnualPremLoad]]+tblRiderCF[[#This Row],[SemiAnnualPMLoad]]</f>
        <v>#N/A</v>
      </c>
      <c r="AE108" t="e">
        <f ca="1">tblRiderCF[[#This Row],[SemiAnnualPrem]]+tblRiderCF[[#This Row],[SemiAnnualLoad]]</f>
        <v>#N/A</v>
      </c>
      <c r="AF108" t="e">
        <f ca="1">ROUND(tblRiderCF[[#This Row],[UnroundedPrem]]*AF$10,-3)</f>
        <v>#N/A</v>
      </c>
      <c r="AG108" t="e">
        <f ca="1">ROUND(tblRiderCF[[#This Row],[UnroundedPremLoad]]*AG$10,-3)</f>
        <v>#N/A</v>
      </c>
      <c r="AH108" t="e">
        <f ca="1">ROUND(tblRiderCF[[#This Row],[UnroundedPMLoad]]*AH$10,-3)</f>
        <v>#N/A</v>
      </c>
      <c r="AI108" t="e">
        <f ca="1">tblRiderCF[[#This Row],[QuarterlyPremLoad]]+tblRiderCF[[#This Row],[QuarterlyPMLoad]]</f>
        <v>#N/A</v>
      </c>
      <c r="AJ108" t="e">
        <f ca="1">tblRiderCF[[#This Row],[QuarterlyPrem]]+tblRiderCF[[#This Row],[QuarterlyLoad]]</f>
        <v>#N/A</v>
      </c>
      <c r="AK108" t="e">
        <f ca="1">ROUND(tblRiderCF[[#This Row],[UnroundedPrem]]*AK$10,-3)</f>
        <v>#N/A</v>
      </c>
      <c r="AL108" t="e">
        <f ca="1">ROUND(tblRiderCF[[#This Row],[UnroundedPremLoad]]*AL$10,-3)</f>
        <v>#N/A</v>
      </c>
      <c r="AM108" t="e">
        <f ca="1">ROUND(tblRiderCF[[#This Row],[UnroundedPMLoad]]*AM$10,-3)</f>
        <v>#N/A</v>
      </c>
      <c r="AN108" t="e">
        <f ca="1">tblRiderCF[[#This Row],[MonthlyPremLoad]]+tblRiderCF[[#This Row],[MonthlyPMLoad]]</f>
        <v>#N/A</v>
      </c>
      <c r="AO108" t="e">
        <f ca="1">tblRiderCF[[#This Row],[MonthlyPrem]]+tblRiderCF[[#This Row],[MonthlyLoad]]</f>
        <v>#N/A</v>
      </c>
      <c r="AS108">
        <f t="shared" si="9"/>
        <v>0</v>
      </c>
      <c r="AT108">
        <f t="shared" si="10"/>
        <v>0</v>
      </c>
      <c r="AU108">
        <f ca="1">tblRiderCF[[#This Row],[Year]]</f>
        <v>95</v>
      </c>
      <c r="AV108" t="e">
        <f ca="1">tblRiderCF[[#This Row],[Age]]</f>
        <v>#N/A</v>
      </c>
      <c r="AW108">
        <f t="shared" si="11"/>
        <v>0</v>
      </c>
      <c r="AX108" t="e">
        <f t="shared" si="12"/>
        <v>#N/A</v>
      </c>
      <c r="AY108">
        <f t="shared" si="13"/>
        <v>0</v>
      </c>
      <c r="AZ108" s="47" t="e">
        <f ca="1">tblRiderCF[[#This Row],[SI]]</f>
        <v>#N/A</v>
      </c>
      <c r="BA108" t="e">
        <f ca="1">tblRiderCF[[#This Row],[TotalPrem]]</f>
        <v>#N/A</v>
      </c>
      <c r="BB108" t="e">
        <f ca="1">tblRiderCF[[#This Row],[SemiAnnualTotalPrem]]</f>
        <v>#N/A</v>
      </c>
      <c r="BC108" t="e">
        <f ca="1">tblRiderCF[[#This Row],[QuarterlyTotalPrem]]</f>
        <v>#N/A</v>
      </c>
      <c r="BD108" t="e">
        <f ca="1">tblRiderCF[[#This Row],[MonthlyTotalPrem]]</f>
        <v>#N/A</v>
      </c>
      <c r="BG108" t="s">
        <v>135</v>
      </c>
      <c r="BH108" t="s">
        <v>186</v>
      </c>
      <c r="BI108">
        <v>4</v>
      </c>
      <c r="BJ108">
        <v>3</v>
      </c>
      <c r="BK108" t="s">
        <v>485</v>
      </c>
      <c r="BL108">
        <v>71</v>
      </c>
      <c r="BM108">
        <v>0</v>
      </c>
      <c r="BN108">
        <v>120000000</v>
      </c>
      <c r="BO108">
        <v>537000</v>
      </c>
      <c r="BP108">
        <v>279000</v>
      </c>
      <c r="BQ108">
        <v>142000</v>
      </c>
      <c r="BR108">
        <v>48000</v>
      </c>
    </row>
    <row r="109" spans="2:70" x14ac:dyDescent="0.25">
      <c r="B109">
        <f ca="1">OFFSET(tblRiderCF[[#This Row],[Year]],-1,0)+1</f>
        <v>96</v>
      </c>
      <c r="C109" t="e">
        <f ca="1">(tblRiderCF[[#This Row],[Year]]&lt;=term)*1</f>
        <v>#N/A</v>
      </c>
      <c r="D109" t="e">
        <f ca="1">(entry_age+tblRiderCF[[#This Row],[Year]]-1)
*tblRiderCF[[#This Row],[RiderTermFlag]]</f>
        <v>#N/A</v>
      </c>
      <c r="E109" t="e">
        <f ca="1">(risk="Sub-standard")
*tblRiderCF[[#This Row],[RiderTermFlag]]</f>
        <v>#N/A</v>
      </c>
      <c r="F109" t="e">
        <f ca="1">(tblRiderCF[[#This Row],[Year]]&lt;=prem_load_term)
*tblRiderCF[[#This Row],[SubStandardFlag]]</f>
        <v>#N/A</v>
      </c>
      <c r="G109" t="e">
        <f ca="1">(tblRiderCF[[#This Row],[Year]]&lt;=pm_load_term)
*tblRiderCF[[#This Row],[SubStandardFlag]]</f>
        <v>#N/A</v>
      </c>
      <c r="H109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09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09" s="150" t="e" cm="1">
        <f t="array" aca="1" ref="J109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09" s="150" t="e">
        <f ca="1">add_rate*tblRiderCF[[#This Row],[SI]]*(rider=K$11)</f>
        <v>#N/A</v>
      </c>
      <c r="L109" s="150" t="e">
        <f ca="1">INDEX(tblPPDRate[Annualized GPR],MATCH(tblRiderCF[[#This Row],[Age]],tblPPDRate[Min age],1))*tblRiderCF[[#This Row],[SI]]
*(rider=L$11)</f>
        <v>#N/A</v>
      </c>
      <c r="M109" s="150" t="e">
        <f ca="1">INDEX(IF(gender="Male",tblCIR1Rate[Male],tblCIR1Rate[Female]),MATCH(tblRiderCF[[#This Row],[Age]],tblCIR1Rate[Age],0))/1000*tblRiderCF[[#This Row],[SI]]
*(rider=M$11)</f>
        <v>#N/A</v>
      </c>
      <c r="N109" s="150" t="e">
        <f ca="1">INDEX(IF(gender="Male",tblCIR2Rate[Male],tblCIR2Rate[Female]),MATCH(tblRiderCF[[#This Row],[Age]],tblCIR2Rate[Age],0))/1000*tblRiderCF[[#This Row],[SI]]
*(rider=N$11)</f>
        <v>#N/A</v>
      </c>
      <c r="O109" s="150" t="e">
        <f>INDEX(tblHOP2Rate[Premium],MATCH(hop2_option,tblHOP2Rate[Option],0))
*(rider=O$11)</f>
        <v>#N/A</v>
      </c>
      <c r="P109" s="150" t="e">
        <f ca="1">INDEX(Tariff!$CC$5:$CS$44,
MATCH(tblRiderCF[[#This Row],[Age]],Tariff!$CB$5:$CB$44,0),
MATCH(term+1-tblRiderCF[[#This Row],[Year]],Tariff!$CC$4:$CS$4,0))
*(rider=P$11)</f>
        <v>#N/A</v>
      </c>
      <c r="Q109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09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09" s="150" t="e">
        <f ca="1">INDEX(tblRiderCF[[#This Row],[ADD1UnroundedPrem]:[WOP2UnroundedPrem]],MATCH(rider,$K$11:$R$11,0))
*tblRiderCF[[#This Row],[RiderTermFlag]]</f>
        <v>#N/A</v>
      </c>
      <c r="T109" s="150" t="e">
        <f ca="1">tblRiderCF[[#This Row],[UnroundedPrem]]*prem_load</f>
        <v>#N/A</v>
      </c>
      <c r="U109" s="150" t="e">
        <f ca="1">pm_load/1000*tblRiderCF[[#This Row],[SI]]
*tblRiderCF[[#This Row],[RiderTermFlag]]</f>
        <v>#N/A</v>
      </c>
      <c r="V109" s="151" t="e">
        <f ca="1">ROUND(tblRiderCF[[#This Row],[UnroundedPrem]]*V$10,-3)</f>
        <v>#N/A</v>
      </c>
      <c r="W109" t="e">
        <f ca="1">ROUND(tblRiderCF[[#This Row],[UnroundedPremLoad]]*W$10,-3)</f>
        <v>#N/A</v>
      </c>
      <c r="X109" t="e">
        <f ca="1">ROUND(tblRiderCF[[#This Row],[UnroundedPMLoad]]*X$10,-3)</f>
        <v>#N/A</v>
      </c>
      <c r="Y109" t="e">
        <f ca="1">tblRiderCF[[#This Row],[PremLoad]]+tblRiderCF[[#This Row],[PMLoad]]</f>
        <v>#N/A</v>
      </c>
      <c r="Z109" t="e">
        <f ca="1">tblRiderCF[[#This Row],[Prem]]+tblRiderCF[[#This Row],[Load]]</f>
        <v>#N/A</v>
      </c>
      <c r="AA109" t="e">
        <f ca="1">ROUND(tblRiderCF[[#This Row],[UnroundedPrem]]*AA$10,-3)</f>
        <v>#N/A</v>
      </c>
      <c r="AB109" t="e">
        <f ca="1">ROUND(tblRiderCF[[#This Row],[UnroundedPremLoad]]*AB$10,-3)</f>
        <v>#N/A</v>
      </c>
      <c r="AC109" t="e">
        <f ca="1">ROUND(tblRiderCF[[#This Row],[UnroundedPMLoad]]*AC$10,-3)</f>
        <v>#N/A</v>
      </c>
      <c r="AD109" t="e">
        <f ca="1">tblRiderCF[[#This Row],[SemiAnnualPremLoad]]+tblRiderCF[[#This Row],[SemiAnnualPMLoad]]</f>
        <v>#N/A</v>
      </c>
      <c r="AE109" t="e">
        <f ca="1">tblRiderCF[[#This Row],[SemiAnnualPrem]]+tblRiderCF[[#This Row],[SemiAnnualLoad]]</f>
        <v>#N/A</v>
      </c>
      <c r="AF109" t="e">
        <f ca="1">ROUND(tblRiderCF[[#This Row],[UnroundedPrem]]*AF$10,-3)</f>
        <v>#N/A</v>
      </c>
      <c r="AG109" t="e">
        <f ca="1">ROUND(tblRiderCF[[#This Row],[UnroundedPremLoad]]*AG$10,-3)</f>
        <v>#N/A</v>
      </c>
      <c r="AH109" t="e">
        <f ca="1">ROUND(tblRiderCF[[#This Row],[UnroundedPMLoad]]*AH$10,-3)</f>
        <v>#N/A</v>
      </c>
      <c r="AI109" t="e">
        <f ca="1">tblRiderCF[[#This Row],[QuarterlyPremLoad]]+tblRiderCF[[#This Row],[QuarterlyPMLoad]]</f>
        <v>#N/A</v>
      </c>
      <c r="AJ109" t="e">
        <f ca="1">tblRiderCF[[#This Row],[QuarterlyPrem]]+tblRiderCF[[#This Row],[QuarterlyLoad]]</f>
        <v>#N/A</v>
      </c>
      <c r="AK109" t="e">
        <f ca="1">ROUND(tblRiderCF[[#This Row],[UnroundedPrem]]*AK$10,-3)</f>
        <v>#N/A</v>
      </c>
      <c r="AL109" t="e">
        <f ca="1">ROUND(tblRiderCF[[#This Row],[UnroundedPremLoad]]*AL$10,-3)</f>
        <v>#N/A</v>
      </c>
      <c r="AM109" t="e">
        <f ca="1">ROUND(tblRiderCF[[#This Row],[UnroundedPMLoad]]*AM$10,-3)</f>
        <v>#N/A</v>
      </c>
      <c r="AN109" t="e">
        <f ca="1">tblRiderCF[[#This Row],[MonthlyPremLoad]]+tblRiderCF[[#This Row],[MonthlyPMLoad]]</f>
        <v>#N/A</v>
      </c>
      <c r="AO109" t="e">
        <f ca="1">tblRiderCF[[#This Row],[MonthlyPrem]]+tblRiderCF[[#This Row],[MonthlyLoad]]</f>
        <v>#N/A</v>
      </c>
      <c r="AS109">
        <f t="shared" si="9"/>
        <v>0</v>
      </c>
      <c r="AT109">
        <f t="shared" si="10"/>
        <v>0</v>
      </c>
      <c r="AU109">
        <f ca="1">tblRiderCF[[#This Row],[Year]]</f>
        <v>96</v>
      </c>
      <c r="AV109" t="e">
        <f ca="1">tblRiderCF[[#This Row],[Age]]</f>
        <v>#N/A</v>
      </c>
      <c r="AW109">
        <f t="shared" si="11"/>
        <v>0</v>
      </c>
      <c r="AX109" t="e">
        <f t="shared" si="12"/>
        <v>#N/A</v>
      </c>
      <c r="AY109">
        <f t="shared" si="13"/>
        <v>0</v>
      </c>
      <c r="AZ109" s="47" t="e">
        <f ca="1">tblRiderCF[[#This Row],[SI]]</f>
        <v>#N/A</v>
      </c>
      <c r="BA109" t="e">
        <f ca="1">tblRiderCF[[#This Row],[TotalPrem]]</f>
        <v>#N/A</v>
      </c>
      <c r="BB109" t="e">
        <f ca="1">tblRiderCF[[#This Row],[SemiAnnualTotalPrem]]</f>
        <v>#N/A</v>
      </c>
      <c r="BC109" t="e">
        <f ca="1">tblRiderCF[[#This Row],[QuarterlyTotalPrem]]</f>
        <v>#N/A</v>
      </c>
      <c r="BD109" t="e">
        <f ca="1">tblRiderCF[[#This Row],[MonthlyTotalPrem]]</f>
        <v>#N/A</v>
      </c>
      <c r="BG109" t="s">
        <v>135</v>
      </c>
      <c r="BH109" t="s">
        <v>186</v>
      </c>
      <c r="BI109">
        <v>5</v>
      </c>
      <c r="BJ109">
        <v>4</v>
      </c>
      <c r="BK109" t="s">
        <v>485</v>
      </c>
      <c r="BL109">
        <v>71</v>
      </c>
      <c r="BM109">
        <v>0</v>
      </c>
      <c r="BN109">
        <v>120000000</v>
      </c>
      <c r="BO109">
        <v>537000</v>
      </c>
      <c r="BP109">
        <v>279000</v>
      </c>
      <c r="BQ109">
        <v>142000</v>
      </c>
      <c r="BR109">
        <v>48000</v>
      </c>
    </row>
    <row r="110" spans="2:70" x14ac:dyDescent="0.25">
      <c r="B110">
        <f ca="1">OFFSET(tblRiderCF[[#This Row],[Year]],-1,0)+1</f>
        <v>97</v>
      </c>
      <c r="C110" t="e">
        <f ca="1">(tblRiderCF[[#This Row],[Year]]&lt;=term)*1</f>
        <v>#N/A</v>
      </c>
      <c r="D110" t="e">
        <f ca="1">(entry_age+tblRiderCF[[#This Row],[Year]]-1)
*tblRiderCF[[#This Row],[RiderTermFlag]]</f>
        <v>#N/A</v>
      </c>
      <c r="E110" t="e">
        <f ca="1">(risk="Sub-standard")
*tblRiderCF[[#This Row],[RiderTermFlag]]</f>
        <v>#N/A</v>
      </c>
      <c r="F110" t="e">
        <f ca="1">(tblRiderCF[[#This Row],[Year]]&lt;=prem_load_term)
*tblRiderCF[[#This Row],[SubStandardFlag]]</f>
        <v>#N/A</v>
      </c>
      <c r="G110" t="e">
        <f ca="1">(tblRiderCF[[#This Row],[Year]]&lt;=pm_load_term)
*tblRiderCF[[#This Row],[SubStandardFlag]]</f>
        <v>#N/A</v>
      </c>
      <c r="H110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10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10" s="150" t="e" cm="1">
        <f t="array" aca="1" ref="J110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10" s="150" t="e">
        <f ca="1">add_rate*tblRiderCF[[#This Row],[SI]]*(rider=K$11)</f>
        <v>#N/A</v>
      </c>
      <c r="L110" s="150" t="e">
        <f ca="1">INDEX(tblPPDRate[Annualized GPR],MATCH(tblRiderCF[[#This Row],[Age]],tblPPDRate[Min age],1))*tblRiderCF[[#This Row],[SI]]
*(rider=L$11)</f>
        <v>#N/A</v>
      </c>
      <c r="M110" s="150" t="e">
        <f ca="1">INDEX(IF(gender="Male",tblCIR1Rate[Male],tblCIR1Rate[Female]),MATCH(tblRiderCF[[#This Row],[Age]],tblCIR1Rate[Age],0))/1000*tblRiderCF[[#This Row],[SI]]
*(rider=M$11)</f>
        <v>#N/A</v>
      </c>
      <c r="N110" s="150" t="e">
        <f ca="1">INDEX(IF(gender="Male",tblCIR2Rate[Male],tblCIR2Rate[Female]),MATCH(tblRiderCF[[#This Row],[Age]],tblCIR2Rate[Age],0))/1000*tblRiderCF[[#This Row],[SI]]
*(rider=N$11)</f>
        <v>#N/A</v>
      </c>
      <c r="O110" s="150" t="e">
        <f>INDEX(tblHOP2Rate[Premium],MATCH(hop2_option,tblHOP2Rate[Option],0))
*(rider=O$11)</f>
        <v>#N/A</v>
      </c>
      <c r="P110" s="150" t="e">
        <f ca="1">INDEX(Tariff!$CC$5:$CS$44,
MATCH(tblRiderCF[[#This Row],[Age]],Tariff!$CB$5:$CB$44,0),
MATCH(term+1-tblRiderCF[[#This Row],[Year]],Tariff!$CC$4:$CS$4,0))
*(rider=P$11)</f>
        <v>#N/A</v>
      </c>
      <c r="Q110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10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10" s="150" t="e">
        <f ca="1">INDEX(tblRiderCF[[#This Row],[ADD1UnroundedPrem]:[WOP2UnroundedPrem]],MATCH(rider,$K$11:$R$11,0))
*tblRiderCF[[#This Row],[RiderTermFlag]]</f>
        <v>#N/A</v>
      </c>
      <c r="T110" s="150" t="e">
        <f ca="1">tblRiderCF[[#This Row],[UnroundedPrem]]*prem_load</f>
        <v>#N/A</v>
      </c>
      <c r="U110" s="150" t="e">
        <f ca="1">pm_load/1000*tblRiderCF[[#This Row],[SI]]
*tblRiderCF[[#This Row],[RiderTermFlag]]</f>
        <v>#N/A</v>
      </c>
      <c r="V110" s="151" t="e">
        <f ca="1">ROUND(tblRiderCF[[#This Row],[UnroundedPrem]]*V$10,-3)</f>
        <v>#N/A</v>
      </c>
      <c r="W110" t="e">
        <f ca="1">ROUND(tblRiderCF[[#This Row],[UnroundedPremLoad]]*W$10,-3)</f>
        <v>#N/A</v>
      </c>
      <c r="X110" t="e">
        <f ca="1">ROUND(tblRiderCF[[#This Row],[UnroundedPMLoad]]*X$10,-3)</f>
        <v>#N/A</v>
      </c>
      <c r="Y110" t="e">
        <f ca="1">tblRiderCF[[#This Row],[PremLoad]]+tblRiderCF[[#This Row],[PMLoad]]</f>
        <v>#N/A</v>
      </c>
      <c r="Z110" t="e">
        <f ca="1">tblRiderCF[[#This Row],[Prem]]+tblRiderCF[[#This Row],[Load]]</f>
        <v>#N/A</v>
      </c>
      <c r="AA110" t="e">
        <f ca="1">ROUND(tblRiderCF[[#This Row],[UnroundedPrem]]*AA$10,-3)</f>
        <v>#N/A</v>
      </c>
      <c r="AB110" t="e">
        <f ca="1">ROUND(tblRiderCF[[#This Row],[UnroundedPremLoad]]*AB$10,-3)</f>
        <v>#N/A</v>
      </c>
      <c r="AC110" t="e">
        <f ca="1">ROUND(tblRiderCF[[#This Row],[UnroundedPMLoad]]*AC$10,-3)</f>
        <v>#N/A</v>
      </c>
      <c r="AD110" t="e">
        <f ca="1">tblRiderCF[[#This Row],[SemiAnnualPremLoad]]+tblRiderCF[[#This Row],[SemiAnnualPMLoad]]</f>
        <v>#N/A</v>
      </c>
      <c r="AE110" t="e">
        <f ca="1">tblRiderCF[[#This Row],[SemiAnnualPrem]]+tblRiderCF[[#This Row],[SemiAnnualLoad]]</f>
        <v>#N/A</v>
      </c>
      <c r="AF110" t="e">
        <f ca="1">ROUND(tblRiderCF[[#This Row],[UnroundedPrem]]*AF$10,-3)</f>
        <v>#N/A</v>
      </c>
      <c r="AG110" t="e">
        <f ca="1">ROUND(tblRiderCF[[#This Row],[UnroundedPremLoad]]*AG$10,-3)</f>
        <v>#N/A</v>
      </c>
      <c r="AH110" t="e">
        <f ca="1">ROUND(tblRiderCF[[#This Row],[UnroundedPMLoad]]*AH$10,-3)</f>
        <v>#N/A</v>
      </c>
      <c r="AI110" t="e">
        <f ca="1">tblRiderCF[[#This Row],[QuarterlyPremLoad]]+tblRiderCF[[#This Row],[QuarterlyPMLoad]]</f>
        <v>#N/A</v>
      </c>
      <c r="AJ110" t="e">
        <f ca="1">tblRiderCF[[#This Row],[QuarterlyPrem]]+tblRiderCF[[#This Row],[QuarterlyLoad]]</f>
        <v>#N/A</v>
      </c>
      <c r="AK110" t="e">
        <f ca="1">ROUND(tblRiderCF[[#This Row],[UnroundedPrem]]*AK$10,-3)</f>
        <v>#N/A</v>
      </c>
      <c r="AL110" t="e">
        <f ca="1">ROUND(tblRiderCF[[#This Row],[UnroundedPremLoad]]*AL$10,-3)</f>
        <v>#N/A</v>
      </c>
      <c r="AM110" t="e">
        <f ca="1">ROUND(tblRiderCF[[#This Row],[UnroundedPMLoad]]*AM$10,-3)</f>
        <v>#N/A</v>
      </c>
      <c r="AN110" t="e">
        <f ca="1">tblRiderCF[[#This Row],[MonthlyPremLoad]]+tblRiderCF[[#This Row],[MonthlyPMLoad]]</f>
        <v>#N/A</v>
      </c>
      <c r="AO110" t="e">
        <f ca="1">tblRiderCF[[#This Row],[MonthlyPrem]]+tblRiderCF[[#This Row],[MonthlyLoad]]</f>
        <v>#N/A</v>
      </c>
      <c r="AS110">
        <f t="shared" si="9"/>
        <v>0</v>
      </c>
      <c r="AT110">
        <f t="shared" si="10"/>
        <v>0</v>
      </c>
      <c r="AU110">
        <f ca="1">tblRiderCF[[#This Row],[Year]]</f>
        <v>97</v>
      </c>
      <c r="AV110" t="e">
        <f ca="1">tblRiderCF[[#This Row],[Age]]</f>
        <v>#N/A</v>
      </c>
      <c r="AW110">
        <f t="shared" si="11"/>
        <v>0</v>
      </c>
      <c r="AX110" t="e">
        <f t="shared" si="12"/>
        <v>#N/A</v>
      </c>
      <c r="AY110">
        <f t="shared" si="13"/>
        <v>0</v>
      </c>
      <c r="AZ110" s="47" t="e">
        <f ca="1">tblRiderCF[[#This Row],[SI]]</f>
        <v>#N/A</v>
      </c>
      <c r="BA110" t="e">
        <f ca="1">tblRiderCF[[#This Row],[TotalPrem]]</f>
        <v>#N/A</v>
      </c>
      <c r="BB110" t="e">
        <f ca="1">tblRiderCF[[#This Row],[SemiAnnualTotalPrem]]</f>
        <v>#N/A</v>
      </c>
      <c r="BC110" t="e">
        <f ca="1">tblRiderCF[[#This Row],[QuarterlyTotalPrem]]</f>
        <v>#N/A</v>
      </c>
      <c r="BD110" t="e">
        <f ca="1">tblRiderCF[[#This Row],[MonthlyTotalPrem]]</f>
        <v>#N/A</v>
      </c>
      <c r="BG110" t="s">
        <v>135</v>
      </c>
      <c r="BH110" t="s">
        <v>186</v>
      </c>
      <c r="BI110">
        <v>6</v>
      </c>
      <c r="BJ110">
        <v>5</v>
      </c>
      <c r="BK110" t="s">
        <v>485</v>
      </c>
      <c r="BL110">
        <v>71</v>
      </c>
      <c r="BM110">
        <v>0</v>
      </c>
      <c r="BN110">
        <v>120000000</v>
      </c>
      <c r="BO110">
        <v>537000</v>
      </c>
      <c r="BP110">
        <v>279000</v>
      </c>
      <c r="BQ110">
        <v>142000</v>
      </c>
      <c r="BR110">
        <v>48000</v>
      </c>
    </row>
    <row r="111" spans="2:70" x14ac:dyDescent="0.25">
      <c r="B111">
        <f ca="1">OFFSET(tblRiderCF[[#This Row],[Year]],-1,0)+1</f>
        <v>98</v>
      </c>
      <c r="C111" t="e">
        <f ca="1">(tblRiderCF[[#This Row],[Year]]&lt;=term)*1</f>
        <v>#N/A</v>
      </c>
      <c r="D111" t="e">
        <f ca="1">(entry_age+tblRiderCF[[#This Row],[Year]]-1)
*tblRiderCF[[#This Row],[RiderTermFlag]]</f>
        <v>#N/A</v>
      </c>
      <c r="E111" t="e">
        <f ca="1">(risk="Sub-standard")
*tblRiderCF[[#This Row],[RiderTermFlag]]</f>
        <v>#N/A</v>
      </c>
      <c r="F111" t="e">
        <f ca="1">(tblRiderCF[[#This Row],[Year]]&lt;=prem_load_term)
*tblRiderCF[[#This Row],[SubStandardFlag]]</f>
        <v>#N/A</v>
      </c>
      <c r="G111" t="e">
        <f ca="1">(tblRiderCF[[#This Row],[Year]]&lt;=pm_load_term)
*tblRiderCF[[#This Row],[SubStandardFlag]]</f>
        <v>#N/A</v>
      </c>
      <c r="H111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11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11" s="150" t="e" cm="1">
        <f t="array" aca="1" ref="J111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11" s="150" t="e">
        <f ca="1">add_rate*tblRiderCF[[#This Row],[SI]]*(rider=K$11)</f>
        <v>#N/A</v>
      </c>
      <c r="L111" s="150" t="e">
        <f ca="1">INDEX(tblPPDRate[Annualized GPR],MATCH(tblRiderCF[[#This Row],[Age]],tblPPDRate[Min age],1))*tblRiderCF[[#This Row],[SI]]
*(rider=L$11)</f>
        <v>#N/A</v>
      </c>
      <c r="M111" s="150" t="e">
        <f ca="1">INDEX(IF(gender="Male",tblCIR1Rate[Male],tblCIR1Rate[Female]),MATCH(tblRiderCF[[#This Row],[Age]],tblCIR1Rate[Age],0))/1000*tblRiderCF[[#This Row],[SI]]
*(rider=M$11)</f>
        <v>#N/A</v>
      </c>
      <c r="N111" s="150" t="e">
        <f ca="1">INDEX(IF(gender="Male",tblCIR2Rate[Male],tblCIR2Rate[Female]),MATCH(tblRiderCF[[#This Row],[Age]],tblCIR2Rate[Age],0))/1000*tblRiderCF[[#This Row],[SI]]
*(rider=N$11)</f>
        <v>#N/A</v>
      </c>
      <c r="O111" s="150" t="e">
        <f>INDEX(tblHOP2Rate[Premium],MATCH(hop2_option,tblHOP2Rate[Option],0))
*(rider=O$11)</f>
        <v>#N/A</v>
      </c>
      <c r="P111" s="150" t="e">
        <f ca="1">INDEX(Tariff!$CC$5:$CS$44,
MATCH(tblRiderCF[[#This Row],[Age]],Tariff!$CB$5:$CB$44,0),
MATCH(term+1-tblRiderCF[[#This Row],[Year]],Tariff!$CC$4:$CS$4,0))
*(rider=P$11)</f>
        <v>#N/A</v>
      </c>
      <c r="Q111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11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11" s="150" t="e">
        <f ca="1">INDEX(tblRiderCF[[#This Row],[ADD1UnroundedPrem]:[WOP2UnroundedPrem]],MATCH(rider,$K$11:$R$11,0))
*tblRiderCF[[#This Row],[RiderTermFlag]]</f>
        <v>#N/A</v>
      </c>
      <c r="T111" s="150" t="e">
        <f ca="1">tblRiderCF[[#This Row],[UnroundedPrem]]*prem_load</f>
        <v>#N/A</v>
      </c>
      <c r="U111" s="150" t="e">
        <f ca="1">pm_load/1000*tblRiderCF[[#This Row],[SI]]
*tblRiderCF[[#This Row],[RiderTermFlag]]</f>
        <v>#N/A</v>
      </c>
      <c r="V111" s="151" t="e">
        <f ca="1">ROUND(tblRiderCF[[#This Row],[UnroundedPrem]]*V$10,-3)</f>
        <v>#N/A</v>
      </c>
      <c r="W111" t="e">
        <f ca="1">ROUND(tblRiderCF[[#This Row],[UnroundedPremLoad]]*W$10,-3)</f>
        <v>#N/A</v>
      </c>
      <c r="X111" t="e">
        <f ca="1">ROUND(tblRiderCF[[#This Row],[UnroundedPMLoad]]*X$10,-3)</f>
        <v>#N/A</v>
      </c>
      <c r="Y111" t="e">
        <f ca="1">tblRiderCF[[#This Row],[PremLoad]]+tblRiderCF[[#This Row],[PMLoad]]</f>
        <v>#N/A</v>
      </c>
      <c r="Z111" t="e">
        <f ca="1">tblRiderCF[[#This Row],[Prem]]+tblRiderCF[[#This Row],[Load]]</f>
        <v>#N/A</v>
      </c>
      <c r="AA111" t="e">
        <f ca="1">ROUND(tblRiderCF[[#This Row],[UnroundedPrem]]*AA$10,-3)</f>
        <v>#N/A</v>
      </c>
      <c r="AB111" t="e">
        <f ca="1">ROUND(tblRiderCF[[#This Row],[UnroundedPremLoad]]*AB$10,-3)</f>
        <v>#N/A</v>
      </c>
      <c r="AC111" t="e">
        <f ca="1">ROUND(tblRiderCF[[#This Row],[UnroundedPMLoad]]*AC$10,-3)</f>
        <v>#N/A</v>
      </c>
      <c r="AD111" t="e">
        <f ca="1">tblRiderCF[[#This Row],[SemiAnnualPremLoad]]+tblRiderCF[[#This Row],[SemiAnnualPMLoad]]</f>
        <v>#N/A</v>
      </c>
      <c r="AE111" t="e">
        <f ca="1">tblRiderCF[[#This Row],[SemiAnnualPrem]]+tblRiderCF[[#This Row],[SemiAnnualLoad]]</f>
        <v>#N/A</v>
      </c>
      <c r="AF111" t="e">
        <f ca="1">ROUND(tblRiderCF[[#This Row],[UnroundedPrem]]*AF$10,-3)</f>
        <v>#N/A</v>
      </c>
      <c r="AG111" t="e">
        <f ca="1">ROUND(tblRiderCF[[#This Row],[UnroundedPremLoad]]*AG$10,-3)</f>
        <v>#N/A</v>
      </c>
      <c r="AH111" t="e">
        <f ca="1">ROUND(tblRiderCF[[#This Row],[UnroundedPMLoad]]*AH$10,-3)</f>
        <v>#N/A</v>
      </c>
      <c r="AI111" t="e">
        <f ca="1">tblRiderCF[[#This Row],[QuarterlyPremLoad]]+tblRiderCF[[#This Row],[QuarterlyPMLoad]]</f>
        <v>#N/A</v>
      </c>
      <c r="AJ111" t="e">
        <f ca="1">tblRiderCF[[#This Row],[QuarterlyPrem]]+tblRiderCF[[#This Row],[QuarterlyLoad]]</f>
        <v>#N/A</v>
      </c>
      <c r="AK111" t="e">
        <f ca="1">ROUND(tblRiderCF[[#This Row],[UnroundedPrem]]*AK$10,-3)</f>
        <v>#N/A</v>
      </c>
      <c r="AL111" t="e">
        <f ca="1">ROUND(tblRiderCF[[#This Row],[UnroundedPremLoad]]*AL$10,-3)</f>
        <v>#N/A</v>
      </c>
      <c r="AM111" t="e">
        <f ca="1">ROUND(tblRiderCF[[#This Row],[UnroundedPMLoad]]*AM$10,-3)</f>
        <v>#N/A</v>
      </c>
      <c r="AN111" t="e">
        <f ca="1">tblRiderCF[[#This Row],[MonthlyPremLoad]]+tblRiderCF[[#This Row],[MonthlyPMLoad]]</f>
        <v>#N/A</v>
      </c>
      <c r="AO111" t="e">
        <f ca="1">tblRiderCF[[#This Row],[MonthlyPrem]]+tblRiderCF[[#This Row],[MonthlyLoad]]</f>
        <v>#N/A</v>
      </c>
      <c r="AS111">
        <f t="shared" si="9"/>
        <v>0</v>
      </c>
      <c r="AT111">
        <f t="shared" si="10"/>
        <v>0</v>
      </c>
      <c r="AU111">
        <f ca="1">tblRiderCF[[#This Row],[Year]]</f>
        <v>98</v>
      </c>
      <c r="AV111" t="e">
        <f ca="1">tblRiderCF[[#This Row],[Age]]</f>
        <v>#N/A</v>
      </c>
      <c r="AW111">
        <f t="shared" si="11"/>
        <v>0</v>
      </c>
      <c r="AX111" t="e">
        <f t="shared" si="12"/>
        <v>#N/A</v>
      </c>
      <c r="AY111">
        <f t="shared" si="13"/>
        <v>0</v>
      </c>
      <c r="AZ111" s="47" t="e">
        <f ca="1">tblRiderCF[[#This Row],[SI]]</f>
        <v>#N/A</v>
      </c>
      <c r="BA111" t="e">
        <f ca="1">tblRiderCF[[#This Row],[TotalPrem]]</f>
        <v>#N/A</v>
      </c>
      <c r="BB111" t="e">
        <f ca="1">tblRiderCF[[#This Row],[SemiAnnualTotalPrem]]</f>
        <v>#N/A</v>
      </c>
      <c r="BC111" t="e">
        <f ca="1">tblRiderCF[[#This Row],[QuarterlyTotalPrem]]</f>
        <v>#N/A</v>
      </c>
      <c r="BD111" t="e">
        <f ca="1">tblRiderCF[[#This Row],[MonthlyTotalPrem]]</f>
        <v>#N/A</v>
      </c>
      <c r="BG111" t="s">
        <v>135</v>
      </c>
      <c r="BH111" t="s">
        <v>186</v>
      </c>
      <c r="BI111">
        <v>7</v>
      </c>
      <c r="BJ111">
        <v>6</v>
      </c>
      <c r="BK111" t="s">
        <v>485</v>
      </c>
      <c r="BL111">
        <v>71</v>
      </c>
      <c r="BM111">
        <v>0</v>
      </c>
      <c r="BN111">
        <v>120000000</v>
      </c>
      <c r="BO111">
        <v>537000</v>
      </c>
      <c r="BP111">
        <v>279000</v>
      </c>
      <c r="BQ111">
        <v>142000</v>
      </c>
      <c r="BR111">
        <v>48000</v>
      </c>
    </row>
    <row r="112" spans="2:70" x14ac:dyDescent="0.25">
      <c r="B112">
        <f ca="1">OFFSET(tblRiderCF[[#This Row],[Year]],-1,0)+1</f>
        <v>99</v>
      </c>
      <c r="C112" t="e">
        <f ca="1">(tblRiderCF[[#This Row],[Year]]&lt;=term)*1</f>
        <v>#N/A</v>
      </c>
      <c r="D112" t="e">
        <f ca="1">(entry_age+tblRiderCF[[#This Row],[Year]]-1)
*tblRiderCF[[#This Row],[RiderTermFlag]]</f>
        <v>#N/A</v>
      </c>
      <c r="E112" t="e">
        <f ca="1">(risk="Sub-standard")
*tblRiderCF[[#This Row],[RiderTermFlag]]</f>
        <v>#N/A</v>
      </c>
      <c r="F112" t="e">
        <f ca="1">(tblRiderCF[[#This Row],[Year]]&lt;=prem_load_term)
*tblRiderCF[[#This Row],[SubStandardFlag]]</f>
        <v>#N/A</v>
      </c>
      <c r="G112" t="e">
        <f ca="1">(tblRiderCF[[#This Row],[Year]]&lt;=pm_load_term)
*tblRiderCF[[#This Row],[SubStandardFlag]]</f>
        <v>#N/A</v>
      </c>
      <c r="H112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12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12" s="150" t="e" cm="1">
        <f t="array" aca="1" ref="J112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12" s="150" t="e">
        <f ca="1">add_rate*tblRiderCF[[#This Row],[SI]]*(rider=K$11)</f>
        <v>#N/A</v>
      </c>
      <c r="L112" s="150" t="e">
        <f ca="1">INDEX(tblPPDRate[Annualized GPR],MATCH(tblRiderCF[[#This Row],[Age]],tblPPDRate[Min age],1))*tblRiderCF[[#This Row],[SI]]
*(rider=L$11)</f>
        <v>#N/A</v>
      </c>
      <c r="M112" s="150" t="e">
        <f ca="1">INDEX(IF(gender="Male",tblCIR1Rate[Male],tblCIR1Rate[Female]),MATCH(tblRiderCF[[#This Row],[Age]],tblCIR1Rate[Age],0))/1000*tblRiderCF[[#This Row],[SI]]
*(rider=M$11)</f>
        <v>#N/A</v>
      </c>
      <c r="N112" s="150" t="e">
        <f ca="1">INDEX(IF(gender="Male",tblCIR2Rate[Male],tblCIR2Rate[Female]),MATCH(tblRiderCF[[#This Row],[Age]],tblCIR2Rate[Age],0))/1000*tblRiderCF[[#This Row],[SI]]
*(rider=N$11)</f>
        <v>#N/A</v>
      </c>
      <c r="O112" s="150" t="e">
        <f>INDEX(tblHOP2Rate[Premium],MATCH(hop2_option,tblHOP2Rate[Option],0))
*(rider=O$11)</f>
        <v>#N/A</v>
      </c>
      <c r="P112" s="150" t="e">
        <f ca="1">INDEX(Tariff!$CC$5:$CS$44,
MATCH(tblRiderCF[[#This Row],[Age]],Tariff!$CB$5:$CB$44,0),
MATCH(term+1-tblRiderCF[[#This Row],[Year]],Tariff!$CC$4:$CS$4,0))
*(rider=P$11)</f>
        <v>#N/A</v>
      </c>
      <c r="Q112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12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12" s="150" t="e">
        <f ca="1">INDEX(tblRiderCF[[#This Row],[ADD1UnroundedPrem]:[WOP2UnroundedPrem]],MATCH(rider,$K$11:$R$11,0))
*tblRiderCF[[#This Row],[RiderTermFlag]]</f>
        <v>#N/A</v>
      </c>
      <c r="T112" s="150" t="e">
        <f ca="1">tblRiderCF[[#This Row],[UnroundedPrem]]*prem_load</f>
        <v>#N/A</v>
      </c>
      <c r="U112" s="150" t="e">
        <f ca="1">pm_load/1000*tblRiderCF[[#This Row],[SI]]
*tblRiderCF[[#This Row],[RiderTermFlag]]</f>
        <v>#N/A</v>
      </c>
      <c r="V112" s="151" t="e">
        <f ca="1">ROUND(tblRiderCF[[#This Row],[UnroundedPrem]]*V$10,-3)</f>
        <v>#N/A</v>
      </c>
      <c r="W112" t="e">
        <f ca="1">ROUND(tblRiderCF[[#This Row],[UnroundedPremLoad]]*W$10,-3)</f>
        <v>#N/A</v>
      </c>
      <c r="X112" t="e">
        <f ca="1">ROUND(tblRiderCF[[#This Row],[UnroundedPMLoad]]*X$10,-3)</f>
        <v>#N/A</v>
      </c>
      <c r="Y112" t="e">
        <f ca="1">tblRiderCF[[#This Row],[PremLoad]]+tblRiderCF[[#This Row],[PMLoad]]</f>
        <v>#N/A</v>
      </c>
      <c r="Z112" t="e">
        <f ca="1">tblRiderCF[[#This Row],[Prem]]+tblRiderCF[[#This Row],[Load]]</f>
        <v>#N/A</v>
      </c>
      <c r="AA112" t="e">
        <f ca="1">ROUND(tblRiderCF[[#This Row],[UnroundedPrem]]*AA$10,-3)</f>
        <v>#N/A</v>
      </c>
      <c r="AB112" t="e">
        <f ca="1">ROUND(tblRiderCF[[#This Row],[UnroundedPremLoad]]*AB$10,-3)</f>
        <v>#N/A</v>
      </c>
      <c r="AC112" t="e">
        <f ca="1">ROUND(tblRiderCF[[#This Row],[UnroundedPMLoad]]*AC$10,-3)</f>
        <v>#N/A</v>
      </c>
      <c r="AD112" t="e">
        <f ca="1">tblRiderCF[[#This Row],[SemiAnnualPremLoad]]+tblRiderCF[[#This Row],[SemiAnnualPMLoad]]</f>
        <v>#N/A</v>
      </c>
      <c r="AE112" t="e">
        <f ca="1">tblRiderCF[[#This Row],[SemiAnnualPrem]]+tblRiderCF[[#This Row],[SemiAnnualLoad]]</f>
        <v>#N/A</v>
      </c>
      <c r="AF112" t="e">
        <f ca="1">ROUND(tblRiderCF[[#This Row],[UnroundedPrem]]*AF$10,-3)</f>
        <v>#N/A</v>
      </c>
      <c r="AG112" t="e">
        <f ca="1">ROUND(tblRiderCF[[#This Row],[UnroundedPremLoad]]*AG$10,-3)</f>
        <v>#N/A</v>
      </c>
      <c r="AH112" t="e">
        <f ca="1">ROUND(tblRiderCF[[#This Row],[UnroundedPMLoad]]*AH$10,-3)</f>
        <v>#N/A</v>
      </c>
      <c r="AI112" t="e">
        <f ca="1">tblRiderCF[[#This Row],[QuarterlyPremLoad]]+tblRiderCF[[#This Row],[QuarterlyPMLoad]]</f>
        <v>#N/A</v>
      </c>
      <c r="AJ112" t="e">
        <f ca="1">tblRiderCF[[#This Row],[QuarterlyPrem]]+tblRiderCF[[#This Row],[QuarterlyLoad]]</f>
        <v>#N/A</v>
      </c>
      <c r="AK112" t="e">
        <f ca="1">ROUND(tblRiderCF[[#This Row],[UnroundedPrem]]*AK$10,-3)</f>
        <v>#N/A</v>
      </c>
      <c r="AL112" t="e">
        <f ca="1">ROUND(tblRiderCF[[#This Row],[UnroundedPremLoad]]*AL$10,-3)</f>
        <v>#N/A</v>
      </c>
      <c r="AM112" t="e">
        <f ca="1">ROUND(tblRiderCF[[#This Row],[UnroundedPMLoad]]*AM$10,-3)</f>
        <v>#N/A</v>
      </c>
      <c r="AN112" t="e">
        <f ca="1">tblRiderCF[[#This Row],[MonthlyPremLoad]]+tblRiderCF[[#This Row],[MonthlyPMLoad]]</f>
        <v>#N/A</v>
      </c>
      <c r="AO112" t="e">
        <f ca="1">tblRiderCF[[#This Row],[MonthlyPrem]]+tblRiderCF[[#This Row],[MonthlyLoad]]</f>
        <v>#N/A</v>
      </c>
      <c r="AS112">
        <f t="shared" si="9"/>
        <v>0</v>
      </c>
      <c r="AT112">
        <f t="shared" si="10"/>
        <v>0</v>
      </c>
      <c r="AU112">
        <f ca="1">tblRiderCF[[#This Row],[Year]]</f>
        <v>99</v>
      </c>
      <c r="AV112" t="e">
        <f ca="1">tblRiderCF[[#This Row],[Age]]</f>
        <v>#N/A</v>
      </c>
      <c r="AW112">
        <f t="shared" si="11"/>
        <v>0</v>
      </c>
      <c r="AX112" t="e">
        <f t="shared" si="12"/>
        <v>#N/A</v>
      </c>
      <c r="AY112">
        <f t="shared" si="13"/>
        <v>0</v>
      </c>
      <c r="AZ112" s="47" t="e">
        <f ca="1">tblRiderCF[[#This Row],[SI]]</f>
        <v>#N/A</v>
      </c>
      <c r="BA112" t="e">
        <f ca="1">tblRiderCF[[#This Row],[TotalPrem]]</f>
        <v>#N/A</v>
      </c>
      <c r="BB112" t="e">
        <f ca="1">tblRiderCF[[#This Row],[SemiAnnualTotalPrem]]</f>
        <v>#N/A</v>
      </c>
      <c r="BC112" t="e">
        <f ca="1">tblRiderCF[[#This Row],[QuarterlyTotalPrem]]</f>
        <v>#N/A</v>
      </c>
      <c r="BD112" t="e">
        <f ca="1">tblRiderCF[[#This Row],[MonthlyTotalPrem]]</f>
        <v>#N/A</v>
      </c>
      <c r="BG112" t="s">
        <v>135</v>
      </c>
      <c r="BH112" t="s">
        <v>186</v>
      </c>
      <c r="BI112">
        <v>8</v>
      </c>
      <c r="BJ112">
        <v>7</v>
      </c>
      <c r="BK112" t="s">
        <v>485</v>
      </c>
      <c r="BL112">
        <v>71</v>
      </c>
      <c r="BM112">
        <v>0</v>
      </c>
      <c r="BN112">
        <v>120000000</v>
      </c>
      <c r="BO112">
        <v>537000</v>
      </c>
      <c r="BP112">
        <v>279000</v>
      </c>
      <c r="BQ112">
        <v>142000</v>
      </c>
      <c r="BR112">
        <v>48000</v>
      </c>
    </row>
    <row r="113" spans="2:70" x14ac:dyDescent="0.25">
      <c r="B113">
        <f ca="1">OFFSET(tblRiderCF[[#This Row],[Year]],-1,0)+1</f>
        <v>100</v>
      </c>
      <c r="C113" t="e">
        <f ca="1">(tblRiderCF[[#This Row],[Year]]&lt;=term)*1</f>
        <v>#N/A</v>
      </c>
      <c r="D113" t="e">
        <f ca="1">(entry_age+tblRiderCF[[#This Row],[Year]]-1)
*tblRiderCF[[#This Row],[RiderTermFlag]]</f>
        <v>#N/A</v>
      </c>
      <c r="E113" t="e">
        <f ca="1">(risk="Sub-standard")
*tblRiderCF[[#This Row],[RiderTermFlag]]</f>
        <v>#N/A</v>
      </c>
      <c r="F113" t="e">
        <f ca="1">(tblRiderCF[[#This Row],[Year]]&lt;=prem_load_term)
*tblRiderCF[[#This Row],[SubStandardFlag]]</f>
        <v>#N/A</v>
      </c>
      <c r="G113" t="e">
        <f ca="1">(tblRiderCF[[#This Row],[Year]]&lt;=pm_load_term)
*tblRiderCF[[#This Row],[SubStandardFlag]]</f>
        <v>#N/A</v>
      </c>
      <c r="H113" s="150">
        <f ca="1">SUMIFS(tblRiderCFResult[TotalPrem],
tblRiderCFResult[Risk],risk,
tblRiderCFResult[IsWaiver],0,
tblRiderCFResult[Product],"&lt;&gt;SUP1",
tblRiderCFResult[Insured],"MainLI",
tblRiderCFResult[Year],tblRiderCF[[#This Row],[Year]])
*is_waiver</f>
        <v>0</v>
      </c>
      <c r="I113" s="150">
        <f ca="1">SUMIFS(tblRiderCFResult[TotalPrem],
tblRiderCFResult[Risk],risk,
tblRiderCFResult[IsWaiver],0,
tblRiderCFResult[Product],"&lt;&gt;SUP1",
tblRiderCFResult[Product],"CIR*",
tblRiderCFResult[Insured],"MainLI",
tblRiderCFResult[Year],tblRiderCF[[#This Row],[Year]])*1000
*(insured="MainLI")
*(rider="WOP2")</f>
        <v>0</v>
      </c>
      <c r="J113" s="150" t="e" cm="1">
        <f t="array" aca="1" ref="J113" ca="1">IF(is_waiver,tp+tblRiderCF[[#This Row],[WOPSIPart1]]-tblRiderCF[[#This Row],[WOPSIPart2]],
_xlfn.SWITCH(rider,
"SUP1",10000000,
"HOP2",INDEX(tblHOP2Rate[SA],MATCH(hop2_option,tblHOP2Rate[Option],0)),
si))
*tblRiderCF[[#This Row],[RiderTermFlag]]</f>
        <v>#N/A</v>
      </c>
      <c r="K113" s="150" t="e">
        <f ca="1">add_rate*tblRiderCF[[#This Row],[SI]]*(rider=K$11)</f>
        <v>#N/A</v>
      </c>
      <c r="L113" s="150" t="e">
        <f ca="1">INDEX(tblPPDRate[Annualized GPR],MATCH(tblRiderCF[[#This Row],[Age]],tblPPDRate[Min age],1))*tblRiderCF[[#This Row],[SI]]
*(rider=L$11)</f>
        <v>#N/A</v>
      </c>
      <c r="M113" s="150" t="e">
        <f ca="1">INDEX(IF(gender="Male",tblCIR1Rate[Male],tblCIR1Rate[Female]),MATCH(tblRiderCF[[#This Row],[Age]],tblCIR1Rate[Age],0))/1000*tblRiderCF[[#This Row],[SI]]
*(rider=M$11)</f>
        <v>#N/A</v>
      </c>
      <c r="N113" s="150" t="e">
        <f ca="1">INDEX(IF(gender="Male",tblCIR2Rate[Male],tblCIR2Rate[Female]),MATCH(tblRiderCF[[#This Row],[Age]],tblCIR2Rate[Age],0))/1000*tblRiderCF[[#This Row],[SI]]
*(rider=N$11)</f>
        <v>#N/A</v>
      </c>
      <c r="O113" s="150" t="e">
        <f>INDEX(tblHOP2Rate[Premium],MATCH(hop2_option,tblHOP2Rate[Option],0))
*(rider=O$11)</f>
        <v>#N/A</v>
      </c>
      <c r="P113" s="150" t="e">
        <f ca="1">INDEX(Tariff!$CC$5:$CS$44,
MATCH(tblRiderCF[[#This Row],[Age]],Tariff!$CB$5:$CB$44,0),
MATCH(term+1-tblRiderCF[[#This Row],[Year]],Tariff!$CC$4:$CS$4,0))
*(rider=P$11)</f>
        <v>#N/A</v>
      </c>
      <c r="Q113" s="150" t="e">
        <f ca="1">INDEX(IF(gender="Male",Tariff!$AI$55:$BY$97,Tariff!$AI$5:$BY$47),
MATCH(entry_age,Tariff!$AH$5:$AH$47,0),
MATCH(term,Tariff!$AI$4:$BY$4,0))*(term-tblRiderCF[[#This Row],[Year]]+1)*tblRiderCF[[#This Row],[SI]]/1000
*(rider=Q$11)</f>
        <v>#N/A</v>
      </c>
      <c r="R113" s="150" t="e">
        <f ca="1">VLOOKUP(tblRiderCF[[#This Row],[Age]],tblWOP2Rate[],IF(gender="Male",2,3),FALSE)
*VLOOKUP(term-tblRiderCF[[#This Row],[Year]],tblWOP2DiscountFactor[],2,FALSE)
*tblRiderCF[[#This Row],[SI]]/1000
*(rider=R$11)</f>
        <v>#N/A</v>
      </c>
      <c r="S113" s="150" t="e">
        <f ca="1">INDEX(tblRiderCF[[#This Row],[ADD1UnroundedPrem]:[WOP2UnroundedPrem]],MATCH(rider,$K$11:$R$11,0))
*tblRiderCF[[#This Row],[RiderTermFlag]]</f>
        <v>#N/A</v>
      </c>
      <c r="T113" s="150" t="e">
        <f ca="1">tblRiderCF[[#This Row],[UnroundedPrem]]*prem_load</f>
        <v>#N/A</v>
      </c>
      <c r="U113" s="150" t="e">
        <f ca="1">pm_load/1000*tblRiderCF[[#This Row],[SI]]
*tblRiderCF[[#This Row],[RiderTermFlag]]</f>
        <v>#N/A</v>
      </c>
      <c r="V113" s="151" t="e">
        <f ca="1">ROUND(tblRiderCF[[#This Row],[UnroundedPrem]]*V$10,-3)</f>
        <v>#N/A</v>
      </c>
      <c r="W113" t="e">
        <f ca="1">ROUND(tblRiderCF[[#This Row],[UnroundedPremLoad]]*W$10,-3)</f>
        <v>#N/A</v>
      </c>
      <c r="X113" t="e">
        <f ca="1">ROUND(tblRiderCF[[#This Row],[UnroundedPMLoad]]*X$10,-3)</f>
        <v>#N/A</v>
      </c>
      <c r="Y113" t="e">
        <f ca="1">tblRiderCF[[#This Row],[PremLoad]]+tblRiderCF[[#This Row],[PMLoad]]</f>
        <v>#N/A</v>
      </c>
      <c r="Z113" t="e">
        <f ca="1">tblRiderCF[[#This Row],[Prem]]+tblRiderCF[[#This Row],[Load]]</f>
        <v>#N/A</v>
      </c>
      <c r="AA113" t="e">
        <f ca="1">ROUND(tblRiderCF[[#This Row],[UnroundedPrem]]*AA$10,-3)</f>
        <v>#N/A</v>
      </c>
      <c r="AB113" t="e">
        <f ca="1">ROUND(tblRiderCF[[#This Row],[UnroundedPremLoad]]*AB$10,-3)</f>
        <v>#N/A</v>
      </c>
      <c r="AC113" t="e">
        <f ca="1">ROUND(tblRiderCF[[#This Row],[UnroundedPMLoad]]*AC$10,-3)</f>
        <v>#N/A</v>
      </c>
      <c r="AD113" t="e">
        <f ca="1">tblRiderCF[[#This Row],[SemiAnnualPremLoad]]+tblRiderCF[[#This Row],[SemiAnnualPMLoad]]</f>
        <v>#N/A</v>
      </c>
      <c r="AE113" t="e">
        <f ca="1">tblRiderCF[[#This Row],[SemiAnnualPrem]]+tblRiderCF[[#This Row],[SemiAnnualLoad]]</f>
        <v>#N/A</v>
      </c>
      <c r="AF113" t="e">
        <f ca="1">ROUND(tblRiderCF[[#This Row],[UnroundedPrem]]*AF$10,-3)</f>
        <v>#N/A</v>
      </c>
      <c r="AG113" t="e">
        <f ca="1">ROUND(tblRiderCF[[#This Row],[UnroundedPremLoad]]*AG$10,-3)</f>
        <v>#N/A</v>
      </c>
      <c r="AH113" t="e">
        <f ca="1">ROUND(tblRiderCF[[#This Row],[UnroundedPMLoad]]*AH$10,-3)</f>
        <v>#N/A</v>
      </c>
      <c r="AI113" t="e">
        <f ca="1">tblRiderCF[[#This Row],[QuarterlyPremLoad]]+tblRiderCF[[#This Row],[QuarterlyPMLoad]]</f>
        <v>#N/A</v>
      </c>
      <c r="AJ113" t="e">
        <f ca="1">tblRiderCF[[#This Row],[QuarterlyPrem]]+tblRiderCF[[#This Row],[QuarterlyLoad]]</f>
        <v>#N/A</v>
      </c>
      <c r="AK113" t="e">
        <f ca="1">ROUND(tblRiderCF[[#This Row],[UnroundedPrem]]*AK$10,-3)</f>
        <v>#N/A</v>
      </c>
      <c r="AL113" t="e">
        <f ca="1">ROUND(tblRiderCF[[#This Row],[UnroundedPremLoad]]*AL$10,-3)</f>
        <v>#N/A</v>
      </c>
      <c r="AM113" t="e">
        <f ca="1">ROUND(tblRiderCF[[#This Row],[UnroundedPMLoad]]*AM$10,-3)</f>
        <v>#N/A</v>
      </c>
      <c r="AN113" t="e">
        <f ca="1">tblRiderCF[[#This Row],[MonthlyPremLoad]]+tblRiderCF[[#This Row],[MonthlyPMLoad]]</f>
        <v>#N/A</v>
      </c>
      <c r="AO113" t="e">
        <f ca="1">tblRiderCF[[#This Row],[MonthlyPrem]]+tblRiderCF[[#This Row],[MonthlyLoad]]</f>
        <v>#N/A</v>
      </c>
      <c r="AS113">
        <f t="shared" si="9"/>
        <v>0</v>
      </c>
      <c r="AT113">
        <f t="shared" si="10"/>
        <v>0</v>
      </c>
      <c r="AU113">
        <f ca="1">tblRiderCF[[#This Row],[Year]]</f>
        <v>100</v>
      </c>
      <c r="AV113" t="e">
        <f ca="1">tblRiderCF[[#This Row],[Age]]</f>
        <v>#N/A</v>
      </c>
      <c r="AW113">
        <f t="shared" si="11"/>
        <v>0</v>
      </c>
      <c r="AX113" t="e">
        <f t="shared" si="12"/>
        <v>#N/A</v>
      </c>
      <c r="AY113">
        <f t="shared" si="13"/>
        <v>0</v>
      </c>
      <c r="AZ113" s="47" t="e">
        <f ca="1">tblRiderCF[[#This Row],[SI]]</f>
        <v>#N/A</v>
      </c>
      <c r="BA113" t="e">
        <f ca="1">tblRiderCF[[#This Row],[TotalPrem]]</f>
        <v>#N/A</v>
      </c>
      <c r="BB113" t="e">
        <f ca="1">tblRiderCF[[#This Row],[SemiAnnualTotalPrem]]</f>
        <v>#N/A</v>
      </c>
      <c r="BC113" t="e">
        <f ca="1">tblRiderCF[[#This Row],[QuarterlyTotalPrem]]</f>
        <v>#N/A</v>
      </c>
      <c r="BD113" t="e">
        <f ca="1">tblRiderCF[[#This Row],[MonthlyTotalPrem]]</f>
        <v>#N/A</v>
      </c>
      <c r="BG113" t="s">
        <v>135</v>
      </c>
      <c r="BH113" t="s">
        <v>186</v>
      </c>
      <c r="BI113">
        <v>9</v>
      </c>
      <c r="BJ113">
        <v>8</v>
      </c>
      <c r="BK113" t="s">
        <v>485</v>
      </c>
      <c r="BL113">
        <v>71</v>
      </c>
      <c r="BM113">
        <v>0</v>
      </c>
      <c r="BN113">
        <v>120000000</v>
      </c>
      <c r="BO113">
        <v>537000</v>
      </c>
      <c r="BP113">
        <v>279000</v>
      </c>
      <c r="BQ113">
        <v>142000</v>
      </c>
      <c r="BR113">
        <v>48000</v>
      </c>
    </row>
    <row r="114" spans="2:70" x14ac:dyDescent="0.25">
      <c r="BG114" t="s">
        <v>135</v>
      </c>
      <c r="BH114" t="s">
        <v>186</v>
      </c>
      <c r="BI114">
        <v>10</v>
      </c>
      <c r="BJ114">
        <v>9</v>
      </c>
      <c r="BK114" t="s">
        <v>485</v>
      </c>
      <c r="BL114">
        <v>71</v>
      </c>
      <c r="BM114">
        <v>0</v>
      </c>
      <c r="BN114">
        <v>120000000</v>
      </c>
      <c r="BO114">
        <v>537000</v>
      </c>
      <c r="BP114">
        <v>279000</v>
      </c>
      <c r="BQ114">
        <v>142000</v>
      </c>
      <c r="BR114">
        <v>48000</v>
      </c>
    </row>
    <row r="115" spans="2:70" x14ac:dyDescent="0.25">
      <c r="BG115" t="s">
        <v>135</v>
      </c>
      <c r="BH115" t="s">
        <v>186</v>
      </c>
      <c r="BI115">
        <v>11</v>
      </c>
      <c r="BJ115">
        <v>10</v>
      </c>
      <c r="BK115" t="s">
        <v>485</v>
      </c>
      <c r="BL115">
        <v>71</v>
      </c>
      <c r="BM115">
        <v>0</v>
      </c>
      <c r="BN115">
        <v>120000000</v>
      </c>
      <c r="BO115">
        <v>537000</v>
      </c>
      <c r="BP115">
        <v>279000</v>
      </c>
      <c r="BQ115">
        <v>142000</v>
      </c>
      <c r="BR115">
        <v>48000</v>
      </c>
    </row>
    <row r="116" spans="2:70" x14ac:dyDescent="0.25">
      <c r="BG116" t="s">
        <v>135</v>
      </c>
      <c r="BH116" t="s">
        <v>186</v>
      </c>
      <c r="BI116">
        <v>12</v>
      </c>
      <c r="BJ116">
        <v>11</v>
      </c>
      <c r="BK116" t="s">
        <v>485</v>
      </c>
      <c r="BL116">
        <v>71</v>
      </c>
      <c r="BM116">
        <v>0</v>
      </c>
      <c r="BN116">
        <v>120000000</v>
      </c>
      <c r="BO116">
        <v>537000</v>
      </c>
      <c r="BP116">
        <v>279000</v>
      </c>
      <c r="BQ116">
        <v>142000</v>
      </c>
      <c r="BR116">
        <v>48000</v>
      </c>
    </row>
    <row r="117" spans="2:70" x14ac:dyDescent="0.25">
      <c r="BG117" t="s">
        <v>135</v>
      </c>
      <c r="BH117" t="s">
        <v>186</v>
      </c>
      <c r="BI117">
        <v>13</v>
      </c>
      <c r="BJ117">
        <v>12</v>
      </c>
      <c r="BK117" t="s">
        <v>485</v>
      </c>
      <c r="BL117">
        <v>71</v>
      </c>
      <c r="BM117">
        <v>0</v>
      </c>
      <c r="BN117">
        <v>120000000</v>
      </c>
      <c r="BO117">
        <v>537000</v>
      </c>
      <c r="BP117">
        <v>279000</v>
      </c>
      <c r="BQ117">
        <v>142000</v>
      </c>
      <c r="BR117">
        <v>48000</v>
      </c>
    </row>
    <row r="118" spans="2:70" x14ac:dyDescent="0.25">
      <c r="BG118" t="s">
        <v>135</v>
      </c>
      <c r="BH118" t="s">
        <v>186</v>
      </c>
      <c r="BI118">
        <v>14</v>
      </c>
      <c r="BJ118">
        <v>13</v>
      </c>
      <c r="BK118" t="s">
        <v>485</v>
      </c>
      <c r="BL118">
        <v>71</v>
      </c>
      <c r="BM118">
        <v>0</v>
      </c>
      <c r="BN118">
        <v>120000000</v>
      </c>
      <c r="BO118">
        <v>537000</v>
      </c>
      <c r="BP118">
        <v>279000</v>
      </c>
      <c r="BQ118">
        <v>142000</v>
      </c>
      <c r="BR118">
        <v>48000</v>
      </c>
    </row>
    <row r="119" spans="2:70" x14ac:dyDescent="0.25">
      <c r="BG119" t="s">
        <v>135</v>
      </c>
      <c r="BH119" t="s">
        <v>186</v>
      </c>
      <c r="BI119">
        <v>15</v>
      </c>
      <c r="BJ119">
        <v>14</v>
      </c>
      <c r="BK119" t="s">
        <v>485</v>
      </c>
      <c r="BL119">
        <v>71</v>
      </c>
      <c r="BM119">
        <v>0</v>
      </c>
      <c r="BN119">
        <v>120000000</v>
      </c>
      <c r="BO119">
        <v>537000</v>
      </c>
      <c r="BP119">
        <v>279000</v>
      </c>
      <c r="BQ119">
        <v>142000</v>
      </c>
      <c r="BR119">
        <v>48000</v>
      </c>
    </row>
    <row r="120" spans="2:70" x14ac:dyDescent="0.25">
      <c r="BG120" t="s">
        <v>135</v>
      </c>
      <c r="BH120" t="s">
        <v>186</v>
      </c>
      <c r="BI120">
        <v>16</v>
      </c>
      <c r="BJ120">
        <v>15</v>
      </c>
      <c r="BK120" t="s">
        <v>485</v>
      </c>
      <c r="BL120">
        <v>71</v>
      </c>
      <c r="BM120">
        <v>0</v>
      </c>
      <c r="BN120">
        <v>120000000</v>
      </c>
      <c r="BO120">
        <v>537000</v>
      </c>
      <c r="BP120">
        <v>279000</v>
      </c>
      <c r="BQ120">
        <v>142000</v>
      </c>
      <c r="BR120">
        <v>48000</v>
      </c>
    </row>
    <row r="121" spans="2:70" x14ac:dyDescent="0.25">
      <c r="BG121" t="s">
        <v>135</v>
      </c>
      <c r="BH121" t="s">
        <v>186</v>
      </c>
      <c r="BI121">
        <v>17</v>
      </c>
      <c r="BJ121">
        <v>16</v>
      </c>
      <c r="BK121" t="s">
        <v>485</v>
      </c>
      <c r="BL121">
        <v>71</v>
      </c>
      <c r="BM121">
        <v>0</v>
      </c>
      <c r="BN121">
        <v>120000000</v>
      </c>
      <c r="BO121">
        <v>537000</v>
      </c>
      <c r="BP121">
        <v>279000</v>
      </c>
      <c r="BQ121">
        <v>142000</v>
      </c>
      <c r="BR121">
        <v>48000</v>
      </c>
    </row>
    <row r="122" spans="2:70" x14ac:dyDescent="0.25">
      <c r="BG122" t="s">
        <v>135</v>
      </c>
      <c r="BH122" t="s">
        <v>186</v>
      </c>
      <c r="BI122">
        <v>18</v>
      </c>
      <c r="BJ122">
        <v>17</v>
      </c>
      <c r="BK122" t="s">
        <v>485</v>
      </c>
      <c r="BL122">
        <v>71</v>
      </c>
      <c r="BM122">
        <v>0</v>
      </c>
      <c r="BN122">
        <v>120000000</v>
      </c>
      <c r="BO122">
        <v>537000</v>
      </c>
      <c r="BP122">
        <v>279000</v>
      </c>
      <c r="BQ122">
        <v>142000</v>
      </c>
      <c r="BR122">
        <v>48000</v>
      </c>
    </row>
    <row r="123" spans="2:70" x14ac:dyDescent="0.25">
      <c r="BG123" t="s">
        <v>135</v>
      </c>
      <c r="BH123" t="s">
        <v>186</v>
      </c>
      <c r="BI123">
        <v>19</v>
      </c>
      <c r="BJ123">
        <v>18</v>
      </c>
      <c r="BK123" t="s">
        <v>485</v>
      </c>
      <c r="BL123">
        <v>71</v>
      </c>
      <c r="BM123">
        <v>0</v>
      </c>
      <c r="BN123">
        <v>120000000</v>
      </c>
      <c r="BO123">
        <v>537000</v>
      </c>
      <c r="BP123">
        <v>279000</v>
      </c>
      <c r="BQ123">
        <v>142000</v>
      </c>
      <c r="BR123">
        <v>48000</v>
      </c>
    </row>
    <row r="124" spans="2:70" x14ac:dyDescent="0.25">
      <c r="BG124" t="s">
        <v>135</v>
      </c>
      <c r="BH124" t="s">
        <v>186</v>
      </c>
      <c r="BI124">
        <v>20</v>
      </c>
      <c r="BJ124">
        <v>19</v>
      </c>
      <c r="BK124" t="s">
        <v>485</v>
      </c>
      <c r="BL124">
        <v>71</v>
      </c>
      <c r="BM124">
        <v>0</v>
      </c>
      <c r="BN124">
        <v>120000000</v>
      </c>
      <c r="BO124">
        <v>537000</v>
      </c>
      <c r="BP124">
        <v>279000</v>
      </c>
      <c r="BQ124">
        <v>142000</v>
      </c>
      <c r="BR124">
        <v>48000</v>
      </c>
    </row>
    <row r="125" spans="2:70" x14ac:dyDescent="0.25">
      <c r="BG125" t="s">
        <v>135</v>
      </c>
      <c r="BH125" t="s">
        <v>186</v>
      </c>
      <c r="BI125">
        <v>21</v>
      </c>
      <c r="BJ125">
        <v>20</v>
      </c>
      <c r="BK125" t="s">
        <v>485</v>
      </c>
      <c r="BL125">
        <v>71</v>
      </c>
      <c r="BM125">
        <v>0</v>
      </c>
      <c r="BN125">
        <v>120000000</v>
      </c>
      <c r="BO125">
        <v>537000</v>
      </c>
      <c r="BP125">
        <v>279000</v>
      </c>
      <c r="BQ125">
        <v>142000</v>
      </c>
      <c r="BR125">
        <v>48000</v>
      </c>
    </row>
    <row r="126" spans="2:70" x14ac:dyDescent="0.25">
      <c r="BG126" t="s">
        <v>135</v>
      </c>
      <c r="BH126" t="s">
        <v>186</v>
      </c>
      <c r="BI126">
        <v>22</v>
      </c>
      <c r="BJ126">
        <v>21</v>
      </c>
      <c r="BK126" t="s">
        <v>485</v>
      </c>
      <c r="BL126">
        <v>71</v>
      </c>
      <c r="BM126">
        <v>0</v>
      </c>
      <c r="BN126">
        <v>120000000</v>
      </c>
      <c r="BO126">
        <v>537000</v>
      </c>
      <c r="BP126">
        <v>279000</v>
      </c>
      <c r="BQ126">
        <v>142000</v>
      </c>
      <c r="BR126">
        <v>48000</v>
      </c>
    </row>
    <row r="127" spans="2:70" x14ac:dyDescent="0.25">
      <c r="BG127" t="s">
        <v>135</v>
      </c>
      <c r="BH127" t="s">
        <v>186</v>
      </c>
      <c r="BI127">
        <v>23</v>
      </c>
      <c r="BJ127">
        <v>22</v>
      </c>
      <c r="BK127" t="s">
        <v>485</v>
      </c>
      <c r="BL127">
        <v>71</v>
      </c>
      <c r="BM127">
        <v>0</v>
      </c>
      <c r="BN127">
        <v>120000000</v>
      </c>
      <c r="BO127">
        <v>537000</v>
      </c>
      <c r="BP127">
        <v>279000</v>
      </c>
      <c r="BQ127">
        <v>142000</v>
      </c>
      <c r="BR127">
        <v>48000</v>
      </c>
    </row>
    <row r="128" spans="2:70" x14ac:dyDescent="0.25">
      <c r="BG128" t="s">
        <v>135</v>
      </c>
      <c r="BH128" t="s">
        <v>186</v>
      </c>
      <c r="BI128">
        <v>24</v>
      </c>
      <c r="BJ128">
        <v>23</v>
      </c>
      <c r="BK128" t="s">
        <v>485</v>
      </c>
      <c r="BL128">
        <v>71</v>
      </c>
      <c r="BM128">
        <v>0</v>
      </c>
      <c r="BN128">
        <v>120000000</v>
      </c>
      <c r="BO128">
        <v>537000</v>
      </c>
      <c r="BP128">
        <v>279000</v>
      </c>
      <c r="BQ128">
        <v>142000</v>
      </c>
      <c r="BR128">
        <v>48000</v>
      </c>
    </row>
    <row r="129" spans="59:70" x14ac:dyDescent="0.25">
      <c r="BG129" t="s">
        <v>135</v>
      </c>
      <c r="BH129" t="s">
        <v>186</v>
      </c>
      <c r="BI129">
        <v>25</v>
      </c>
      <c r="BJ129">
        <v>24</v>
      </c>
      <c r="BK129" t="s">
        <v>485</v>
      </c>
      <c r="BL129">
        <v>71</v>
      </c>
      <c r="BM129">
        <v>0</v>
      </c>
      <c r="BN129">
        <v>120000000</v>
      </c>
      <c r="BO129">
        <v>537000</v>
      </c>
      <c r="BP129">
        <v>279000</v>
      </c>
      <c r="BQ129">
        <v>142000</v>
      </c>
      <c r="BR129">
        <v>48000</v>
      </c>
    </row>
    <row r="130" spans="59:70" x14ac:dyDescent="0.25">
      <c r="BG130" t="s">
        <v>135</v>
      </c>
      <c r="BH130" t="s">
        <v>186</v>
      </c>
      <c r="BI130">
        <v>26</v>
      </c>
      <c r="BJ130">
        <v>25</v>
      </c>
      <c r="BK130" t="s">
        <v>485</v>
      </c>
      <c r="BL130">
        <v>71</v>
      </c>
      <c r="BM130">
        <v>0</v>
      </c>
      <c r="BN130">
        <v>120000000</v>
      </c>
      <c r="BO130">
        <v>537000</v>
      </c>
      <c r="BP130">
        <v>279000</v>
      </c>
      <c r="BQ130">
        <v>142000</v>
      </c>
      <c r="BR130">
        <v>48000</v>
      </c>
    </row>
    <row r="131" spans="59:70" x14ac:dyDescent="0.25">
      <c r="BG131" t="s">
        <v>135</v>
      </c>
      <c r="BH131" t="s">
        <v>186</v>
      </c>
      <c r="BI131">
        <v>27</v>
      </c>
      <c r="BJ131">
        <v>26</v>
      </c>
      <c r="BK131" t="s">
        <v>485</v>
      </c>
      <c r="BL131">
        <v>71</v>
      </c>
      <c r="BM131">
        <v>0</v>
      </c>
      <c r="BN131">
        <v>120000000</v>
      </c>
      <c r="BO131">
        <v>537000</v>
      </c>
      <c r="BP131">
        <v>279000</v>
      </c>
      <c r="BQ131">
        <v>142000</v>
      </c>
      <c r="BR131">
        <v>48000</v>
      </c>
    </row>
    <row r="132" spans="59:70" x14ac:dyDescent="0.25">
      <c r="BG132" t="s">
        <v>135</v>
      </c>
      <c r="BH132" t="s">
        <v>186</v>
      </c>
      <c r="BI132">
        <v>28</v>
      </c>
      <c r="BJ132">
        <v>27</v>
      </c>
      <c r="BK132" t="s">
        <v>485</v>
      </c>
      <c r="BL132">
        <v>71</v>
      </c>
      <c r="BM132">
        <v>0</v>
      </c>
      <c r="BN132">
        <v>120000000</v>
      </c>
      <c r="BO132">
        <v>537000</v>
      </c>
      <c r="BP132">
        <v>279000</v>
      </c>
      <c r="BQ132">
        <v>142000</v>
      </c>
      <c r="BR132">
        <v>48000</v>
      </c>
    </row>
    <row r="133" spans="59:70" x14ac:dyDescent="0.25">
      <c r="BG133" t="s">
        <v>135</v>
      </c>
      <c r="BH133" t="s">
        <v>186</v>
      </c>
      <c r="BI133">
        <v>29</v>
      </c>
      <c r="BJ133">
        <v>28</v>
      </c>
      <c r="BK133" t="s">
        <v>485</v>
      </c>
      <c r="BL133">
        <v>71</v>
      </c>
      <c r="BM133">
        <v>0</v>
      </c>
      <c r="BN133">
        <v>120000000</v>
      </c>
      <c r="BO133">
        <v>537000</v>
      </c>
      <c r="BP133">
        <v>279000</v>
      </c>
      <c r="BQ133">
        <v>142000</v>
      </c>
      <c r="BR133">
        <v>48000</v>
      </c>
    </row>
    <row r="134" spans="59:70" x14ac:dyDescent="0.25">
      <c r="BG134" t="s">
        <v>135</v>
      </c>
      <c r="BH134" t="s">
        <v>186</v>
      </c>
      <c r="BI134">
        <v>30</v>
      </c>
      <c r="BJ134">
        <v>29</v>
      </c>
      <c r="BK134" t="s">
        <v>485</v>
      </c>
      <c r="BL134">
        <v>71</v>
      </c>
      <c r="BM134">
        <v>0</v>
      </c>
      <c r="BN134">
        <v>120000000</v>
      </c>
      <c r="BO134">
        <v>537000</v>
      </c>
      <c r="BP134">
        <v>279000</v>
      </c>
      <c r="BQ134">
        <v>142000</v>
      </c>
      <c r="BR134">
        <v>48000</v>
      </c>
    </row>
    <row r="135" spans="59:70" x14ac:dyDescent="0.25">
      <c r="BG135" t="s">
        <v>135</v>
      </c>
      <c r="BH135" t="s">
        <v>186</v>
      </c>
      <c r="BI135">
        <v>31</v>
      </c>
      <c r="BJ135">
        <v>30</v>
      </c>
      <c r="BK135" t="s">
        <v>485</v>
      </c>
      <c r="BL135">
        <v>71</v>
      </c>
      <c r="BM135">
        <v>0</v>
      </c>
      <c r="BN135">
        <v>120000000</v>
      </c>
      <c r="BO135">
        <v>537000</v>
      </c>
      <c r="BP135">
        <v>279000</v>
      </c>
      <c r="BQ135">
        <v>142000</v>
      </c>
      <c r="BR135">
        <v>48000</v>
      </c>
    </row>
    <row r="136" spans="59:70" x14ac:dyDescent="0.25">
      <c r="BG136" t="s">
        <v>135</v>
      </c>
      <c r="BH136" t="s">
        <v>186</v>
      </c>
      <c r="BI136">
        <v>32</v>
      </c>
      <c r="BJ136">
        <v>31</v>
      </c>
      <c r="BK136" t="s">
        <v>485</v>
      </c>
      <c r="BL136">
        <v>71</v>
      </c>
      <c r="BM136">
        <v>0</v>
      </c>
      <c r="BN136">
        <v>120000000</v>
      </c>
      <c r="BO136">
        <v>537000</v>
      </c>
      <c r="BP136">
        <v>279000</v>
      </c>
      <c r="BQ136">
        <v>142000</v>
      </c>
      <c r="BR136">
        <v>48000</v>
      </c>
    </row>
    <row r="137" spans="59:70" x14ac:dyDescent="0.25">
      <c r="BG137" t="s">
        <v>135</v>
      </c>
      <c r="BH137" t="s">
        <v>186</v>
      </c>
      <c r="BI137">
        <v>33</v>
      </c>
      <c r="BJ137">
        <v>32</v>
      </c>
      <c r="BK137" t="s">
        <v>485</v>
      </c>
      <c r="BL137">
        <v>71</v>
      </c>
      <c r="BM137">
        <v>0</v>
      </c>
      <c r="BN137">
        <v>120000000</v>
      </c>
      <c r="BO137">
        <v>537000</v>
      </c>
      <c r="BP137">
        <v>279000</v>
      </c>
      <c r="BQ137">
        <v>142000</v>
      </c>
      <c r="BR137">
        <v>48000</v>
      </c>
    </row>
    <row r="138" spans="59:70" x14ac:dyDescent="0.25">
      <c r="BG138" t="s">
        <v>135</v>
      </c>
      <c r="BH138" t="s">
        <v>186</v>
      </c>
      <c r="BI138">
        <v>34</v>
      </c>
      <c r="BJ138">
        <v>33</v>
      </c>
      <c r="BK138" t="s">
        <v>485</v>
      </c>
      <c r="BL138">
        <v>71</v>
      </c>
      <c r="BM138">
        <v>0</v>
      </c>
      <c r="BN138">
        <v>120000000</v>
      </c>
      <c r="BO138">
        <v>537000</v>
      </c>
      <c r="BP138">
        <v>279000</v>
      </c>
      <c r="BQ138">
        <v>142000</v>
      </c>
      <c r="BR138">
        <v>48000</v>
      </c>
    </row>
    <row r="139" spans="59:70" x14ac:dyDescent="0.25">
      <c r="BG139" t="s">
        <v>135</v>
      </c>
      <c r="BH139" t="s">
        <v>186</v>
      </c>
      <c r="BI139">
        <v>35</v>
      </c>
      <c r="BJ139">
        <v>34</v>
      </c>
      <c r="BK139" t="s">
        <v>485</v>
      </c>
      <c r="BL139">
        <v>71</v>
      </c>
      <c r="BM139">
        <v>0</v>
      </c>
      <c r="BN139">
        <v>120000000</v>
      </c>
      <c r="BO139">
        <v>537000</v>
      </c>
      <c r="BP139">
        <v>279000</v>
      </c>
      <c r="BQ139">
        <v>142000</v>
      </c>
      <c r="BR139">
        <v>48000</v>
      </c>
    </row>
    <row r="140" spans="59:70" x14ac:dyDescent="0.25">
      <c r="BG140" t="s">
        <v>135</v>
      </c>
      <c r="BH140" t="s">
        <v>186</v>
      </c>
      <c r="BI140">
        <v>36</v>
      </c>
      <c r="BJ140">
        <v>35</v>
      </c>
      <c r="BK140" t="s">
        <v>485</v>
      </c>
      <c r="BL140">
        <v>71</v>
      </c>
      <c r="BM140">
        <v>0</v>
      </c>
      <c r="BN140">
        <v>120000000</v>
      </c>
      <c r="BO140">
        <v>537000</v>
      </c>
      <c r="BP140">
        <v>279000</v>
      </c>
      <c r="BQ140">
        <v>142000</v>
      </c>
      <c r="BR140">
        <v>48000</v>
      </c>
    </row>
    <row r="141" spans="59:70" x14ac:dyDescent="0.25">
      <c r="BG141" t="s">
        <v>135</v>
      </c>
      <c r="BH141" t="s">
        <v>186</v>
      </c>
      <c r="BI141">
        <v>37</v>
      </c>
      <c r="BJ141">
        <v>36</v>
      </c>
      <c r="BK141" t="s">
        <v>485</v>
      </c>
      <c r="BL141">
        <v>71</v>
      </c>
      <c r="BM141">
        <v>0</v>
      </c>
      <c r="BN141">
        <v>120000000</v>
      </c>
      <c r="BO141">
        <v>537000</v>
      </c>
      <c r="BP141">
        <v>279000</v>
      </c>
      <c r="BQ141">
        <v>142000</v>
      </c>
      <c r="BR141">
        <v>48000</v>
      </c>
    </row>
    <row r="142" spans="59:70" x14ac:dyDescent="0.25">
      <c r="BG142" t="s">
        <v>135</v>
      </c>
      <c r="BH142" t="s">
        <v>186</v>
      </c>
      <c r="BI142">
        <v>38</v>
      </c>
      <c r="BJ142">
        <v>37</v>
      </c>
      <c r="BK142" t="s">
        <v>485</v>
      </c>
      <c r="BL142">
        <v>71</v>
      </c>
      <c r="BM142">
        <v>0</v>
      </c>
      <c r="BN142">
        <v>120000000</v>
      </c>
      <c r="BO142">
        <v>537000</v>
      </c>
      <c r="BP142">
        <v>279000</v>
      </c>
      <c r="BQ142">
        <v>142000</v>
      </c>
      <c r="BR142">
        <v>48000</v>
      </c>
    </row>
    <row r="143" spans="59:70" x14ac:dyDescent="0.25">
      <c r="BG143" t="s">
        <v>135</v>
      </c>
      <c r="BH143" t="s">
        <v>186</v>
      </c>
      <c r="BI143">
        <v>39</v>
      </c>
      <c r="BJ143">
        <v>38</v>
      </c>
      <c r="BK143" t="s">
        <v>485</v>
      </c>
      <c r="BL143">
        <v>71</v>
      </c>
      <c r="BM143">
        <v>0</v>
      </c>
      <c r="BN143">
        <v>120000000</v>
      </c>
      <c r="BO143">
        <v>537000</v>
      </c>
      <c r="BP143">
        <v>279000</v>
      </c>
      <c r="BQ143">
        <v>142000</v>
      </c>
      <c r="BR143">
        <v>48000</v>
      </c>
    </row>
    <row r="144" spans="59:70" x14ac:dyDescent="0.25">
      <c r="BG144" t="s">
        <v>135</v>
      </c>
      <c r="BH144" t="s">
        <v>186</v>
      </c>
      <c r="BI144">
        <v>40</v>
      </c>
      <c r="BJ144">
        <v>39</v>
      </c>
      <c r="BK144" t="s">
        <v>485</v>
      </c>
      <c r="BL144">
        <v>71</v>
      </c>
      <c r="BM144">
        <v>0</v>
      </c>
      <c r="BN144">
        <v>120000000</v>
      </c>
      <c r="BO144">
        <v>537000</v>
      </c>
      <c r="BP144">
        <v>279000</v>
      </c>
      <c r="BQ144">
        <v>142000</v>
      </c>
      <c r="BR144">
        <v>48000</v>
      </c>
    </row>
    <row r="145" spans="59:70" x14ac:dyDescent="0.25">
      <c r="BG145" t="s">
        <v>135</v>
      </c>
      <c r="BH145" t="s">
        <v>186</v>
      </c>
      <c r="BI145">
        <v>41</v>
      </c>
      <c r="BJ145">
        <v>40</v>
      </c>
      <c r="BK145" t="s">
        <v>485</v>
      </c>
      <c r="BL145">
        <v>71</v>
      </c>
      <c r="BM145">
        <v>0</v>
      </c>
      <c r="BN145">
        <v>120000000</v>
      </c>
      <c r="BO145">
        <v>537000</v>
      </c>
      <c r="BP145">
        <v>279000</v>
      </c>
      <c r="BQ145">
        <v>142000</v>
      </c>
      <c r="BR145">
        <v>48000</v>
      </c>
    </row>
    <row r="146" spans="59:70" x14ac:dyDescent="0.25">
      <c r="BG146" t="s">
        <v>135</v>
      </c>
      <c r="BH146" t="s">
        <v>186</v>
      </c>
      <c r="BI146">
        <v>42</v>
      </c>
      <c r="BJ146">
        <v>41</v>
      </c>
      <c r="BK146" t="s">
        <v>485</v>
      </c>
      <c r="BL146">
        <v>71</v>
      </c>
      <c r="BM146">
        <v>0</v>
      </c>
      <c r="BN146">
        <v>120000000</v>
      </c>
      <c r="BO146">
        <v>537000</v>
      </c>
      <c r="BP146">
        <v>279000</v>
      </c>
      <c r="BQ146">
        <v>142000</v>
      </c>
      <c r="BR146">
        <v>48000</v>
      </c>
    </row>
    <row r="147" spans="59:70" x14ac:dyDescent="0.25">
      <c r="BG147" t="s">
        <v>135</v>
      </c>
      <c r="BH147" t="s">
        <v>186</v>
      </c>
      <c r="BI147">
        <v>43</v>
      </c>
      <c r="BJ147">
        <v>42</v>
      </c>
      <c r="BK147" t="s">
        <v>485</v>
      </c>
      <c r="BL147">
        <v>71</v>
      </c>
      <c r="BM147">
        <v>0</v>
      </c>
      <c r="BN147">
        <v>120000000</v>
      </c>
      <c r="BO147">
        <v>537000</v>
      </c>
      <c r="BP147">
        <v>279000</v>
      </c>
      <c r="BQ147">
        <v>142000</v>
      </c>
      <c r="BR147">
        <v>48000</v>
      </c>
    </row>
    <row r="148" spans="59:70" x14ac:dyDescent="0.25">
      <c r="BG148" t="s">
        <v>135</v>
      </c>
      <c r="BH148" t="s">
        <v>186</v>
      </c>
      <c r="BI148">
        <v>44</v>
      </c>
      <c r="BJ148">
        <v>43</v>
      </c>
      <c r="BK148" t="s">
        <v>485</v>
      </c>
      <c r="BL148">
        <v>71</v>
      </c>
      <c r="BM148">
        <v>0</v>
      </c>
      <c r="BN148">
        <v>120000000</v>
      </c>
      <c r="BO148">
        <v>537000</v>
      </c>
      <c r="BP148">
        <v>279000</v>
      </c>
      <c r="BQ148">
        <v>142000</v>
      </c>
      <c r="BR148">
        <v>48000</v>
      </c>
    </row>
    <row r="149" spans="59:70" x14ac:dyDescent="0.25">
      <c r="BG149" t="s">
        <v>135</v>
      </c>
      <c r="BH149" t="s">
        <v>186</v>
      </c>
      <c r="BI149">
        <v>45</v>
      </c>
      <c r="BJ149">
        <v>44</v>
      </c>
      <c r="BK149" t="s">
        <v>485</v>
      </c>
      <c r="BL149">
        <v>71</v>
      </c>
      <c r="BM149">
        <v>0</v>
      </c>
      <c r="BN149">
        <v>120000000</v>
      </c>
      <c r="BO149">
        <v>537000</v>
      </c>
      <c r="BP149">
        <v>279000</v>
      </c>
      <c r="BQ149">
        <v>142000</v>
      </c>
      <c r="BR149">
        <v>48000</v>
      </c>
    </row>
    <row r="150" spans="59:70" x14ac:dyDescent="0.25">
      <c r="BG150" t="s">
        <v>135</v>
      </c>
      <c r="BH150" t="s">
        <v>186</v>
      </c>
      <c r="BI150">
        <v>46</v>
      </c>
      <c r="BJ150">
        <v>45</v>
      </c>
      <c r="BK150" t="s">
        <v>485</v>
      </c>
      <c r="BL150">
        <v>71</v>
      </c>
      <c r="BM150">
        <v>0</v>
      </c>
      <c r="BN150">
        <v>120000000</v>
      </c>
      <c r="BO150">
        <v>537000</v>
      </c>
      <c r="BP150">
        <v>279000</v>
      </c>
      <c r="BQ150">
        <v>142000</v>
      </c>
      <c r="BR150">
        <v>48000</v>
      </c>
    </row>
    <row r="151" spans="59:70" x14ac:dyDescent="0.25">
      <c r="BG151" t="s">
        <v>135</v>
      </c>
      <c r="BH151" t="s">
        <v>186</v>
      </c>
      <c r="BI151">
        <v>47</v>
      </c>
      <c r="BJ151">
        <v>46</v>
      </c>
      <c r="BK151" t="s">
        <v>485</v>
      </c>
      <c r="BL151">
        <v>71</v>
      </c>
      <c r="BM151">
        <v>0</v>
      </c>
      <c r="BN151">
        <v>120000000</v>
      </c>
      <c r="BO151">
        <v>537000</v>
      </c>
      <c r="BP151">
        <v>279000</v>
      </c>
      <c r="BQ151">
        <v>142000</v>
      </c>
      <c r="BR151">
        <v>48000</v>
      </c>
    </row>
    <row r="152" spans="59:70" x14ac:dyDescent="0.25">
      <c r="BG152" t="s">
        <v>135</v>
      </c>
      <c r="BH152" t="s">
        <v>186</v>
      </c>
      <c r="BI152">
        <v>48</v>
      </c>
      <c r="BJ152">
        <v>47</v>
      </c>
      <c r="BK152" t="s">
        <v>485</v>
      </c>
      <c r="BL152">
        <v>71</v>
      </c>
      <c r="BM152">
        <v>0</v>
      </c>
      <c r="BN152">
        <v>120000000</v>
      </c>
      <c r="BO152">
        <v>537000</v>
      </c>
      <c r="BP152">
        <v>279000</v>
      </c>
      <c r="BQ152">
        <v>142000</v>
      </c>
      <c r="BR152">
        <v>48000</v>
      </c>
    </row>
    <row r="153" spans="59:70" x14ac:dyDescent="0.25">
      <c r="BG153" t="s">
        <v>135</v>
      </c>
      <c r="BH153" t="s">
        <v>186</v>
      </c>
      <c r="BI153">
        <v>49</v>
      </c>
      <c r="BJ153">
        <v>48</v>
      </c>
      <c r="BK153" t="s">
        <v>485</v>
      </c>
      <c r="BL153">
        <v>71</v>
      </c>
      <c r="BM153">
        <v>0</v>
      </c>
      <c r="BN153">
        <v>120000000</v>
      </c>
      <c r="BO153">
        <v>537000</v>
      </c>
      <c r="BP153">
        <v>279000</v>
      </c>
      <c r="BQ153">
        <v>142000</v>
      </c>
      <c r="BR153">
        <v>48000</v>
      </c>
    </row>
    <row r="154" spans="59:70" x14ac:dyDescent="0.25">
      <c r="BG154" t="s">
        <v>135</v>
      </c>
      <c r="BH154" t="s">
        <v>186</v>
      </c>
      <c r="BI154">
        <v>50</v>
      </c>
      <c r="BJ154">
        <v>49</v>
      </c>
      <c r="BK154" t="s">
        <v>485</v>
      </c>
      <c r="BL154">
        <v>71</v>
      </c>
      <c r="BM154">
        <v>0</v>
      </c>
      <c r="BN154">
        <v>120000000</v>
      </c>
      <c r="BO154">
        <v>537000</v>
      </c>
      <c r="BP154">
        <v>279000</v>
      </c>
      <c r="BQ154">
        <v>142000</v>
      </c>
      <c r="BR154">
        <v>48000</v>
      </c>
    </row>
    <row r="155" spans="59:70" x14ac:dyDescent="0.25">
      <c r="BG155" t="s">
        <v>135</v>
      </c>
      <c r="BH155" t="s">
        <v>186</v>
      </c>
      <c r="BI155">
        <v>51</v>
      </c>
      <c r="BJ155">
        <v>50</v>
      </c>
      <c r="BK155" t="s">
        <v>485</v>
      </c>
      <c r="BL155">
        <v>71</v>
      </c>
      <c r="BM155">
        <v>0</v>
      </c>
      <c r="BN155">
        <v>120000000</v>
      </c>
      <c r="BO155">
        <v>537000</v>
      </c>
      <c r="BP155">
        <v>279000</v>
      </c>
      <c r="BQ155">
        <v>142000</v>
      </c>
      <c r="BR155">
        <v>48000</v>
      </c>
    </row>
    <row r="156" spans="59:70" x14ac:dyDescent="0.25">
      <c r="BG156" t="s">
        <v>135</v>
      </c>
      <c r="BH156" t="s">
        <v>186</v>
      </c>
      <c r="BI156">
        <v>52</v>
      </c>
      <c r="BJ156">
        <v>51</v>
      </c>
      <c r="BK156" t="s">
        <v>485</v>
      </c>
      <c r="BL156">
        <v>71</v>
      </c>
      <c r="BM156">
        <v>0</v>
      </c>
      <c r="BN156">
        <v>120000000</v>
      </c>
      <c r="BO156">
        <v>537000</v>
      </c>
      <c r="BP156">
        <v>279000</v>
      </c>
      <c r="BQ156">
        <v>142000</v>
      </c>
      <c r="BR156">
        <v>48000</v>
      </c>
    </row>
    <row r="157" spans="59:70" x14ac:dyDescent="0.25">
      <c r="BG157" t="s">
        <v>135</v>
      </c>
      <c r="BH157" t="s">
        <v>186</v>
      </c>
      <c r="BI157">
        <v>53</v>
      </c>
      <c r="BJ157">
        <v>52</v>
      </c>
      <c r="BK157" t="s">
        <v>485</v>
      </c>
      <c r="BL157">
        <v>71</v>
      </c>
      <c r="BM157">
        <v>0</v>
      </c>
      <c r="BN157">
        <v>120000000</v>
      </c>
      <c r="BO157">
        <v>537000</v>
      </c>
      <c r="BP157">
        <v>279000</v>
      </c>
      <c r="BQ157">
        <v>142000</v>
      </c>
      <c r="BR157">
        <v>48000</v>
      </c>
    </row>
    <row r="158" spans="59:70" x14ac:dyDescent="0.25">
      <c r="BG158" t="s">
        <v>135</v>
      </c>
      <c r="BH158" t="s">
        <v>186</v>
      </c>
      <c r="BI158">
        <v>54</v>
      </c>
      <c r="BJ158">
        <v>53</v>
      </c>
      <c r="BK158" t="s">
        <v>485</v>
      </c>
      <c r="BL158">
        <v>71</v>
      </c>
      <c r="BM158">
        <v>0</v>
      </c>
      <c r="BN158">
        <v>120000000</v>
      </c>
      <c r="BO158">
        <v>537000</v>
      </c>
      <c r="BP158">
        <v>279000</v>
      </c>
      <c r="BQ158">
        <v>142000</v>
      </c>
      <c r="BR158">
        <v>48000</v>
      </c>
    </row>
    <row r="159" spans="59:70" x14ac:dyDescent="0.25">
      <c r="BG159" t="s">
        <v>135</v>
      </c>
      <c r="BH159" t="s">
        <v>186</v>
      </c>
      <c r="BI159">
        <v>55</v>
      </c>
      <c r="BJ159">
        <v>54</v>
      </c>
      <c r="BK159" t="s">
        <v>485</v>
      </c>
      <c r="BL159">
        <v>71</v>
      </c>
      <c r="BM159">
        <v>0</v>
      </c>
      <c r="BN159">
        <v>120000000</v>
      </c>
      <c r="BO159">
        <v>537000</v>
      </c>
      <c r="BP159">
        <v>279000</v>
      </c>
      <c r="BQ159">
        <v>142000</v>
      </c>
      <c r="BR159">
        <v>48000</v>
      </c>
    </row>
    <row r="160" spans="59:70" x14ac:dyDescent="0.25">
      <c r="BG160" t="s">
        <v>135</v>
      </c>
      <c r="BH160" t="s">
        <v>186</v>
      </c>
      <c r="BI160">
        <v>56</v>
      </c>
      <c r="BJ160">
        <v>55</v>
      </c>
      <c r="BK160" t="s">
        <v>485</v>
      </c>
      <c r="BL160">
        <v>71</v>
      </c>
      <c r="BM160">
        <v>0</v>
      </c>
      <c r="BN160">
        <v>120000000</v>
      </c>
      <c r="BO160">
        <v>537000</v>
      </c>
      <c r="BP160">
        <v>279000</v>
      </c>
      <c r="BQ160">
        <v>142000</v>
      </c>
      <c r="BR160">
        <v>48000</v>
      </c>
    </row>
    <row r="161" spans="59:70" x14ac:dyDescent="0.25">
      <c r="BG161" t="s">
        <v>135</v>
      </c>
      <c r="BH161" t="s">
        <v>186</v>
      </c>
      <c r="BI161">
        <v>57</v>
      </c>
      <c r="BJ161">
        <v>56</v>
      </c>
      <c r="BK161" t="s">
        <v>485</v>
      </c>
      <c r="BL161">
        <v>71</v>
      </c>
      <c r="BM161">
        <v>0</v>
      </c>
      <c r="BN161">
        <v>120000000</v>
      </c>
      <c r="BO161">
        <v>537000</v>
      </c>
      <c r="BP161">
        <v>279000</v>
      </c>
      <c r="BQ161">
        <v>142000</v>
      </c>
      <c r="BR161">
        <v>48000</v>
      </c>
    </row>
    <row r="162" spans="59:70" x14ac:dyDescent="0.25">
      <c r="BG162" t="s">
        <v>135</v>
      </c>
      <c r="BH162" t="s">
        <v>186</v>
      </c>
      <c r="BI162">
        <v>58</v>
      </c>
      <c r="BJ162">
        <v>57</v>
      </c>
      <c r="BK162" t="s">
        <v>485</v>
      </c>
      <c r="BL162">
        <v>71</v>
      </c>
      <c r="BM162">
        <v>0</v>
      </c>
      <c r="BN162">
        <v>120000000</v>
      </c>
      <c r="BO162">
        <v>537000</v>
      </c>
      <c r="BP162">
        <v>279000</v>
      </c>
      <c r="BQ162">
        <v>142000</v>
      </c>
      <c r="BR162">
        <v>48000</v>
      </c>
    </row>
    <row r="163" spans="59:70" x14ac:dyDescent="0.25">
      <c r="BG163" t="s">
        <v>135</v>
      </c>
      <c r="BH163" t="s">
        <v>186</v>
      </c>
      <c r="BI163">
        <v>59</v>
      </c>
      <c r="BJ163">
        <v>58</v>
      </c>
      <c r="BK163" t="s">
        <v>485</v>
      </c>
      <c r="BL163">
        <v>71</v>
      </c>
      <c r="BM163">
        <v>0</v>
      </c>
      <c r="BN163">
        <v>120000000</v>
      </c>
      <c r="BO163">
        <v>537000</v>
      </c>
      <c r="BP163">
        <v>279000</v>
      </c>
      <c r="BQ163">
        <v>142000</v>
      </c>
      <c r="BR163">
        <v>48000</v>
      </c>
    </row>
    <row r="164" spans="59:70" x14ac:dyDescent="0.25">
      <c r="BG164" t="s">
        <v>135</v>
      </c>
      <c r="BH164" t="s">
        <v>186</v>
      </c>
      <c r="BI164">
        <v>60</v>
      </c>
      <c r="BJ164">
        <v>59</v>
      </c>
      <c r="BK164" t="s">
        <v>485</v>
      </c>
      <c r="BL164">
        <v>71</v>
      </c>
      <c r="BM164">
        <v>0</v>
      </c>
      <c r="BN164">
        <v>120000000</v>
      </c>
      <c r="BO164">
        <v>537000</v>
      </c>
      <c r="BP164">
        <v>279000</v>
      </c>
      <c r="BQ164">
        <v>142000</v>
      </c>
      <c r="BR164">
        <v>48000</v>
      </c>
    </row>
    <row r="165" spans="59:70" x14ac:dyDescent="0.25">
      <c r="BG165" t="s">
        <v>135</v>
      </c>
      <c r="BH165" t="s">
        <v>186</v>
      </c>
      <c r="BI165">
        <v>61</v>
      </c>
      <c r="BJ165">
        <v>60</v>
      </c>
      <c r="BK165" t="s">
        <v>485</v>
      </c>
      <c r="BL165">
        <v>71</v>
      </c>
      <c r="BM165">
        <v>0</v>
      </c>
      <c r="BN165">
        <v>120000000</v>
      </c>
      <c r="BO165">
        <v>537000</v>
      </c>
      <c r="BP165">
        <v>279000</v>
      </c>
      <c r="BQ165">
        <v>142000</v>
      </c>
      <c r="BR165">
        <v>48000</v>
      </c>
    </row>
    <row r="166" spans="59:70" x14ac:dyDescent="0.25">
      <c r="BG166" t="s">
        <v>135</v>
      </c>
      <c r="BH166" t="s">
        <v>186</v>
      </c>
      <c r="BI166">
        <v>62</v>
      </c>
      <c r="BJ166">
        <v>61</v>
      </c>
      <c r="BK166" t="s">
        <v>485</v>
      </c>
      <c r="BL166">
        <v>71</v>
      </c>
      <c r="BM166">
        <v>0</v>
      </c>
      <c r="BN166">
        <v>120000000</v>
      </c>
      <c r="BO166">
        <v>573000</v>
      </c>
      <c r="BP166">
        <v>298000</v>
      </c>
      <c r="BQ166">
        <v>151000</v>
      </c>
      <c r="BR166">
        <v>51000</v>
      </c>
    </row>
    <row r="167" spans="59:70" x14ac:dyDescent="0.25">
      <c r="BG167" t="s">
        <v>135</v>
      </c>
      <c r="BH167" t="s">
        <v>186</v>
      </c>
      <c r="BI167">
        <v>63</v>
      </c>
      <c r="BJ167">
        <v>62</v>
      </c>
      <c r="BK167" t="s">
        <v>485</v>
      </c>
      <c r="BL167">
        <v>71</v>
      </c>
      <c r="BM167">
        <v>0</v>
      </c>
      <c r="BN167">
        <v>120000000</v>
      </c>
      <c r="BO167">
        <v>573000</v>
      </c>
      <c r="BP167">
        <v>298000</v>
      </c>
      <c r="BQ167">
        <v>151000</v>
      </c>
      <c r="BR167">
        <v>51000</v>
      </c>
    </row>
    <row r="168" spans="59:70" x14ac:dyDescent="0.25">
      <c r="BG168" t="s">
        <v>135</v>
      </c>
      <c r="BH168" t="s">
        <v>186</v>
      </c>
      <c r="BI168">
        <v>64</v>
      </c>
      <c r="BJ168">
        <v>63</v>
      </c>
      <c r="BK168" t="s">
        <v>485</v>
      </c>
      <c r="BL168">
        <v>71</v>
      </c>
      <c r="BM168">
        <v>0</v>
      </c>
      <c r="BN168">
        <v>120000000</v>
      </c>
      <c r="BO168">
        <v>573000</v>
      </c>
      <c r="BP168">
        <v>298000</v>
      </c>
      <c r="BQ168">
        <v>151000</v>
      </c>
      <c r="BR168">
        <v>51000</v>
      </c>
    </row>
    <row r="169" spans="59:70" x14ac:dyDescent="0.25">
      <c r="BG169" t="s">
        <v>135</v>
      </c>
      <c r="BH169" t="s">
        <v>186</v>
      </c>
      <c r="BI169">
        <v>65</v>
      </c>
      <c r="BJ169">
        <v>64</v>
      </c>
      <c r="BK169" t="s">
        <v>485</v>
      </c>
      <c r="BL169">
        <v>71</v>
      </c>
      <c r="BM169">
        <v>0</v>
      </c>
      <c r="BN169">
        <v>120000000</v>
      </c>
      <c r="BO169">
        <v>573000</v>
      </c>
      <c r="BP169">
        <v>298000</v>
      </c>
      <c r="BQ169">
        <v>151000</v>
      </c>
      <c r="BR169">
        <v>51000</v>
      </c>
    </row>
    <row r="170" spans="59:70" x14ac:dyDescent="0.25">
      <c r="BG170" t="s">
        <v>135</v>
      </c>
      <c r="BH170" t="s">
        <v>186</v>
      </c>
      <c r="BI170">
        <v>66</v>
      </c>
      <c r="BJ170">
        <v>65</v>
      </c>
      <c r="BK170" t="s">
        <v>485</v>
      </c>
      <c r="BL170">
        <v>71</v>
      </c>
      <c r="BM170">
        <v>0</v>
      </c>
      <c r="BN170">
        <v>120000000</v>
      </c>
      <c r="BO170">
        <v>573000</v>
      </c>
      <c r="BP170">
        <v>298000</v>
      </c>
      <c r="BQ170">
        <v>151000</v>
      </c>
      <c r="BR170">
        <v>51000</v>
      </c>
    </row>
    <row r="171" spans="59:70" x14ac:dyDescent="0.25">
      <c r="BG171" t="s">
        <v>135</v>
      </c>
      <c r="BH171" t="s">
        <v>186</v>
      </c>
      <c r="BI171">
        <v>67</v>
      </c>
      <c r="BJ171">
        <v>66</v>
      </c>
      <c r="BK171" t="s">
        <v>485</v>
      </c>
      <c r="BL171">
        <v>71</v>
      </c>
      <c r="BM171">
        <v>0</v>
      </c>
      <c r="BN171">
        <v>120000000</v>
      </c>
      <c r="BO171">
        <v>627000</v>
      </c>
      <c r="BP171">
        <v>326000</v>
      </c>
      <c r="BQ171">
        <v>166000</v>
      </c>
      <c r="BR171">
        <v>56000</v>
      </c>
    </row>
    <row r="172" spans="59:70" x14ac:dyDescent="0.25">
      <c r="BG172" t="s">
        <v>135</v>
      </c>
      <c r="BH172" t="s">
        <v>186</v>
      </c>
      <c r="BI172">
        <v>68</v>
      </c>
      <c r="BJ172">
        <v>67</v>
      </c>
      <c r="BK172" t="s">
        <v>485</v>
      </c>
      <c r="BL172">
        <v>71</v>
      </c>
      <c r="BM172">
        <v>0</v>
      </c>
      <c r="BN172">
        <v>120000000</v>
      </c>
      <c r="BO172">
        <v>627000</v>
      </c>
      <c r="BP172">
        <v>326000</v>
      </c>
      <c r="BQ172">
        <v>166000</v>
      </c>
      <c r="BR172">
        <v>56000</v>
      </c>
    </row>
    <row r="173" spans="59:70" x14ac:dyDescent="0.25">
      <c r="BG173" t="s">
        <v>135</v>
      </c>
      <c r="BH173" t="s">
        <v>186</v>
      </c>
      <c r="BI173">
        <v>69</v>
      </c>
      <c r="BJ173">
        <v>68</v>
      </c>
      <c r="BK173" t="s">
        <v>485</v>
      </c>
      <c r="BL173">
        <v>71</v>
      </c>
      <c r="BM173">
        <v>0</v>
      </c>
      <c r="BN173">
        <v>120000000</v>
      </c>
      <c r="BO173">
        <v>627000</v>
      </c>
      <c r="BP173">
        <v>326000</v>
      </c>
      <c r="BQ173">
        <v>166000</v>
      </c>
      <c r="BR173">
        <v>56000</v>
      </c>
    </row>
    <row r="174" spans="59:70" x14ac:dyDescent="0.25">
      <c r="BG174" t="s">
        <v>135</v>
      </c>
      <c r="BH174" t="s">
        <v>186</v>
      </c>
      <c r="BI174">
        <v>70</v>
      </c>
      <c r="BJ174">
        <v>69</v>
      </c>
      <c r="BK174" t="s">
        <v>485</v>
      </c>
      <c r="BL174">
        <v>71</v>
      </c>
      <c r="BM174">
        <v>0</v>
      </c>
      <c r="BN174">
        <v>120000000</v>
      </c>
      <c r="BO174">
        <v>627000</v>
      </c>
      <c r="BP174">
        <v>326000</v>
      </c>
      <c r="BQ174">
        <v>166000</v>
      </c>
      <c r="BR174">
        <v>56000</v>
      </c>
    </row>
    <row r="175" spans="59:70" x14ac:dyDescent="0.25">
      <c r="BG175" t="s">
        <v>135</v>
      </c>
      <c r="BH175" t="s">
        <v>186</v>
      </c>
      <c r="BI175">
        <v>71</v>
      </c>
      <c r="BJ175">
        <v>70</v>
      </c>
      <c r="BK175" t="s">
        <v>485</v>
      </c>
      <c r="BL175">
        <v>71</v>
      </c>
      <c r="BM175">
        <v>0</v>
      </c>
      <c r="BN175">
        <v>120000000</v>
      </c>
      <c r="BO175">
        <v>627000</v>
      </c>
      <c r="BP175">
        <v>326000</v>
      </c>
      <c r="BQ175">
        <v>166000</v>
      </c>
      <c r="BR175">
        <v>56000</v>
      </c>
    </row>
    <row r="176" spans="59:70" x14ac:dyDescent="0.25">
      <c r="BG176" t="s">
        <v>135</v>
      </c>
      <c r="BH176" t="s">
        <v>188</v>
      </c>
      <c r="BI176">
        <v>1</v>
      </c>
      <c r="BJ176">
        <v>31</v>
      </c>
      <c r="BK176" t="s">
        <v>486</v>
      </c>
      <c r="BL176">
        <v>29</v>
      </c>
      <c r="BM176">
        <v>0</v>
      </c>
      <c r="BN176">
        <v>0</v>
      </c>
      <c r="BO176">
        <v>630000</v>
      </c>
      <c r="BP176">
        <v>315000</v>
      </c>
      <c r="BQ176">
        <v>158000</v>
      </c>
      <c r="BR176">
        <v>53000</v>
      </c>
    </row>
    <row r="177" spans="59:70" x14ac:dyDescent="0.25">
      <c r="BG177" t="s">
        <v>135</v>
      </c>
      <c r="BH177" t="s">
        <v>188</v>
      </c>
      <c r="BI177">
        <v>2</v>
      </c>
      <c r="BJ177">
        <v>32</v>
      </c>
      <c r="BK177" t="s">
        <v>486</v>
      </c>
      <c r="BL177">
        <v>29</v>
      </c>
      <c r="BM177">
        <v>0</v>
      </c>
      <c r="BN177">
        <v>0</v>
      </c>
      <c r="BO177">
        <v>630000</v>
      </c>
      <c r="BP177">
        <v>315000</v>
      </c>
      <c r="BQ177">
        <v>158000</v>
      </c>
      <c r="BR177">
        <v>53000</v>
      </c>
    </row>
    <row r="178" spans="59:70" x14ac:dyDescent="0.25">
      <c r="BG178" t="s">
        <v>135</v>
      </c>
      <c r="BH178" t="s">
        <v>188</v>
      </c>
      <c r="BI178">
        <v>3</v>
      </c>
      <c r="BJ178">
        <v>33</v>
      </c>
      <c r="BK178" t="s">
        <v>486</v>
      </c>
      <c r="BL178">
        <v>29</v>
      </c>
      <c r="BM178">
        <v>0</v>
      </c>
      <c r="BN178">
        <v>0</v>
      </c>
      <c r="BO178">
        <v>630000</v>
      </c>
      <c r="BP178">
        <v>315000</v>
      </c>
      <c r="BQ178">
        <v>158000</v>
      </c>
      <c r="BR178">
        <v>53000</v>
      </c>
    </row>
    <row r="179" spans="59:70" x14ac:dyDescent="0.25">
      <c r="BG179" t="s">
        <v>135</v>
      </c>
      <c r="BH179" t="s">
        <v>188</v>
      </c>
      <c r="BI179">
        <v>4</v>
      </c>
      <c r="BJ179">
        <v>34</v>
      </c>
      <c r="BK179" t="s">
        <v>486</v>
      </c>
      <c r="BL179">
        <v>29</v>
      </c>
      <c r="BM179">
        <v>0</v>
      </c>
      <c r="BN179">
        <v>0</v>
      </c>
      <c r="BO179">
        <v>630000</v>
      </c>
      <c r="BP179">
        <v>315000</v>
      </c>
      <c r="BQ179">
        <v>158000</v>
      </c>
      <c r="BR179">
        <v>53000</v>
      </c>
    </row>
    <row r="180" spans="59:70" x14ac:dyDescent="0.25">
      <c r="BG180" t="s">
        <v>135</v>
      </c>
      <c r="BH180" t="s">
        <v>188</v>
      </c>
      <c r="BI180">
        <v>5</v>
      </c>
      <c r="BJ180">
        <v>35</v>
      </c>
      <c r="BK180" t="s">
        <v>486</v>
      </c>
      <c r="BL180">
        <v>29</v>
      </c>
      <c r="BM180">
        <v>0</v>
      </c>
      <c r="BN180">
        <v>0</v>
      </c>
      <c r="BO180">
        <v>630000</v>
      </c>
      <c r="BP180">
        <v>315000</v>
      </c>
      <c r="BQ180">
        <v>158000</v>
      </c>
      <c r="BR180">
        <v>53000</v>
      </c>
    </row>
    <row r="181" spans="59:70" x14ac:dyDescent="0.25">
      <c r="BG181" t="s">
        <v>135</v>
      </c>
      <c r="BH181" t="s">
        <v>188</v>
      </c>
      <c r="BI181">
        <v>6</v>
      </c>
      <c r="BJ181">
        <v>36</v>
      </c>
      <c r="BK181" t="s">
        <v>486</v>
      </c>
      <c r="BL181">
        <v>29</v>
      </c>
      <c r="BM181">
        <v>0</v>
      </c>
      <c r="BN181">
        <v>0</v>
      </c>
      <c r="BO181">
        <v>630000</v>
      </c>
      <c r="BP181">
        <v>315000</v>
      </c>
      <c r="BQ181">
        <v>158000</v>
      </c>
      <c r="BR181">
        <v>53000</v>
      </c>
    </row>
    <row r="182" spans="59:70" x14ac:dyDescent="0.25">
      <c r="BG182" t="s">
        <v>135</v>
      </c>
      <c r="BH182" t="s">
        <v>188</v>
      </c>
      <c r="BI182">
        <v>7</v>
      </c>
      <c r="BJ182">
        <v>37</v>
      </c>
      <c r="BK182" t="s">
        <v>486</v>
      </c>
      <c r="BL182">
        <v>29</v>
      </c>
      <c r="BM182">
        <v>0</v>
      </c>
      <c r="BN182">
        <v>0</v>
      </c>
      <c r="BO182">
        <v>630000</v>
      </c>
      <c r="BP182">
        <v>315000</v>
      </c>
      <c r="BQ182">
        <v>158000</v>
      </c>
      <c r="BR182">
        <v>53000</v>
      </c>
    </row>
    <row r="183" spans="59:70" x14ac:dyDescent="0.25">
      <c r="BG183" t="s">
        <v>135</v>
      </c>
      <c r="BH183" t="s">
        <v>188</v>
      </c>
      <c r="BI183">
        <v>8</v>
      </c>
      <c r="BJ183">
        <v>38</v>
      </c>
      <c r="BK183" t="s">
        <v>486</v>
      </c>
      <c r="BL183">
        <v>29</v>
      </c>
      <c r="BM183">
        <v>0</v>
      </c>
      <c r="BN183">
        <v>0</v>
      </c>
      <c r="BO183">
        <v>630000</v>
      </c>
      <c r="BP183">
        <v>315000</v>
      </c>
      <c r="BQ183">
        <v>158000</v>
      </c>
      <c r="BR183">
        <v>53000</v>
      </c>
    </row>
    <row r="184" spans="59:70" x14ac:dyDescent="0.25">
      <c r="BG184" t="s">
        <v>135</v>
      </c>
      <c r="BH184" t="s">
        <v>188</v>
      </c>
      <c r="BI184">
        <v>9</v>
      </c>
      <c r="BJ184">
        <v>39</v>
      </c>
      <c r="BK184" t="s">
        <v>486</v>
      </c>
      <c r="BL184">
        <v>29</v>
      </c>
      <c r="BM184">
        <v>0</v>
      </c>
      <c r="BN184">
        <v>0</v>
      </c>
      <c r="BO184">
        <v>630000</v>
      </c>
      <c r="BP184">
        <v>315000</v>
      </c>
      <c r="BQ184">
        <v>158000</v>
      </c>
      <c r="BR184">
        <v>53000</v>
      </c>
    </row>
    <row r="185" spans="59:70" x14ac:dyDescent="0.25">
      <c r="BG185" t="s">
        <v>135</v>
      </c>
      <c r="BH185" t="s">
        <v>188</v>
      </c>
      <c r="BI185">
        <v>10</v>
      </c>
      <c r="BJ185">
        <v>40</v>
      </c>
      <c r="BK185" t="s">
        <v>486</v>
      </c>
      <c r="BL185">
        <v>29</v>
      </c>
      <c r="BM185">
        <v>0</v>
      </c>
      <c r="BN185">
        <v>0</v>
      </c>
      <c r="BO185">
        <v>630000</v>
      </c>
      <c r="BP185">
        <v>315000</v>
      </c>
      <c r="BQ185">
        <v>158000</v>
      </c>
      <c r="BR185">
        <v>53000</v>
      </c>
    </row>
    <row r="186" spans="59:70" x14ac:dyDescent="0.25">
      <c r="BG186" t="s">
        <v>135</v>
      </c>
      <c r="BH186" t="s">
        <v>188</v>
      </c>
      <c r="BI186">
        <v>11</v>
      </c>
      <c r="BJ186">
        <v>41</v>
      </c>
      <c r="BK186" t="s">
        <v>486</v>
      </c>
      <c r="BL186">
        <v>29</v>
      </c>
      <c r="BM186">
        <v>0</v>
      </c>
      <c r="BN186">
        <v>0</v>
      </c>
      <c r="BO186">
        <v>630000</v>
      </c>
      <c r="BP186">
        <v>315000</v>
      </c>
      <c r="BQ186">
        <v>158000</v>
      </c>
      <c r="BR186">
        <v>53000</v>
      </c>
    </row>
    <row r="187" spans="59:70" x14ac:dyDescent="0.25">
      <c r="BG187" t="s">
        <v>135</v>
      </c>
      <c r="BH187" t="s">
        <v>188</v>
      </c>
      <c r="BI187">
        <v>12</v>
      </c>
      <c r="BJ187">
        <v>42</v>
      </c>
      <c r="BK187" t="s">
        <v>486</v>
      </c>
      <c r="BL187">
        <v>29</v>
      </c>
      <c r="BM187">
        <v>0</v>
      </c>
      <c r="BN187">
        <v>0</v>
      </c>
      <c r="BO187">
        <v>630000</v>
      </c>
      <c r="BP187">
        <v>315000</v>
      </c>
      <c r="BQ187">
        <v>158000</v>
      </c>
      <c r="BR187">
        <v>53000</v>
      </c>
    </row>
    <row r="188" spans="59:70" x14ac:dyDescent="0.25">
      <c r="BG188" t="s">
        <v>135</v>
      </c>
      <c r="BH188" t="s">
        <v>188</v>
      </c>
      <c r="BI188">
        <v>13</v>
      </c>
      <c r="BJ188">
        <v>43</v>
      </c>
      <c r="BK188" t="s">
        <v>486</v>
      </c>
      <c r="BL188">
        <v>29</v>
      </c>
      <c r="BM188">
        <v>0</v>
      </c>
      <c r="BN188">
        <v>0</v>
      </c>
      <c r="BO188">
        <v>630000</v>
      </c>
      <c r="BP188">
        <v>315000</v>
      </c>
      <c r="BQ188">
        <v>158000</v>
      </c>
      <c r="BR188">
        <v>53000</v>
      </c>
    </row>
    <row r="189" spans="59:70" x14ac:dyDescent="0.25">
      <c r="BG189" t="s">
        <v>135</v>
      </c>
      <c r="BH189" t="s">
        <v>188</v>
      </c>
      <c r="BI189">
        <v>14</v>
      </c>
      <c r="BJ189">
        <v>44</v>
      </c>
      <c r="BK189" t="s">
        <v>486</v>
      </c>
      <c r="BL189">
        <v>29</v>
      </c>
      <c r="BM189">
        <v>0</v>
      </c>
      <c r="BN189">
        <v>0</v>
      </c>
      <c r="BO189">
        <v>630000</v>
      </c>
      <c r="BP189">
        <v>315000</v>
      </c>
      <c r="BQ189">
        <v>158000</v>
      </c>
      <c r="BR189">
        <v>53000</v>
      </c>
    </row>
    <row r="190" spans="59:70" x14ac:dyDescent="0.25">
      <c r="BG190" t="s">
        <v>135</v>
      </c>
      <c r="BH190" t="s">
        <v>188</v>
      </c>
      <c r="BI190">
        <v>15</v>
      </c>
      <c r="BJ190">
        <v>45</v>
      </c>
      <c r="BK190" t="s">
        <v>486</v>
      </c>
      <c r="BL190">
        <v>29</v>
      </c>
      <c r="BM190">
        <v>0</v>
      </c>
      <c r="BN190">
        <v>0</v>
      </c>
      <c r="BO190">
        <v>630000</v>
      </c>
      <c r="BP190">
        <v>315000</v>
      </c>
      <c r="BQ190">
        <v>158000</v>
      </c>
      <c r="BR190">
        <v>53000</v>
      </c>
    </row>
    <row r="191" spans="59:70" x14ac:dyDescent="0.25">
      <c r="BG191" t="s">
        <v>135</v>
      </c>
      <c r="BH191" t="s">
        <v>188</v>
      </c>
      <c r="BI191">
        <v>16</v>
      </c>
      <c r="BJ191">
        <v>46</v>
      </c>
      <c r="BK191" t="s">
        <v>486</v>
      </c>
      <c r="BL191">
        <v>29</v>
      </c>
      <c r="BM191">
        <v>0</v>
      </c>
      <c r="BN191">
        <v>0</v>
      </c>
      <c r="BO191">
        <v>630000</v>
      </c>
      <c r="BP191">
        <v>315000</v>
      </c>
      <c r="BQ191">
        <v>158000</v>
      </c>
      <c r="BR191">
        <v>53000</v>
      </c>
    </row>
    <row r="192" spans="59:70" x14ac:dyDescent="0.25">
      <c r="BG192" t="s">
        <v>135</v>
      </c>
      <c r="BH192" t="s">
        <v>188</v>
      </c>
      <c r="BI192">
        <v>17</v>
      </c>
      <c r="BJ192">
        <v>47</v>
      </c>
      <c r="BK192" t="s">
        <v>486</v>
      </c>
      <c r="BL192">
        <v>29</v>
      </c>
      <c r="BM192">
        <v>0</v>
      </c>
      <c r="BN192">
        <v>0</v>
      </c>
      <c r="BO192">
        <v>630000</v>
      </c>
      <c r="BP192">
        <v>315000</v>
      </c>
      <c r="BQ192">
        <v>158000</v>
      </c>
      <c r="BR192">
        <v>53000</v>
      </c>
    </row>
    <row r="193" spans="59:70" x14ac:dyDescent="0.25">
      <c r="BG193" t="s">
        <v>135</v>
      </c>
      <c r="BH193" t="s">
        <v>188</v>
      </c>
      <c r="BI193">
        <v>18</v>
      </c>
      <c r="BJ193">
        <v>48</v>
      </c>
      <c r="BK193" t="s">
        <v>486</v>
      </c>
      <c r="BL193">
        <v>29</v>
      </c>
      <c r="BM193">
        <v>0</v>
      </c>
      <c r="BN193">
        <v>0</v>
      </c>
      <c r="BO193">
        <v>630000</v>
      </c>
      <c r="BP193">
        <v>315000</v>
      </c>
      <c r="BQ193">
        <v>158000</v>
      </c>
      <c r="BR193">
        <v>53000</v>
      </c>
    </row>
    <row r="194" spans="59:70" x14ac:dyDescent="0.25">
      <c r="BG194" t="s">
        <v>135</v>
      </c>
      <c r="BH194" t="s">
        <v>188</v>
      </c>
      <c r="BI194">
        <v>19</v>
      </c>
      <c r="BJ194">
        <v>49</v>
      </c>
      <c r="BK194" t="s">
        <v>486</v>
      </c>
      <c r="BL194">
        <v>29</v>
      </c>
      <c r="BM194">
        <v>0</v>
      </c>
      <c r="BN194">
        <v>0</v>
      </c>
      <c r="BO194">
        <v>630000</v>
      </c>
      <c r="BP194">
        <v>315000</v>
      </c>
      <c r="BQ194">
        <v>158000</v>
      </c>
      <c r="BR194">
        <v>53000</v>
      </c>
    </row>
    <row r="195" spans="59:70" x14ac:dyDescent="0.25">
      <c r="BG195" t="s">
        <v>135</v>
      </c>
      <c r="BH195" t="s">
        <v>188</v>
      </c>
      <c r="BI195">
        <v>20</v>
      </c>
      <c r="BJ195">
        <v>50</v>
      </c>
      <c r="BK195" t="s">
        <v>486</v>
      </c>
      <c r="BL195">
        <v>29</v>
      </c>
      <c r="BM195">
        <v>0</v>
      </c>
      <c r="BN195">
        <v>0</v>
      </c>
      <c r="BO195">
        <v>630000</v>
      </c>
      <c r="BP195">
        <v>315000</v>
      </c>
      <c r="BQ195">
        <v>158000</v>
      </c>
      <c r="BR195">
        <v>53000</v>
      </c>
    </row>
    <row r="196" spans="59:70" x14ac:dyDescent="0.25">
      <c r="BG196" t="s">
        <v>135</v>
      </c>
      <c r="BH196" t="s">
        <v>188</v>
      </c>
      <c r="BI196">
        <v>21</v>
      </c>
      <c r="BJ196">
        <v>51</v>
      </c>
      <c r="BK196" t="s">
        <v>486</v>
      </c>
      <c r="BL196">
        <v>29</v>
      </c>
      <c r="BM196">
        <v>0</v>
      </c>
      <c r="BN196">
        <v>0</v>
      </c>
      <c r="BO196">
        <v>630000</v>
      </c>
      <c r="BP196">
        <v>315000</v>
      </c>
      <c r="BQ196">
        <v>158000</v>
      </c>
      <c r="BR196">
        <v>53000</v>
      </c>
    </row>
    <row r="197" spans="59:70" x14ac:dyDescent="0.25">
      <c r="BG197" t="s">
        <v>135</v>
      </c>
      <c r="BH197" t="s">
        <v>188</v>
      </c>
      <c r="BI197">
        <v>22</v>
      </c>
      <c r="BJ197">
        <v>52</v>
      </c>
      <c r="BK197" t="s">
        <v>486</v>
      </c>
      <c r="BL197">
        <v>29</v>
      </c>
      <c r="BM197">
        <v>0</v>
      </c>
      <c r="BN197">
        <v>0</v>
      </c>
      <c r="BO197">
        <v>630000</v>
      </c>
      <c r="BP197">
        <v>315000</v>
      </c>
      <c r="BQ197">
        <v>158000</v>
      </c>
      <c r="BR197">
        <v>53000</v>
      </c>
    </row>
    <row r="198" spans="59:70" x14ac:dyDescent="0.25">
      <c r="BG198" t="s">
        <v>135</v>
      </c>
      <c r="BH198" t="s">
        <v>188</v>
      </c>
      <c r="BI198">
        <v>23</v>
      </c>
      <c r="BJ198">
        <v>53</v>
      </c>
      <c r="BK198" t="s">
        <v>486</v>
      </c>
      <c r="BL198">
        <v>29</v>
      </c>
      <c r="BM198">
        <v>0</v>
      </c>
      <c r="BN198">
        <v>0</v>
      </c>
      <c r="BO198">
        <v>630000</v>
      </c>
      <c r="BP198">
        <v>315000</v>
      </c>
      <c r="BQ198">
        <v>158000</v>
      </c>
      <c r="BR198">
        <v>53000</v>
      </c>
    </row>
    <row r="199" spans="59:70" x14ac:dyDescent="0.25">
      <c r="BG199" t="s">
        <v>135</v>
      </c>
      <c r="BH199" t="s">
        <v>188</v>
      </c>
      <c r="BI199">
        <v>24</v>
      </c>
      <c r="BJ199">
        <v>54</v>
      </c>
      <c r="BK199" t="s">
        <v>486</v>
      </c>
      <c r="BL199">
        <v>29</v>
      </c>
      <c r="BM199">
        <v>0</v>
      </c>
      <c r="BN199">
        <v>0</v>
      </c>
      <c r="BO199">
        <v>630000</v>
      </c>
      <c r="BP199">
        <v>315000</v>
      </c>
      <c r="BQ199">
        <v>158000</v>
      </c>
      <c r="BR199">
        <v>53000</v>
      </c>
    </row>
    <row r="200" spans="59:70" x14ac:dyDescent="0.25">
      <c r="BG200" t="s">
        <v>135</v>
      </c>
      <c r="BH200" t="s">
        <v>188</v>
      </c>
      <c r="BI200">
        <v>25</v>
      </c>
      <c r="BJ200">
        <v>55</v>
      </c>
      <c r="BK200" t="s">
        <v>486</v>
      </c>
      <c r="BL200">
        <v>29</v>
      </c>
      <c r="BM200">
        <v>0</v>
      </c>
      <c r="BN200">
        <v>0</v>
      </c>
      <c r="BO200">
        <v>630000</v>
      </c>
      <c r="BP200">
        <v>315000</v>
      </c>
      <c r="BQ200">
        <v>158000</v>
      </c>
      <c r="BR200">
        <v>53000</v>
      </c>
    </row>
    <row r="201" spans="59:70" x14ac:dyDescent="0.25">
      <c r="BG201" t="s">
        <v>135</v>
      </c>
      <c r="BH201" t="s">
        <v>188</v>
      </c>
      <c r="BI201">
        <v>26</v>
      </c>
      <c r="BJ201">
        <v>56</v>
      </c>
      <c r="BK201" t="s">
        <v>486</v>
      </c>
      <c r="BL201">
        <v>29</v>
      </c>
      <c r="BM201">
        <v>0</v>
      </c>
      <c r="BN201">
        <v>0</v>
      </c>
      <c r="BO201">
        <v>630000</v>
      </c>
      <c r="BP201">
        <v>315000</v>
      </c>
      <c r="BQ201">
        <v>158000</v>
      </c>
      <c r="BR201">
        <v>53000</v>
      </c>
    </row>
    <row r="202" spans="59:70" x14ac:dyDescent="0.25">
      <c r="BG202" t="s">
        <v>135</v>
      </c>
      <c r="BH202" t="s">
        <v>188</v>
      </c>
      <c r="BI202">
        <v>27</v>
      </c>
      <c r="BJ202">
        <v>57</v>
      </c>
      <c r="BK202" t="s">
        <v>486</v>
      </c>
      <c r="BL202">
        <v>29</v>
      </c>
      <c r="BM202">
        <v>0</v>
      </c>
      <c r="BN202">
        <v>0</v>
      </c>
      <c r="BO202">
        <v>630000</v>
      </c>
      <c r="BP202">
        <v>315000</v>
      </c>
      <c r="BQ202">
        <v>158000</v>
      </c>
      <c r="BR202">
        <v>53000</v>
      </c>
    </row>
    <row r="203" spans="59:70" x14ac:dyDescent="0.25">
      <c r="BG203" t="s">
        <v>135</v>
      </c>
      <c r="BH203" t="s">
        <v>188</v>
      </c>
      <c r="BI203">
        <v>28</v>
      </c>
      <c r="BJ203">
        <v>58</v>
      </c>
      <c r="BK203" t="s">
        <v>486</v>
      </c>
      <c r="BL203">
        <v>29</v>
      </c>
      <c r="BM203">
        <v>0</v>
      </c>
      <c r="BN203">
        <v>0</v>
      </c>
      <c r="BO203">
        <v>630000</v>
      </c>
      <c r="BP203">
        <v>315000</v>
      </c>
      <c r="BQ203">
        <v>158000</v>
      </c>
      <c r="BR203">
        <v>53000</v>
      </c>
    </row>
    <row r="204" spans="59:70" x14ac:dyDescent="0.25">
      <c r="BG204" t="s">
        <v>135</v>
      </c>
      <c r="BH204" t="s">
        <v>188</v>
      </c>
      <c r="BI204">
        <v>29</v>
      </c>
      <c r="BJ204">
        <v>59</v>
      </c>
      <c r="BK204" t="s">
        <v>486</v>
      </c>
      <c r="BL204">
        <v>29</v>
      </c>
      <c r="BM204">
        <v>0</v>
      </c>
      <c r="BN204">
        <v>0</v>
      </c>
      <c r="BO204">
        <v>630000</v>
      </c>
      <c r="BP204">
        <v>315000</v>
      </c>
      <c r="BQ204">
        <v>158000</v>
      </c>
      <c r="BR204">
        <v>53000</v>
      </c>
    </row>
    <row r="205" spans="59:70" x14ac:dyDescent="0.25">
      <c r="BG205" t="s">
        <v>135</v>
      </c>
      <c r="BH205" t="s">
        <v>188</v>
      </c>
      <c r="BI205">
        <v>1</v>
      </c>
      <c r="BJ205">
        <v>31</v>
      </c>
      <c r="BK205" t="s">
        <v>487</v>
      </c>
      <c r="BL205">
        <v>34</v>
      </c>
      <c r="BM205">
        <v>0</v>
      </c>
      <c r="BN205">
        <v>175000000</v>
      </c>
      <c r="BO205">
        <v>1045000</v>
      </c>
      <c r="BP205">
        <v>544000</v>
      </c>
      <c r="BQ205">
        <v>277000</v>
      </c>
      <c r="BR205">
        <v>95000</v>
      </c>
    </row>
    <row r="206" spans="59:70" x14ac:dyDescent="0.25">
      <c r="BG206" t="s">
        <v>135</v>
      </c>
      <c r="BH206" t="s">
        <v>188</v>
      </c>
      <c r="BI206">
        <v>2</v>
      </c>
      <c r="BJ206">
        <v>32</v>
      </c>
      <c r="BK206" t="s">
        <v>487</v>
      </c>
      <c r="BL206">
        <v>34</v>
      </c>
      <c r="BM206">
        <v>0</v>
      </c>
      <c r="BN206">
        <v>175000000</v>
      </c>
      <c r="BO206">
        <v>1118000</v>
      </c>
      <c r="BP206">
        <v>581000</v>
      </c>
      <c r="BQ206">
        <v>296000</v>
      </c>
      <c r="BR206">
        <v>102000</v>
      </c>
    </row>
    <row r="207" spans="59:70" x14ac:dyDescent="0.25">
      <c r="BG207" t="s">
        <v>135</v>
      </c>
      <c r="BH207" t="s">
        <v>188</v>
      </c>
      <c r="BI207">
        <v>3</v>
      </c>
      <c r="BJ207">
        <v>33</v>
      </c>
      <c r="BK207" t="s">
        <v>487</v>
      </c>
      <c r="BL207">
        <v>34</v>
      </c>
      <c r="BM207">
        <v>0</v>
      </c>
      <c r="BN207">
        <v>175000000</v>
      </c>
      <c r="BO207">
        <v>1195000</v>
      </c>
      <c r="BP207">
        <v>621000</v>
      </c>
      <c r="BQ207">
        <v>317000</v>
      </c>
      <c r="BR207">
        <v>108000</v>
      </c>
    </row>
    <row r="208" spans="59:70" x14ac:dyDescent="0.25">
      <c r="BG208" t="s">
        <v>135</v>
      </c>
      <c r="BH208" t="s">
        <v>188</v>
      </c>
      <c r="BI208">
        <v>4</v>
      </c>
      <c r="BJ208">
        <v>34</v>
      </c>
      <c r="BK208" t="s">
        <v>487</v>
      </c>
      <c r="BL208">
        <v>34</v>
      </c>
      <c r="BM208">
        <v>0</v>
      </c>
      <c r="BN208">
        <v>175000000</v>
      </c>
      <c r="BO208">
        <v>1281000</v>
      </c>
      <c r="BP208">
        <v>666000</v>
      </c>
      <c r="BQ208">
        <v>340000</v>
      </c>
      <c r="BR208">
        <v>116000</v>
      </c>
    </row>
    <row r="209" spans="59:70" x14ac:dyDescent="0.25">
      <c r="BG209" t="s">
        <v>135</v>
      </c>
      <c r="BH209" t="s">
        <v>188</v>
      </c>
      <c r="BI209">
        <v>5</v>
      </c>
      <c r="BJ209">
        <v>35</v>
      </c>
      <c r="BK209" t="s">
        <v>487</v>
      </c>
      <c r="BL209">
        <v>34</v>
      </c>
      <c r="BM209">
        <v>0</v>
      </c>
      <c r="BN209">
        <v>175000000</v>
      </c>
      <c r="BO209">
        <v>1376000</v>
      </c>
      <c r="BP209">
        <v>716000</v>
      </c>
      <c r="BQ209">
        <v>365000</v>
      </c>
      <c r="BR209">
        <v>125000</v>
      </c>
    </row>
    <row r="210" spans="59:70" x14ac:dyDescent="0.25">
      <c r="BG210" t="s">
        <v>135</v>
      </c>
      <c r="BH210" t="s">
        <v>188</v>
      </c>
      <c r="BI210">
        <v>6</v>
      </c>
      <c r="BJ210">
        <v>36</v>
      </c>
      <c r="BK210" t="s">
        <v>487</v>
      </c>
      <c r="BL210">
        <v>34</v>
      </c>
      <c r="BM210">
        <v>0</v>
      </c>
      <c r="BN210">
        <v>175000000</v>
      </c>
      <c r="BO210">
        <v>1486000</v>
      </c>
      <c r="BP210">
        <v>773000</v>
      </c>
      <c r="BQ210">
        <v>394000</v>
      </c>
      <c r="BR210">
        <v>134000</v>
      </c>
    </row>
    <row r="211" spans="59:70" x14ac:dyDescent="0.25">
      <c r="BG211" t="s">
        <v>135</v>
      </c>
      <c r="BH211" t="s">
        <v>188</v>
      </c>
      <c r="BI211">
        <v>7</v>
      </c>
      <c r="BJ211">
        <v>37</v>
      </c>
      <c r="BK211" t="s">
        <v>487</v>
      </c>
      <c r="BL211">
        <v>34</v>
      </c>
      <c r="BM211">
        <v>0</v>
      </c>
      <c r="BN211">
        <v>175000000</v>
      </c>
      <c r="BO211">
        <v>1608000</v>
      </c>
      <c r="BP211">
        <v>837000</v>
      </c>
      <c r="BQ211">
        <v>427000</v>
      </c>
      <c r="BR211">
        <v>146000</v>
      </c>
    </row>
    <row r="212" spans="59:70" x14ac:dyDescent="0.25">
      <c r="BG212" t="s">
        <v>135</v>
      </c>
      <c r="BH212" t="s">
        <v>188</v>
      </c>
      <c r="BI212">
        <v>8</v>
      </c>
      <c r="BJ212">
        <v>38</v>
      </c>
      <c r="BK212" t="s">
        <v>487</v>
      </c>
      <c r="BL212">
        <v>34</v>
      </c>
      <c r="BM212">
        <v>0</v>
      </c>
      <c r="BN212">
        <v>175000000</v>
      </c>
      <c r="BO212">
        <v>1725000</v>
      </c>
      <c r="BP212">
        <v>897000</v>
      </c>
      <c r="BQ212">
        <v>457000</v>
      </c>
      <c r="BR212">
        <v>156000</v>
      </c>
    </row>
    <row r="213" spans="59:70" x14ac:dyDescent="0.25">
      <c r="BG213" t="s">
        <v>135</v>
      </c>
      <c r="BH213" t="s">
        <v>188</v>
      </c>
      <c r="BI213">
        <v>9</v>
      </c>
      <c r="BJ213">
        <v>39</v>
      </c>
      <c r="BK213" t="s">
        <v>487</v>
      </c>
      <c r="BL213">
        <v>34</v>
      </c>
      <c r="BM213">
        <v>0</v>
      </c>
      <c r="BN213">
        <v>175000000</v>
      </c>
      <c r="BO213">
        <v>1841000</v>
      </c>
      <c r="BP213">
        <v>957000</v>
      </c>
      <c r="BQ213">
        <v>488000</v>
      </c>
      <c r="BR213">
        <v>167000</v>
      </c>
    </row>
    <row r="214" spans="59:70" x14ac:dyDescent="0.25">
      <c r="BG214" t="s">
        <v>135</v>
      </c>
      <c r="BH214" t="s">
        <v>188</v>
      </c>
      <c r="BI214">
        <v>10</v>
      </c>
      <c r="BJ214">
        <v>40</v>
      </c>
      <c r="BK214" t="s">
        <v>487</v>
      </c>
      <c r="BL214">
        <v>34</v>
      </c>
      <c r="BM214">
        <v>0</v>
      </c>
      <c r="BN214">
        <v>175000000</v>
      </c>
      <c r="BO214">
        <v>1964000</v>
      </c>
      <c r="BP214">
        <v>1022000</v>
      </c>
      <c r="BQ214">
        <v>520000</v>
      </c>
      <c r="BR214">
        <v>177000</v>
      </c>
    </row>
    <row r="215" spans="59:70" x14ac:dyDescent="0.25">
      <c r="BG215" t="s">
        <v>135</v>
      </c>
      <c r="BH215" t="s">
        <v>188</v>
      </c>
      <c r="BI215">
        <v>11</v>
      </c>
      <c r="BJ215">
        <v>41</v>
      </c>
      <c r="BK215" t="s">
        <v>487</v>
      </c>
      <c r="BL215">
        <v>34</v>
      </c>
      <c r="BM215">
        <v>0</v>
      </c>
      <c r="BN215">
        <v>175000000</v>
      </c>
      <c r="BO215">
        <v>2093000</v>
      </c>
      <c r="BP215">
        <v>1088000</v>
      </c>
      <c r="BQ215">
        <v>555000</v>
      </c>
      <c r="BR215">
        <v>189000</v>
      </c>
    </row>
    <row r="216" spans="59:70" x14ac:dyDescent="0.25">
      <c r="BG216" t="s">
        <v>135</v>
      </c>
      <c r="BH216" t="s">
        <v>188</v>
      </c>
      <c r="BI216">
        <v>12</v>
      </c>
      <c r="BJ216">
        <v>42</v>
      </c>
      <c r="BK216" t="s">
        <v>487</v>
      </c>
      <c r="BL216">
        <v>34</v>
      </c>
      <c r="BM216">
        <v>0</v>
      </c>
      <c r="BN216">
        <v>175000000</v>
      </c>
      <c r="BO216">
        <v>2221000</v>
      </c>
      <c r="BP216">
        <v>1155000</v>
      </c>
      <c r="BQ216">
        <v>589000</v>
      </c>
      <c r="BR216">
        <v>200000</v>
      </c>
    </row>
    <row r="217" spans="59:70" x14ac:dyDescent="0.25">
      <c r="BG217" t="s">
        <v>135</v>
      </c>
      <c r="BH217" t="s">
        <v>188</v>
      </c>
      <c r="BI217">
        <v>13</v>
      </c>
      <c r="BJ217">
        <v>43</v>
      </c>
      <c r="BK217" t="s">
        <v>487</v>
      </c>
      <c r="BL217">
        <v>34</v>
      </c>
      <c r="BM217">
        <v>0</v>
      </c>
      <c r="BN217">
        <v>175000000</v>
      </c>
      <c r="BO217">
        <v>2343000</v>
      </c>
      <c r="BP217">
        <v>1218000</v>
      </c>
      <c r="BQ217">
        <v>621000</v>
      </c>
      <c r="BR217">
        <v>212000</v>
      </c>
    </row>
    <row r="218" spans="59:70" x14ac:dyDescent="0.25">
      <c r="BG218" t="s">
        <v>135</v>
      </c>
      <c r="BH218" t="s">
        <v>188</v>
      </c>
      <c r="BI218">
        <v>14</v>
      </c>
      <c r="BJ218">
        <v>44</v>
      </c>
      <c r="BK218" t="s">
        <v>487</v>
      </c>
      <c r="BL218">
        <v>34</v>
      </c>
      <c r="BM218">
        <v>0</v>
      </c>
      <c r="BN218">
        <v>175000000</v>
      </c>
      <c r="BO218">
        <v>2488000</v>
      </c>
      <c r="BP218">
        <v>1293000</v>
      </c>
      <c r="BQ218">
        <v>660000</v>
      </c>
      <c r="BR218">
        <v>224000</v>
      </c>
    </row>
    <row r="219" spans="59:70" x14ac:dyDescent="0.25">
      <c r="BG219" t="s">
        <v>135</v>
      </c>
      <c r="BH219" t="s">
        <v>188</v>
      </c>
      <c r="BI219">
        <v>15</v>
      </c>
      <c r="BJ219">
        <v>45</v>
      </c>
      <c r="BK219" t="s">
        <v>487</v>
      </c>
      <c r="BL219">
        <v>34</v>
      </c>
      <c r="BM219">
        <v>0</v>
      </c>
      <c r="BN219">
        <v>175000000</v>
      </c>
      <c r="BO219">
        <v>2629000</v>
      </c>
      <c r="BP219">
        <v>1367000</v>
      </c>
      <c r="BQ219">
        <v>697000</v>
      </c>
      <c r="BR219">
        <v>237000</v>
      </c>
    </row>
    <row r="220" spans="59:70" x14ac:dyDescent="0.25">
      <c r="BG220" t="s">
        <v>135</v>
      </c>
      <c r="BH220" t="s">
        <v>188</v>
      </c>
      <c r="BI220">
        <v>16</v>
      </c>
      <c r="BJ220">
        <v>46</v>
      </c>
      <c r="BK220" t="s">
        <v>487</v>
      </c>
      <c r="BL220">
        <v>34</v>
      </c>
      <c r="BM220">
        <v>0</v>
      </c>
      <c r="BN220">
        <v>175000000</v>
      </c>
      <c r="BO220">
        <v>2760000</v>
      </c>
      <c r="BP220">
        <v>1435000</v>
      </c>
      <c r="BQ220">
        <v>732000</v>
      </c>
      <c r="BR220">
        <v>249000</v>
      </c>
    </row>
    <row r="221" spans="59:70" x14ac:dyDescent="0.25">
      <c r="BG221" t="s">
        <v>135</v>
      </c>
      <c r="BH221" t="s">
        <v>188</v>
      </c>
      <c r="BI221">
        <v>17</v>
      </c>
      <c r="BJ221">
        <v>47</v>
      </c>
      <c r="BK221" t="s">
        <v>487</v>
      </c>
      <c r="BL221">
        <v>34</v>
      </c>
      <c r="BM221">
        <v>0</v>
      </c>
      <c r="BN221">
        <v>175000000</v>
      </c>
      <c r="BO221">
        <v>2901000</v>
      </c>
      <c r="BP221">
        <v>1509000</v>
      </c>
      <c r="BQ221">
        <v>769000</v>
      </c>
      <c r="BR221">
        <v>261000</v>
      </c>
    </row>
    <row r="222" spans="59:70" x14ac:dyDescent="0.25">
      <c r="BG222" t="s">
        <v>135</v>
      </c>
      <c r="BH222" t="s">
        <v>188</v>
      </c>
      <c r="BI222">
        <v>18</v>
      </c>
      <c r="BJ222">
        <v>48</v>
      </c>
      <c r="BK222" t="s">
        <v>487</v>
      </c>
      <c r="BL222">
        <v>34</v>
      </c>
      <c r="BM222">
        <v>0</v>
      </c>
      <c r="BN222">
        <v>175000000</v>
      </c>
      <c r="BO222">
        <v>3052000</v>
      </c>
      <c r="BP222">
        <v>1587000</v>
      </c>
      <c r="BQ222">
        <v>809000</v>
      </c>
      <c r="BR222">
        <v>275000</v>
      </c>
    </row>
    <row r="223" spans="59:70" x14ac:dyDescent="0.25">
      <c r="BG223" t="s">
        <v>135</v>
      </c>
      <c r="BH223" t="s">
        <v>188</v>
      </c>
      <c r="BI223">
        <v>19</v>
      </c>
      <c r="BJ223">
        <v>49</v>
      </c>
      <c r="BK223" t="s">
        <v>487</v>
      </c>
      <c r="BL223">
        <v>34</v>
      </c>
      <c r="BM223">
        <v>0</v>
      </c>
      <c r="BN223">
        <v>175000000</v>
      </c>
      <c r="BO223">
        <v>3208000</v>
      </c>
      <c r="BP223">
        <v>1668000</v>
      </c>
      <c r="BQ223">
        <v>851000</v>
      </c>
      <c r="BR223">
        <v>289000</v>
      </c>
    </row>
    <row r="224" spans="59:70" x14ac:dyDescent="0.25">
      <c r="BG224" t="s">
        <v>135</v>
      </c>
      <c r="BH224" t="s">
        <v>188</v>
      </c>
      <c r="BI224">
        <v>20</v>
      </c>
      <c r="BJ224">
        <v>50</v>
      </c>
      <c r="BK224" t="s">
        <v>487</v>
      </c>
      <c r="BL224">
        <v>34</v>
      </c>
      <c r="BM224">
        <v>0</v>
      </c>
      <c r="BN224">
        <v>175000000</v>
      </c>
      <c r="BO224">
        <v>3372000</v>
      </c>
      <c r="BP224">
        <v>1754000</v>
      </c>
      <c r="BQ224">
        <v>894000</v>
      </c>
      <c r="BR224">
        <v>304000</v>
      </c>
    </row>
    <row r="225" spans="59:70" x14ac:dyDescent="0.25">
      <c r="BG225" t="s">
        <v>135</v>
      </c>
      <c r="BH225" t="s">
        <v>188</v>
      </c>
      <c r="BI225">
        <v>21</v>
      </c>
      <c r="BJ225">
        <v>51</v>
      </c>
      <c r="BK225" t="s">
        <v>487</v>
      </c>
      <c r="BL225">
        <v>34</v>
      </c>
      <c r="BM225">
        <v>0</v>
      </c>
      <c r="BN225">
        <v>175000000</v>
      </c>
      <c r="BO225">
        <v>3551000</v>
      </c>
      <c r="BP225">
        <v>1846000</v>
      </c>
      <c r="BQ225">
        <v>941000</v>
      </c>
      <c r="BR225">
        <v>320000</v>
      </c>
    </row>
    <row r="226" spans="59:70" x14ac:dyDescent="0.25">
      <c r="BG226" t="s">
        <v>135</v>
      </c>
      <c r="BH226" t="s">
        <v>188</v>
      </c>
      <c r="BI226">
        <v>22</v>
      </c>
      <c r="BJ226">
        <v>52</v>
      </c>
      <c r="BK226" t="s">
        <v>487</v>
      </c>
      <c r="BL226">
        <v>34</v>
      </c>
      <c r="BM226">
        <v>0</v>
      </c>
      <c r="BN226">
        <v>175000000</v>
      </c>
      <c r="BO226">
        <v>3734000</v>
      </c>
      <c r="BP226">
        <v>1942000</v>
      </c>
      <c r="BQ226">
        <v>989000</v>
      </c>
      <c r="BR226">
        <v>337000</v>
      </c>
    </row>
    <row r="227" spans="59:70" x14ac:dyDescent="0.25">
      <c r="BG227" t="s">
        <v>135</v>
      </c>
      <c r="BH227" t="s">
        <v>188</v>
      </c>
      <c r="BI227">
        <v>23</v>
      </c>
      <c r="BJ227">
        <v>53</v>
      </c>
      <c r="BK227" t="s">
        <v>487</v>
      </c>
      <c r="BL227">
        <v>34</v>
      </c>
      <c r="BM227">
        <v>0</v>
      </c>
      <c r="BN227">
        <v>175000000</v>
      </c>
      <c r="BO227">
        <v>3930000</v>
      </c>
      <c r="BP227">
        <v>2044000</v>
      </c>
      <c r="BQ227">
        <v>1042000</v>
      </c>
      <c r="BR227">
        <v>354000</v>
      </c>
    </row>
    <row r="228" spans="59:70" x14ac:dyDescent="0.25">
      <c r="BG228" t="s">
        <v>135</v>
      </c>
      <c r="BH228" t="s">
        <v>188</v>
      </c>
      <c r="BI228">
        <v>24</v>
      </c>
      <c r="BJ228">
        <v>54</v>
      </c>
      <c r="BK228" t="s">
        <v>487</v>
      </c>
      <c r="BL228">
        <v>34</v>
      </c>
      <c r="BM228">
        <v>0</v>
      </c>
      <c r="BN228">
        <v>175000000</v>
      </c>
      <c r="BO228">
        <v>4102000</v>
      </c>
      <c r="BP228">
        <v>2133000</v>
      </c>
      <c r="BQ228">
        <v>1087000</v>
      </c>
      <c r="BR228">
        <v>370000</v>
      </c>
    </row>
    <row r="229" spans="59:70" x14ac:dyDescent="0.25">
      <c r="BG229" t="s">
        <v>135</v>
      </c>
      <c r="BH229" t="s">
        <v>188</v>
      </c>
      <c r="BI229">
        <v>25</v>
      </c>
      <c r="BJ229">
        <v>55</v>
      </c>
      <c r="BK229" t="s">
        <v>487</v>
      </c>
      <c r="BL229">
        <v>34</v>
      </c>
      <c r="BM229">
        <v>0</v>
      </c>
      <c r="BN229">
        <v>175000000</v>
      </c>
      <c r="BO229">
        <v>4303000</v>
      </c>
      <c r="BP229">
        <v>2238000</v>
      </c>
      <c r="BQ229">
        <v>1141000</v>
      </c>
      <c r="BR229">
        <v>387000</v>
      </c>
    </row>
    <row r="230" spans="59:70" x14ac:dyDescent="0.25">
      <c r="BG230" t="s">
        <v>135</v>
      </c>
      <c r="BH230" t="s">
        <v>188</v>
      </c>
      <c r="BI230">
        <v>26</v>
      </c>
      <c r="BJ230">
        <v>56</v>
      </c>
      <c r="BK230" t="s">
        <v>487</v>
      </c>
      <c r="BL230">
        <v>34</v>
      </c>
      <c r="BM230">
        <v>0</v>
      </c>
      <c r="BN230">
        <v>175000000</v>
      </c>
      <c r="BO230">
        <v>4543000</v>
      </c>
      <c r="BP230">
        <v>2362000</v>
      </c>
      <c r="BQ230">
        <v>1204000</v>
      </c>
      <c r="BR230">
        <v>410000</v>
      </c>
    </row>
    <row r="231" spans="59:70" x14ac:dyDescent="0.25">
      <c r="BG231" t="s">
        <v>135</v>
      </c>
      <c r="BH231" t="s">
        <v>188</v>
      </c>
      <c r="BI231">
        <v>27</v>
      </c>
      <c r="BJ231">
        <v>57</v>
      </c>
      <c r="BK231" t="s">
        <v>487</v>
      </c>
      <c r="BL231">
        <v>34</v>
      </c>
      <c r="BM231">
        <v>0</v>
      </c>
      <c r="BN231">
        <v>175000000</v>
      </c>
      <c r="BO231">
        <v>4776000</v>
      </c>
      <c r="BP231">
        <v>2483000</v>
      </c>
      <c r="BQ231">
        <v>1266000</v>
      </c>
      <c r="BR231">
        <v>431000</v>
      </c>
    </row>
    <row r="232" spans="59:70" x14ac:dyDescent="0.25">
      <c r="BG232" t="s">
        <v>135</v>
      </c>
      <c r="BH232" t="s">
        <v>188</v>
      </c>
      <c r="BI232">
        <v>28</v>
      </c>
      <c r="BJ232">
        <v>58</v>
      </c>
      <c r="BK232" t="s">
        <v>487</v>
      </c>
      <c r="BL232">
        <v>34</v>
      </c>
      <c r="BM232">
        <v>0</v>
      </c>
      <c r="BN232">
        <v>175000000</v>
      </c>
      <c r="BO232">
        <v>5021000</v>
      </c>
      <c r="BP232">
        <v>2611000</v>
      </c>
      <c r="BQ232">
        <v>1330000</v>
      </c>
      <c r="BR232">
        <v>452000</v>
      </c>
    </row>
    <row r="233" spans="59:70" x14ac:dyDescent="0.25">
      <c r="BG233" t="s">
        <v>135</v>
      </c>
      <c r="BH233" t="s">
        <v>188</v>
      </c>
      <c r="BI233">
        <v>29</v>
      </c>
      <c r="BJ233">
        <v>59</v>
      </c>
      <c r="BK233" t="s">
        <v>487</v>
      </c>
      <c r="BL233">
        <v>34</v>
      </c>
      <c r="BM233">
        <v>0</v>
      </c>
      <c r="BN233">
        <v>175000000</v>
      </c>
      <c r="BO233">
        <v>5262000</v>
      </c>
      <c r="BP233">
        <v>2737000</v>
      </c>
      <c r="BQ233">
        <v>1395000</v>
      </c>
      <c r="BR233">
        <v>474000</v>
      </c>
    </row>
    <row r="234" spans="59:70" x14ac:dyDescent="0.25">
      <c r="BG234" t="s">
        <v>135</v>
      </c>
      <c r="BH234" t="s">
        <v>188</v>
      </c>
      <c r="BI234">
        <v>30</v>
      </c>
      <c r="BJ234">
        <v>60</v>
      </c>
      <c r="BK234" t="s">
        <v>487</v>
      </c>
      <c r="BL234">
        <v>34</v>
      </c>
      <c r="BM234">
        <v>0</v>
      </c>
      <c r="BN234">
        <v>175000000</v>
      </c>
      <c r="BO234">
        <v>5551000</v>
      </c>
      <c r="BP234">
        <v>2886000</v>
      </c>
      <c r="BQ234">
        <v>1471000</v>
      </c>
      <c r="BR234">
        <v>500000</v>
      </c>
    </row>
    <row r="235" spans="59:70" x14ac:dyDescent="0.25">
      <c r="BG235" t="s">
        <v>135</v>
      </c>
      <c r="BH235" t="s">
        <v>188</v>
      </c>
      <c r="BI235">
        <v>31</v>
      </c>
      <c r="BJ235">
        <v>61</v>
      </c>
      <c r="BK235" t="s">
        <v>487</v>
      </c>
      <c r="BL235">
        <v>34</v>
      </c>
      <c r="BM235">
        <v>0</v>
      </c>
      <c r="BN235">
        <v>175000000</v>
      </c>
      <c r="BO235">
        <v>5835000</v>
      </c>
      <c r="BP235">
        <v>3034000</v>
      </c>
      <c r="BQ235">
        <v>1547000</v>
      </c>
      <c r="BR235">
        <v>526000</v>
      </c>
    </row>
    <row r="236" spans="59:70" x14ac:dyDescent="0.25">
      <c r="BG236" t="s">
        <v>135</v>
      </c>
      <c r="BH236" t="s">
        <v>188</v>
      </c>
      <c r="BI236">
        <v>32</v>
      </c>
      <c r="BJ236">
        <v>62</v>
      </c>
      <c r="BK236" t="s">
        <v>487</v>
      </c>
      <c r="BL236">
        <v>34</v>
      </c>
      <c r="BM236">
        <v>0</v>
      </c>
      <c r="BN236">
        <v>175000000</v>
      </c>
      <c r="BO236">
        <v>6157000</v>
      </c>
      <c r="BP236">
        <v>3201000</v>
      </c>
      <c r="BQ236">
        <v>1631000</v>
      </c>
      <c r="BR236">
        <v>555000</v>
      </c>
    </row>
    <row r="237" spans="59:70" x14ac:dyDescent="0.25">
      <c r="BG237" t="s">
        <v>135</v>
      </c>
      <c r="BH237" t="s">
        <v>188</v>
      </c>
      <c r="BI237">
        <v>33</v>
      </c>
      <c r="BJ237">
        <v>63</v>
      </c>
      <c r="BK237" t="s">
        <v>487</v>
      </c>
      <c r="BL237">
        <v>34</v>
      </c>
      <c r="BM237">
        <v>0</v>
      </c>
      <c r="BN237">
        <v>175000000</v>
      </c>
      <c r="BO237">
        <v>6482000</v>
      </c>
      <c r="BP237">
        <v>3370000</v>
      </c>
      <c r="BQ237">
        <v>1717000</v>
      </c>
      <c r="BR237">
        <v>583000</v>
      </c>
    </row>
    <row r="238" spans="59:70" x14ac:dyDescent="0.25">
      <c r="BG238" t="s">
        <v>135</v>
      </c>
      <c r="BH238" t="s">
        <v>188</v>
      </c>
      <c r="BI238">
        <v>34</v>
      </c>
      <c r="BJ238">
        <v>64</v>
      </c>
      <c r="BK238" t="s">
        <v>487</v>
      </c>
      <c r="BL238">
        <v>34</v>
      </c>
      <c r="BM238">
        <v>0</v>
      </c>
      <c r="BN238">
        <v>175000000</v>
      </c>
      <c r="BO238">
        <v>6892000</v>
      </c>
      <c r="BP238">
        <v>3584000</v>
      </c>
      <c r="BQ238">
        <v>1827000</v>
      </c>
      <c r="BR238">
        <v>620000</v>
      </c>
    </row>
    <row r="239" spans="59:70" x14ac:dyDescent="0.25">
      <c r="BG239" t="s">
        <v>141</v>
      </c>
      <c r="BH239" t="s">
        <v>188</v>
      </c>
      <c r="BI239">
        <v>1</v>
      </c>
      <c r="BJ239">
        <v>31</v>
      </c>
      <c r="BK239" t="s">
        <v>480</v>
      </c>
      <c r="BL239">
        <v>30</v>
      </c>
      <c r="BM239">
        <v>0</v>
      </c>
      <c r="BN239">
        <v>120000000</v>
      </c>
      <c r="BO239">
        <v>534000</v>
      </c>
      <c r="BP239">
        <v>267000</v>
      </c>
      <c r="BQ239">
        <v>134000</v>
      </c>
      <c r="BR239">
        <v>45000</v>
      </c>
    </row>
    <row r="240" spans="59:70" x14ac:dyDescent="0.25">
      <c r="BG240" t="s">
        <v>141</v>
      </c>
      <c r="BH240" t="s">
        <v>188</v>
      </c>
      <c r="BI240">
        <v>2</v>
      </c>
      <c r="BJ240">
        <v>32</v>
      </c>
      <c r="BK240" t="s">
        <v>480</v>
      </c>
      <c r="BL240">
        <v>30</v>
      </c>
      <c r="BM240">
        <v>0</v>
      </c>
      <c r="BN240">
        <v>120000000</v>
      </c>
      <c r="BO240">
        <v>534000</v>
      </c>
      <c r="BP240">
        <v>267000</v>
      </c>
      <c r="BQ240">
        <v>134000</v>
      </c>
      <c r="BR240">
        <v>45000</v>
      </c>
    </row>
    <row r="241" spans="59:70" x14ac:dyDescent="0.25">
      <c r="BG241" t="s">
        <v>141</v>
      </c>
      <c r="BH241" t="s">
        <v>188</v>
      </c>
      <c r="BI241">
        <v>3</v>
      </c>
      <c r="BJ241">
        <v>33</v>
      </c>
      <c r="BK241" t="s">
        <v>480</v>
      </c>
      <c r="BL241">
        <v>30</v>
      </c>
      <c r="BM241">
        <v>0</v>
      </c>
      <c r="BN241">
        <v>120000000</v>
      </c>
      <c r="BO241">
        <v>534000</v>
      </c>
      <c r="BP241">
        <v>267000</v>
      </c>
      <c r="BQ241">
        <v>134000</v>
      </c>
      <c r="BR241">
        <v>45000</v>
      </c>
    </row>
    <row r="242" spans="59:70" x14ac:dyDescent="0.25">
      <c r="BG242" t="s">
        <v>141</v>
      </c>
      <c r="BH242" t="s">
        <v>188</v>
      </c>
      <c r="BI242">
        <v>4</v>
      </c>
      <c r="BJ242">
        <v>34</v>
      </c>
      <c r="BK242" t="s">
        <v>480</v>
      </c>
      <c r="BL242">
        <v>30</v>
      </c>
      <c r="BM242">
        <v>0</v>
      </c>
      <c r="BN242">
        <v>120000000</v>
      </c>
      <c r="BO242">
        <v>534000</v>
      </c>
      <c r="BP242">
        <v>267000</v>
      </c>
      <c r="BQ242">
        <v>134000</v>
      </c>
      <c r="BR242">
        <v>45000</v>
      </c>
    </row>
    <row r="243" spans="59:70" x14ac:dyDescent="0.25">
      <c r="BG243" t="s">
        <v>141</v>
      </c>
      <c r="BH243" t="s">
        <v>188</v>
      </c>
      <c r="BI243">
        <v>5</v>
      </c>
      <c r="BJ243">
        <v>35</v>
      </c>
      <c r="BK243" t="s">
        <v>480</v>
      </c>
      <c r="BL243">
        <v>30</v>
      </c>
      <c r="BM243">
        <v>0</v>
      </c>
      <c r="BN243">
        <v>120000000</v>
      </c>
      <c r="BO243">
        <v>534000</v>
      </c>
      <c r="BP243">
        <v>267000</v>
      </c>
      <c r="BQ243">
        <v>134000</v>
      </c>
      <c r="BR243">
        <v>45000</v>
      </c>
    </row>
    <row r="244" spans="59:70" x14ac:dyDescent="0.25">
      <c r="BG244" t="s">
        <v>141</v>
      </c>
      <c r="BH244" t="s">
        <v>188</v>
      </c>
      <c r="BI244">
        <v>6</v>
      </c>
      <c r="BJ244">
        <v>36</v>
      </c>
      <c r="BK244" t="s">
        <v>480</v>
      </c>
      <c r="BL244">
        <v>30</v>
      </c>
      <c r="BM244">
        <v>0</v>
      </c>
      <c r="BN244">
        <v>120000000</v>
      </c>
      <c r="BO244">
        <v>534000</v>
      </c>
      <c r="BP244">
        <v>267000</v>
      </c>
      <c r="BQ244">
        <v>134000</v>
      </c>
      <c r="BR244">
        <v>45000</v>
      </c>
    </row>
    <row r="245" spans="59:70" x14ac:dyDescent="0.25">
      <c r="BG245" t="s">
        <v>141</v>
      </c>
      <c r="BH245" t="s">
        <v>188</v>
      </c>
      <c r="BI245">
        <v>7</v>
      </c>
      <c r="BJ245">
        <v>37</v>
      </c>
      <c r="BK245" t="s">
        <v>480</v>
      </c>
      <c r="BL245">
        <v>30</v>
      </c>
      <c r="BM245">
        <v>0</v>
      </c>
      <c r="BN245">
        <v>120000000</v>
      </c>
      <c r="BO245">
        <v>534000</v>
      </c>
      <c r="BP245">
        <v>267000</v>
      </c>
      <c r="BQ245">
        <v>134000</v>
      </c>
      <c r="BR245">
        <v>45000</v>
      </c>
    </row>
    <row r="246" spans="59:70" x14ac:dyDescent="0.25">
      <c r="BG246" t="s">
        <v>141</v>
      </c>
      <c r="BH246" t="s">
        <v>188</v>
      </c>
      <c r="BI246">
        <v>8</v>
      </c>
      <c r="BJ246">
        <v>38</v>
      </c>
      <c r="BK246" t="s">
        <v>480</v>
      </c>
      <c r="BL246">
        <v>30</v>
      </c>
      <c r="BM246">
        <v>0</v>
      </c>
      <c r="BN246">
        <v>120000000</v>
      </c>
      <c r="BO246">
        <v>534000</v>
      </c>
      <c r="BP246">
        <v>267000</v>
      </c>
      <c r="BQ246">
        <v>134000</v>
      </c>
      <c r="BR246">
        <v>45000</v>
      </c>
    </row>
    <row r="247" spans="59:70" x14ac:dyDescent="0.25">
      <c r="BG247" t="s">
        <v>141</v>
      </c>
      <c r="BH247" t="s">
        <v>188</v>
      </c>
      <c r="BI247">
        <v>9</v>
      </c>
      <c r="BJ247">
        <v>39</v>
      </c>
      <c r="BK247" t="s">
        <v>480</v>
      </c>
      <c r="BL247">
        <v>30</v>
      </c>
      <c r="BM247">
        <v>0</v>
      </c>
      <c r="BN247">
        <v>120000000</v>
      </c>
      <c r="BO247">
        <v>534000</v>
      </c>
      <c r="BP247">
        <v>267000</v>
      </c>
      <c r="BQ247">
        <v>134000</v>
      </c>
      <c r="BR247">
        <v>45000</v>
      </c>
    </row>
    <row r="248" spans="59:70" x14ac:dyDescent="0.25">
      <c r="BG248" t="s">
        <v>141</v>
      </c>
      <c r="BH248" t="s">
        <v>188</v>
      </c>
      <c r="BI248">
        <v>10</v>
      </c>
      <c r="BJ248">
        <v>40</v>
      </c>
      <c r="BK248" t="s">
        <v>480</v>
      </c>
      <c r="BL248">
        <v>30</v>
      </c>
      <c r="BM248">
        <v>0</v>
      </c>
      <c r="BN248">
        <v>120000000</v>
      </c>
      <c r="BO248">
        <v>534000</v>
      </c>
      <c r="BP248">
        <v>267000</v>
      </c>
      <c r="BQ248">
        <v>134000</v>
      </c>
      <c r="BR248">
        <v>45000</v>
      </c>
    </row>
    <row r="249" spans="59:70" x14ac:dyDescent="0.25">
      <c r="BG249" t="s">
        <v>141</v>
      </c>
      <c r="BH249" t="s">
        <v>188</v>
      </c>
      <c r="BI249">
        <v>11</v>
      </c>
      <c r="BJ249">
        <v>41</v>
      </c>
      <c r="BK249" t="s">
        <v>480</v>
      </c>
      <c r="BL249">
        <v>30</v>
      </c>
      <c r="BM249">
        <v>0</v>
      </c>
      <c r="BN249">
        <v>120000000</v>
      </c>
      <c r="BO249">
        <v>534000</v>
      </c>
      <c r="BP249">
        <v>267000</v>
      </c>
      <c r="BQ249">
        <v>134000</v>
      </c>
      <c r="BR249">
        <v>45000</v>
      </c>
    </row>
    <row r="250" spans="59:70" x14ac:dyDescent="0.25">
      <c r="BG250" t="s">
        <v>141</v>
      </c>
      <c r="BH250" t="s">
        <v>188</v>
      </c>
      <c r="BI250">
        <v>12</v>
      </c>
      <c r="BJ250">
        <v>42</v>
      </c>
      <c r="BK250" t="s">
        <v>480</v>
      </c>
      <c r="BL250">
        <v>30</v>
      </c>
      <c r="BM250">
        <v>0</v>
      </c>
      <c r="BN250">
        <v>120000000</v>
      </c>
      <c r="BO250">
        <v>534000</v>
      </c>
      <c r="BP250">
        <v>267000</v>
      </c>
      <c r="BQ250">
        <v>134000</v>
      </c>
      <c r="BR250">
        <v>45000</v>
      </c>
    </row>
    <row r="251" spans="59:70" x14ac:dyDescent="0.25">
      <c r="BG251" t="s">
        <v>141</v>
      </c>
      <c r="BH251" t="s">
        <v>188</v>
      </c>
      <c r="BI251">
        <v>13</v>
      </c>
      <c r="BJ251">
        <v>43</v>
      </c>
      <c r="BK251" t="s">
        <v>480</v>
      </c>
      <c r="BL251">
        <v>30</v>
      </c>
      <c r="BM251">
        <v>0</v>
      </c>
      <c r="BN251">
        <v>120000000</v>
      </c>
      <c r="BO251">
        <v>534000</v>
      </c>
      <c r="BP251">
        <v>267000</v>
      </c>
      <c r="BQ251">
        <v>134000</v>
      </c>
      <c r="BR251">
        <v>45000</v>
      </c>
    </row>
    <row r="252" spans="59:70" x14ac:dyDescent="0.25">
      <c r="BG252" t="s">
        <v>141</v>
      </c>
      <c r="BH252" t="s">
        <v>188</v>
      </c>
      <c r="BI252">
        <v>14</v>
      </c>
      <c r="BJ252">
        <v>44</v>
      </c>
      <c r="BK252" t="s">
        <v>480</v>
      </c>
      <c r="BL252">
        <v>30</v>
      </c>
      <c r="BM252">
        <v>0</v>
      </c>
      <c r="BN252">
        <v>120000000</v>
      </c>
      <c r="BO252">
        <v>534000</v>
      </c>
      <c r="BP252">
        <v>267000</v>
      </c>
      <c r="BQ252">
        <v>134000</v>
      </c>
      <c r="BR252">
        <v>45000</v>
      </c>
    </row>
    <row r="253" spans="59:70" x14ac:dyDescent="0.25">
      <c r="BG253" t="s">
        <v>141</v>
      </c>
      <c r="BH253" t="s">
        <v>188</v>
      </c>
      <c r="BI253">
        <v>15</v>
      </c>
      <c r="BJ253">
        <v>45</v>
      </c>
      <c r="BK253" t="s">
        <v>480</v>
      </c>
      <c r="BL253">
        <v>30</v>
      </c>
      <c r="BM253">
        <v>0</v>
      </c>
      <c r="BN253">
        <v>120000000</v>
      </c>
      <c r="BO253">
        <v>534000</v>
      </c>
      <c r="BP253">
        <v>267000</v>
      </c>
      <c r="BQ253">
        <v>134000</v>
      </c>
      <c r="BR253">
        <v>45000</v>
      </c>
    </row>
    <row r="254" spans="59:70" x14ac:dyDescent="0.25">
      <c r="BG254" t="s">
        <v>141</v>
      </c>
      <c r="BH254" t="s">
        <v>188</v>
      </c>
      <c r="BI254">
        <v>16</v>
      </c>
      <c r="BJ254">
        <v>46</v>
      </c>
      <c r="BK254" t="s">
        <v>480</v>
      </c>
      <c r="BL254">
        <v>30</v>
      </c>
      <c r="BM254">
        <v>0</v>
      </c>
      <c r="BN254">
        <v>120000000</v>
      </c>
      <c r="BO254">
        <v>534000</v>
      </c>
      <c r="BP254">
        <v>267000</v>
      </c>
      <c r="BQ254">
        <v>134000</v>
      </c>
      <c r="BR254">
        <v>45000</v>
      </c>
    </row>
    <row r="255" spans="59:70" x14ac:dyDescent="0.25">
      <c r="BG255" t="s">
        <v>141</v>
      </c>
      <c r="BH255" t="s">
        <v>188</v>
      </c>
      <c r="BI255">
        <v>17</v>
      </c>
      <c r="BJ255">
        <v>47</v>
      </c>
      <c r="BK255" t="s">
        <v>480</v>
      </c>
      <c r="BL255">
        <v>30</v>
      </c>
      <c r="BM255">
        <v>0</v>
      </c>
      <c r="BN255">
        <v>120000000</v>
      </c>
      <c r="BO255">
        <v>534000</v>
      </c>
      <c r="BP255">
        <v>267000</v>
      </c>
      <c r="BQ255">
        <v>134000</v>
      </c>
      <c r="BR255">
        <v>45000</v>
      </c>
    </row>
    <row r="256" spans="59:70" x14ac:dyDescent="0.25">
      <c r="BG256" t="s">
        <v>141</v>
      </c>
      <c r="BH256" t="s">
        <v>188</v>
      </c>
      <c r="BI256">
        <v>18</v>
      </c>
      <c r="BJ256">
        <v>48</v>
      </c>
      <c r="BK256" t="s">
        <v>480</v>
      </c>
      <c r="BL256">
        <v>30</v>
      </c>
      <c r="BM256">
        <v>0</v>
      </c>
      <c r="BN256">
        <v>120000000</v>
      </c>
      <c r="BO256">
        <v>534000</v>
      </c>
      <c r="BP256">
        <v>267000</v>
      </c>
      <c r="BQ256">
        <v>134000</v>
      </c>
      <c r="BR256">
        <v>45000</v>
      </c>
    </row>
    <row r="257" spans="59:70" x14ac:dyDescent="0.25">
      <c r="BG257" t="s">
        <v>141</v>
      </c>
      <c r="BH257" t="s">
        <v>188</v>
      </c>
      <c r="BI257">
        <v>19</v>
      </c>
      <c r="BJ257">
        <v>49</v>
      </c>
      <c r="BK257" t="s">
        <v>480</v>
      </c>
      <c r="BL257">
        <v>30</v>
      </c>
      <c r="BM257">
        <v>0</v>
      </c>
      <c r="BN257">
        <v>120000000</v>
      </c>
      <c r="BO257">
        <v>534000</v>
      </c>
      <c r="BP257">
        <v>267000</v>
      </c>
      <c r="BQ257">
        <v>134000</v>
      </c>
      <c r="BR257">
        <v>45000</v>
      </c>
    </row>
    <row r="258" spans="59:70" x14ac:dyDescent="0.25">
      <c r="BG258" t="s">
        <v>141</v>
      </c>
      <c r="BH258" t="s">
        <v>188</v>
      </c>
      <c r="BI258">
        <v>20</v>
      </c>
      <c r="BJ258">
        <v>50</v>
      </c>
      <c r="BK258" t="s">
        <v>480</v>
      </c>
      <c r="BL258">
        <v>30</v>
      </c>
      <c r="BM258">
        <v>0</v>
      </c>
      <c r="BN258">
        <v>120000000</v>
      </c>
      <c r="BO258">
        <v>534000</v>
      </c>
      <c r="BP258">
        <v>267000</v>
      </c>
      <c r="BQ258">
        <v>134000</v>
      </c>
      <c r="BR258">
        <v>45000</v>
      </c>
    </row>
    <row r="259" spans="59:70" x14ac:dyDescent="0.25">
      <c r="BG259" t="s">
        <v>141</v>
      </c>
      <c r="BH259" t="s">
        <v>188</v>
      </c>
      <c r="BI259">
        <v>21</v>
      </c>
      <c r="BJ259">
        <v>51</v>
      </c>
      <c r="BK259" t="s">
        <v>480</v>
      </c>
      <c r="BL259">
        <v>30</v>
      </c>
      <c r="BM259">
        <v>0</v>
      </c>
      <c r="BN259">
        <v>120000000</v>
      </c>
      <c r="BO259">
        <v>534000</v>
      </c>
      <c r="BP259">
        <v>267000</v>
      </c>
      <c r="BQ259">
        <v>134000</v>
      </c>
      <c r="BR259">
        <v>45000</v>
      </c>
    </row>
    <row r="260" spans="59:70" x14ac:dyDescent="0.25">
      <c r="BG260" t="s">
        <v>141</v>
      </c>
      <c r="BH260" t="s">
        <v>188</v>
      </c>
      <c r="BI260">
        <v>22</v>
      </c>
      <c r="BJ260">
        <v>52</v>
      </c>
      <c r="BK260" t="s">
        <v>480</v>
      </c>
      <c r="BL260">
        <v>30</v>
      </c>
      <c r="BM260">
        <v>0</v>
      </c>
      <c r="BN260">
        <v>120000000</v>
      </c>
      <c r="BO260">
        <v>534000</v>
      </c>
      <c r="BP260">
        <v>267000</v>
      </c>
      <c r="BQ260">
        <v>134000</v>
      </c>
      <c r="BR260">
        <v>45000</v>
      </c>
    </row>
    <row r="261" spans="59:70" x14ac:dyDescent="0.25">
      <c r="BG261" t="s">
        <v>141</v>
      </c>
      <c r="BH261" t="s">
        <v>188</v>
      </c>
      <c r="BI261">
        <v>23</v>
      </c>
      <c r="BJ261">
        <v>53</v>
      </c>
      <c r="BK261" t="s">
        <v>480</v>
      </c>
      <c r="BL261">
        <v>30</v>
      </c>
      <c r="BM261">
        <v>0</v>
      </c>
      <c r="BN261">
        <v>120000000</v>
      </c>
      <c r="BO261">
        <v>534000</v>
      </c>
      <c r="BP261">
        <v>267000</v>
      </c>
      <c r="BQ261">
        <v>134000</v>
      </c>
      <c r="BR261">
        <v>45000</v>
      </c>
    </row>
    <row r="262" spans="59:70" x14ac:dyDescent="0.25">
      <c r="BG262" t="s">
        <v>141</v>
      </c>
      <c r="BH262" t="s">
        <v>188</v>
      </c>
      <c r="BI262">
        <v>24</v>
      </c>
      <c r="BJ262">
        <v>54</v>
      </c>
      <c r="BK262" t="s">
        <v>480</v>
      </c>
      <c r="BL262">
        <v>30</v>
      </c>
      <c r="BM262">
        <v>0</v>
      </c>
      <c r="BN262">
        <v>120000000</v>
      </c>
      <c r="BO262">
        <v>534000</v>
      </c>
      <c r="BP262">
        <v>267000</v>
      </c>
      <c r="BQ262">
        <v>134000</v>
      </c>
      <c r="BR262">
        <v>45000</v>
      </c>
    </row>
    <row r="263" spans="59:70" x14ac:dyDescent="0.25">
      <c r="BG263" t="s">
        <v>141</v>
      </c>
      <c r="BH263" t="s">
        <v>188</v>
      </c>
      <c r="BI263">
        <v>25</v>
      </c>
      <c r="BJ263">
        <v>55</v>
      </c>
      <c r="BK263" t="s">
        <v>480</v>
      </c>
      <c r="BL263">
        <v>30</v>
      </c>
      <c r="BM263">
        <v>0</v>
      </c>
      <c r="BN263">
        <v>120000000</v>
      </c>
      <c r="BO263">
        <v>534000</v>
      </c>
      <c r="BP263">
        <v>267000</v>
      </c>
      <c r="BQ263">
        <v>134000</v>
      </c>
      <c r="BR263">
        <v>45000</v>
      </c>
    </row>
    <row r="264" spans="59:70" x14ac:dyDescent="0.25">
      <c r="BG264" t="s">
        <v>141</v>
      </c>
      <c r="BH264" t="s">
        <v>188</v>
      </c>
      <c r="BI264">
        <v>26</v>
      </c>
      <c r="BJ264">
        <v>56</v>
      </c>
      <c r="BK264" t="s">
        <v>480</v>
      </c>
      <c r="BL264">
        <v>30</v>
      </c>
      <c r="BM264">
        <v>0</v>
      </c>
      <c r="BN264">
        <v>120000000</v>
      </c>
      <c r="BO264">
        <v>534000</v>
      </c>
      <c r="BP264">
        <v>267000</v>
      </c>
      <c r="BQ264">
        <v>134000</v>
      </c>
      <c r="BR264">
        <v>45000</v>
      </c>
    </row>
    <row r="265" spans="59:70" x14ac:dyDescent="0.25">
      <c r="BG265" t="s">
        <v>141</v>
      </c>
      <c r="BH265" t="s">
        <v>188</v>
      </c>
      <c r="BI265">
        <v>27</v>
      </c>
      <c r="BJ265">
        <v>57</v>
      </c>
      <c r="BK265" t="s">
        <v>480</v>
      </c>
      <c r="BL265">
        <v>30</v>
      </c>
      <c r="BM265">
        <v>0</v>
      </c>
      <c r="BN265">
        <v>120000000</v>
      </c>
      <c r="BO265">
        <v>534000</v>
      </c>
      <c r="BP265">
        <v>267000</v>
      </c>
      <c r="BQ265">
        <v>134000</v>
      </c>
      <c r="BR265">
        <v>45000</v>
      </c>
    </row>
    <row r="266" spans="59:70" x14ac:dyDescent="0.25">
      <c r="BG266" t="s">
        <v>141</v>
      </c>
      <c r="BH266" t="s">
        <v>188</v>
      </c>
      <c r="BI266">
        <v>28</v>
      </c>
      <c r="BJ266">
        <v>58</v>
      </c>
      <c r="BK266" t="s">
        <v>480</v>
      </c>
      <c r="BL266">
        <v>30</v>
      </c>
      <c r="BM266">
        <v>0</v>
      </c>
      <c r="BN266">
        <v>120000000</v>
      </c>
      <c r="BO266">
        <v>534000</v>
      </c>
      <c r="BP266">
        <v>267000</v>
      </c>
      <c r="BQ266">
        <v>134000</v>
      </c>
      <c r="BR266">
        <v>45000</v>
      </c>
    </row>
    <row r="267" spans="59:70" x14ac:dyDescent="0.25">
      <c r="BG267" t="s">
        <v>141</v>
      </c>
      <c r="BH267" t="s">
        <v>188</v>
      </c>
      <c r="BI267">
        <v>29</v>
      </c>
      <c r="BJ267">
        <v>59</v>
      </c>
      <c r="BK267" t="s">
        <v>480</v>
      </c>
      <c r="BL267">
        <v>30</v>
      </c>
      <c r="BM267">
        <v>0</v>
      </c>
      <c r="BN267">
        <v>120000000</v>
      </c>
      <c r="BO267">
        <v>534000</v>
      </c>
      <c r="BP267">
        <v>267000</v>
      </c>
      <c r="BQ267">
        <v>134000</v>
      </c>
      <c r="BR267">
        <v>45000</v>
      </c>
    </row>
    <row r="268" spans="59:70" x14ac:dyDescent="0.25">
      <c r="BG268" t="s">
        <v>141</v>
      </c>
      <c r="BH268" t="s">
        <v>188</v>
      </c>
      <c r="BI268">
        <v>30</v>
      </c>
      <c r="BJ268">
        <v>60</v>
      </c>
      <c r="BK268" t="s">
        <v>480</v>
      </c>
      <c r="BL268">
        <v>30</v>
      </c>
      <c r="BM268">
        <v>0</v>
      </c>
      <c r="BN268">
        <v>120000000</v>
      </c>
      <c r="BO268">
        <v>534000</v>
      </c>
      <c r="BP268">
        <v>267000</v>
      </c>
      <c r="BQ268">
        <v>134000</v>
      </c>
      <c r="BR268">
        <v>45000</v>
      </c>
    </row>
    <row r="269" spans="59:70" x14ac:dyDescent="0.25">
      <c r="BG269" t="s">
        <v>141</v>
      </c>
      <c r="BH269" t="s">
        <v>188</v>
      </c>
      <c r="BI269">
        <v>1</v>
      </c>
      <c r="BJ269">
        <v>31</v>
      </c>
      <c r="BK269" t="s">
        <v>483</v>
      </c>
      <c r="BL269">
        <v>44</v>
      </c>
      <c r="BM269">
        <v>0</v>
      </c>
      <c r="BN269">
        <v>250000000</v>
      </c>
      <c r="BO269">
        <v>1900000</v>
      </c>
      <c r="BP269">
        <v>1007000</v>
      </c>
      <c r="BQ269">
        <v>513000</v>
      </c>
      <c r="BR269">
        <v>171000</v>
      </c>
    </row>
    <row r="270" spans="59:70" x14ac:dyDescent="0.25">
      <c r="BG270" t="s">
        <v>141</v>
      </c>
      <c r="BH270" t="s">
        <v>188</v>
      </c>
      <c r="BI270">
        <v>2</v>
      </c>
      <c r="BJ270">
        <v>32</v>
      </c>
      <c r="BK270" t="s">
        <v>483</v>
      </c>
      <c r="BL270">
        <v>44</v>
      </c>
      <c r="BM270">
        <v>0</v>
      </c>
      <c r="BN270">
        <v>250000000</v>
      </c>
      <c r="BO270">
        <v>2010000</v>
      </c>
      <c r="BP270">
        <v>1065000</v>
      </c>
      <c r="BQ270">
        <v>543000</v>
      </c>
      <c r="BR270">
        <v>181000</v>
      </c>
    </row>
    <row r="271" spans="59:70" x14ac:dyDescent="0.25">
      <c r="BG271" t="s">
        <v>141</v>
      </c>
      <c r="BH271" t="s">
        <v>188</v>
      </c>
      <c r="BI271">
        <v>3</v>
      </c>
      <c r="BJ271">
        <v>33</v>
      </c>
      <c r="BK271" t="s">
        <v>483</v>
      </c>
      <c r="BL271">
        <v>44</v>
      </c>
      <c r="BM271">
        <v>0</v>
      </c>
      <c r="BN271">
        <v>250000000</v>
      </c>
      <c r="BO271">
        <v>2136000</v>
      </c>
      <c r="BP271">
        <v>1133000</v>
      </c>
      <c r="BQ271">
        <v>576000</v>
      </c>
      <c r="BR271">
        <v>192000</v>
      </c>
    </row>
    <row r="272" spans="59:70" x14ac:dyDescent="0.25">
      <c r="BG272" t="s">
        <v>141</v>
      </c>
      <c r="BH272" t="s">
        <v>188</v>
      </c>
      <c r="BI272">
        <v>4</v>
      </c>
      <c r="BJ272">
        <v>34</v>
      </c>
      <c r="BK272" t="s">
        <v>483</v>
      </c>
      <c r="BL272">
        <v>44</v>
      </c>
      <c r="BM272">
        <v>0</v>
      </c>
      <c r="BN272">
        <v>250000000</v>
      </c>
      <c r="BO272">
        <v>2276000</v>
      </c>
      <c r="BP272">
        <v>1206000</v>
      </c>
      <c r="BQ272">
        <v>615000</v>
      </c>
      <c r="BR272">
        <v>205000</v>
      </c>
    </row>
    <row r="273" spans="59:70" x14ac:dyDescent="0.25">
      <c r="BG273" t="s">
        <v>141</v>
      </c>
      <c r="BH273" t="s">
        <v>188</v>
      </c>
      <c r="BI273">
        <v>5</v>
      </c>
      <c r="BJ273">
        <v>35</v>
      </c>
      <c r="BK273" t="s">
        <v>483</v>
      </c>
      <c r="BL273">
        <v>44</v>
      </c>
      <c r="BM273">
        <v>0</v>
      </c>
      <c r="BN273">
        <v>250000000</v>
      </c>
      <c r="BO273">
        <v>2404000</v>
      </c>
      <c r="BP273">
        <v>1273000</v>
      </c>
      <c r="BQ273">
        <v>649000</v>
      </c>
      <c r="BR273">
        <v>216000</v>
      </c>
    </row>
    <row r="274" spans="59:70" x14ac:dyDescent="0.25">
      <c r="BG274" t="s">
        <v>141</v>
      </c>
      <c r="BH274" t="s">
        <v>188</v>
      </c>
      <c r="BI274">
        <v>6</v>
      </c>
      <c r="BJ274">
        <v>36</v>
      </c>
      <c r="BK274" t="s">
        <v>483</v>
      </c>
      <c r="BL274">
        <v>44</v>
      </c>
      <c r="BM274">
        <v>0</v>
      </c>
      <c r="BN274">
        <v>250000000</v>
      </c>
      <c r="BO274">
        <v>2570000</v>
      </c>
      <c r="BP274">
        <v>1362000</v>
      </c>
      <c r="BQ274">
        <v>693000</v>
      </c>
      <c r="BR274">
        <v>231000</v>
      </c>
    </row>
    <row r="275" spans="59:70" x14ac:dyDescent="0.25">
      <c r="BG275" t="s">
        <v>141</v>
      </c>
      <c r="BH275" t="s">
        <v>188</v>
      </c>
      <c r="BI275">
        <v>7</v>
      </c>
      <c r="BJ275">
        <v>37</v>
      </c>
      <c r="BK275" t="s">
        <v>483</v>
      </c>
      <c r="BL275">
        <v>44</v>
      </c>
      <c r="BM275">
        <v>0</v>
      </c>
      <c r="BN275">
        <v>250000000</v>
      </c>
      <c r="BO275">
        <v>2749000</v>
      </c>
      <c r="BP275">
        <v>1457000</v>
      </c>
      <c r="BQ275">
        <v>742000</v>
      </c>
      <c r="BR275">
        <v>248000</v>
      </c>
    </row>
    <row r="276" spans="59:70" x14ac:dyDescent="0.25">
      <c r="BG276" t="s">
        <v>141</v>
      </c>
      <c r="BH276" t="s">
        <v>188</v>
      </c>
      <c r="BI276">
        <v>8</v>
      </c>
      <c r="BJ276">
        <v>38</v>
      </c>
      <c r="BK276" t="s">
        <v>483</v>
      </c>
      <c r="BL276">
        <v>44</v>
      </c>
      <c r="BM276">
        <v>0</v>
      </c>
      <c r="BN276">
        <v>250000000</v>
      </c>
      <c r="BO276">
        <v>2920000</v>
      </c>
      <c r="BP276">
        <v>1548000</v>
      </c>
      <c r="BQ276">
        <v>788000</v>
      </c>
      <c r="BR276">
        <v>262000</v>
      </c>
    </row>
    <row r="277" spans="59:70" x14ac:dyDescent="0.25">
      <c r="BG277" t="s">
        <v>141</v>
      </c>
      <c r="BH277" t="s">
        <v>188</v>
      </c>
      <c r="BI277">
        <v>9</v>
      </c>
      <c r="BJ277">
        <v>39</v>
      </c>
      <c r="BK277" t="s">
        <v>483</v>
      </c>
      <c r="BL277">
        <v>44</v>
      </c>
      <c r="BM277">
        <v>0</v>
      </c>
      <c r="BN277">
        <v>250000000</v>
      </c>
      <c r="BO277">
        <v>3112000</v>
      </c>
      <c r="BP277">
        <v>1649000</v>
      </c>
      <c r="BQ277">
        <v>840000</v>
      </c>
      <c r="BR277">
        <v>280000</v>
      </c>
    </row>
    <row r="278" spans="59:70" x14ac:dyDescent="0.25">
      <c r="BG278" t="s">
        <v>141</v>
      </c>
      <c r="BH278" t="s">
        <v>188</v>
      </c>
      <c r="BI278">
        <v>10</v>
      </c>
      <c r="BJ278">
        <v>40</v>
      </c>
      <c r="BK278" t="s">
        <v>483</v>
      </c>
      <c r="BL278">
        <v>44</v>
      </c>
      <c r="BM278">
        <v>0</v>
      </c>
      <c r="BN278">
        <v>250000000</v>
      </c>
      <c r="BO278">
        <v>3326000</v>
      </c>
      <c r="BP278">
        <v>1763000</v>
      </c>
      <c r="BQ278">
        <v>898000</v>
      </c>
      <c r="BR278">
        <v>299000</v>
      </c>
    </row>
    <row r="279" spans="59:70" x14ac:dyDescent="0.25">
      <c r="BG279" t="s">
        <v>141</v>
      </c>
      <c r="BH279" t="s">
        <v>188</v>
      </c>
      <c r="BI279">
        <v>11</v>
      </c>
      <c r="BJ279">
        <v>41</v>
      </c>
      <c r="BK279" t="s">
        <v>483</v>
      </c>
      <c r="BL279">
        <v>44</v>
      </c>
      <c r="BM279">
        <v>0</v>
      </c>
      <c r="BN279">
        <v>250000000</v>
      </c>
      <c r="BO279">
        <v>3532000</v>
      </c>
      <c r="BP279">
        <v>1872000</v>
      </c>
      <c r="BQ279">
        <v>954000</v>
      </c>
      <c r="BR279">
        <v>318000</v>
      </c>
    </row>
    <row r="280" spans="59:70" x14ac:dyDescent="0.25">
      <c r="BG280" t="s">
        <v>141</v>
      </c>
      <c r="BH280" t="s">
        <v>188</v>
      </c>
      <c r="BI280">
        <v>12</v>
      </c>
      <c r="BJ280">
        <v>42</v>
      </c>
      <c r="BK280" t="s">
        <v>483</v>
      </c>
      <c r="BL280">
        <v>44</v>
      </c>
      <c r="BM280">
        <v>0</v>
      </c>
      <c r="BN280">
        <v>250000000</v>
      </c>
      <c r="BO280">
        <v>3795000</v>
      </c>
      <c r="BP280">
        <v>2011000</v>
      </c>
      <c r="BQ280">
        <v>1024000</v>
      </c>
      <c r="BR280">
        <v>341000</v>
      </c>
    </row>
    <row r="281" spans="59:70" x14ac:dyDescent="0.25">
      <c r="BG281" t="s">
        <v>141</v>
      </c>
      <c r="BH281" t="s">
        <v>188</v>
      </c>
      <c r="BI281">
        <v>13</v>
      </c>
      <c r="BJ281">
        <v>43</v>
      </c>
      <c r="BK281" t="s">
        <v>483</v>
      </c>
      <c r="BL281">
        <v>44</v>
      </c>
      <c r="BM281">
        <v>0</v>
      </c>
      <c r="BN281">
        <v>250000000</v>
      </c>
      <c r="BO281">
        <v>4075000</v>
      </c>
      <c r="BP281">
        <v>2160000</v>
      </c>
      <c r="BQ281">
        <v>1100000</v>
      </c>
      <c r="BR281">
        <v>367000</v>
      </c>
    </row>
    <row r="282" spans="59:70" x14ac:dyDescent="0.25">
      <c r="BG282" t="s">
        <v>141</v>
      </c>
      <c r="BH282" t="s">
        <v>188</v>
      </c>
      <c r="BI282">
        <v>14</v>
      </c>
      <c r="BJ282">
        <v>44</v>
      </c>
      <c r="BK282" t="s">
        <v>483</v>
      </c>
      <c r="BL282">
        <v>44</v>
      </c>
      <c r="BM282">
        <v>0</v>
      </c>
      <c r="BN282">
        <v>250000000</v>
      </c>
      <c r="BO282">
        <v>4341000</v>
      </c>
      <c r="BP282">
        <v>2301000</v>
      </c>
      <c r="BQ282">
        <v>1172000</v>
      </c>
      <c r="BR282">
        <v>391000</v>
      </c>
    </row>
    <row r="283" spans="59:70" x14ac:dyDescent="0.25">
      <c r="BG283" t="s">
        <v>141</v>
      </c>
      <c r="BH283" t="s">
        <v>188</v>
      </c>
      <c r="BI283">
        <v>15</v>
      </c>
      <c r="BJ283">
        <v>45</v>
      </c>
      <c r="BK283" t="s">
        <v>483</v>
      </c>
      <c r="BL283">
        <v>44</v>
      </c>
      <c r="BM283">
        <v>0</v>
      </c>
      <c r="BN283">
        <v>250000000</v>
      </c>
      <c r="BO283">
        <v>4613000</v>
      </c>
      <c r="BP283">
        <v>2445000</v>
      </c>
      <c r="BQ283">
        <v>1246000</v>
      </c>
      <c r="BR283">
        <v>416000</v>
      </c>
    </row>
    <row r="284" spans="59:70" x14ac:dyDescent="0.25">
      <c r="BG284" t="s">
        <v>141</v>
      </c>
      <c r="BH284" t="s">
        <v>188</v>
      </c>
      <c r="BI284">
        <v>16</v>
      </c>
      <c r="BJ284">
        <v>46</v>
      </c>
      <c r="BK284" t="s">
        <v>483</v>
      </c>
      <c r="BL284">
        <v>44</v>
      </c>
      <c r="BM284">
        <v>0</v>
      </c>
      <c r="BN284">
        <v>250000000</v>
      </c>
      <c r="BO284">
        <v>4932000</v>
      </c>
      <c r="BP284">
        <v>2614000</v>
      </c>
      <c r="BQ284">
        <v>1332000</v>
      </c>
      <c r="BR284">
        <v>444000</v>
      </c>
    </row>
    <row r="285" spans="59:70" x14ac:dyDescent="0.25">
      <c r="BG285" t="s">
        <v>141</v>
      </c>
      <c r="BH285" t="s">
        <v>188</v>
      </c>
      <c r="BI285">
        <v>17</v>
      </c>
      <c r="BJ285">
        <v>47</v>
      </c>
      <c r="BK285" t="s">
        <v>483</v>
      </c>
      <c r="BL285">
        <v>44</v>
      </c>
      <c r="BM285">
        <v>0</v>
      </c>
      <c r="BN285">
        <v>250000000</v>
      </c>
      <c r="BO285">
        <v>5278000</v>
      </c>
      <c r="BP285">
        <v>2797000</v>
      </c>
      <c r="BQ285">
        <v>1425000</v>
      </c>
      <c r="BR285">
        <v>475000</v>
      </c>
    </row>
    <row r="286" spans="59:70" x14ac:dyDescent="0.25">
      <c r="BG286" t="s">
        <v>141</v>
      </c>
      <c r="BH286" t="s">
        <v>188</v>
      </c>
      <c r="BI286">
        <v>18</v>
      </c>
      <c r="BJ286">
        <v>48</v>
      </c>
      <c r="BK286" t="s">
        <v>483</v>
      </c>
      <c r="BL286">
        <v>44</v>
      </c>
      <c r="BM286">
        <v>0</v>
      </c>
      <c r="BN286">
        <v>250000000</v>
      </c>
      <c r="BO286">
        <v>5606000</v>
      </c>
      <c r="BP286">
        <v>2971000</v>
      </c>
      <c r="BQ286">
        <v>1514000</v>
      </c>
      <c r="BR286">
        <v>505000</v>
      </c>
    </row>
    <row r="287" spans="59:70" x14ac:dyDescent="0.25">
      <c r="BG287" t="s">
        <v>141</v>
      </c>
      <c r="BH287" t="s">
        <v>188</v>
      </c>
      <c r="BI287">
        <v>19</v>
      </c>
      <c r="BJ287">
        <v>49</v>
      </c>
      <c r="BK287" t="s">
        <v>483</v>
      </c>
      <c r="BL287">
        <v>44</v>
      </c>
      <c r="BM287">
        <v>0</v>
      </c>
      <c r="BN287">
        <v>250000000</v>
      </c>
      <c r="BO287">
        <v>5960000</v>
      </c>
      <c r="BP287">
        <v>3159000</v>
      </c>
      <c r="BQ287">
        <v>1609000</v>
      </c>
      <c r="BR287">
        <v>537000</v>
      </c>
    </row>
    <row r="288" spans="59:70" x14ac:dyDescent="0.25">
      <c r="BG288" t="s">
        <v>141</v>
      </c>
      <c r="BH288" t="s">
        <v>188</v>
      </c>
      <c r="BI288">
        <v>20</v>
      </c>
      <c r="BJ288">
        <v>50</v>
      </c>
      <c r="BK288" t="s">
        <v>483</v>
      </c>
      <c r="BL288">
        <v>44</v>
      </c>
      <c r="BM288">
        <v>0</v>
      </c>
      <c r="BN288">
        <v>250000000</v>
      </c>
      <c r="BO288">
        <v>6341000</v>
      </c>
      <c r="BP288">
        <v>3361000</v>
      </c>
      <c r="BQ288">
        <v>1712000</v>
      </c>
      <c r="BR288">
        <v>570000</v>
      </c>
    </row>
    <row r="289" spans="59:70" x14ac:dyDescent="0.25">
      <c r="BG289" t="s">
        <v>141</v>
      </c>
      <c r="BH289" t="s">
        <v>188</v>
      </c>
      <c r="BI289">
        <v>21</v>
      </c>
      <c r="BJ289">
        <v>51</v>
      </c>
      <c r="BK289" t="s">
        <v>483</v>
      </c>
      <c r="BL289">
        <v>44</v>
      </c>
      <c r="BM289">
        <v>0</v>
      </c>
      <c r="BN289">
        <v>250000000</v>
      </c>
      <c r="BO289">
        <v>6691000</v>
      </c>
      <c r="BP289">
        <v>3546000</v>
      </c>
      <c r="BQ289">
        <v>1806000</v>
      </c>
      <c r="BR289">
        <v>602000</v>
      </c>
    </row>
    <row r="290" spans="59:70" x14ac:dyDescent="0.25">
      <c r="BG290" t="s">
        <v>141</v>
      </c>
      <c r="BH290" t="s">
        <v>188</v>
      </c>
      <c r="BI290">
        <v>22</v>
      </c>
      <c r="BJ290">
        <v>52</v>
      </c>
      <c r="BK290" t="s">
        <v>483</v>
      </c>
      <c r="BL290">
        <v>44</v>
      </c>
      <c r="BM290">
        <v>0</v>
      </c>
      <c r="BN290">
        <v>250000000</v>
      </c>
      <c r="BO290">
        <v>7054000</v>
      </c>
      <c r="BP290">
        <v>3739000</v>
      </c>
      <c r="BQ290">
        <v>1904000</v>
      </c>
      <c r="BR290">
        <v>635000</v>
      </c>
    </row>
    <row r="291" spans="59:70" x14ac:dyDescent="0.25">
      <c r="BG291" t="s">
        <v>141</v>
      </c>
      <c r="BH291" t="s">
        <v>188</v>
      </c>
      <c r="BI291">
        <v>23</v>
      </c>
      <c r="BJ291">
        <v>53</v>
      </c>
      <c r="BK291" t="s">
        <v>483</v>
      </c>
      <c r="BL291">
        <v>44</v>
      </c>
      <c r="BM291">
        <v>0</v>
      </c>
      <c r="BN291">
        <v>250000000</v>
      </c>
      <c r="BO291">
        <v>7470000</v>
      </c>
      <c r="BP291">
        <v>3959000</v>
      </c>
      <c r="BQ291">
        <v>2016000</v>
      </c>
      <c r="BR291">
        <v>672000</v>
      </c>
    </row>
    <row r="292" spans="59:70" x14ac:dyDescent="0.25">
      <c r="BG292" t="s">
        <v>141</v>
      </c>
      <c r="BH292" t="s">
        <v>188</v>
      </c>
      <c r="BI292">
        <v>24</v>
      </c>
      <c r="BJ292">
        <v>54</v>
      </c>
      <c r="BK292" t="s">
        <v>483</v>
      </c>
      <c r="BL292">
        <v>44</v>
      </c>
      <c r="BM292">
        <v>0</v>
      </c>
      <c r="BN292">
        <v>250000000</v>
      </c>
      <c r="BO292">
        <v>7868000</v>
      </c>
      <c r="BP292">
        <v>4169000</v>
      </c>
      <c r="BQ292">
        <v>2125000</v>
      </c>
      <c r="BR292">
        <v>708000</v>
      </c>
    </row>
    <row r="293" spans="59:70" x14ac:dyDescent="0.25">
      <c r="BG293" t="s">
        <v>141</v>
      </c>
      <c r="BH293" t="s">
        <v>188</v>
      </c>
      <c r="BI293">
        <v>25</v>
      </c>
      <c r="BJ293">
        <v>55</v>
      </c>
      <c r="BK293" t="s">
        <v>483</v>
      </c>
      <c r="BL293">
        <v>44</v>
      </c>
      <c r="BM293">
        <v>0</v>
      </c>
      <c r="BN293">
        <v>250000000</v>
      </c>
      <c r="BO293">
        <v>8340000</v>
      </c>
      <c r="BP293">
        <v>4420000</v>
      </c>
      <c r="BQ293">
        <v>2252000</v>
      </c>
      <c r="BR293">
        <v>750000</v>
      </c>
    </row>
    <row r="294" spans="59:70" x14ac:dyDescent="0.25">
      <c r="BG294" t="s">
        <v>141</v>
      </c>
      <c r="BH294" t="s">
        <v>188</v>
      </c>
      <c r="BI294">
        <v>26</v>
      </c>
      <c r="BJ294">
        <v>56</v>
      </c>
      <c r="BK294" t="s">
        <v>483</v>
      </c>
      <c r="BL294">
        <v>44</v>
      </c>
      <c r="BM294">
        <v>0</v>
      </c>
      <c r="BN294">
        <v>250000000</v>
      </c>
      <c r="BO294">
        <v>8804000</v>
      </c>
      <c r="BP294">
        <v>4666000</v>
      </c>
      <c r="BQ294">
        <v>2377000</v>
      </c>
      <c r="BR294">
        <v>792000</v>
      </c>
    </row>
    <row r="295" spans="59:70" x14ac:dyDescent="0.25">
      <c r="BG295" t="s">
        <v>141</v>
      </c>
      <c r="BH295" t="s">
        <v>188</v>
      </c>
      <c r="BI295">
        <v>27</v>
      </c>
      <c r="BJ295">
        <v>57</v>
      </c>
      <c r="BK295" t="s">
        <v>483</v>
      </c>
      <c r="BL295">
        <v>44</v>
      </c>
      <c r="BM295">
        <v>0</v>
      </c>
      <c r="BN295">
        <v>250000000</v>
      </c>
      <c r="BO295">
        <v>9264000</v>
      </c>
      <c r="BP295">
        <v>4909000</v>
      </c>
      <c r="BQ295">
        <v>2501000</v>
      </c>
      <c r="BR295">
        <v>834000</v>
      </c>
    </row>
    <row r="296" spans="59:70" x14ac:dyDescent="0.25">
      <c r="BG296" t="s">
        <v>141</v>
      </c>
      <c r="BH296" t="s">
        <v>188</v>
      </c>
      <c r="BI296">
        <v>28</v>
      </c>
      <c r="BJ296">
        <v>58</v>
      </c>
      <c r="BK296" t="s">
        <v>483</v>
      </c>
      <c r="BL296">
        <v>44</v>
      </c>
      <c r="BM296">
        <v>0</v>
      </c>
      <c r="BN296">
        <v>250000000</v>
      </c>
      <c r="BO296">
        <v>9754000</v>
      </c>
      <c r="BP296">
        <v>5169000</v>
      </c>
      <c r="BQ296">
        <v>2634000</v>
      </c>
      <c r="BR296">
        <v>878000</v>
      </c>
    </row>
    <row r="297" spans="59:70" x14ac:dyDescent="0.25">
      <c r="BG297" t="s">
        <v>141</v>
      </c>
      <c r="BH297" t="s">
        <v>188</v>
      </c>
      <c r="BI297">
        <v>29</v>
      </c>
      <c r="BJ297">
        <v>59</v>
      </c>
      <c r="BK297" t="s">
        <v>483</v>
      </c>
      <c r="BL297">
        <v>44</v>
      </c>
      <c r="BM297">
        <v>0</v>
      </c>
      <c r="BN297">
        <v>250000000</v>
      </c>
      <c r="BO297">
        <v>10221000</v>
      </c>
      <c r="BP297">
        <v>5417000</v>
      </c>
      <c r="BQ297">
        <v>2760000</v>
      </c>
      <c r="BR297">
        <v>920000</v>
      </c>
    </row>
    <row r="298" spans="59:70" x14ac:dyDescent="0.25">
      <c r="BG298" t="s">
        <v>141</v>
      </c>
      <c r="BH298" t="s">
        <v>188</v>
      </c>
      <c r="BI298">
        <v>30</v>
      </c>
      <c r="BJ298">
        <v>60</v>
      </c>
      <c r="BK298" t="s">
        <v>483</v>
      </c>
      <c r="BL298">
        <v>44</v>
      </c>
      <c r="BM298">
        <v>0</v>
      </c>
      <c r="BN298">
        <v>250000000</v>
      </c>
      <c r="BO298">
        <v>10777000</v>
      </c>
      <c r="BP298">
        <v>5711000</v>
      </c>
      <c r="BQ298">
        <v>2910000</v>
      </c>
      <c r="BR298">
        <v>970000</v>
      </c>
    </row>
    <row r="299" spans="59:70" x14ac:dyDescent="0.25">
      <c r="BG299" t="s">
        <v>141</v>
      </c>
      <c r="BH299" t="s">
        <v>188</v>
      </c>
      <c r="BI299">
        <v>31</v>
      </c>
      <c r="BJ299">
        <v>61</v>
      </c>
      <c r="BK299" t="s">
        <v>483</v>
      </c>
      <c r="BL299">
        <v>44</v>
      </c>
      <c r="BM299">
        <v>0</v>
      </c>
      <c r="BN299">
        <v>250000000</v>
      </c>
      <c r="BO299">
        <v>11341000</v>
      </c>
      <c r="BP299">
        <v>6011000</v>
      </c>
      <c r="BQ299">
        <v>3062000</v>
      </c>
      <c r="BR299">
        <v>1021000</v>
      </c>
    </row>
    <row r="300" spans="59:70" x14ac:dyDescent="0.25">
      <c r="BG300" t="s">
        <v>141</v>
      </c>
      <c r="BH300" t="s">
        <v>188</v>
      </c>
      <c r="BI300">
        <v>32</v>
      </c>
      <c r="BJ300">
        <v>62</v>
      </c>
      <c r="BK300" t="s">
        <v>483</v>
      </c>
      <c r="BL300">
        <v>44</v>
      </c>
      <c r="BM300">
        <v>0</v>
      </c>
      <c r="BN300">
        <v>250000000</v>
      </c>
      <c r="BO300">
        <v>11989000</v>
      </c>
      <c r="BP300">
        <v>6354000</v>
      </c>
      <c r="BQ300">
        <v>3237000</v>
      </c>
      <c r="BR300">
        <v>1079000</v>
      </c>
    </row>
    <row r="301" spans="59:70" x14ac:dyDescent="0.25">
      <c r="BG301" t="s">
        <v>141</v>
      </c>
      <c r="BH301" t="s">
        <v>188</v>
      </c>
      <c r="BI301">
        <v>33</v>
      </c>
      <c r="BJ301">
        <v>63</v>
      </c>
      <c r="BK301" t="s">
        <v>483</v>
      </c>
      <c r="BL301">
        <v>44</v>
      </c>
      <c r="BM301">
        <v>0</v>
      </c>
      <c r="BN301">
        <v>250000000</v>
      </c>
      <c r="BO301">
        <v>12912000</v>
      </c>
      <c r="BP301">
        <v>6843000</v>
      </c>
      <c r="BQ301">
        <v>3486000</v>
      </c>
      <c r="BR301">
        <v>1162000</v>
      </c>
    </row>
    <row r="302" spans="59:70" x14ac:dyDescent="0.25">
      <c r="BG302" t="s">
        <v>141</v>
      </c>
      <c r="BH302" t="s">
        <v>188</v>
      </c>
      <c r="BI302">
        <v>34</v>
      </c>
      <c r="BJ302">
        <v>64</v>
      </c>
      <c r="BK302" t="s">
        <v>483</v>
      </c>
      <c r="BL302">
        <v>44</v>
      </c>
      <c r="BM302">
        <v>0</v>
      </c>
      <c r="BN302">
        <v>250000000</v>
      </c>
      <c r="BO302">
        <v>14036000</v>
      </c>
      <c r="BP302">
        <v>7440000</v>
      </c>
      <c r="BQ302">
        <v>3789000</v>
      </c>
      <c r="BR302">
        <v>1263000</v>
      </c>
    </row>
    <row r="303" spans="59:70" x14ac:dyDescent="0.25">
      <c r="BG303" t="s">
        <v>141</v>
      </c>
      <c r="BH303" t="s">
        <v>188</v>
      </c>
      <c r="BI303">
        <v>35</v>
      </c>
      <c r="BJ303">
        <v>65</v>
      </c>
      <c r="BK303" t="s">
        <v>483</v>
      </c>
      <c r="BL303">
        <v>44</v>
      </c>
      <c r="BM303">
        <v>0</v>
      </c>
      <c r="BN303">
        <v>250000000</v>
      </c>
      <c r="BO303">
        <v>15030000</v>
      </c>
      <c r="BP303">
        <v>7965000</v>
      </c>
      <c r="BQ303">
        <v>4058000</v>
      </c>
      <c r="BR303">
        <v>1352000</v>
      </c>
    </row>
    <row r="304" spans="59:70" x14ac:dyDescent="0.25">
      <c r="BG304" t="s">
        <v>141</v>
      </c>
      <c r="BH304" t="s">
        <v>188</v>
      </c>
      <c r="BI304">
        <v>36</v>
      </c>
      <c r="BJ304">
        <v>66</v>
      </c>
      <c r="BK304" t="s">
        <v>483</v>
      </c>
      <c r="BL304">
        <v>44</v>
      </c>
      <c r="BM304">
        <v>0</v>
      </c>
      <c r="BN304">
        <v>250000000</v>
      </c>
      <c r="BO304">
        <v>16416000</v>
      </c>
      <c r="BP304">
        <v>8700000</v>
      </c>
      <c r="BQ304">
        <v>4433000</v>
      </c>
      <c r="BR304">
        <v>1478000</v>
      </c>
    </row>
    <row r="305" spans="59:70" x14ac:dyDescent="0.25">
      <c r="BG305" t="s">
        <v>141</v>
      </c>
      <c r="BH305" t="s">
        <v>188</v>
      </c>
      <c r="BI305">
        <v>37</v>
      </c>
      <c r="BJ305">
        <v>67</v>
      </c>
      <c r="BK305" t="s">
        <v>483</v>
      </c>
      <c r="BL305">
        <v>44</v>
      </c>
      <c r="BM305">
        <v>0</v>
      </c>
      <c r="BN305">
        <v>250000000</v>
      </c>
      <c r="BO305">
        <v>18075000</v>
      </c>
      <c r="BP305">
        <v>9580000</v>
      </c>
      <c r="BQ305">
        <v>4880000</v>
      </c>
      <c r="BR305">
        <v>1627000</v>
      </c>
    </row>
    <row r="306" spans="59:70" x14ac:dyDescent="0.25">
      <c r="BG306" t="s">
        <v>141</v>
      </c>
      <c r="BH306" t="s">
        <v>188</v>
      </c>
      <c r="BI306">
        <v>38</v>
      </c>
      <c r="BJ306">
        <v>68</v>
      </c>
      <c r="BK306" t="s">
        <v>483</v>
      </c>
      <c r="BL306">
        <v>44</v>
      </c>
      <c r="BM306">
        <v>0</v>
      </c>
      <c r="BN306">
        <v>250000000</v>
      </c>
      <c r="BO306">
        <v>19951000</v>
      </c>
      <c r="BP306">
        <v>10574000</v>
      </c>
      <c r="BQ306">
        <v>5387000</v>
      </c>
      <c r="BR306">
        <v>1795000</v>
      </c>
    </row>
    <row r="307" spans="59:70" x14ac:dyDescent="0.25">
      <c r="BG307" t="s">
        <v>141</v>
      </c>
      <c r="BH307" t="s">
        <v>188</v>
      </c>
      <c r="BI307">
        <v>39</v>
      </c>
      <c r="BJ307">
        <v>69</v>
      </c>
      <c r="BK307" t="s">
        <v>483</v>
      </c>
      <c r="BL307">
        <v>44</v>
      </c>
      <c r="BM307">
        <v>0</v>
      </c>
      <c r="BN307">
        <v>250000000</v>
      </c>
      <c r="BO307">
        <v>22012000</v>
      </c>
      <c r="BP307">
        <v>11666000</v>
      </c>
      <c r="BQ307">
        <v>5943000</v>
      </c>
      <c r="BR307">
        <v>1981000</v>
      </c>
    </row>
    <row r="308" spans="59:70" x14ac:dyDescent="0.25">
      <c r="BG308" t="s">
        <v>141</v>
      </c>
      <c r="BH308" t="s">
        <v>188</v>
      </c>
      <c r="BI308">
        <v>40</v>
      </c>
      <c r="BJ308">
        <v>70</v>
      </c>
      <c r="BK308" t="s">
        <v>483</v>
      </c>
      <c r="BL308">
        <v>44</v>
      </c>
      <c r="BM308">
        <v>0</v>
      </c>
      <c r="BN308">
        <v>250000000</v>
      </c>
      <c r="BO308">
        <v>24011000</v>
      </c>
      <c r="BP308">
        <v>12726000</v>
      </c>
      <c r="BQ308">
        <v>6483000</v>
      </c>
      <c r="BR308">
        <v>2161000</v>
      </c>
    </row>
    <row r="309" spans="59:70" x14ac:dyDescent="0.25">
      <c r="BG309" t="s">
        <v>141</v>
      </c>
      <c r="BH309" t="s">
        <v>188</v>
      </c>
      <c r="BI309">
        <v>41</v>
      </c>
      <c r="BJ309">
        <v>71</v>
      </c>
      <c r="BK309" t="s">
        <v>483</v>
      </c>
      <c r="BL309">
        <v>44</v>
      </c>
      <c r="BM309">
        <v>0</v>
      </c>
      <c r="BN309">
        <v>250000000</v>
      </c>
      <c r="BO309">
        <v>26225000</v>
      </c>
      <c r="BP309">
        <v>13899000</v>
      </c>
      <c r="BQ309">
        <v>7081000</v>
      </c>
      <c r="BR309">
        <v>2360000</v>
      </c>
    </row>
    <row r="310" spans="59:70" x14ac:dyDescent="0.25">
      <c r="BG310" t="s">
        <v>141</v>
      </c>
      <c r="BH310" t="s">
        <v>188</v>
      </c>
      <c r="BI310">
        <v>42</v>
      </c>
      <c r="BJ310">
        <v>72</v>
      </c>
      <c r="BK310" t="s">
        <v>483</v>
      </c>
      <c r="BL310">
        <v>44</v>
      </c>
      <c r="BM310">
        <v>0</v>
      </c>
      <c r="BN310">
        <v>250000000</v>
      </c>
      <c r="BO310">
        <v>28540000</v>
      </c>
      <c r="BP310">
        <v>15126000</v>
      </c>
      <c r="BQ310">
        <v>7706000</v>
      </c>
      <c r="BR310">
        <v>2569000</v>
      </c>
    </row>
    <row r="311" spans="59:70" x14ac:dyDescent="0.25">
      <c r="BG311" t="s">
        <v>141</v>
      </c>
      <c r="BH311" t="s">
        <v>188</v>
      </c>
      <c r="BI311">
        <v>43</v>
      </c>
      <c r="BJ311">
        <v>73</v>
      </c>
      <c r="BK311" t="s">
        <v>483</v>
      </c>
      <c r="BL311">
        <v>44</v>
      </c>
      <c r="BM311">
        <v>0</v>
      </c>
      <c r="BN311">
        <v>250000000</v>
      </c>
      <c r="BO311">
        <v>30793000</v>
      </c>
      <c r="BP311">
        <v>16320000</v>
      </c>
      <c r="BQ311">
        <v>8314000</v>
      </c>
      <c r="BR311">
        <v>2771000</v>
      </c>
    </row>
    <row r="312" spans="59:70" x14ac:dyDescent="0.25">
      <c r="BG312" t="s">
        <v>141</v>
      </c>
      <c r="BH312" t="s">
        <v>188</v>
      </c>
      <c r="BI312">
        <v>44</v>
      </c>
      <c r="BJ312">
        <v>74</v>
      </c>
      <c r="BK312" t="s">
        <v>483</v>
      </c>
      <c r="BL312">
        <v>44</v>
      </c>
      <c r="BM312">
        <v>0</v>
      </c>
      <c r="BN312">
        <v>250000000</v>
      </c>
      <c r="BO312">
        <v>33230000</v>
      </c>
      <c r="BP312">
        <v>17611000</v>
      </c>
      <c r="BQ312">
        <v>8972000</v>
      </c>
      <c r="BR312">
        <v>2990000</v>
      </c>
    </row>
    <row r="313" spans="59:70" x14ac:dyDescent="0.25">
      <c r="BG313" t="s">
        <v>141</v>
      </c>
      <c r="BH313" t="s">
        <v>188</v>
      </c>
      <c r="BI313">
        <v>1</v>
      </c>
      <c r="BJ313">
        <v>31</v>
      </c>
      <c r="BK313" t="s">
        <v>484</v>
      </c>
      <c r="BL313">
        <v>17</v>
      </c>
      <c r="BM313">
        <v>0</v>
      </c>
      <c r="BN313">
        <v>0</v>
      </c>
      <c r="BO313">
        <v>620000</v>
      </c>
      <c r="BP313">
        <v>329000</v>
      </c>
      <c r="BQ313">
        <v>168000</v>
      </c>
      <c r="BR313">
        <v>56000</v>
      </c>
    </row>
    <row r="314" spans="59:70" x14ac:dyDescent="0.25">
      <c r="BG314" t="s">
        <v>141</v>
      </c>
      <c r="BH314" t="s">
        <v>188</v>
      </c>
      <c r="BI314">
        <v>2</v>
      </c>
      <c r="BJ314">
        <v>32</v>
      </c>
      <c r="BK314" t="s">
        <v>484</v>
      </c>
      <c r="BL314">
        <v>17</v>
      </c>
      <c r="BM314">
        <v>0</v>
      </c>
      <c r="BN314">
        <v>0</v>
      </c>
      <c r="BO314">
        <v>614000</v>
      </c>
      <c r="BP314">
        <v>325000</v>
      </c>
      <c r="BQ314">
        <v>166000</v>
      </c>
      <c r="BR314">
        <v>56000</v>
      </c>
    </row>
    <row r="315" spans="59:70" x14ac:dyDescent="0.25">
      <c r="BG315" t="s">
        <v>141</v>
      </c>
      <c r="BH315" t="s">
        <v>188</v>
      </c>
      <c r="BI315">
        <v>3</v>
      </c>
      <c r="BJ315">
        <v>33</v>
      </c>
      <c r="BK315" t="s">
        <v>484</v>
      </c>
      <c r="BL315">
        <v>17</v>
      </c>
      <c r="BM315">
        <v>0</v>
      </c>
      <c r="BN315">
        <v>0</v>
      </c>
      <c r="BO315">
        <v>605000</v>
      </c>
      <c r="BP315">
        <v>320000</v>
      </c>
      <c r="BQ315">
        <v>163000</v>
      </c>
      <c r="BR315">
        <v>54000</v>
      </c>
    </row>
    <row r="316" spans="59:70" x14ac:dyDescent="0.25">
      <c r="BG316" t="s">
        <v>141</v>
      </c>
      <c r="BH316" t="s">
        <v>188</v>
      </c>
      <c r="BI316">
        <v>4</v>
      </c>
      <c r="BJ316">
        <v>34</v>
      </c>
      <c r="BK316" t="s">
        <v>484</v>
      </c>
      <c r="BL316">
        <v>17</v>
      </c>
      <c r="BM316">
        <v>0</v>
      </c>
      <c r="BN316">
        <v>0</v>
      </c>
      <c r="BO316">
        <v>593000</v>
      </c>
      <c r="BP316">
        <v>314000</v>
      </c>
      <c r="BQ316">
        <v>160000</v>
      </c>
      <c r="BR316">
        <v>53000</v>
      </c>
    </row>
    <row r="317" spans="59:70" x14ac:dyDescent="0.25">
      <c r="BG317" t="s">
        <v>141</v>
      </c>
      <c r="BH317" t="s">
        <v>188</v>
      </c>
      <c r="BI317">
        <v>5</v>
      </c>
      <c r="BJ317">
        <v>35</v>
      </c>
      <c r="BK317" t="s">
        <v>484</v>
      </c>
      <c r="BL317">
        <v>17</v>
      </c>
      <c r="BM317">
        <v>0</v>
      </c>
      <c r="BN317">
        <v>0</v>
      </c>
      <c r="BO317">
        <v>595000</v>
      </c>
      <c r="BP317">
        <v>315000</v>
      </c>
      <c r="BQ317">
        <v>161000</v>
      </c>
      <c r="BR317">
        <v>54000</v>
      </c>
    </row>
    <row r="318" spans="59:70" x14ac:dyDescent="0.25">
      <c r="BG318" t="s">
        <v>141</v>
      </c>
      <c r="BH318" t="s">
        <v>188</v>
      </c>
      <c r="BI318">
        <v>6</v>
      </c>
      <c r="BJ318">
        <v>36</v>
      </c>
      <c r="BK318" t="s">
        <v>484</v>
      </c>
      <c r="BL318">
        <v>17</v>
      </c>
      <c r="BM318">
        <v>0</v>
      </c>
      <c r="BN318">
        <v>0</v>
      </c>
      <c r="BO318">
        <v>609000</v>
      </c>
      <c r="BP318">
        <v>322000</v>
      </c>
      <c r="BQ318">
        <v>164000</v>
      </c>
      <c r="BR318">
        <v>54000</v>
      </c>
    </row>
    <row r="319" spans="59:70" x14ac:dyDescent="0.25">
      <c r="BG319" t="s">
        <v>141</v>
      </c>
      <c r="BH319" t="s">
        <v>188</v>
      </c>
      <c r="BI319">
        <v>7</v>
      </c>
      <c r="BJ319">
        <v>37</v>
      </c>
      <c r="BK319" t="s">
        <v>484</v>
      </c>
      <c r="BL319">
        <v>17</v>
      </c>
      <c r="BM319">
        <v>0</v>
      </c>
      <c r="BN319">
        <v>0</v>
      </c>
      <c r="BO319">
        <v>599000</v>
      </c>
      <c r="BP319">
        <v>317000</v>
      </c>
      <c r="BQ319">
        <v>161000</v>
      </c>
      <c r="BR319">
        <v>54000</v>
      </c>
    </row>
    <row r="320" spans="59:70" x14ac:dyDescent="0.25">
      <c r="BG320" t="s">
        <v>141</v>
      </c>
      <c r="BH320" t="s">
        <v>188</v>
      </c>
      <c r="BI320">
        <v>8</v>
      </c>
      <c r="BJ320">
        <v>38</v>
      </c>
      <c r="BK320" t="s">
        <v>484</v>
      </c>
      <c r="BL320">
        <v>17</v>
      </c>
      <c r="BM320">
        <v>0</v>
      </c>
      <c r="BN320">
        <v>0</v>
      </c>
      <c r="BO320">
        <v>597000</v>
      </c>
      <c r="BP320">
        <v>317000</v>
      </c>
      <c r="BQ320">
        <v>161000</v>
      </c>
      <c r="BR320">
        <v>54000</v>
      </c>
    </row>
    <row r="321" spans="59:70" x14ac:dyDescent="0.25">
      <c r="BG321" t="s">
        <v>141</v>
      </c>
      <c r="BH321" t="s">
        <v>188</v>
      </c>
      <c r="BI321">
        <v>9</v>
      </c>
      <c r="BJ321">
        <v>39</v>
      </c>
      <c r="BK321" t="s">
        <v>484</v>
      </c>
      <c r="BL321">
        <v>17</v>
      </c>
      <c r="BM321">
        <v>0</v>
      </c>
      <c r="BN321">
        <v>0</v>
      </c>
      <c r="BO321">
        <v>586000</v>
      </c>
      <c r="BP321">
        <v>310000</v>
      </c>
      <c r="BQ321">
        <v>158000</v>
      </c>
      <c r="BR321">
        <v>53000</v>
      </c>
    </row>
    <row r="322" spans="59:70" x14ac:dyDescent="0.25">
      <c r="BG322" t="s">
        <v>141</v>
      </c>
      <c r="BH322" t="s">
        <v>188</v>
      </c>
      <c r="BI322">
        <v>10</v>
      </c>
      <c r="BJ322">
        <v>40</v>
      </c>
      <c r="BK322" t="s">
        <v>484</v>
      </c>
      <c r="BL322">
        <v>17</v>
      </c>
      <c r="BM322">
        <v>0</v>
      </c>
      <c r="BN322">
        <v>0</v>
      </c>
      <c r="BO322">
        <v>577000</v>
      </c>
      <c r="BP322">
        <v>306000</v>
      </c>
      <c r="BQ322">
        <v>156000</v>
      </c>
      <c r="BR322">
        <v>52000</v>
      </c>
    </row>
    <row r="323" spans="59:70" x14ac:dyDescent="0.25">
      <c r="BG323" t="s">
        <v>141</v>
      </c>
      <c r="BH323" t="s">
        <v>188</v>
      </c>
      <c r="BI323">
        <v>11</v>
      </c>
      <c r="BJ323">
        <v>41</v>
      </c>
      <c r="BK323" t="s">
        <v>484</v>
      </c>
      <c r="BL323">
        <v>17</v>
      </c>
      <c r="BM323">
        <v>0</v>
      </c>
      <c r="BN323">
        <v>0</v>
      </c>
      <c r="BO323">
        <v>556000</v>
      </c>
      <c r="BP323">
        <v>295000</v>
      </c>
      <c r="BQ323">
        <v>150000</v>
      </c>
      <c r="BR323">
        <v>50000</v>
      </c>
    </row>
    <row r="324" spans="59:70" x14ac:dyDescent="0.25">
      <c r="BG324" t="s">
        <v>141</v>
      </c>
      <c r="BH324" t="s">
        <v>188</v>
      </c>
      <c r="BI324">
        <v>12</v>
      </c>
      <c r="BJ324">
        <v>42</v>
      </c>
      <c r="BK324" t="s">
        <v>484</v>
      </c>
      <c r="BL324">
        <v>17</v>
      </c>
      <c r="BM324">
        <v>0</v>
      </c>
      <c r="BN324">
        <v>0</v>
      </c>
      <c r="BO324">
        <v>532000</v>
      </c>
      <c r="BP324">
        <v>282000</v>
      </c>
      <c r="BQ324">
        <v>144000</v>
      </c>
      <c r="BR324">
        <v>48000</v>
      </c>
    </row>
    <row r="325" spans="59:70" x14ac:dyDescent="0.25">
      <c r="BG325" t="s">
        <v>141</v>
      </c>
      <c r="BH325" t="s">
        <v>188</v>
      </c>
      <c r="BI325">
        <v>13</v>
      </c>
      <c r="BJ325">
        <v>43</v>
      </c>
      <c r="BK325" t="s">
        <v>484</v>
      </c>
      <c r="BL325">
        <v>17</v>
      </c>
      <c r="BM325">
        <v>0</v>
      </c>
      <c r="BN325">
        <v>0</v>
      </c>
      <c r="BO325">
        <v>490000</v>
      </c>
      <c r="BP325">
        <v>259000</v>
      </c>
      <c r="BQ325">
        <v>133000</v>
      </c>
      <c r="BR325">
        <v>44000</v>
      </c>
    </row>
    <row r="326" spans="59:70" x14ac:dyDescent="0.25">
      <c r="BG326" t="s">
        <v>141</v>
      </c>
      <c r="BH326" t="s">
        <v>188</v>
      </c>
      <c r="BI326">
        <v>14</v>
      </c>
      <c r="BJ326">
        <v>44</v>
      </c>
      <c r="BK326" t="s">
        <v>484</v>
      </c>
      <c r="BL326">
        <v>17</v>
      </c>
      <c r="BM326">
        <v>0</v>
      </c>
      <c r="BN326">
        <v>0</v>
      </c>
      <c r="BO326">
        <v>431000</v>
      </c>
      <c r="BP326">
        <v>228000</v>
      </c>
      <c r="BQ326">
        <v>116000</v>
      </c>
      <c r="BR326">
        <v>39000</v>
      </c>
    </row>
    <row r="327" spans="59:70" x14ac:dyDescent="0.25">
      <c r="BG327" t="s">
        <v>141</v>
      </c>
      <c r="BH327" t="s">
        <v>188</v>
      </c>
      <c r="BI327">
        <v>15</v>
      </c>
      <c r="BJ327">
        <v>45</v>
      </c>
      <c r="BK327" t="s">
        <v>484</v>
      </c>
      <c r="BL327">
        <v>17</v>
      </c>
      <c r="BM327">
        <v>0</v>
      </c>
      <c r="BN327">
        <v>0</v>
      </c>
      <c r="BO327">
        <v>358000</v>
      </c>
      <c r="BP327">
        <v>189000</v>
      </c>
      <c r="BQ327">
        <v>96000</v>
      </c>
      <c r="BR327">
        <v>32000</v>
      </c>
    </row>
    <row r="328" spans="59:70" x14ac:dyDescent="0.25">
      <c r="BG328" t="s">
        <v>141</v>
      </c>
      <c r="BH328" t="s">
        <v>188</v>
      </c>
      <c r="BI328">
        <v>16</v>
      </c>
      <c r="BJ328">
        <v>46</v>
      </c>
      <c r="BK328" t="s">
        <v>484</v>
      </c>
      <c r="BL328">
        <v>17</v>
      </c>
      <c r="BM328">
        <v>0</v>
      </c>
      <c r="BN328">
        <v>0</v>
      </c>
      <c r="BO328">
        <v>263000</v>
      </c>
      <c r="BP328">
        <v>140000</v>
      </c>
      <c r="BQ328">
        <v>71000</v>
      </c>
      <c r="BR328">
        <v>24000</v>
      </c>
    </row>
    <row r="329" spans="59:70" x14ac:dyDescent="0.25">
      <c r="BG329" t="s">
        <v>141</v>
      </c>
      <c r="BH329" t="s">
        <v>188</v>
      </c>
      <c r="BI329">
        <v>17</v>
      </c>
      <c r="BJ329">
        <v>47</v>
      </c>
      <c r="BK329" t="s">
        <v>484</v>
      </c>
      <c r="BL329">
        <v>17</v>
      </c>
      <c r="BM329">
        <v>0</v>
      </c>
      <c r="BN329">
        <v>0</v>
      </c>
      <c r="BO329">
        <v>144000</v>
      </c>
      <c r="BP329">
        <v>77000</v>
      </c>
      <c r="BQ329">
        <v>39000</v>
      </c>
      <c r="BR329">
        <v>13000</v>
      </c>
    </row>
    <row r="330" spans="59:70" x14ac:dyDescent="0.25">
      <c r="BG330" t="s">
        <v>141</v>
      </c>
      <c r="BH330" t="s">
        <v>186</v>
      </c>
      <c r="BI330">
        <v>1</v>
      </c>
      <c r="BJ330">
        <v>0</v>
      </c>
      <c r="BK330" t="s">
        <v>485</v>
      </c>
      <c r="BL330">
        <v>71</v>
      </c>
      <c r="BM330">
        <v>0</v>
      </c>
      <c r="BN330">
        <v>120000000</v>
      </c>
      <c r="BO330">
        <v>537000</v>
      </c>
      <c r="BP330">
        <v>279000</v>
      </c>
      <c r="BQ330">
        <v>142000</v>
      </c>
      <c r="BR330">
        <v>48000</v>
      </c>
    </row>
    <row r="331" spans="59:70" x14ac:dyDescent="0.25">
      <c r="BG331" t="s">
        <v>141</v>
      </c>
      <c r="BH331" t="s">
        <v>186</v>
      </c>
      <c r="BI331">
        <v>2</v>
      </c>
      <c r="BJ331">
        <v>1</v>
      </c>
      <c r="BK331" t="s">
        <v>485</v>
      </c>
      <c r="BL331">
        <v>71</v>
      </c>
      <c r="BM331">
        <v>0</v>
      </c>
      <c r="BN331">
        <v>120000000</v>
      </c>
      <c r="BO331">
        <v>537000</v>
      </c>
      <c r="BP331">
        <v>279000</v>
      </c>
      <c r="BQ331">
        <v>142000</v>
      </c>
      <c r="BR331">
        <v>48000</v>
      </c>
    </row>
    <row r="332" spans="59:70" x14ac:dyDescent="0.25">
      <c r="BG332" t="s">
        <v>141</v>
      </c>
      <c r="BH332" t="s">
        <v>186</v>
      </c>
      <c r="BI332">
        <v>3</v>
      </c>
      <c r="BJ332">
        <v>2</v>
      </c>
      <c r="BK332" t="s">
        <v>485</v>
      </c>
      <c r="BL332">
        <v>71</v>
      </c>
      <c r="BM332">
        <v>0</v>
      </c>
      <c r="BN332">
        <v>120000000</v>
      </c>
      <c r="BO332">
        <v>537000</v>
      </c>
      <c r="BP332">
        <v>279000</v>
      </c>
      <c r="BQ332">
        <v>142000</v>
      </c>
      <c r="BR332">
        <v>48000</v>
      </c>
    </row>
    <row r="333" spans="59:70" x14ac:dyDescent="0.25">
      <c r="BG333" t="s">
        <v>141</v>
      </c>
      <c r="BH333" t="s">
        <v>186</v>
      </c>
      <c r="BI333">
        <v>4</v>
      </c>
      <c r="BJ333">
        <v>3</v>
      </c>
      <c r="BK333" t="s">
        <v>485</v>
      </c>
      <c r="BL333">
        <v>71</v>
      </c>
      <c r="BM333">
        <v>0</v>
      </c>
      <c r="BN333">
        <v>120000000</v>
      </c>
      <c r="BO333">
        <v>537000</v>
      </c>
      <c r="BP333">
        <v>279000</v>
      </c>
      <c r="BQ333">
        <v>142000</v>
      </c>
      <c r="BR333">
        <v>48000</v>
      </c>
    </row>
    <row r="334" spans="59:70" x14ac:dyDescent="0.25">
      <c r="BG334" t="s">
        <v>141</v>
      </c>
      <c r="BH334" t="s">
        <v>186</v>
      </c>
      <c r="BI334">
        <v>5</v>
      </c>
      <c r="BJ334">
        <v>4</v>
      </c>
      <c r="BK334" t="s">
        <v>485</v>
      </c>
      <c r="BL334">
        <v>71</v>
      </c>
      <c r="BM334">
        <v>0</v>
      </c>
      <c r="BN334">
        <v>120000000</v>
      </c>
      <c r="BO334">
        <v>537000</v>
      </c>
      <c r="BP334">
        <v>279000</v>
      </c>
      <c r="BQ334">
        <v>142000</v>
      </c>
      <c r="BR334">
        <v>48000</v>
      </c>
    </row>
    <row r="335" spans="59:70" x14ac:dyDescent="0.25">
      <c r="BG335" t="s">
        <v>141</v>
      </c>
      <c r="BH335" t="s">
        <v>186</v>
      </c>
      <c r="BI335">
        <v>6</v>
      </c>
      <c r="BJ335">
        <v>5</v>
      </c>
      <c r="BK335" t="s">
        <v>485</v>
      </c>
      <c r="BL335">
        <v>71</v>
      </c>
      <c r="BM335">
        <v>0</v>
      </c>
      <c r="BN335">
        <v>120000000</v>
      </c>
      <c r="BO335">
        <v>537000</v>
      </c>
      <c r="BP335">
        <v>279000</v>
      </c>
      <c r="BQ335">
        <v>142000</v>
      </c>
      <c r="BR335">
        <v>48000</v>
      </c>
    </row>
    <row r="336" spans="59:70" x14ac:dyDescent="0.25">
      <c r="BG336" t="s">
        <v>141</v>
      </c>
      <c r="BH336" t="s">
        <v>186</v>
      </c>
      <c r="BI336">
        <v>7</v>
      </c>
      <c r="BJ336">
        <v>6</v>
      </c>
      <c r="BK336" t="s">
        <v>485</v>
      </c>
      <c r="BL336">
        <v>71</v>
      </c>
      <c r="BM336">
        <v>0</v>
      </c>
      <c r="BN336">
        <v>120000000</v>
      </c>
      <c r="BO336">
        <v>537000</v>
      </c>
      <c r="BP336">
        <v>279000</v>
      </c>
      <c r="BQ336">
        <v>142000</v>
      </c>
      <c r="BR336">
        <v>48000</v>
      </c>
    </row>
    <row r="337" spans="59:70" x14ac:dyDescent="0.25">
      <c r="BG337" t="s">
        <v>141</v>
      </c>
      <c r="BH337" t="s">
        <v>186</v>
      </c>
      <c r="BI337">
        <v>8</v>
      </c>
      <c r="BJ337">
        <v>7</v>
      </c>
      <c r="BK337" t="s">
        <v>485</v>
      </c>
      <c r="BL337">
        <v>71</v>
      </c>
      <c r="BM337">
        <v>0</v>
      </c>
      <c r="BN337">
        <v>120000000</v>
      </c>
      <c r="BO337">
        <v>537000</v>
      </c>
      <c r="BP337">
        <v>279000</v>
      </c>
      <c r="BQ337">
        <v>142000</v>
      </c>
      <c r="BR337">
        <v>48000</v>
      </c>
    </row>
    <row r="338" spans="59:70" x14ac:dyDescent="0.25">
      <c r="BG338" t="s">
        <v>141</v>
      </c>
      <c r="BH338" t="s">
        <v>186</v>
      </c>
      <c r="BI338">
        <v>9</v>
      </c>
      <c r="BJ338">
        <v>8</v>
      </c>
      <c r="BK338" t="s">
        <v>485</v>
      </c>
      <c r="BL338">
        <v>71</v>
      </c>
      <c r="BM338">
        <v>0</v>
      </c>
      <c r="BN338">
        <v>120000000</v>
      </c>
      <c r="BO338">
        <v>537000</v>
      </c>
      <c r="BP338">
        <v>279000</v>
      </c>
      <c r="BQ338">
        <v>142000</v>
      </c>
      <c r="BR338">
        <v>48000</v>
      </c>
    </row>
    <row r="339" spans="59:70" x14ac:dyDescent="0.25">
      <c r="BG339" t="s">
        <v>141</v>
      </c>
      <c r="BH339" t="s">
        <v>186</v>
      </c>
      <c r="BI339">
        <v>10</v>
      </c>
      <c r="BJ339">
        <v>9</v>
      </c>
      <c r="BK339" t="s">
        <v>485</v>
      </c>
      <c r="BL339">
        <v>71</v>
      </c>
      <c r="BM339">
        <v>0</v>
      </c>
      <c r="BN339">
        <v>120000000</v>
      </c>
      <c r="BO339">
        <v>537000</v>
      </c>
      <c r="BP339">
        <v>279000</v>
      </c>
      <c r="BQ339">
        <v>142000</v>
      </c>
      <c r="BR339">
        <v>48000</v>
      </c>
    </row>
    <row r="340" spans="59:70" x14ac:dyDescent="0.25">
      <c r="BG340" t="s">
        <v>141</v>
      </c>
      <c r="BH340" t="s">
        <v>186</v>
      </c>
      <c r="BI340">
        <v>11</v>
      </c>
      <c r="BJ340">
        <v>10</v>
      </c>
      <c r="BK340" t="s">
        <v>485</v>
      </c>
      <c r="BL340">
        <v>71</v>
      </c>
      <c r="BM340">
        <v>0</v>
      </c>
      <c r="BN340">
        <v>120000000</v>
      </c>
      <c r="BO340">
        <v>537000</v>
      </c>
      <c r="BP340">
        <v>279000</v>
      </c>
      <c r="BQ340">
        <v>142000</v>
      </c>
      <c r="BR340">
        <v>48000</v>
      </c>
    </row>
    <row r="341" spans="59:70" x14ac:dyDescent="0.25">
      <c r="BG341" t="s">
        <v>141</v>
      </c>
      <c r="BH341" t="s">
        <v>186</v>
      </c>
      <c r="BI341">
        <v>12</v>
      </c>
      <c r="BJ341">
        <v>11</v>
      </c>
      <c r="BK341" t="s">
        <v>485</v>
      </c>
      <c r="BL341">
        <v>71</v>
      </c>
      <c r="BM341">
        <v>0</v>
      </c>
      <c r="BN341">
        <v>120000000</v>
      </c>
      <c r="BO341">
        <v>537000</v>
      </c>
      <c r="BP341">
        <v>279000</v>
      </c>
      <c r="BQ341">
        <v>142000</v>
      </c>
      <c r="BR341">
        <v>48000</v>
      </c>
    </row>
    <row r="342" spans="59:70" x14ac:dyDescent="0.25">
      <c r="BG342" t="s">
        <v>141</v>
      </c>
      <c r="BH342" t="s">
        <v>186</v>
      </c>
      <c r="BI342">
        <v>13</v>
      </c>
      <c r="BJ342">
        <v>12</v>
      </c>
      <c r="BK342" t="s">
        <v>485</v>
      </c>
      <c r="BL342">
        <v>71</v>
      </c>
      <c r="BM342">
        <v>0</v>
      </c>
      <c r="BN342">
        <v>120000000</v>
      </c>
      <c r="BO342">
        <v>537000</v>
      </c>
      <c r="BP342">
        <v>279000</v>
      </c>
      <c r="BQ342">
        <v>142000</v>
      </c>
      <c r="BR342">
        <v>48000</v>
      </c>
    </row>
    <row r="343" spans="59:70" x14ac:dyDescent="0.25">
      <c r="BG343" t="s">
        <v>141</v>
      </c>
      <c r="BH343" t="s">
        <v>186</v>
      </c>
      <c r="BI343">
        <v>14</v>
      </c>
      <c r="BJ343">
        <v>13</v>
      </c>
      <c r="BK343" t="s">
        <v>485</v>
      </c>
      <c r="BL343">
        <v>71</v>
      </c>
      <c r="BM343">
        <v>0</v>
      </c>
      <c r="BN343">
        <v>120000000</v>
      </c>
      <c r="BO343">
        <v>537000</v>
      </c>
      <c r="BP343">
        <v>279000</v>
      </c>
      <c r="BQ343">
        <v>142000</v>
      </c>
      <c r="BR343">
        <v>48000</v>
      </c>
    </row>
    <row r="344" spans="59:70" x14ac:dyDescent="0.25">
      <c r="BG344" t="s">
        <v>141</v>
      </c>
      <c r="BH344" t="s">
        <v>186</v>
      </c>
      <c r="BI344">
        <v>15</v>
      </c>
      <c r="BJ344">
        <v>14</v>
      </c>
      <c r="BK344" t="s">
        <v>485</v>
      </c>
      <c r="BL344">
        <v>71</v>
      </c>
      <c r="BM344">
        <v>0</v>
      </c>
      <c r="BN344">
        <v>120000000</v>
      </c>
      <c r="BO344">
        <v>537000</v>
      </c>
      <c r="BP344">
        <v>279000</v>
      </c>
      <c r="BQ344">
        <v>142000</v>
      </c>
      <c r="BR344">
        <v>48000</v>
      </c>
    </row>
    <row r="345" spans="59:70" x14ac:dyDescent="0.25">
      <c r="BG345" t="s">
        <v>141</v>
      </c>
      <c r="BH345" t="s">
        <v>186</v>
      </c>
      <c r="BI345">
        <v>16</v>
      </c>
      <c r="BJ345">
        <v>15</v>
      </c>
      <c r="BK345" t="s">
        <v>485</v>
      </c>
      <c r="BL345">
        <v>71</v>
      </c>
      <c r="BM345">
        <v>0</v>
      </c>
      <c r="BN345">
        <v>120000000</v>
      </c>
      <c r="BO345">
        <v>537000</v>
      </c>
      <c r="BP345">
        <v>279000</v>
      </c>
      <c r="BQ345">
        <v>142000</v>
      </c>
      <c r="BR345">
        <v>48000</v>
      </c>
    </row>
    <row r="346" spans="59:70" x14ac:dyDescent="0.25">
      <c r="BG346" t="s">
        <v>141</v>
      </c>
      <c r="BH346" t="s">
        <v>186</v>
      </c>
      <c r="BI346">
        <v>17</v>
      </c>
      <c r="BJ346">
        <v>16</v>
      </c>
      <c r="BK346" t="s">
        <v>485</v>
      </c>
      <c r="BL346">
        <v>71</v>
      </c>
      <c r="BM346">
        <v>0</v>
      </c>
      <c r="BN346">
        <v>120000000</v>
      </c>
      <c r="BO346">
        <v>537000</v>
      </c>
      <c r="BP346">
        <v>279000</v>
      </c>
      <c r="BQ346">
        <v>142000</v>
      </c>
      <c r="BR346">
        <v>48000</v>
      </c>
    </row>
    <row r="347" spans="59:70" x14ac:dyDescent="0.25">
      <c r="BG347" t="s">
        <v>141</v>
      </c>
      <c r="BH347" t="s">
        <v>186</v>
      </c>
      <c r="BI347">
        <v>18</v>
      </c>
      <c r="BJ347">
        <v>17</v>
      </c>
      <c r="BK347" t="s">
        <v>485</v>
      </c>
      <c r="BL347">
        <v>71</v>
      </c>
      <c r="BM347">
        <v>0</v>
      </c>
      <c r="BN347">
        <v>120000000</v>
      </c>
      <c r="BO347">
        <v>537000</v>
      </c>
      <c r="BP347">
        <v>279000</v>
      </c>
      <c r="BQ347">
        <v>142000</v>
      </c>
      <c r="BR347">
        <v>48000</v>
      </c>
    </row>
    <row r="348" spans="59:70" x14ac:dyDescent="0.25">
      <c r="BG348" t="s">
        <v>141</v>
      </c>
      <c r="BH348" t="s">
        <v>186</v>
      </c>
      <c r="BI348">
        <v>19</v>
      </c>
      <c r="BJ348">
        <v>18</v>
      </c>
      <c r="BK348" t="s">
        <v>485</v>
      </c>
      <c r="BL348">
        <v>71</v>
      </c>
      <c r="BM348">
        <v>0</v>
      </c>
      <c r="BN348">
        <v>120000000</v>
      </c>
      <c r="BO348">
        <v>537000</v>
      </c>
      <c r="BP348">
        <v>279000</v>
      </c>
      <c r="BQ348">
        <v>142000</v>
      </c>
      <c r="BR348">
        <v>48000</v>
      </c>
    </row>
    <row r="349" spans="59:70" x14ac:dyDescent="0.25">
      <c r="BG349" t="s">
        <v>141</v>
      </c>
      <c r="BH349" t="s">
        <v>186</v>
      </c>
      <c r="BI349">
        <v>20</v>
      </c>
      <c r="BJ349">
        <v>19</v>
      </c>
      <c r="BK349" t="s">
        <v>485</v>
      </c>
      <c r="BL349">
        <v>71</v>
      </c>
      <c r="BM349">
        <v>0</v>
      </c>
      <c r="BN349">
        <v>120000000</v>
      </c>
      <c r="BO349">
        <v>537000</v>
      </c>
      <c r="BP349">
        <v>279000</v>
      </c>
      <c r="BQ349">
        <v>142000</v>
      </c>
      <c r="BR349">
        <v>48000</v>
      </c>
    </row>
    <row r="350" spans="59:70" x14ac:dyDescent="0.25">
      <c r="BG350" t="s">
        <v>141</v>
      </c>
      <c r="BH350" t="s">
        <v>186</v>
      </c>
      <c r="BI350">
        <v>21</v>
      </c>
      <c r="BJ350">
        <v>20</v>
      </c>
      <c r="BK350" t="s">
        <v>485</v>
      </c>
      <c r="BL350">
        <v>71</v>
      </c>
      <c r="BM350">
        <v>0</v>
      </c>
      <c r="BN350">
        <v>120000000</v>
      </c>
      <c r="BO350">
        <v>537000</v>
      </c>
      <c r="BP350">
        <v>279000</v>
      </c>
      <c r="BQ350">
        <v>142000</v>
      </c>
      <c r="BR350">
        <v>48000</v>
      </c>
    </row>
    <row r="351" spans="59:70" x14ac:dyDescent="0.25">
      <c r="BG351" t="s">
        <v>141</v>
      </c>
      <c r="BH351" t="s">
        <v>186</v>
      </c>
      <c r="BI351">
        <v>22</v>
      </c>
      <c r="BJ351">
        <v>21</v>
      </c>
      <c r="BK351" t="s">
        <v>485</v>
      </c>
      <c r="BL351">
        <v>71</v>
      </c>
      <c r="BM351">
        <v>0</v>
      </c>
      <c r="BN351">
        <v>120000000</v>
      </c>
      <c r="BO351">
        <v>537000</v>
      </c>
      <c r="BP351">
        <v>279000</v>
      </c>
      <c r="BQ351">
        <v>142000</v>
      </c>
      <c r="BR351">
        <v>48000</v>
      </c>
    </row>
    <row r="352" spans="59:70" x14ac:dyDescent="0.25">
      <c r="BG352" t="s">
        <v>141</v>
      </c>
      <c r="BH352" t="s">
        <v>186</v>
      </c>
      <c r="BI352">
        <v>23</v>
      </c>
      <c r="BJ352">
        <v>22</v>
      </c>
      <c r="BK352" t="s">
        <v>485</v>
      </c>
      <c r="BL352">
        <v>71</v>
      </c>
      <c r="BM352">
        <v>0</v>
      </c>
      <c r="BN352">
        <v>120000000</v>
      </c>
      <c r="BO352">
        <v>537000</v>
      </c>
      <c r="BP352">
        <v>279000</v>
      </c>
      <c r="BQ352">
        <v>142000</v>
      </c>
      <c r="BR352">
        <v>48000</v>
      </c>
    </row>
    <row r="353" spans="59:70" x14ac:dyDescent="0.25">
      <c r="BG353" t="s">
        <v>141</v>
      </c>
      <c r="BH353" t="s">
        <v>186</v>
      </c>
      <c r="BI353">
        <v>24</v>
      </c>
      <c r="BJ353">
        <v>23</v>
      </c>
      <c r="BK353" t="s">
        <v>485</v>
      </c>
      <c r="BL353">
        <v>71</v>
      </c>
      <c r="BM353">
        <v>0</v>
      </c>
      <c r="BN353">
        <v>120000000</v>
      </c>
      <c r="BO353">
        <v>537000</v>
      </c>
      <c r="BP353">
        <v>279000</v>
      </c>
      <c r="BQ353">
        <v>142000</v>
      </c>
      <c r="BR353">
        <v>48000</v>
      </c>
    </row>
    <row r="354" spans="59:70" x14ac:dyDescent="0.25">
      <c r="BG354" t="s">
        <v>141</v>
      </c>
      <c r="BH354" t="s">
        <v>186</v>
      </c>
      <c r="BI354">
        <v>25</v>
      </c>
      <c r="BJ354">
        <v>24</v>
      </c>
      <c r="BK354" t="s">
        <v>485</v>
      </c>
      <c r="BL354">
        <v>71</v>
      </c>
      <c r="BM354">
        <v>0</v>
      </c>
      <c r="BN354">
        <v>120000000</v>
      </c>
      <c r="BO354">
        <v>537000</v>
      </c>
      <c r="BP354">
        <v>279000</v>
      </c>
      <c r="BQ354">
        <v>142000</v>
      </c>
      <c r="BR354">
        <v>48000</v>
      </c>
    </row>
    <row r="355" spans="59:70" x14ac:dyDescent="0.25">
      <c r="BG355" t="s">
        <v>141</v>
      </c>
      <c r="BH355" t="s">
        <v>186</v>
      </c>
      <c r="BI355">
        <v>26</v>
      </c>
      <c r="BJ355">
        <v>25</v>
      </c>
      <c r="BK355" t="s">
        <v>485</v>
      </c>
      <c r="BL355">
        <v>71</v>
      </c>
      <c r="BM355">
        <v>0</v>
      </c>
      <c r="BN355">
        <v>120000000</v>
      </c>
      <c r="BO355">
        <v>537000</v>
      </c>
      <c r="BP355">
        <v>279000</v>
      </c>
      <c r="BQ355">
        <v>142000</v>
      </c>
      <c r="BR355">
        <v>48000</v>
      </c>
    </row>
    <row r="356" spans="59:70" x14ac:dyDescent="0.25">
      <c r="BG356" t="s">
        <v>141</v>
      </c>
      <c r="BH356" t="s">
        <v>186</v>
      </c>
      <c r="BI356">
        <v>27</v>
      </c>
      <c r="BJ356">
        <v>26</v>
      </c>
      <c r="BK356" t="s">
        <v>485</v>
      </c>
      <c r="BL356">
        <v>71</v>
      </c>
      <c r="BM356">
        <v>0</v>
      </c>
      <c r="BN356">
        <v>120000000</v>
      </c>
      <c r="BO356">
        <v>537000</v>
      </c>
      <c r="BP356">
        <v>279000</v>
      </c>
      <c r="BQ356">
        <v>142000</v>
      </c>
      <c r="BR356">
        <v>48000</v>
      </c>
    </row>
    <row r="357" spans="59:70" x14ac:dyDescent="0.25">
      <c r="BG357" t="s">
        <v>141</v>
      </c>
      <c r="BH357" t="s">
        <v>186</v>
      </c>
      <c r="BI357">
        <v>28</v>
      </c>
      <c r="BJ357">
        <v>27</v>
      </c>
      <c r="BK357" t="s">
        <v>485</v>
      </c>
      <c r="BL357">
        <v>71</v>
      </c>
      <c r="BM357">
        <v>0</v>
      </c>
      <c r="BN357">
        <v>120000000</v>
      </c>
      <c r="BO357">
        <v>537000</v>
      </c>
      <c r="BP357">
        <v>279000</v>
      </c>
      <c r="BQ357">
        <v>142000</v>
      </c>
      <c r="BR357">
        <v>48000</v>
      </c>
    </row>
    <row r="358" spans="59:70" x14ac:dyDescent="0.25">
      <c r="BG358" t="s">
        <v>141</v>
      </c>
      <c r="BH358" t="s">
        <v>186</v>
      </c>
      <c r="BI358">
        <v>29</v>
      </c>
      <c r="BJ358">
        <v>28</v>
      </c>
      <c r="BK358" t="s">
        <v>485</v>
      </c>
      <c r="BL358">
        <v>71</v>
      </c>
      <c r="BM358">
        <v>0</v>
      </c>
      <c r="BN358">
        <v>120000000</v>
      </c>
      <c r="BO358">
        <v>537000</v>
      </c>
      <c r="BP358">
        <v>279000</v>
      </c>
      <c r="BQ358">
        <v>142000</v>
      </c>
      <c r="BR358">
        <v>48000</v>
      </c>
    </row>
    <row r="359" spans="59:70" x14ac:dyDescent="0.25">
      <c r="BG359" t="s">
        <v>141</v>
      </c>
      <c r="BH359" t="s">
        <v>186</v>
      </c>
      <c r="BI359">
        <v>30</v>
      </c>
      <c r="BJ359">
        <v>29</v>
      </c>
      <c r="BK359" t="s">
        <v>485</v>
      </c>
      <c r="BL359">
        <v>71</v>
      </c>
      <c r="BM359">
        <v>0</v>
      </c>
      <c r="BN359">
        <v>120000000</v>
      </c>
      <c r="BO359">
        <v>537000</v>
      </c>
      <c r="BP359">
        <v>279000</v>
      </c>
      <c r="BQ359">
        <v>142000</v>
      </c>
      <c r="BR359">
        <v>48000</v>
      </c>
    </row>
    <row r="360" spans="59:70" x14ac:dyDescent="0.25">
      <c r="BG360" t="s">
        <v>141</v>
      </c>
      <c r="BH360" t="s">
        <v>186</v>
      </c>
      <c r="BI360">
        <v>31</v>
      </c>
      <c r="BJ360">
        <v>30</v>
      </c>
      <c r="BK360" t="s">
        <v>485</v>
      </c>
      <c r="BL360">
        <v>71</v>
      </c>
      <c r="BM360">
        <v>0</v>
      </c>
      <c r="BN360">
        <v>120000000</v>
      </c>
      <c r="BO360">
        <v>537000</v>
      </c>
      <c r="BP360">
        <v>279000</v>
      </c>
      <c r="BQ360">
        <v>142000</v>
      </c>
      <c r="BR360">
        <v>48000</v>
      </c>
    </row>
    <row r="361" spans="59:70" x14ac:dyDescent="0.25">
      <c r="BG361" t="s">
        <v>141</v>
      </c>
      <c r="BH361" t="s">
        <v>186</v>
      </c>
      <c r="BI361">
        <v>32</v>
      </c>
      <c r="BJ361">
        <v>31</v>
      </c>
      <c r="BK361" t="s">
        <v>485</v>
      </c>
      <c r="BL361">
        <v>71</v>
      </c>
      <c r="BM361">
        <v>0</v>
      </c>
      <c r="BN361">
        <v>120000000</v>
      </c>
      <c r="BO361">
        <v>537000</v>
      </c>
      <c r="BP361">
        <v>279000</v>
      </c>
      <c r="BQ361">
        <v>142000</v>
      </c>
      <c r="BR361">
        <v>48000</v>
      </c>
    </row>
    <row r="362" spans="59:70" x14ac:dyDescent="0.25">
      <c r="BG362" t="s">
        <v>141</v>
      </c>
      <c r="BH362" t="s">
        <v>186</v>
      </c>
      <c r="BI362">
        <v>33</v>
      </c>
      <c r="BJ362">
        <v>32</v>
      </c>
      <c r="BK362" t="s">
        <v>485</v>
      </c>
      <c r="BL362">
        <v>71</v>
      </c>
      <c r="BM362">
        <v>0</v>
      </c>
      <c r="BN362">
        <v>120000000</v>
      </c>
      <c r="BO362">
        <v>537000</v>
      </c>
      <c r="BP362">
        <v>279000</v>
      </c>
      <c r="BQ362">
        <v>142000</v>
      </c>
      <c r="BR362">
        <v>48000</v>
      </c>
    </row>
    <row r="363" spans="59:70" x14ac:dyDescent="0.25">
      <c r="BG363" t="s">
        <v>141</v>
      </c>
      <c r="BH363" t="s">
        <v>186</v>
      </c>
      <c r="BI363">
        <v>34</v>
      </c>
      <c r="BJ363">
        <v>33</v>
      </c>
      <c r="BK363" t="s">
        <v>485</v>
      </c>
      <c r="BL363">
        <v>71</v>
      </c>
      <c r="BM363">
        <v>0</v>
      </c>
      <c r="BN363">
        <v>120000000</v>
      </c>
      <c r="BO363">
        <v>537000</v>
      </c>
      <c r="BP363">
        <v>279000</v>
      </c>
      <c r="BQ363">
        <v>142000</v>
      </c>
      <c r="BR363">
        <v>48000</v>
      </c>
    </row>
    <row r="364" spans="59:70" x14ac:dyDescent="0.25">
      <c r="BG364" t="s">
        <v>141</v>
      </c>
      <c r="BH364" t="s">
        <v>186</v>
      </c>
      <c r="BI364">
        <v>35</v>
      </c>
      <c r="BJ364">
        <v>34</v>
      </c>
      <c r="BK364" t="s">
        <v>485</v>
      </c>
      <c r="BL364">
        <v>71</v>
      </c>
      <c r="BM364">
        <v>0</v>
      </c>
      <c r="BN364">
        <v>120000000</v>
      </c>
      <c r="BO364">
        <v>537000</v>
      </c>
      <c r="BP364">
        <v>279000</v>
      </c>
      <c r="BQ364">
        <v>142000</v>
      </c>
      <c r="BR364">
        <v>48000</v>
      </c>
    </row>
    <row r="365" spans="59:70" x14ac:dyDescent="0.25">
      <c r="BG365" t="s">
        <v>141</v>
      </c>
      <c r="BH365" t="s">
        <v>186</v>
      </c>
      <c r="BI365">
        <v>36</v>
      </c>
      <c r="BJ365">
        <v>35</v>
      </c>
      <c r="BK365" t="s">
        <v>485</v>
      </c>
      <c r="BL365">
        <v>71</v>
      </c>
      <c r="BM365">
        <v>0</v>
      </c>
      <c r="BN365">
        <v>120000000</v>
      </c>
      <c r="BO365">
        <v>537000</v>
      </c>
      <c r="BP365">
        <v>279000</v>
      </c>
      <c r="BQ365">
        <v>142000</v>
      </c>
      <c r="BR365">
        <v>48000</v>
      </c>
    </row>
    <row r="366" spans="59:70" x14ac:dyDescent="0.25">
      <c r="BG366" t="s">
        <v>141</v>
      </c>
      <c r="BH366" t="s">
        <v>186</v>
      </c>
      <c r="BI366">
        <v>37</v>
      </c>
      <c r="BJ366">
        <v>36</v>
      </c>
      <c r="BK366" t="s">
        <v>485</v>
      </c>
      <c r="BL366">
        <v>71</v>
      </c>
      <c r="BM366">
        <v>0</v>
      </c>
      <c r="BN366">
        <v>120000000</v>
      </c>
      <c r="BO366">
        <v>537000</v>
      </c>
      <c r="BP366">
        <v>279000</v>
      </c>
      <c r="BQ366">
        <v>142000</v>
      </c>
      <c r="BR366">
        <v>48000</v>
      </c>
    </row>
    <row r="367" spans="59:70" x14ac:dyDescent="0.25">
      <c r="BG367" t="s">
        <v>141</v>
      </c>
      <c r="BH367" t="s">
        <v>186</v>
      </c>
      <c r="BI367">
        <v>38</v>
      </c>
      <c r="BJ367">
        <v>37</v>
      </c>
      <c r="BK367" t="s">
        <v>485</v>
      </c>
      <c r="BL367">
        <v>71</v>
      </c>
      <c r="BM367">
        <v>0</v>
      </c>
      <c r="BN367">
        <v>120000000</v>
      </c>
      <c r="BO367">
        <v>537000</v>
      </c>
      <c r="BP367">
        <v>279000</v>
      </c>
      <c r="BQ367">
        <v>142000</v>
      </c>
      <c r="BR367">
        <v>48000</v>
      </c>
    </row>
    <row r="368" spans="59:70" x14ac:dyDescent="0.25">
      <c r="BG368" t="s">
        <v>141</v>
      </c>
      <c r="BH368" t="s">
        <v>186</v>
      </c>
      <c r="BI368">
        <v>39</v>
      </c>
      <c r="BJ368">
        <v>38</v>
      </c>
      <c r="BK368" t="s">
        <v>485</v>
      </c>
      <c r="BL368">
        <v>71</v>
      </c>
      <c r="BM368">
        <v>0</v>
      </c>
      <c r="BN368">
        <v>120000000</v>
      </c>
      <c r="BO368">
        <v>537000</v>
      </c>
      <c r="BP368">
        <v>279000</v>
      </c>
      <c r="BQ368">
        <v>142000</v>
      </c>
      <c r="BR368">
        <v>48000</v>
      </c>
    </row>
    <row r="369" spans="59:70" x14ac:dyDescent="0.25">
      <c r="BG369" t="s">
        <v>141</v>
      </c>
      <c r="BH369" t="s">
        <v>186</v>
      </c>
      <c r="BI369">
        <v>40</v>
      </c>
      <c r="BJ369">
        <v>39</v>
      </c>
      <c r="BK369" t="s">
        <v>485</v>
      </c>
      <c r="BL369">
        <v>71</v>
      </c>
      <c r="BM369">
        <v>0</v>
      </c>
      <c r="BN369">
        <v>120000000</v>
      </c>
      <c r="BO369">
        <v>537000</v>
      </c>
      <c r="BP369">
        <v>279000</v>
      </c>
      <c r="BQ369">
        <v>142000</v>
      </c>
      <c r="BR369">
        <v>48000</v>
      </c>
    </row>
    <row r="370" spans="59:70" x14ac:dyDescent="0.25">
      <c r="BG370" t="s">
        <v>141</v>
      </c>
      <c r="BH370" t="s">
        <v>186</v>
      </c>
      <c r="BI370">
        <v>41</v>
      </c>
      <c r="BJ370">
        <v>40</v>
      </c>
      <c r="BK370" t="s">
        <v>485</v>
      </c>
      <c r="BL370">
        <v>71</v>
      </c>
      <c r="BM370">
        <v>0</v>
      </c>
      <c r="BN370">
        <v>120000000</v>
      </c>
      <c r="BO370">
        <v>537000</v>
      </c>
      <c r="BP370">
        <v>279000</v>
      </c>
      <c r="BQ370">
        <v>142000</v>
      </c>
      <c r="BR370">
        <v>48000</v>
      </c>
    </row>
    <row r="371" spans="59:70" x14ac:dyDescent="0.25">
      <c r="BG371" t="s">
        <v>141</v>
      </c>
      <c r="BH371" t="s">
        <v>186</v>
      </c>
      <c r="BI371">
        <v>42</v>
      </c>
      <c r="BJ371">
        <v>41</v>
      </c>
      <c r="BK371" t="s">
        <v>485</v>
      </c>
      <c r="BL371">
        <v>71</v>
      </c>
      <c r="BM371">
        <v>0</v>
      </c>
      <c r="BN371">
        <v>120000000</v>
      </c>
      <c r="BO371">
        <v>537000</v>
      </c>
      <c r="BP371">
        <v>279000</v>
      </c>
      <c r="BQ371">
        <v>142000</v>
      </c>
      <c r="BR371">
        <v>48000</v>
      </c>
    </row>
    <row r="372" spans="59:70" x14ac:dyDescent="0.25">
      <c r="BG372" t="s">
        <v>141</v>
      </c>
      <c r="BH372" t="s">
        <v>186</v>
      </c>
      <c r="BI372">
        <v>43</v>
      </c>
      <c r="BJ372">
        <v>42</v>
      </c>
      <c r="BK372" t="s">
        <v>485</v>
      </c>
      <c r="BL372">
        <v>71</v>
      </c>
      <c r="BM372">
        <v>0</v>
      </c>
      <c r="BN372">
        <v>120000000</v>
      </c>
      <c r="BO372">
        <v>537000</v>
      </c>
      <c r="BP372">
        <v>279000</v>
      </c>
      <c r="BQ372">
        <v>142000</v>
      </c>
      <c r="BR372">
        <v>48000</v>
      </c>
    </row>
    <row r="373" spans="59:70" x14ac:dyDescent="0.25">
      <c r="BG373" t="s">
        <v>141</v>
      </c>
      <c r="BH373" t="s">
        <v>186</v>
      </c>
      <c r="BI373">
        <v>44</v>
      </c>
      <c r="BJ373">
        <v>43</v>
      </c>
      <c r="BK373" t="s">
        <v>485</v>
      </c>
      <c r="BL373">
        <v>71</v>
      </c>
      <c r="BM373">
        <v>0</v>
      </c>
      <c r="BN373">
        <v>120000000</v>
      </c>
      <c r="BO373">
        <v>537000</v>
      </c>
      <c r="BP373">
        <v>279000</v>
      </c>
      <c r="BQ373">
        <v>142000</v>
      </c>
      <c r="BR373">
        <v>48000</v>
      </c>
    </row>
    <row r="374" spans="59:70" x14ac:dyDescent="0.25">
      <c r="BG374" t="s">
        <v>141</v>
      </c>
      <c r="BH374" t="s">
        <v>186</v>
      </c>
      <c r="BI374">
        <v>45</v>
      </c>
      <c r="BJ374">
        <v>44</v>
      </c>
      <c r="BK374" t="s">
        <v>485</v>
      </c>
      <c r="BL374">
        <v>71</v>
      </c>
      <c r="BM374">
        <v>0</v>
      </c>
      <c r="BN374">
        <v>120000000</v>
      </c>
      <c r="BO374">
        <v>537000</v>
      </c>
      <c r="BP374">
        <v>279000</v>
      </c>
      <c r="BQ374">
        <v>142000</v>
      </c>
      <c r="BR374">
        <v>48000</v>
      </c>
    </row>
    <row r="375" spans="59:70" x14ac:dyDescent="0.25">
      <c r="BG375" t="s">
        <v>141</v>
      </c>
      <c r="BH375" t="s">
        <v>186</v>
      </c>
      <c r="BI375">
        <v>46</v>
      </c>
      <c r="BJ375">
        <v>45</v>
      </c>
      <c r="BK375" t="s">
        <v>485</v>
      </c>
      <c r="BL375">
        <v>71</v>
      </c>
      <c r="BM375">
        <v>0</v>
      </c>
      <c r="BN375">
        <v>120000000</v>
      </c>
      <c r="BO375">
        <v>537000</v>
      </c>
      <c r="BP375">
        <v>279000</v>
      </c>
      <c r="BQ375">
        <v>142000</v>
      </c>
      <c r="BR375">
        <v>48000</v>
      </c>
    </row>
    <row r="376" spans="59:70" x14ac:dyDescent="0.25">
      <c r="BG376" t="s">
        <v>141</v>
      </c>
      <c r="BH376" t="s">
        <v>186</v>
      </c>
      <c r="BI376">
        <v>47</v>
      </c>
      <c r="BJ376">
        <v>46</v>
      </c>
      <c r="BK376" t="s">
        <v>485</v>
      </c>
      <c r="BL376">
        <v>71</v>
      </c>
      <c r="BM376">
        <v>0</v>
      </c>
      <c r="BN376">
        <v>120000000</v>
      </c>
      <c r="BO376">
        <v>537000</v>
      </c>
      <c r="BP376">
        <v>279000</v>
      </c>
      <c r="BQ376">
        <v>142000</v>
      </c>
      <c r="BR376">
        <v>48000</v>
      </c>
    </row>
    <row r="377" spans="59:70" x14ac:dyDescent="0.25">
      <c r="BG377" t="s">
        <v>141</v>
      </c>
      <c r="BH377" t="s">
        <v>186</v>
      </c>
      <c r="BI377">
        <v>48</v>
      </c>
      <c r="BJ377">
        <v>47</v>
      </c>
      <c r="BK377" t="s">
        <v>485</v>
      </c>
      <c r="BL377">
        <v>71</v>
      </c>
      <c r="BM377">
        <v>0</v>
      </c>
      <c r="BN377">
        <v>120000000</v>
      </c>
      <c r="BO377">
        <v>537000</v>
      </c>
      <c r="BP377">
        <v>279000</v>
      </c>
      <c r="BQ377">
        <v>142000</v>
      </c>
      <c r="BR377">
        <v>48000</v>
      </c>
    </row>
    <row r="378" spans="59:70" x14ac:dyDescent="0.25">
      <c r="BG378" t="s">
        <v>141</v>
      </c>
      <c r="BH378" t="s">
        <v>186</v>
      </c>
      <c r="BI378">
        <v>49</v>
      </c>
      <c r="BJ378">
        <v>48</v>
      </c>
      <c r="BK378" t="s">
        <v>485</v>
      </c>
      <c r="BL378">
        <v>71</v>
      </c>
      <c r="BM378">
        <v>0</v>
      </c>
      <c r="BN378">
        <v>120000000</v>
      </c>
      <c r="BO378">
        <v>537000</v>
      </c>
      <c r="BP378">
        <v>279000</v>
      </c>
      <c r="BQ378">
        <v>142000</v>
      </c>
      <c r="BR378">
        <v>48000</v>
      </c>
    </row>
    <row r="379" spans="59:70" x14ac:dyDescent="0.25">
      <c r="BG379" t="s">
        <v>141</v>
      </c>
      <c r="BH379" t="s">
        <v>186</v>
      </c>
      <c r="BI379">
        <v>50</v>
      </c>
      <c r="BJ379">
        <v>49</v>
      </c>
      <c r="BK379" t="s">
        <v>485</v>
      </c>
      <c r="BL379">
        <v>71</v>
      </c>
      <c r="BM379">
        <v>0</v>
      </c>
      <c r="BN379">
        <v>120000000</v>
      </c>
      <c r="BO379">
        <v>537000</v>
      </c>
      <c r="BP379">
        <v>279000</v>
      </c>
      <c r="BQ379">
        <v>142000</v>
      </c>
      <c r="BR379">
        <v>48000</v>
      </c>
    </row>
    <row r="380" spans="59:70" x14ac:dyDescent="0.25">
      <c r="BG380" t="s">
        <v>141</v>
      </c>
      <c r="BH380" t="s">
        <v>186</v>
      </c>
      <c r="BI380">
        <v>51</v>
      </c>
      <c r="BJ380">
        <v>50</v>
      </c>
      <c r="BK380" t="s">
        <v>485</v>
      </c>
      <c r="BL380">
        <v>71</v>
      </c>
      <c r="BM380">
        <v>0</v>
      </c>
      <c r="BN380">
        <v>120000000</v>
      </c>
      <c r="BO380">
        <v>537000</v>
      </c>
      <c r="BP380">
        <v>279000</v>
      </c>
      <c r="BQ380">
        <v>142000</v>
      </c>
      <c r="BR380">
        <v>48000</v>
      </c>
    </row>
    <row r="381" spans="59:70" x14ac:dyDescent="0.25">
      <c r="BG381" t="s">
        <v>141</v>
      </c>
      <c r="BH381" t="s">
        <v>186</v>
      </c>
      <c r="BI381">
        <v>52</v>
      </c>
      <c r="BJ381">
        <v>51</v>
      </c>
      <c r="BK381" t="s">
        <v>485</v>
      </c>
      <c r="BL381">
        <v>71</v>
      </c>
      <c r="BM381">
        <v>0</v>
      </c>
      <c r="BN381">
        <v>120000000</v>
      </c>
      <c r="BO381">
        <v>537000</v>
      </c>
      <c r="BP381">
        <v>279000</v>
      </c>
      <c r="BQ381">
        <v>142000</v>
      </c>
      <c r="BR381">
        <v>48000</v>
      </c>
    </row>
    <row r="382" spans="59:70" x14ac:dyDescent="0.25">
      <c r="BG382" t="s">
        <v>141</v>
      </c>
      <c r="BH382" t="s">
        <v>186</v>
      </c>
      <c r="BI382">
        <v>53</v>
      </c>
      <c r="BJ382">
        <v>52</v>
      </c>
      <c r="BK382" t="s">
        <v>485</v>
      </c>
      <c r="BL382">
        <v>71</v>
      </c>
      <c r="BM382">
        <v>0</v>
      </c>
      <c r="BN382">
        <v>120000000</v>
      </c>
      <c r="BO382">
        <v>537000</v>
      </c>
      <c r="BP382">
        <v>279000</v>
      </c>
      <c r="BQ382">
        <v>142000</v>
      </c>
      <c r="BR382">
        <v>48000</v>
      </c>
    </row>
    <row r="383" spans="59:70" x14ac:dyDescent="0.25">
      <c r="BG383" t="s">
        <v>141</v>
      </c>
      <c r="BH383" t="s">
        <v>186</v>
      </c>
      <c r="BI383">
        <v>54</v>
      </c>
      <c r="BJ383">
        <v>53</v>
      </c>
      <c r="BK383" t="s">
        <v>485</v>
      </c>
      <c r="BL383">
        <v>71</v>
      </c>
      <c r="BM383">
        <v>0</v>
      </c>
      <c r="BN383">
        <v>120000000</v>
      </c>
      <c r="BO383">
        <v>537000</v>
      </c>
      <c r="BP383">
        <v>279000</v>
      </c>
      <c r="BQ383">
        <v>142000</v>
      </c>
      <c r="BR383">
        <v>48000</v>
      </c>
    </row>
    <row r="384" spans="59:70" x14ac:dyDescent="0.25">
      <c r="BG384" t="s">
        <v>141</v>
      </c>
      <c r="BH384" t="s">
        <v>186</v>
      </c>
      <c r="BI384">
        <v>55</v>
      </c>
      <c r="BJ384">
        <v>54</v>
      </c>
      <c r="BK384" t="s">
        <v>485</v>
      </c>
      <c r="BL384">
        <v>71</v>
      </c>
      <c r="BM384">
        <v>0</v>
      </c>
      <c r="BN384">
        <v>120000000</v>
      </c>
      <c r="BO384">
        <v>537000</v>
      </c>
      <c r="BP384">
        <v>279000</v>
      </c>
      <c r="BQ384">
        <v>142000</v>
      </c>
      <c r="BR384">
        <v>48000</v>
      </c>
    </row>
    <row r="385" spans="59:70" x14ac:dyDescent="0.25">
      <c r="BG385" t="s">
        <v>141</v>
      </c>
      <c r="BH385" t="s">
        <v>186</v>
      </c>
      <c r="BI385">
        <v>56</v>
      </c>
      <c r="BJ385">
        <v>55</v>
      </c>
      <c r="BK385" t="s">
        <v>485</v>
      </c>
      <c r="BL385">
        <v>71</v>
      </c>
      <c r="BM385">
        <v>0</v>
      </c>
      <c r="BN385">
        <v>120000000</v>
      </c>
      <c r="BO385">
        <v>537000</v>
      </c>
      <c r="BP385">
        <v>279000</v>
      </c>
      <c r="BQ385">
        <v>142000</v>
      </c>
      <c r="BR385">
        <v>48000</v>
      </c>
    </row>
    <row r="386" spans="59:70" x14ac:dyDescent="0.25">
      <c r="BG386" t="s">
        <v>141</v>
      </c>
      <c r="BH386" t="s">
        <v>186</v>
      </c>
      <c r="BI386">
        <v>57</v>
      </c>
      <c r="BJ386">
        <v>56</v>
      </c>
      <c r="BK386" t="s">
        <v>485</v>
      </c>
      <c r="BL386">
        <v>71</v>
      </c>
      <c r="BM386">
        <v>0</v>
      </c>
      <c r="BN386">
        <v>120000000</v>
      </c>
      <c r="BO386">
        <v>537000</v>
      </c>
      <c r="BP386">
        <v>279000</v>
      </c>
      <c r="BQ386">
        <v>142000</v>
      </c>
      <c r="BR386">
        <v>48000</v>
      </c>
    </row>
    <row r="387" spans="59:70" x14ac:dyDescent="0.25">
      <c r="BG387" t="s">
        <v>141</v>
      </c>
      <c r="BH387" t="s">
        <v>186</v>
      </c>
      <c r="BI387">
        <v>58</v>
      </c>
      <c r="BJ387">
        <v>57</v>
      </c>
      <c r="BK387" t="s">
        <v>485</v>
      </c>
      <c r="BL387">
        <v>71</v>
      </c>
      <c r="BM387">
        <v>0</v>
      </c>
      <c r="BN387">
        <v>120000000</v>
      </c>
      <c r="BO387">
        <v>537000</v>
      </c>
      <c r="BP387">
        <v>279000</v>
      </c>
      <c r="BQ387">
        <v>142000</v>
      </c>
      <c r="BR387">
        <v>48000</v>
      </c>
    </row>
    <row r="388" spans="59:70" x14ac:dyDescent="0.25">
      <c r="BG388" t="s">
        <v>141</v>
      </c>
      <c r="BH388" t="s">
        <v>186</v>
      </c>
      <c r="BI388">
        <v>59</v>
      </c>
      <c r="BJ388">
        <v>58</v>
      </c>
      <c r="BK388" t="s">
        <v>485</v>
      </c>
      <c r="BL388">
        <v>71</v>
      </c>
      <c r="BM388">
        <v>0</v>
      </c>
      <c r="BN388">
        <v>120000000</v>
      </c>
      <c r="BO388">
        <v>537000</v>
      </c>
      <c r="BP388">
        <v>279000</v>
      </c>
      <c r="BQ388">
        <v>142000</v>
      </c>
      <c r="BR388">
        <v>48000</v>
      </c>
    </row>
    <row r="389" spans="59:70" x14ac:dyDescent="0.25">
      <c r="BG389" t="s">
        <v>141</v>
      </c>
      <c r="BH389" t="s">
        <v>186</v>
      </c>
      <c r="BI389">
        <v>60</v>
      </c>
      <c r="BJ389">
        <v>59</v>
      </c>
      <c r="BK389" t="s">
        <v>485</v>
      </c>
      <c r="BL389">
        <v>71</v>
      </c>
      <c r="BM389">
        <v>0</v>
      </c>
      <c r="BN389">
        <v>120000000</v>
      </c>
      <c r="BO389">
        <v>537000</v>
      </c>
      <c r="BP389">
        <v>279000</v>
      </c>
      <c r="BQ389">
        <v>142000</v>
      </c>
      <c r="BR389">
        <v>48000</v>
      </c>
    </row>
    <row r="390" spans="59:70" x14ac:dyDescent="0.25">
      <c r="BG390" t="s">
        <v>141</v>
      </c>
      <c r="BH390" t="s">
        <v>186</v>
      </c>
      <c r="BI390">
        <v>61</v>
      </c>
      <c r="BJ390">
        <v>60</v>
      </c>
      <c r="BK390" t="s">
        <v>485</v>
      </c>
      <c r="BL390">
        <v>71</v>
      </c>
      <c r="BM390">
        <v>0</v>
      </c>
      <c r="BN390">
        <v>120000000</v>
      </c>
      <c r="BO390">
        <v>537000</v>
      </c>
      <c r="BP390">
        <v>279000</v>
      </c>
      <c r="BQ390">
        <v>142000</v>
      </c>
      <c r="BR390">
        <v>48000</v>
      </c>
    </row>
    <row r="391" spans="59:70" x14ac:dyDescent="0.25">
      <c r="BG391" t="s">
        <v>141</v>
      </c>
      <c r="BH391" t="s">
        <v>186</v>
      </c>
      <c r="BI391">
        <v>62</v>
      </c>
      <c r="BJ391">
        <v>61</v>
      </c>
      <c r="BK391" t="s">
        <v>485</v>
      </c>
      <c r="BL391">
        <v>71</v>
      </c>
      <c r="BM391">
        <v>0</v>
      </c>
      <c r="BN391">
        <v>120000000</v>
      </c>
      <c r="BO391">
        <v>573000</v>
      </c>
      <c r="BP391">
        <v>298000</v>
      </c>
      <c r="BQ391">
        <v>151000</v>
      </c>
      <c r="BR391">
        <v>51000</v>
      </c>
    </row>
    <row r="392" spans="59:70" x14ac:dyDescent="0.25">
      <c r="BG392" t="s">
        <v>141</v>
      </c>
      <c r="BH392" t="s">
        <v>186</v>
      </c>
      <c r="BI392">
        <v>63</v>
      </c>
      <c r="BJ392">
        <v>62</v>
      </c>
      <c r="BK392" t="s">
        <v>485</v>
      </c>
      <c r="BL392">
        <v>71</v>
      </c>
      <c r="BM392">
        <v>0</v>
      </c>
      <c r="BN392">
        <v>120000000</v>
      </c>
      <c r="BO392">
        <v>573000</v>
      </c>
      <c r="BP392">
        <v>298000</v>
      </c>
      <c r="BQ392">
        <v>151000</v>
      </c>
      <c r="BR392">
        <v>51000</v>
      </c>
    </row>
    <row r="393" spans="59:70" x14ac:dyDescent="0.25">
      <c r="BG393" t="s">
        <v>141</v>
      </c>
      <c r="BH393" t="s">
        <v>186</v>
      </c>
      <c r="BI393">
        <v>64</v>
      </c>
      <c r="BJ393">
        <v>63</v>
      </c>
      <c r="BK393" t="s">
        <v>485</v>
      </c>
      <c r="BL393">
        <v>71</v>
      </c>
      <c r="BM393">
        <v>0</v>
      </c>
      <c r="BN393">
        <v>120000000</v>
      </c>
      <c r="BO393">
        <v>573000</v>
      </c>
      <c r="BP393">
        <v>298000</v>
      </c>
      <c r="BQ393">
        <v>151000</v>
      </c>
      <c r="BR393">
        <v>51000</v>
      </c>
    </row>
    <row r="394" spans="59:70" x14ac:dyDescent="0.25">
      <c r="BG394" t="s">
        <v>141</v>
      </c>
      <c r="BH394" t="s">
        <v>186</v>
      </c>
      <c r="BI394">
        <v>65</v>
      </c>
      <c r="BJ394">
        <v>64</v>
      </c>
      <c r="BK394" t="s">
        <v>485</v>
      </c>
      <c r="BL394">
        <v>71</v>
      </c>
      <c r="BM394">
        <v>0</v>
      </c>
      <c r="BN394">
        <v>120000000</v>
      </c>
      <c r="BO394">
        <v>573000</v>
      </c>
      <c r="BP394">
        <v>298000</v>
      </c>
      <c r="BQ394">
        <v>151000</v>
      </c>
      <c r="BR394">
        <v>51000</v>
      </c>
    </row>
    <row r="395" spans="59:70" x14ac:dyDescent="0.25">
      <c r="BG395" t="s">
        <v>141</v>
      </c>
      <c r="BH395" t="s">
        <v>186</v>
      </c>
      <c r="BI395">
        <v>66</v>
      </c>
      <c r="BJ395">
        <v>65</v>
      </c>
      <c r="BK395" t="s">
        <v>485</v>
      </c>
      <c r="BL395">
        <v>71</v>
      </c>
      <c r="BM395">
        <v>0</v>
      </c>
      <c r="BN395">
        <v>120000000</v>
      </c>
      <c r="BO395">
        <v>573000</v>
      </c>
      <c r="BP395">
        <v>298000</v>
      </c>
      <c r="BQ395">
        <v>151000</v>
      </c>
      <c r="BR395">
        <v>51000</v>
      </c>
    </row>
    <row r="396" spans="59:70" x14ac:dyDescent="0.25">
      <c r="BG396" t="s">
        <v>141</v>
      </c>
      <c r="BH396" t="s">
        <v>186</v>
      </c>
      <c r="BI396">
        <v>67</v>
      </c>
      <c r="BJ396">
        <v>66</v>
      </c>
      <c r="BK396" t="s">
        <v>485</v>
      </c>
      <c r="BL396">
        <v>71</v>
      </c>
      <c r="BM396">
        <v>0</v>
      </c>
      <c r="BN396">
        <v>120000000</v>
      </c>
      <c r="BO396">
        <v>627000</v>
      </c>
      <c r="BP396">
        <v>326000</v>
      </c>
      <c r="BQ396">
        <v>166000</v>
      </c>
      <c r="BR396">
        <v>56000</v>
      </c>
    </row>
    <row r="397" spans="59:70" x14ac:dyDescent="0.25">
      <c r="BG397" t="s">
        <v>141</v>
      </c>
      <c r="BH397" t="s">
        <v>186</v>
      </c>
      <c r="BI397">
        <v>68</v>
      </c>
      <c r="BJ397">
        <v>67</v>
      </c>
      <c r="BK397" t="s">
        <v>485</v>
      </c>
      <c r="BL397">
        <v>71</v>
      </c>
      <c r="BM397">
        <v>0</v>
      </c>
      <c r="BN397">
        <v>120000000</v>
      </c>
      <c r="BO397">
        <v>627000</v>
      </c>
      <c r="BP397">
        <v>326000</v>
      </c>
      <c r="BQ397">
        <v>166000</v>
      </c>
      <c r="BR397">
        <v>56000</v>
      </c>
    </row>
    <row r="398" spans="59:70" x14ac:dyDescent="0.25">
      <c r="BG398" t="s">
        <v>141</v>
      </c>
      <c r="BH398" t="s">
        <v>186</v>
      </c>
      <c r="BI398">
        <v>69</v>
      </c>
      <c r="BJ398">
        <v>68</v>
      </c>
      <c r="BK398" t="s">
        <v>485</v>
      </c>
      <c r="BL398">
        <v>71</v>
      </c>
      <c r="BM398">
        <v>0</v>
      </c>
      <c r="BN398">
        <v>120000000</v>
      </c>
      <c r="BO398">
        <v>627000</v>
      </c>
      <c r="BP398">
        <v>326000</v>
      </c>
      <c r="BQ398">
        <v>166000</v>
      </c>
      <c r="BR398">
        <v>56000</v>
      </c>
    </row>
    <row r="399" spans="59:70" x14ac:dyDescent="0.25">
      <c r="BG399" t="s">
        <v>141</v>
      </c>
      <c r="BH399" t="s">
        <v>186</v>
      </c>
      <c r="BI399">
        <v>70</v>
      </c>
      <c r="BJ399">
        <v>69</v>
      </c>
      <c r="BK399" t="s">
        <v>485</v>
      </c>
      <c r="BL399">
        <v>71</v>
      </c>
      <c r="BM399">
        <v>0</v>
      </c>
      <c r="BN399">
        <v>120000000</v>
      </c>
      <c r="BO399">
        <v>627000</v>
      </c>
      <c r="BP399">
        <v>326000</v>
      </c>
      <c r="BQ399">
        <v>166000</v>
      </c>
      <c r="BR399">
        <v>56000</v>
      </c>
    </row>
    <row r="400" spans="59:70" x14ac:dyDescent="0.25">
      <c r="BG400" t="s">
        <v>141</v>
      </c>
      <c r="BH400" t="s">
        <v>186</v>
      </c>
      <c r="BI400">
        <v>71</v>
      </c>
      <c r="BJ400">
        <v>70</v>
      </c>
      <c r="BK400" t="s">
        <v>485</v>
      </c>
      <c r="BL400">
        <v>71</v>
      </c>
      <c r="BM400">
        <v>0</v>
      </c>
      <c r="BN400">
        <v>120000000</v>
      </c>
      <c r="BO400">
        <v>627000</v>
      </c>
      <c r="BP400">
        <v>326000</v>
      </c>
      <c r="BQ400">
        <v>166000</v>
      </c>
      <c r="BR400">
        <v>56000</v>
      </c>
    </row>
    <row r="401" spans="59:70" x14ac:dyDescent="0.25">
      <c r="BG401" t="s">
        <v>141</v>
      </c>
      <c r="BH401" t="s">
        <v>188</v>
      </c>
      <c r="BI401">
        <v>1</v>
      </c>
      <c r="BJ401">
        <v>31</v>
      </c>
      <c r="BK401" t="s">
        <v>486</v>
      </c>
      <c r="BL401">
        <v>29</v>
      </c>
      <c r="BM401">
        <v>0</v>
      </c>
      <c r="BN401">
        <v>0</v>
      </c>
      <c r="BO401">
        <v>630000</v>
      </c>
      <c r="BP401">
        <v>315000</v>
      </c>
      <c r="BQ401">
        <v>158000</v>
      </c>
      <c r="BR401">
        <v>53000</v>
      </c>
    </row>
    <row r="402" spans="59:70" x14ac:dyDescent="0.25">
      <c r="BG402" t="s">
        <v>141</v>
      </c>
      <c r="BH402" t="s">
        <v>188</v>
      </c>
      <c r="BI402">
        <v>2</v>
      </c>
      <c r="BJ402">
        <v>32</v>
      </c>
      <c r="BK402" t="s">
        <v>486</v>
      </c>
      <c r="BL402">
        <v>29</v>
      </c>
      <c r="BM402">
        <v>0</v>
      </c>
      <c r="BN402">
        <v>0</v>
      </c>
      <c r="BO402">
        <v>630000</v>
      </c>
      <c r="BP402">
        <v>315000</v>
      </c>
      <c r="BQ402">
        <v>158000</v>
      </c>
      <c r="BR402">
        <v>53000</v>
      </c>
    </row>
    <row r="403" spans="59:70" x14ac:dyDescent="0.25">
      <c r="BG403" t="s">
        <v>141</v>
      </c>
      <c r="BH403" t="s">
        <v>188</v>
      </c>
      <c r="BI403">
        <v>3</v>
      </c>
      <c r="BJ403">
        <v>33</v>
      </c>
      <c r="BK403" t="s">
        <v>486</v>
      </c>
      <c r="BL403">
        <v>29</v>
      </c>
      <c r="BM403">
        <v>0</v>
      </c>
      <c r="BN403">
        <v>0</v>
      </c>
      <c r="BO403">
        <v>630000</v>
      </c>
      <c r="BP403">
        <v>315000</v>
      </c>
      <c r="BQ403">
        <v>158000</v>
      </c>
      <c r="BR403">
        <v>53000</v>
      </c>
    </row>
    <row r="404" spans="59:70" x14ac:dyDescent="0.25">
      <c r="BG404" t="s">
        <v>141</v>
      </c>
      <c r="BH404" t="s">
        <v>188</v>
      </c>
      <c r="BI404">
        <v>4</v>
      </c>
      <c r="BJ404">
        <v>34</v>
      </c>
      <c r="BK404" t="s">
        <v>486</v>
      </c>
      <c r="BL404">
        <v>29</v>
      </c>
      <c r="BM404">
        <v>0</v>
      </c>
      <c r="BN404">
        <v>0</v>
      </c>
      <c r="BO404">
        <v>630000</v>
      </c>
      <c r="BP404">
        <v>315000</v>
      </c>
      <c r="BQ404">
        <v>158000</v>
      </c>
      <c r="BR404">
        <v>53000</v>
      </c>
    </row>
    <row r="405" spans="59:70" x14ac:dyDescent="0.25">
      <c r="BG405" t="s">
        <v>141</v>
      </c>
      <c r="BH405" t="s">
        <v>188</v>
      </c>
      <c r="BI405">
        <v>5</v>
      </c>
      <c r="BJ405">
        <v>35</v>
      </c>
      <c r="BK405" t="s">
        <v>486</v>
      </c>
      <c r="BL405">
        <v>29</v>
      </c>
      <c r="BM405">
        <v>0</v>
      </c>
      <c r="BN405">
        <v>0</v>
      </c>
      <c r="BO405">
        <v>630000</v>
      </c>
      <c r="BP405">
        <v>315000</v>
      </c>
      <c r="BQ405">
        <v>158000</v>
      </c>
      <c r="BR405">
        <v>53000</v>
      </c>
    </row>
    <row r="406" spans="59:70" x14ac:dyDescent="0.25">
      <c r="BG406" t="s">
        <v>141</v>
      </c>
      <c r="BH406" t="s">
        <v>188</v>
      </c>
      <c r="BI406">
        <v>6</v>
      </c>
      <c r="BJ406">
        <v>36</v>
      </c>
      <c r="BK406" t="s">
        <v>486</v>
      </c>
      <c r="BL406">
        <v>29</v>
      </c>
      <c r="BM406">
        <v>0</v>
      </c>
      <c r="BN406">
        <v>0</v>
      </c>
      <c r="BO406">
        <v>630000</v>
      </c>
      <c r="BP406">
        <v>315000</v>
      </c>
      <c r="BQ406">
        <v>158000</v>
      </c>
      <c r="BR406">
        <v>53000</v>
      </c>
    </row>
    <row r="407" spans="59:70" x14ac:dyDescent="0.25">
      <c r="BG407" t="s">
        <v>141</v>
      </c>
      <c r="BH407" t="s">
        <v>188</v>
      </c>
      <c r="BI407">
        <v>7</v>
      </c>
      <c r="BJ407">
        <v>37</v>
      </c>
      <c r="BK407" t="s">
        <v>486</v>
      </c>
      <c r="BL407">
        <v>29</v>
      </c>
      <c r="BM407">
        <v>0</v>
      </c>
      <c r="BN407">
        <v>0</v>
      </c>
      <c r="BO407">
        <v>630000</v>
      </c>
      <c r="BP407">
        <v>315000</v>
      </c>
      <c r="BQ407">
        <v>158000</v>
      </c>
      <c r="BR407">
        <v>53000</v>
      </c>
    </row>
    <row r="408" spans="59:70" x14ac:dyDescent="0.25">
      <c r="BG408" t="s">
        <v>141</v>
      </c>
      <c r="BH408" t="s">
        <v>188</v>
      </c>
      <c r="BI408">
        <v>8</v>
      </c>
      <c r="BJ408">
        <v>38</v>
      </c>
      <c r="BK408" t="s">
        <v>486</v>
      </c>
      <c r="BL408">
        <v>29</v>
      </c>
      <c r="BM408">
        <v>0</v>
      </c>
      <c r="BN408">
        <v>0</v>
      </c>
      <c r="BO408">
        <v>630000</v>
      </c>
      <c r="BP408">
        <v>315000</v>
      </c>
      <c r="BQ408">
        <v>158000</v>
      </c>
      <c r="BR408">
        <v>53000</v>
      </c>
    </row>
    <row r="409" spans="59:70" x14ac:dyDescent="0.25">
      <c r="BG409" t="s">
        <v>141</v>
      </c>
      <c r="BH409" t="s">
        <v>188</v>
      </c>
      <c r="BI409">
        <v>9</v>
      </c>
      <c r="BJ409">
        <v>39</v>
      </c>
      <c r="BK409" t="s">
        <v>486</v>
      </c>
      <c r="BL409">
        <v>29</v>
      </c>
      <c r="BM409">
        <v>0</v>
      </c>
      <c r="BN409">
        <v>0</v>
      </c>
      <c r="BO409">
        <v>630000</v>
      </c>
      <c r="BP409">
        <v>315000</v>
      </c>
      <c r="BQ409">
        <v>158000</v>
      </c>
      <c r="BR409">
        <v>53000</v>
      </c>
    </row>
    <row r="410" spans="59:70" x14ac:dyDescent="0.25">
      <c r="BG410" t="s">
        <v>141</v>
      </c>
      <c r="BH410" t="s">
        <v>188</v>
      </c>
      <c r="BI410">
        <v>10</v>
      </c>
      <c r="BJ410">
        <v>40</v>
      </c>
      <c r="BK410" t="s">
        <v>486</v>
      </c>
      <c r="BL410">
        <v>29</v>
      </c>
      <c r="BM410">
        <v>0</v>
      </c>
      <c r="BN410">
        <v>0</v>
      </c>
      <c r="BO410">
        <v>630000</v>
      </c>
      <c r="BP410">
        <v>315000</v>
      </c>
      <c r="BQ410">
        <v>158000</v>
      </c>
      <c r="BR410">
        <v>53000</v>
      </c>
    </row>
    <row r="411" spans="59:70" x14ac:dyDescent="0.25">
      <c r="BG411" t="s">
        <v>141</v>
      </c>
      <c r="BH411" t="s">
        <v>188</v>
      </c>
      <c r="BI411">
        <v>11</v>
      </c>
      <c r="BJ411">
        <v>41</v>
      </c>
      <c r="BK411" t="s">
        <v>486</v>
      </c>
      <c r="BL411">
        <v>29</v>
      </c>
      <c r="BM411">
        <v>0</v>
      </c>
      <c r="BN411">
        <v>0</v>
      </c>
      <c r="BO411">
        <v>630000</v>
      </c>
      <c r="BP411">
        <v>315000</v>
      </c>
      <c r="BQ411">
        <v>158000</v>
      </c>
      <c r="BR411">
        <v>53000</v>
      </c>
    </row>
    <row r="412" spans="59:70" x14ac:dyDescent="0.25">
      <c r="BG412" t="s">
        <v>141</v>
      </c>
      <c r="BH412" t="s">
        <v>188</v>
      </c>
      <c r="BI412">
        <v>12</v>
      </c>
      <c r="BJ412">
        <v>42</v>
      </c>
      <c r="BK412" t="s">
        <v>486</v>
      </c>
      <c r="BL412">
        <v>29</v>
      </c>
      <c r="BM412">
        <v>0</v>
      </c>
      <c r="BN412">
        <v>0</v>
      </c>
      <c r="BO412">
        <v>630000</v>
      </c>
      <c r="BP412">
        <v>315000</v>
      </c>
      <c r="BQ412">
        <v>158000</v>
      </c>
      <c r="BR412">
        <v>53000</v>
      </c>
    </row>
    <row r="413" spans="59:70" x14ac:dyDescent="0.25">
      <c r="BG413" t="s">
        <v>141</v>
      </c>
      <c r="BH413" t="s">
        <v>188</v>
      </c>
      <c r="BI413">
        <v>13</v>
      </c>
      <c r="BJ413">
        <v>43</v>
      </c>
      <c r="BK413" t="s">
        <v>486</v>
      </c>
      <c r="BL413">
        <v>29</v>
      </c>
      <c r="BM413">
        <v>0</v>
      </c>
      <c r="BN413">
        <v>0</v>
      </c>
      <c r="BO413">
        <v>630000</v>
      </c>
      <c r="BP413">
        <v>315000</v>
      </c>
      <c r="BQ413">
        <v>158000</v>
      </c>
      <c r="BR413">
        <v>53000</v>
      </c>
    </row>
    <row r="414" spans="59:70" x14ac:dyDescent="0.25">
      <c r="BG414" t="s">
        <v>141</v>
      </c>
      <c r="BH414" t="s">
        <v>188</v>
      </c>
      <c r="BI414">
        <v>14</v>
      </c>
      <c r="BJ414">
        <v>44</v>
      </c>
      <c r="BK414" t="s">
        <v>486</v>
      </c>
      <c r="BL414">
        <v>29</v>
      </c>
      <c r="BM414">
        <v>0</v>
      </c>
      <c r="BN414">
        <v>0</v>
      </c>
      <c r="BO414">
        <v>630000</v>
      </c>
      <c r="BP414">
        <v>315000</v>
      </c>
      <c r="BQ414">
        <v>158000</v>
      </c>
      <c r="BR414">
        <v>53000</v>
      </c>
    </row>
    <row r="415" spans="59:70" x14ac:dyDescent="0.25">
      <c r="BG415" t="s">
        <v>141</v>
      </c>
      <c r="BH415" t="s">
        <v>188</v>
      </c>
      <c r="BI415">
        <v>15</v>
      </c>
      <c r="BJ415">
        <v>45</v>
      </c>
      <c r="BK415" t="s">
        <v>486</v>
      </c>
      <c r="BL415">
        <v>29</v>
      </c>
      <c r="BM415">
        <v>0</v>
      </c>
      <c r="BN415">
        <v>0</v>
      </c>
      <c r="BO415">
        <v>630000</v>
      </c>
      <c r="BP415">
        <v>315000</v>
      </c>
      <c r="BQ415">
        <v>158000</v>
      </c>
      <c r="BR415">
        <v>53000</v>
      </c>
    </row>
    <row r="416" spans="59:70" x14ac:dyDescent="0.25">
      <c r="BG416" t="s">
        <v>141</v>
      </c>
      <c r="BH416" t="s">
        <v>188</v>
      </c>
      <c r="BI416">
        <v>16</v>
      </c>
      <c r="BJ416">
        <v>46</v>
      </c>
      <c r="BK416" t="s">
        <v>486</v>
      </c>
      <c r="BL416">
        <v>29</v>
      </c>
      <c r="BM416">
        <v>0</v>
      </c>
      <c r="BN416">
        <v>0</v>
      </c>
      <c r="BO416">
        <v>630000</v>
      </c>
      <c r="BP416">
        <v>315000</v>
      </c>
      <c r="BQ416">
        <v>158000</v>
      </c>
      <c r="BR416">
        <v>53000</v>
      </c>
    </row>
    <row r="417" spans="59:70" x14ac:dyDescent="0.25">
      <c r="BG417" t="s">
        <v>141</v>
      </c>
      <c r="BH417" t="s">
        <v>188</v>
      </c>
      <c r="BI417">
        <v>17</v>
      </c>
      <c r="BJ417">
        <v>47</v>
      </c>
      <c r="BK417" t="s">
        <v>486</v>
      </c>
      <c r="BL417">
        <v>29</v>
      </c>
      <c r="BM417">
        <v>0</v>
      </c>
      <c r="BN417">
        <v>0</v>
      </c>
      <c r="BO417">
        <v>630000</v>
      </c>
      <c r="BP417">
        <v>315000</v>
      </c>
      <c r="BQ417">
        <v>158000</v>
      </c>
      <c r="BR417">
        <v>53000</v>
      </c>
    </row>
    <row r="418" spans="59:70" x14ac:dyDescent="0.25">
      <c r="BG418" t="s">
        <v>141</v>
      </c>
      <c r="BH418" t="s">
        <v>188</v>
      </c>
      <c r="BI418">
        <v>18</v>
      </c>
      <c r="BJ418">
        <v>48</v>
      </c>
      <c r="BK418" t="s">
        <v>486</v>
      </c>
      <c r="BL418">
        <v>29</v>
      </c>
      <c r="BM418">
        <v>0</v>
      </c>
      <c r="BN418">
        <v>0</v>
      </c>
      <c r="BO418">
        <v>630000</v>
      </c>
      <c r="BP418">
        <v>315000</v>
      </c>
      <c r="BQ418">
        <v>158000</v>
      </c>
      <c r="BR418">
        <v>53000</v>
      </c>
    </row>
    <row r="419" spans="59:70" x14ac:dyDescent="0.25">
      <c r="BG419" t="s">
        <v>141</v>
      </c>
      <c r="BH419" t="s">
        <v>188</v>
      </c>
      <c r="BI419">
        <v>19</v>
      </c>
      <c r="BJ419">
        <v>49</v>
      </c>
      <c r="BK419" t="s">
        <v>486</v>
      </c>
      <c r="BL419">
        <v>29</v>
      </c>
      <c r="BM419">
        <v>0</v>
      </c>
      <c r="BN419">
        <v>0</v>
      </c>
      <c r="BO419">
        <v>630000</v>
      </c>
      <c r="BP419">
        <v>315000</v>
      </c>
      <c r="BQ419">
        <v>158000</v>
      </c>
      <c r="BR419">
        <v>53000</v>
      </c>
    </row>
    <row r="420" spans="59:70" x14ac:dyDescent="0.25">
      <c r="BG420" t="s">
        <v>141</v>
      </c>
      <c r="BH420" t="s">
        <v>188</v>
      </c>
      <c r="BI420">
        <v>20</v>
      </c>
      <c r="BJ420">
        <v>50</v>
      </c>
      <c r="BK420" t="s">
        <v>486</v>
      </c>
      <c r="BL420">
        <v>29</v>
      </c>
      <c r="BM420">
        <v>0</v>
      </c>
      <c r="BN420">
        <v>0</v>
      </c>
      <c r="BO420">
        <v>630000</v>
      </c>
      <c r="BP420">
        <v>315000</v>
      </c>
      <c r="BQ420">
        <v>158000</v>
      </c>
      <c r="BR420">
        <v>53000</v>
      </c>
    </row>
    <row r="421" spans="59:70" x14ac:dyDescent="0.25">
      <c r="BG421" t="s">
        <v>141</v>
      </c>
      <c r="BH421" t="s">
        <v>188</v>
      </c>
      <c r="BI421">
        <v>21</v>
      </c>
      <c r="BJ421">
        <v>51</v>
      </c>
      <c r="BK421" t="s">
        <v>486</v>
      </c>
      <c r="BL421">
        <v>29</v>
      </c>
      <c r="BM421">
        <v>0</v>
      </c>
      <c r="BN421">
        <v>0</v>
      </c>
      <c r="BO421">
        <v>630000</v>
      </c>
      <c r="BP421">
        <v>315000</v>
      </c>
      <c r="BQ421">
        <v>158000</v>
      </c>
      <c r="BR421">
        <v>53000</v>
      </c>
    </row>
    <row r="422" spans="59:70" x14ac:dyDescent="0.25">
      <c r="BG422" t="s">
        <v>141</v>
      </c>
      <c r="BH422" t="s">
        <v>188</v>
      </c>
      <c r="BI422">
        <v>22</v>
      </c>
      <c r="BJ422">
        <v>52</v>
      </c>
      <c r="BK422" t="s">
        <v>486</v>
      </c>
      <c r="BL422">
        <v>29</v>
      </c>
      <c r="BM422">
        <v>0</v>
      </c>
      <c r="BN422">
        <v>0</v>
      </c>
      <c r="BO422">
        <v>630000</v>
      </c>
      <c r="BP422">
        <v>315000</v>
      </c>
      <c r="BQ422">
        <v>158000</v>
      </c>
      <c r="BR422">
        <v>53000</v>
      </c>
    </row>
    <row r="423" spans="59:70" x14ac:dyDescent="0.25">
      <c r="BG423" t="s">
        <v>141</v>
      </c>
      <c r="BH423" t="s">
        <v>188</v>
      </c>
      <c r="BI423">
        <v>23</v>
      </c>
      <c r="BJ423">
        <v>53</v>
      </c>
      <c r="BK423" t="s">
        <v>486</v>
      </c>
      <c r="BL423">
        <v>29</v>
      </c>
      <c r="BM423">
        <v>0</v>
      </c>
      <c r="BN423">
        <v>0</v>
      </c>
      <c r="BO423">
        <v>630000</v>
      </c>
      <c r="BP423">
        <v>315000</v>
      </c>
      <c r="BQ423">
        <v>158000</v>
      </c>
      <c r="BR423">
        <v>53000</v>
      </c>
    </row>
    <row r="424" spans="59:70" x14ac:dyDescent="0.25">
      <c r="BG424" t="s">
        <v>141</v>
      </c>
      <c r="BH424" t="s">
        <v>188</v>
      </c>
      <c r="BI424">
        <v>24</v>
      </c>
      <c r="BJ424">
        <v>54</v>
      </c>
      <c r="BK424" t="s">
        <v>486</v>
      </c>
      <c r="BL424">
        <v>29</v>
      </c>
      <c r="BM424">
        <v>0</v>
      </c>
      <c r="BN424">
        <v>0</v>
      </c>
      <c r="BO424">
        <v>630000</v>
      </c>
      <c r="BP424">
        <v>315000</v>
      </c>
      <c r="BQ424">
        <v>158000</v>
      </c>
      <c r="BR424">
        <v>53000</v>
      </c>
    </row>
    <row r="425" spans="59:70" x14ac:dyDescent="0.25">
      <c r="BG425" t="s">
        <v>141</v>
      </c>
      <c r="BH425" t="s">
        <v>188</v>
      </c>
      <c r="BI425">
        <v>25</v>
      </c>
      <c r="BJ425">
        <v>55</v>
      </c>
      <c r="BK425" t="s">
        <v>486</v>
      </c>
      <c r="BL425">
        <v>29</v>
      </c>
      <c r="BM425">
        <v>0</v>
      </c>
      <c r="BN425">
        <v>0</v>
      </c>
      <c r="BO425">
        <v>630000</v>
      </c>
      <c r="BP425">
        <v>315000</v>
      </c>
      <c r="BQ425">
        <v>158000</v>
      </c>
      <c r="BR425">
        <v>53000</v>
      </c>
    </row>
    <row r="426" spans="59:70" x14ac:dyDescent="0.25">
      <c r="BG426" t="s">
        <v>141</v>
      </c>
      <c r="BH426" t="s">
        <v>188</v>
      </c>
      <c r="BI426">
        <v>26</v>
      </c>
      <c r="BJ426">
        <v>56</v>
      </c>
      <c r="BK426" t="s">
        <v>486</v>
      </c>
      <c r="BL426">
        <v>29</v>
      </c>
      <c r="BM426">
        <v>0</v>
      </c>
      <c r="BN426">
        <v>0</v>
      </c>
      <c r="BO426">
        <v>630000</v>
      </c>
      <c r="BP426">
        <v>315000</v>
      </c>
      <c r="BQ426">
        <v>158000</v>
      </c>
      <c r="BR426">
        <v>53000</v>
      </c>
    </row>
    <row r="427" spans="59:70" x14ac:dyDescent="0.25">
      <c r="BG427" t="s">
        <v>141</v>
      </c>
      <c r="BH427" t="s">
        <v>188</v>
      </c>
      <c r="BI427">
        <v>27</v>
      </c>
      <c r="BJ427">
        <v>57</v>
      </c>
      <c r="BK427" t="s">
        <v>486</v>
      </c>
      <c r="BL427">
        <v>29</v>
      </c>
      <c r="BM427">
        <v>0</v>
      </c>
      <c r="BN427">
        <v>0</v>
      </c>
      <c r="BO427">
        <v>630000</v>
      </c>
      <c r="BP427">
        <v>315000</v>
      </c>
      <c r="BQ427">
        <v>158000</v>
      </c>
      <c r="BR427">
        <v>53000</v>
      </c>
    </row>
    <row r="428" spans="59:70" x14ac:dyDescent="0.25">
      <c r="BG428" t="s">
        <v>141</v>
      </c>
      <c r="BH428" t="s">
        <v>188</v>
      </c>
      <c r="BI428">
        <v>28</v>
      </c>
      <c r="BJ428">
        <v>58</v>
      </c>
      <c r="BK428" t="s">
        <v>486</v>
      </c>
      <c r="BL428">
        <v>29</v>
      </c>
      <c r="BM428">
        <v>0</v>
      </c>
      <c r="BN428">
        <v>0</v>
      </c>
      <c r="BO428">
        <v>630000</v>
      </c>
      <c r="BP428">
        <v>315000</v>
      </c>
      <c r="BQ428">
        <v>158000</v>
      </c>
      <c r="BR428">
        <v>53000</v>
      </c>
    </row>
    <row r="429" spans="59:70" x14ac:dyDescent="0.25">
      <c r="BG429" t="s">
        <v>141</v>
      </c>
      <c r="BH429" t="s">
        <v>188</v>
      </c>
      <c r="BI429">
        <v>29</v>
      </c>
      <c r="BJ429">
        <v>59</v>
      </c>
      <c r="BK429" t="s">
        <v>486</v>
      </c>
      <c r="BL429">
        <v>29</v>
      </c>
      <c r="BM429">
        <v>0</v>
      </c>
      <c r="BN429">
        <v>0</v>
      </c>
      <c r="BO429">
        <v>630000</v>
      </c>
      <c r="BP429">
        <v>315000</v>
      </c>
      <c r="BQ429">
        <v>158000</v>
      </c>
      <c r="BR429">
        <v>53000</v>
      </c>
    </row>
    <row r="430" spans="59:70" x14ac:dyDescent="0.25">
      <c r="BG430" t="s">
        <v>141</v>
      </c>
      <c r="BH430" t="s">
        <v>188</v>
      </c>
      <c r="BI430">
        <v>1</v>
      </c>
      <c r="BJ430">
        <v>31</v>
      </c>
      <c r="BK430" t="s">
        <v>487</v>
      </c>
      <c r="BL430">
        <v>34</v>
      </c>
      <c r="BM430">
        <v>0</v>
      </c>
      <c r="BN430">
        <v>175000000</v>
      </c>
      <c r="BO430">
        <v>1045000</v>
      </c>
      <c r="BP430">
        <v>544000</v>
      </c>
      <c r="BQ430">
        <v>277000</v>
      </c>
      <c r="BR430">
        <v>95000</v>
      </c>
    </row>
    <row r="431" spans="59:70" x14ac:dyDescent="0.25">
      <c r="BG431" t="s">
        <v>141</v>
      </c>
      <c r="BH431" t="s">
        <v>188</v>
      </c>
      <c r="BI431">
        <v>2</v>
      </c>
      <c r="BJ431">
        <v>32</v>
      </c>
      <c r="BK431" t="s">
        <v>487</v>
      </c>
      <c r="BL431">
        <v>34</v>
      </c>
      <c r="BM431">
        <v>0</v>
      </c>
      <c r="BN431">
        <v>175000000</v>
      </c>
      <c r="BO431">
        <v>1118000</v>
      </c>
      <c r="BP431">
        <v>581000</v>
      </c>
      <c r="BQ431">
        <v>296000</v>
      </c>
      <c r="BR431">
        <v>102000</v>
      </c>
    </row>
    <row r="432" spans="59:70" x14ac:dyDescent="0.25">
      <c r="BG432" t="s">
        <v>141</v>
      </c>
      <c r="BH432" t="s">
        <v>188</v>
      </c>
      <c r="BI432">
        <v>3</v>
      </c>
      <c r="BJ432">
        <v>33</v>
      </c>
      <c r="BK432" t="s">
        <v>487</v>
      </c>
      <c r="BL432">
        <v>34</v>
      </c>
      <c r="BM432">
        <v>0</v>
      </c>
      <c r="BN432">
        <v>175000000</v>
      </c>
      <c r="BO432">
        <v>1195000</v>
      </c>
      <c r="BP432">
        <v>621000</v>
      </c>
      <c r="BQ432">
        <v>317000</v>
      </c>
      <c r="BR432">
        <v>108000</v>
      </c>
    </row>
    <row r="433" spans="59:70" x14ac:dyDescent="0.25">
      <c r="BG433" t="s">
        <v>141</v>
      </c>
      <c r="BH433" t="s">
        <v>188</v>
      </c>
      <c r="BI433">
        <v>4</v>
      </c>
      <c r="BJ433">
        <v>34</v>
      </c>
      <c r="BK433" t="s">
        <v>487</v>
      </c>
      <c r="BL433">
        <v>34</v>
      </c>
      <c r="BM433">
        <v>0</v>
      </c>
      <c r="BN433">
        <v>175000000</v>
      </c>
      <c r="BO433">
        <v>1281000</v>
      </c>
      <c r="BP433">
        <v>666000</v>
      </c>
      <c r="BQ433">
        <v>340000</v>
      </c>
      <c r="BR433">
        <v>116000</v>
      </c>
    </row>
    <row r="434" spans="59:70" x14ac:dyDescent="0.25">
      <c r="BG434" t="s">
        <v>141</v>
      </c>
      <c r="BH434" t="s">
        <v>188</v>
      </c>
      <c r="BI434">
        <v>5</v>
      </c>
      <c r="BJ434">
        <v>35</v>
      </c>
      <c r="BK434" t="s">
        <v>487</v>
      </c>
      <c r="BL434">
        <v>34</v>
      </c>
      <c r="BM434">
        <v>0</v>
      </c>
      <c r="BN434">
        <v>175000000</v>
      </c>
      <c r="BO434">
        <v>1376000</v>
      </c>
      <c r="BP434">
        <v>716000</v>
      </c>
      <c r="BQ434">
        <v>365000</v>
      </c>
      <c r="BR434">
        <v>125000</v>
      </c>
    </row>
    <row r="435" spans="59:70" x14ac:dyDescent="0.25">
      <c r="BG435" t="s">
        <v>141</v>
      </c>
      <c r="BH435" t="s">
        <v>188</v>
      </c>
      <c r="BI435">
        <v>6</v>
      </c>
      <c r="BJ435">
        <v>36</v>
      </c>
      <c r="BK435" t="s">
        <v>487</v>
      </c>
      <c r="BL435">
        <v>34</v>
      </c>
      <c r="BM435">
        <v>0</v>
      </c>
      <c r="BN435">
        <v>175000000</v>
      </c>
      <c r="BO435">
        <v>1486000</v>
      </c>
      <c r="BP435">
        <v>773000</v>
      </c>
      <c r="BQ435">
        <v>394000</v>
      </c>
      <c r="BR435">
        <v>134000</v>
      </c>
    </row>
    <row r="436" spans="59:70" x14ac:dyDescent="0.25">
      <c r="BG436" t="s">
        <v>141</v>
      </c>
      <c r="BH436" t="s">
        <v>188</v>
      </c>
      <c r="BI436">
        <v>7</v>
      </c>
      <c r="BJ436">
        <v>37</v>
      </c>
      <c r="BK436" t="s">
        <v>487</v>
      </c>
      <c r="BL436">
        <v>34</v>
      </c>
      <c r="BM436">
        <v>0</v>
      </c>
      <c r="BN436">
        <v>175000000</v>
      </c>
      <c r="BO436">
        <v>1608000</v>
      </c>
      <c r="BP436">
        <v>837000</v>
      </c>
      <c r="BQ436">
        <v>427000</v>
      </c>
      <c r="BR436">
        <v>146000</v>
      </c>
    </row>
    <row r="437" spans="59:70" x14ac:dyDescent="0.25">
      <c r="BG437" t="s">
        <v>141</v>
      </c>
      <c r="BH437" t="s">
        <v>188</v>
      </c>
      <c r="BI437">
        <v>8</v>
      </c>
      <c r="BJ437">
        <v>38</v>
      </c>
      <c r="BK437" t="s">
        <v>487</v>
      </c>
      <c r="BL437">
        <v>34</v>
      </c>
      <c r="BM437">
        <v>0</v>
      </c>
      <c r="BN437">
        <v>175000000</v>
      </c>
      <c r="BO437">
        <v>1725000</v>
      </c>
      <c r="BP437">
        <v>897000</v>
      </c>
      <c r="BQ437">
        <v>457000</v>
      </c>
      <c r="BR437">
        <v>156000</v>
      </c>
    </row>
    <row r="438" spans="59:70" x14ac:dyDescent="0.25">
      <c r="BG438" t="s">
        <v>141</v>
      </c>
      <c r="BH438" t="s">
        <v>188</v>
      </c>
      <c r="BI438">
        <v>9</v>
      </c>
      <c r="BJ438">
        <v>39</v>
      </c>
      <c r="BK438" t="s">
        <v>487</v>
      </c>
      <c r="BL438">
        <v>34</v>
      </c>
      <c r="BM438">
        <v>0</v>
      </c>
      <c r="BN438">
        <v>175000000</v>
      </c>
      <c r="BO438">
        <v>1841000</v>
      </c>
      <c r="BP438">
        <v>957000</v>
      </c>
      <c r="BQ438">
        <v>488000</v>
      </c>
      <c r="BR438">
        <v>167000</v>
      </c>
    </row>
    <row r="439" spans="59:70" x14ac:dyDescent="0.25">
      <c r="BG439" t="s">
        <v>141</v>
      </c>
      <c r="BH439" t="s">
        <v>188</v>
      </c>
      <c r="BI439">
        <v>10</v>
      </c>
      <c r="BJ439">
        <v>40</v>
      </c>
      <c r="BK439" t="s">
        <v>487</v>
      </c>
      <c r="BL439">
        <v>34</v>
      </c>
      <c r="BM439">
        <v>0</v>
      </c>
      <c r="BN439">
        <v>175000000</v>
      </c>
      <c r="BO439">
        <v>1964000</v>
      </c>
      <c r="BP439">
        <v>1022000</v>
      </c>
      <c r="BQ439">
        <v>520000</v>
      </c>
      <c r="BR439">
        <v>177000</v>
      </c>
    </row>
    <row r="440" spans="59:70" x14ac:dyDescent="0.25">
      <c r="BG440" t="s">
        <v>141</v>
      </c>
      <c r="BH440" t="s">
        <v>188</v>
      </c>
      <c r="BI440">
        <v>11</v>
      </c>
      <c r="BJ440">
        <v>41</v>
      </c>
      <c r="BK440" t="s">
        <v>487</v>
      </c>
      <c r="BL440">
        <v>34</v>
      </c>
      <c r="BM440">
        <v>0</v>
      </c>
      <c r="BN440">
        <v>175000000</v>
      </c>
      <c r="BO440">
        <v>2093000</v>
      </c>
      <c r="BP440">
        <v>1088000</v>
      </c>
      <c r="BQ440">
        <v>555000</v>
      </c>
      <c r="BR440">
        <v>189000</v>
      </c>
    </row>
    <row r="441" spans="59:70" x14ac:dyDescent="0.25">
      <c r="BG441" t="s">
        <v>141</v>
      </c>
      <c r="BH441" t="s">
        <v>188</v>
      </c>
      <c r="BI441">
        <v>12</v>
      </c>
      <c r="BJ441">
        <v>42</v>
      </c>
      <c r="BK441" t="s">
        <v>487</v>
      </c>
      <c r="BL441">
        <v>34</v>
      </c>
      <c r="BM441">
        <v>0</v>
      </c>
      <c r="BN441">
        <v>175000000</v>
      </c>
      <c r="BO441">
        <v>2221000</v>
      </c>
      <c r="BP441">
        <v>1155000</v>
      </c>
      <c r="BQ441">
        <v>589000</v>
      </c>
      <c r="BR441">
        <v>200000</v>
      </c>
    </row>
    <row r="442" spans="59:70" x14ac:dyDescent="0.25">
      <c r="BG442" t="s">
        <v>141</v>
      </c>
      <c r="BH442" t="s">
        <v>188</v>
      </c>
      <c r="BI442">
        <v>13</v>
      </c>
      <c r="BJ442">
        <v>43</v>
      </c>
      <c r="BK442" t="s">
        <v>487</v>
      </c>
      <c r="BL442">
        <v>34</v>
      </c>
      <c r="BM442">
        <v>0</v>
      </c>
      <c r="BN442">
        <v>175000000</v>
      </c>
      <c r="BO442">
        <v>2343000</v>
      </c>
      <c r="BP442">
        <v>1218000</v>
      </c>
      <c r="BQ442">
        <v>621000</v>
      </c>
      <c r="BR442">
        <v>212000</v>
      </c>
    </row>
    <row r="443" spans="59:70" x14ac:dyDescent="0.25">
      <c r="BG443" t="s">
        <v>141</v>
      </c>
      <c r="BH443" t="s">
        <v>188</v>
      </c>
      <c r="BI443">
        <v>14</v>
      </c>
      <c r="BJ443">
        <v>44</v>
      </c>
      <c r="BK443" t="s">
        <v>487</v>
      </c>
      <c r="BL443">
        <v>34</v>
      </c>
      <c r="BM443">
        <v>0</v>
      </c>
      <c r="BN443">
        <v>175000000</v>
      </c>
      <c r="BO443">
        <v>2488000</v>
      </c>
      <c r="BP443">
        <v>1293000</v>
      </c>
      <c r="BQ443">
        <v>660000</v>
      </c>
      <c r="BR443">
        <v>224000</v>
      </c>
    </row>
    <row r="444" spans="59:70" x14ac:dyDescent="0.25">
      <c r="BG444" t="s">
        <v>141</v>
      </c>
      <c r="BH444" t="s">
        <v>188</v>
      </c>
      <c r="BI444">
        <v>15</v>
      </c>
      <c r="BJ444">
        <v>45</v>
      </c>
      <c r="BK444" t="s">
        <v>487</v>
      </c>
      <c r="BL444">
        <v>34</v>
      </c>
      <c r="BM444">
        <v>0</v>
      </c>
      <c r="BN444">
        <v>175000000</v>
      </c>
      <c r="BO444">
        <v>2629000</v>
      </c>
      <c r="BP444">
        <v>1367000</v>
      </c>
      <c r="BQ444">
        <v>697000</v>
      </c>
      <c r="BR444">
        <v>237000</v>
      </c>
    </row>
    <row r="445" spans="59:70" x14ac:dyDescent="0.25">
      <c r="BG445" t="s">
        <v>141</v>
      </c>
      <c r="BH445" t="s">
        <v>188</v>
      </c>
      <c r="BI445">
        <v>16</v>
      </c>
      <c r="BJ445">
        <v>46</v>
      </c>
      <c r="BK445" t="s">
        <v>487</v>
      </c>
      <c r="BL445">
        <v>34</v>
      </c>
      <c r="BM445">
        <v>0</v>
      </c>
      <c r="BN445">
        <v>175000000</v>
      </c>
      <c r="BO445">
        <v>2760000</v>
      </c>
      <c r="BP445">
        <v>1435000</v>
      </c>
      <c r="BQ445">
        <v>732000</v>
      </c>
      <c r="BR445">
        <v>249000</v>
      </c>
    </row>
    <row r="446" spans="59:70" x14ac:dyDescent="0.25">
      <c r="BG446" t="s">
        <v>141</v>
      </c>
      <c r="BH446" t="s">
        <v>188</v>
      </c>
      <c r="BI446">
        <v>17</v>
      </c>
      <c r="BJ446">
        <v>47</v>
      </c>
      <c r="BK446" t="s">
        <v>487</v>
      </c>
      <c r="BL446">
        <v>34</v>
      </c>
      <c r="BM446">
        <v>0</v>
      </c>
      <c r="BN446">
        <v>175000000</v>
      </c>
      <c r="BO446">
        <v>2901000</v>
      </c>
      <c r="BP446">
        <v>1509000</v>
      </c>
      <c r="BQ446">
        <v>769000</v>
      </c>
      <c r="BR446">
        <v>261000</v>
      </c>
    </row>
    <row r="447" spans="59:70" x14ac:dyDescent="0.25">
      <c r="BG447" t="s">
        <v>141</v>
      </c>
      <c r="BH447" t="s">
        <v>188</v>
      </c>
      <c r="BI447">
        <v>18</v>
      </c>
      <c r="BJ447">
        <v>48</v>
      </c>
      <c r="BK447" t="s">
        <v>487</v>
      </c>
      <c r="BL447">
        <v>34</v>
      </c>
      <c r="BM447">
        <v>0</v>
      </c>
      <c r="BN447">
        <v>175000000</v>
      </c>
      <c r="BO447">
        <v>3052000</v>
      </c>
      <c r="BP447">
        <v>1587000</v>
      </c>
      <c r="BQ447">
        <v>809000</v>
      </c>
      <c r="BR447">
        <v>275000</v>
      </c>
    </row>
    <row r="448" spans="59:70" x14ac:dyDescent="0.25">
      <c r="BG448" t="s">
        <v>141</v>
      </c>
      <c r="BH448" t="s">
        <v>188</v>
      </c>
      <c r="BI448">
        <v>19</v>
      </c>
      <c r="BJ448">
        <v>49</v>
      </c>
      <c r="BK448" t="s">
        <v>487</v>
      </c>
      <c r="BL448">
        <v>34</v>
      </c>
      <c r="BM448">
        <v>0</v>
      </c>
      <c r="BN448">
        <v>175000000</v>
      </c>
      <c r="BO448">
        <v>3208000</v>
      </c>
      <c r="BP448">
        <v>1668000</v>
      </c>
      <c r="BQ448">
        <v>851000</v>
      </c>
      <c r="BR448">
        <v>289000</v>
      </c>
    </row>
    <row r="449" spans="59:70" x14ac:dyDescent="0.25">
      <c r="BG449" t="s">
        <v>141</v>
      </c>
      <c r="BH449" t="s">
        <v>188</v>
      </c>
      <c r="BI449">
        <v>20</v>
      </c>
      <c r="BJ449">
        <v>50</v>
      </c>
      <c r="BK449" t="s">
        <v>487</v>
      </c>
      <c r="BL449">
        <v>34</v>
      </c>
      <c r="BM449">
        <v>0</v>
      </c>
      <c r="BN449">
        <v>175000000</v>
      </c>
      <c r="BO449">
        <v>3372000</v>
      </c>
      <c r="BP449">
        <v>1754000</v>
      </c>
      <c r="BQ449">
        <v>894000</v>
      </c>
      <c r="BR449">
        <v>304000</v>
      </c>
    </row>
    <row r="450" spans="59:70" x14ac:dyDescent="0.25">
      <c r="BG450" t="s">
        <v>141</v>
      </c>
      <c r="BH450" t="s">
        <v>188</v>
      </c>
      <c r="BI450">
        <v>21</v>
      </c>
      <c r="BJ450">
        <v>51</v>
      </c>
      <c r="BK450" t="s">
        <v>487</v>
      </c>
      <c r="BL450">
        <v>34</v>
      </c>
      <c r="BM450">
        <v>0</v>
      </c>
      <c r="BN450">
        <v>175000000</v>
      </c>
      <c r="BO450">
        <v>3551000</v>
      </c>
      <c r="BP450">
        <v>1846000</v>
      </c>
      <c r="BQ450">
        <v>941000</v>
      </c>
      <c r="BR450">
        <v>320000</v>
      </c>
    </row>
    <row r="451" spans="59:70" x14ac:dyDescent="0.25">
      <c r="BG451" t="s">
        <v>141</v>
      </c>
      <c r="BH451" t="s">
        <v>188</v>
      </c>
      <c r="BI451">
        <v>22</v>
      </c>
      <c r="BJ451">
        <v>52</v>
      </c>
      <c r="BK451" t="s">
        <v>487</v>
      </c>
      <c r="BL451">
        <v>34</v>
      </c>
      <c r="BM451">
        <v>0</v>
      </c>
      <c r="BN451">
        <v>175000000</v>
      </c>
      <c r="BO451">
        <v>3734000</v>
      </c>
      <c r="BP451">
        <v>1942000</v>
      </c>
      <c r="BQ451">
        <v>989000</v>
      </c>
      <c r="BR451">
        <v>337000</v>
      </c>
    </row>
    <row r="452" spans="59:70" x14ac:dyDescent="0.25">
      <c r="BG452" t="s">
        <v>141</v>
      </c>
      <c r="BH452" t="s">
        <v>188</v>
      </c>
      <c r="BI452">
        <v>23</v>
      </c>
      <c r="BJ452">
        <v>53</v>
      </c>
      <c r="BK452" t="s">
        <v>487</v>
      </c>
      <c r="BL452">
        <v>34</v>
      </c>
      <c r="BM452">
        <v>0</v>
      </c>
      <c r="BN452">
        <v>175000000</v>
      </c>
      <c r="BO452">
        <v>3930000</v>
      </c>
      <c r="BP452">
        <v>2044000</v>
      </c>
      <c r="BQ452">
        <v>1042000</v>
      </c>
      <c r="BR452">
        <v>354000</v>
      </c>
    </row>
    <row r="453" spans="59:70" x14ac:dyDescent="0.25">
      <c r="BG453" t="s">
        <v>141</v>
      </c>
      <c r="BH453" t="s">
        <v>188</v>
      </c>
      <c r="BI453">
        <v>24</v>
      </c>
      <c r="BJ453">
        <v>54</v>
      </c>
      <c r="BK453" t="s">
        <v>487</v>
      </c>
      <c r="BL453">
        <v>34</v>
      </c>
      <c r="BM453">
        <v>0</v>
      </c>
      <c r="BN453">
        <v>175000000</v>
      </c>
      <c r="BO453">
        <v>4102000</v>
      </c>
      <c r="BP453">
        <v>2133000</v>
      </c>
      <c r="BQ453">
        <v>1087000</v>
      </c>
      <c r="BR453">
        <v>370000</v>
      </c>
    </row>
    <row r="454" spans="59:70" x14ac:dyDescent="0.25">
      <c r="BG454" t="s">
        <v>141</v>
      </c>
      <c r="BH454" t="s">
        <v>188</v>
      </c>
      <c r="BI454">
        <v>25</v>
      </c>
      <c r="BJ454">
        <v>55</v>
      </c>
      <c r="BK454" t="s">
        <v>487</v>
      </c>
      <c r="BL454">
        <v>34</v>
      </c>
      <c r="BM454">
        <v>0</v>
      </c>
      <c r="BN454">
        <v>175000000</v>
      </c>
      <c r="BO454">
        <v>4303000</v>
      </c>
      <c r="BP454">
        <v>2238000</v>
      </c>
      <c r="BQ454">
        <v>1141000</v>
      </c>
      <c r="BR454">
        <v>387000</v>
      </c>
    </row>
    <row r="455" spans="59:70" x14ac:dyDescent="0.25">
      <c r="BG455" t="s">
        <v>141</v>
      </c>
      <c r="BH455" t="s">
        <v>188</v>
      </c>
      <c r="BI455">
        <v>26</v>
      </c>
      <c r="BJ455">
        <v>56</v>
      </c>
      <c r="BK455" t="s">
        <v>487</v>
      </c>
      <c r="BL455">
        <v>34</v>
      </c>
      <c r="BM455">
        <v>0</v>
      </c>
      <c r="BN455">
        <v>175000000</v>
      </c>
      <c r="BO455">
        <v>4543000</v>
      </c>
      <c r="BP455">
        <v>2362000</v>
      </c>
      <c r="BQ455">
        <v>1204000</v>
      </c>
      <c r="BR455">
        <v>410000</v>
      </c>
    </row>
    <row r="456" spans="59:70" x14ac:dyDescent="0.25">
      <c r="BG456" t="s">
        <v>141</v>
      </c>
      <c r="BH456" t="s">
        <v>188</v>
      </c>
      <c r="BI456">
        <v>27</v>
      </c>
      <c r="BJ456">
        <v>57</v>
      </c>
      <c r="BK456" t="s">
        <v>487</v>
      </c>
      <c r="BL456">
        <v>34</v>
      </c>
      <c r="BM456">
        <v>0</v>
      </c>
      <c r="BN456">
        <v>175000000</v>
      </c>
      <c r="BO456">
        <v>4776000</v>
      </c>
      <c r="BP456">
        <v>2483000</v>
      </c>
      <c r="BQ456">
        <v>1266000</v>
      </c>
      <c r="BR456">
        <v>431000</v>
      </c>
    </row>
    <row r="457" spans="59:70" x14ac:dyDescent="0.25">
      <c r="BG457" t="s">
        <v>141</v>
      </c>
      <c r="BH457" t="s">
        <v>188</v>
      </c>
      <c r="BI457">
        <v>28</v>
      </c>
      <c r="BJ457">
        <v>58</v>
      </c>
      <c r="BK457" t="s">
        <v>487</v>
      </c>
      <c r="BL457">
        <v>34</v>
      </c>
      <c r="BM457">
        <v>0</v>
      </c>
      <c r="BN457">
        <v>175000000</v>
      </c>
      <c r="BO457">
        <v>5021000</v>
      </c>
      <c r="BP457">
        <v>2611000</v>
      </c>
      <c r="BQ457">
        <v>1330000</v>
      </c>
      <c r="BR457">
        <v>452000</v>
      </c>
    </row>
    <row r="458" spans="59:70" x14ac:dyDescent="0.25">
      <c r="BG458" t="s">
        <v>141</v>
      </c>
      <c r="BH458" t="s">
        <v>188</v>
      </c>
      <c r="BI458">
        <v>29</v>
      </c>
      <c r="BJ458">
        <v>59</v>
      </c>
      <c r="BK458" t="s">
        <v>487</v>
      </c>
      <c r="BL458">
        <v>34</v>
      </c>
      <c r="BM458">
        <v>0</v>
      </c>
      <c r="BN458">
        <v>175000000</v>
      </c>
      <c r="BO458">
        <v>5262000</v>
      </c>
      <c r="BP458">
        <v>2737000</v>
      </c>
      <c r="BQ458">
        <v>1395000</v>
      </c>
      <c r="BR458">
        <v>474000</v>
      </c>
    </row>
    <row r="459" spans="59:70" x14ac:dyDescent="0.25">
      <c r="BG459" t="s">
        <v>141</v>
      </c>
      <c r="BH459" t="s">
        <v>188</v>
      </c>
      <c r="BI459">
        <v>30</v>
      </c>
      <c r="BJ459">
        <v>60</v>
      </c>
      <c r="BK459" t="s">
        <v>487</v>
      </c>
      <c r="BL459">
        <v>34</v>
      </c>
      <c r="BM459">
        <v>0</v>
      </c>
      <c r="BN459">
        <v>175000000</v>
      </c>
      <c r="BO459">
        <v>5551000</v>
      </c>
      <c r="BP459">
        <v>2886000</v>
      </c>
      <c r="BQ459">
        <v>1471000</v>
      </c>
      <c r="BR459">
        <v>500000</v>
      </c>
    </row>
    <row r="460" spans="59:70" x14ac:dyDescent="0.25">
      <c r="BG460" t="s">
        <v>141</v>
      </c>
      <c r="BH460" t="s">
        <v>188</v>
      </c>
      <c r="BI460">
        <v>31</v>
      </c>
      <c r="BJ460">
        <v>61</v>
      </c>
      <c r="BK460" t="s">
        <v>487</v>
      </c>
      <c r="BL460">
        <v>34</v>
      </c>
      <c r="BM460">
        <v>0</v>
      </c>
      <c r="BN460">
        <v>175000000</v>
      </c>
      <c r="BO460">
        <v>5835000</v>
      </c>
      <c r="BP460">
        <v>3034000</v>
      </c>
      <c r="BQ460">
        <v>1547000</v>
      </c>
      <c r="BR460">
        <v>526000</v>
      </c>
    </row>
    <row r="461" spans="59:70" x14ac:dyDescent="0.25">
      <c r="BG461" t="s">
        <v>141</v>
      </c>
      <c r="BH461" t="s">
        <v>188</v>
      </c>
      <c r="BI461">
        <v>32</v>
      </c>
      <c r="BJ461">
        <v>62</v>
      </c>
      <c r="BK461" t="s">
        <v>487</v>
      </c>
      <c r="BL461">
        <v>34</v>
      </c>
      <c r="BM461">
        <v>0</v>
      </c>
      <c r="BN461">
        <v>175000000</v>
      </c>
      <c r="BO461">
        <v>6157000</v>
      </c>
      <c r="BP461">
        <v>3201000</v>
      </c>
      <c r="BQ461">
        <v>1631000</v>
      </c>
      <c r="BR461">
        <v>555000</v>
      </c>
    </row>
    <row r="462" spans="59:70" x14ac:dyDescent="0.25">
      <c r="BG462" t="s">
        <v>141</v>
      </c>
      <c r="BH462" t="s">
        <v>188</v>
      </c>
      <c r="BI462">
        <v>33</v>
      </c>
      <c r="BJ462">
        <v>63</v>
      </c>
      <c r="BK462" t="s">
        <v>487</v>
      </c>
      <c r="BL462">
        <v>34</v>
      </c>
      <c r="BM462">
        <v>0</v>
      </c>
      <c r="BN462">
        <v>175000000</v>
      </c>
      <c r="BO462">
        <v>6482000</v>
      </c>
      <c r="BP462">
        <v>3370000</v>
      </c>
      <c r="BQ462">
        <v>1717000</v>
      </c>
      <c r="BR462">
        <v>583000</v>
      </c>
    </row>
    <row r="463" spans="59:70" x14ac:dyDescent="0.25">
      <c r="BG463" t="s">
        <v>141</v>
      </c>
      <c r="BH463" t="s">
        <v>188</v>
      </c>
      <c r="BI463">
        <v>34</v>
      </c>
      <c r="BJ463">
        <v>64</v>
      </c>
      <c r="BK463" t="s">
        <v>487</v>
      </c>
      <c r="BL463">
        <v>34</v>
      </c>
      <c r="BM463">
        <v>0</v>
      </c>
      <c r="BN463">
        <v>175000000</v>
      </c>
      <c r="BO463">
        <v>6892000</v>
      </c>
      <c r="BP463">
        <v>3584000</v>
      </c>
      <c r="BQ463">
        <v>1827000</v>
      </c>
      <c r="BR463">
        <v>620000</v>
      </c>
    </row>
    <row r="464" spans="59:70" x14ac:dyDescent="0.25">
      <c r="BG464" t="s">
        <v>135</v>
      </c>
      <c r="BH464" t="s">
        <v>188</v>
      </c>
      <c r="BI464">
        <v>1</v>
      </c>
      <c r="BJ464">
        <v>31</v>
      </c>
      <c r="BK464" t="s">
        <v>481</v>
      </c>
      <c r="BL464">
        <v>34</v>
      </c>
      <c r="BM464">
        <v>1</v>
      </c>
      <c r="BN464">
        <v>1609000</v>
      </c>
      <c r="BO464">
        <v>91000</v>
      </c>
      <c r="BP464">
        <v>48000</v>
      </c>
      <c r="BQ464">
        <v>24000</v>
      </c>
      <c r="BR464">
        <v>8000</v>
      </c>
    </row>
    <row r="465" spans="59:70" x14ac:dyDescent="0.25">
      <c r="BG465" t="s">
        <v>135</v>
      </c>
      <c r="BH465" t="s">
        <v>188</v>
      </c>
      <c r="BI465">
        <v>2</v>
      </c>
      <c r="BJ465">
        <v>32</v>
      </c>
      <c r="BK465" t="s">
        <v>481</v>
      </c>
      <c r="BL465">
        <v>34</v>
      </c>
      <c r="BM465">
        <v>1</v>
      </c>
      <c r="BN465">
        <v>1609000</v>
      </c>
      <c r="BO465">
        <v>97000</v>
      </c>
      <c r="BP465">
        <v>51000</v>
      </c>
      <c r="BQ465">
        <v>25000</v>
      </c>
      <c r="BR465">
        <v>9000</v>
      </c>
    </row>
    <row r="466" spans="59:70" x14ac:dyDescent="0.25">
      <c r="BG466" t="s">
        <v>135</v>
      </c>
      <c r="BH466" t="s">
        <v>188</v>
      </c>
      <c r="BI466">
        <v>3</v>
      </c>
      <c r="BJ466">
        <v>33</v>
      </c>
      <c r="BK466" t="s">
        <v>481</v>
      </c>
      <c r="BL466">
        <v>34</v>
      </c>
      <c r="BM466">
        <v>1</v>
      </c>
      <c r="BN466">
        <v>1609000</v>
      </c>
      <c r="BO466">
        <v>102000</v>
      </c>
      <c r="BP466">
        <v>55000</v>
      </c>
      <c r="BQ466">
        <v>27000</v>
      </c>
      <c r="BR466">
        <v>9000</v>
      </c>
    </row>
    <row r="467" spans="59:70" x14ac:dyDescent="0.25">
      <c r="BG467" t="s">
        <v>135</v>
      </c>
      <c r="BH467" t="s">
        <v>188</v>
      </c>
      <c r="BI467">
        <v>4</v>
      </c>
      <c r="BJ467">
        <v>34</v>
      </c>
      <c r="BK467" t="s">
        <v>481</v>
      </c>
      <c r="BL467">
        <v>34</v>
      </c>
      <c r="BM467">
        <v>1</v>
      </c>
      <c r="BN467">
        <v>1609000</v>
      </c>
      <c r="BO467">
        <v>108000</v>
      </c>
      <c r="BP467">
        <v>57000</v>
      </c>
      <c r="BQ467">
        <v>29000</v>
      </c>
      <c r="BR467">
        <v>10000</v>
      </c>
    </row>
    <row r="468" spans="59:70" x14ac:dyDescent="0.25">
      <c r="BG468" t="s">
        <v>135</v>
      </c>
      <c r="BH468" t="s">
        <v>188</v>
      </c>
      <c r="BI468">
        <v>5</v>
      </c>
      <c r="BJ468">
        <v>35</v>
      </c>
      <c r="BK468" t="s">
        <v>481</v>
      </c>
      <c r="BL468">
        <v>34</v>
      </c>
      <c r="BM468">
        <v>1</v>
      </c>
      <c r="BN468">
        <v>1609000</v>
      </c>
      <c r="BO468">
        <v>115000</v>
      </c>
      <c r="BP468">
        <v>61000</v>
      </c>
      <c r="BQ468">
        <v>30000</v>
      </c>
      <c r="BR468">
        <v>10000</v>
      </c>
    </row>
    <row r="469" spans="59:70" x14ac:dyDescent="0.25">
      <c r="BG469" t="s">
        <v>135</v>
      </c>
      <c r="BH469" t="s">
        <v>188</v>
      </c>
      <c r="BI469">
        <v>6</v>
      </c>
      <c r="BJ469">
        <v>36</v>
      </c>
      <c r="BK469" t="s">
        <v>481</v>
      </c>
      <c r="BL469">
        <v>34</v>
      </c>
      <c r="BM469">
        <v>1</v>
      </c>
      <c r="BN469">
        <v>1609000</v>
      </c>
      <c r="BO469">
        <v>123000</v>
      </c>
      <c r="BP469">
        <v>65000</v>
      </c>
      <c r="BQ469">
        <v>33000</v>
      </c>
      <c r="BR469">
        <v>11000</v>
      </c>
    </row>
    <row r="470" spans="59:70" x14ac:dyDescent="0.25">
      <c r="BG470" t="s">
        <v>135</v>
      </c>
      <c r="BH470" t="s">
        <v>188</v>
      </c>
      <c r="BI470">
        <v>7</v>
      </c>
      <c r="BJ470">
        <v>37</v>
      </c>
      <c r="BK470" t="s">
        <v>481</v>
      </c>
      <c r="BL470">
        <v>34</v>
      </c>
      <c r="BM470">
        <v>1</v>
      </c>
      <c r="BN470">
        <v>1609000</v>
      </c>
      <c r="BO470">
        <v>131000</v>
      </c>
      <c r="BP470">
        <v>70000</v>
      </c>
      <c r="BQ470">
        <v>35000</v>
      </c>
      <c r="BR470">
        <v>11000</v>
      </c>
    </row>
    <row r="471" spans="59:70" x14ac:dyDescent="0.25">
      <c r="BG471" t="s">
        <v>135</v>
      </c>
      <c r="BH471" t="s">
        <v>188</v>
      </c>
      <c r="BI471">
        <v>8</v>
      </c>
      <c r="BJ471">
        <v>38</v>
      </c>
      <c r="BK471" t="s">
        <v>481</v>
      </c>
      <c r="BL471">
        <v>34</v>
      </c>
      <c r="BM471">
        <v>1</v>
      </c>
      <c r="BN471">
        <v>1609000</v>
      </c>
      <c r="BO471">
        <v>137000</v>
      </c>
      <c r="BP471">
        <v>72000</v>
      </c>
      <c r="BQ471">
        <v>36000</v>
      </c>
      <c r="BR471">
        <v>12000</v>
      </c>
    </row>
    <row r="472" spans="59:70" x14ac:dyDescent="0.25">
      <c r="BG472" t="s">
        <v>135</v>
      </c>
      <c r="BH472" t="s">
        <v>188</v>
      </c>
      <c r="BI472">
        <v>9</v>
      </c>
      <c r="BJ472">
        <v>39</v>
      </c>
      <c r="BK472" t="s">
        <v>481</v>
      </c>
      <c r="BL472">
        <v>34</v>
      </c>
      <c r="BM472">
        <v>1</v>
      </c>
      <c r="BN472">
        <v>1609000</v>
      </c>
      <c r="BO472">
        <v>143000</v>
      </c>
      <c r="BP472">
        <v>76000</v>
      </c>
      <c r="BQ472">
        <v>39000</v>
      </c>
      <c r="BR472">
        <v>13000</v>
      </c>
    </row>
    <row r="473" spans="59:70" x14ac:dyDescent="0.25">
      <c r="BG473" t="s">
        <v>135</v>
      </c>
      <c r="BH473" t="s">
        <v>188</v>
      </c>
      <c r="BI473">
        <v>10</v>
      </c>
      <c r="BJ473">
        <v>40</v>
      </c>
      <c r="BK473" t="s">
        <v>481</v>
      </c>
      <c r="BL473">
        <v>34</v>
      </c>
      <c r="BM473">
        <v>1</v>
      </c>
      <c r="BN473">
        <v>1609000</v>
      </c>
      <c r="BO473">
        <v>149000</v>
      </c>
      <c r="BP473">
        <v>79000</v>
      </c>
      <c r="BQ473">
        <v>40000</v>
      </c>
      <c r="BR473">
        <v>14000</v>
      </c>
    </row>
    <row r="474" spans="59:70" x14ac:dyDescent="0.25">
      <c r="BG474" t="s">
        <v>135</v>
      </c>
      <c r="BH474" t="s">
        <v>188</v>
      </c>
      <c r="BI474">
        <v>11</v>
      </c>
      <c r="BJ474">
        <v>41</v>
      </c>
      <c r="BK474" t="s">
        <v>481</v>
      </c>
      <c r="BL474">
        <v>34</v>
      </c>
      <c r="BM474">
        <v>1</v>
      </c>
      <c r="BN474">
        <v>1609000</v>
      </c>
      <c r="BO474">
        <v>156000</v>
      </c>
      <c r="BP474">
        <v>82000</v>
      </c>
      <c r="BQ474">
        <v>41000</v>
      </c>
      <c r="BR474">
        <v>14000</v>
      </c>
    </row>
    <row r="475" spans="59:70" x14ac:dyDescent="0.25">
      <c r="BG475" t="s">
        <v>135</v>
      </c>
      <c r="BH475" t="s">
        <v>188</v>
      </c>
      <c r="BI475">
        <v>12</v>
      </c>
      <c r="BJ475">
        <v>42</v>
      </c>
      <c r="BK475" t="s">
        <v>481</v>
      </c>
      <c r="BL475">
        <v>34</v>
      </c>
      <c r="BM475">
        <v>1</v>
      </c>
      <c r="BN475">
        <v>1609000</v>
      </c>
      <c r="BO475">
        <v>163000</v>
      </c>
      <c r="BP475">
        <v>86000</v>
      </c>
      <c r="BQ475">
        <v>44000</v>
      </c>
      <c r="BR475">
        <v>15000</v>
      </c>
    </row>
    <row r="476" spans="59:70" x14ac:dyDescent="0.25">
      <c r="BG476" t="s">
        <v>135</v>
      </c>
      <c r="BH476" t="s">
        <v>188</v>
      </c>
      <c r="BI476">
        <v>13</v>
      </c>
      <c r="BJ476">
        <v>43</v>
      </c>
      <c r="BK476" t="s">
        <v>481</v>
      </c>
      <c r="BL476">
        <v>34</v>
      </c>
      <c r="BM476">
        <v>1</v>
      </c>
      <c r="BN476">
        <v>1609000</v>
      </c>
      <c r="BO476">
        <v>169000</v>
      </c>
      <c r="BP476">
        <v>90000</v>
      </c>
      <c r="BQ476">
        <v>45000</v>
      </c>
      <c r="BR476">
        <v>15000</v>
      </c>
    </row>
    <row r="477" spans="59:70" x14ac:dyDescent="0.25">
      <c r="BG477" t="s">
        <v>135</v>
      </c>
      <c r="BH477" t="s">
        <v>188</v>
      </c>
      <c r="BI477">
        <v>14</v>
      </c>
      <c r="BJ477">
        <v>44</v>
      </c>
      <c r="BK477" t="s">
        <v>481</v>
      </c>
      <c r="BL477">
        <v>34</v>
      </c>
      <c r="BM477">
        <v>1</v>
      </c>
      <c r="BN477">
        <v>1609000</v>
      </c>
      <c r="BO477">
        <v>175000</v>
      </c>
      <c r="BP477">
        <v>92000</v>
      </c>
      <c r="BQ477">
        <v>46000</v>
      </c>
      <c r="BR477">
        <v>15000</v>
      </c>
    </row>
    <row r="478" spans="59:70" x14ac:dyDescent="0.25">
      <c r="BG478" t="s">
        <v>135</v>
      </c>
      <c r="BH478" t="s">
        <v>188</v>
      </c>
      <c r="BI478">
        <v>15</v>
      </c>
      <c r="BJ478">
        <v>45</v>
      </c>
      <c r="BK478" t="s">
        <v>481</v>
      </c>
      <c r="BL478">
        <v>34</v>
      </c>
      <c r="BM478">
        <v>1</v>
      </c>
      <c r="BN478">
        <v>1609000</v>
      </c>
      <c r="BO478">
        <v>180000</v>
      </c>
      <c r="BP478">
        <v>95000</v>
      </c>
      <c r="BQ478">
        <v>48000</v>
      </c>
      <c r="BR478">
        <v>16000</v>
      </c>
    </row>
    <row r="479" spans="59:70" x14ac:dyDescent="0.25">
      <c r="BG479" t="s">
        <v>135</v>
      </c>
      <c r="BH479" t="s">
        <v>188</v>
      </c>
      <c r="BI479">
        <v>16</v>
      </c>
      <c r="BJ479">
        <v>46</v>
      </c>
      <c r="BK479" t="s">
        <v>481</v>
      </c>
      <c r="BL479">
        <v>34</v>
      </c>
      <c r="BM479">
        <v>1</v>
      </c>
      <c r="BN479">
        <v>1609000</v>
      </c>
      <c r="BO479">
        <v>186000</v>
      </c>
      <c r="BP479">
        <v>99000</v>
      </c>
      <c r="BQ479">
        <v>50000</v>
      </c>
      <c r="BR479">
        <v>16000</v>
      </c>
    </row>
    <row r="480" spans="59:70" x14ac:dyDescent="0.25">
      <c r="BG480" t="s">
        <v>135</v>
      </c>
      <c r="BH480" t="s">
        <v>188</v>
      </c>
      <c r="BI480">
        <v>17</v>
      </c>
      <c r="BJ480">
        <v>47</v>
      </c>
      <c r="BK480" t="s">
        <v>481</v>
      </c>
      <c r="BL480">
        <v>34</v>
      </c>
      <c r="BM480">
        <v>1</v>
      </c>
      <c r="BN480">
        <v>1609000</v>
      </c>
      <c r="BO480">
        <v>192000</v>
      </c>
      <c r="BP480">
        <v>102000</v>
      </c>
      <c r="BQ480">
        <v>51000</v>
      </c>
      <c r="BR480">
        <v>17000</v>
      </c>
    </row>
    <row r="481" spans="59:70" x14ac:dyDescent="0.25">
      <c r="BG481" t="s">
        <v>135</v>
      </c>
      <c r="BH481" t="s">
        <v>188</v>
      </c>
      <c r="BI481">
        <v>18</v>
      </c>
      <c r="BJ481">
        <v>48</v>
      </c>
      <c r="BK481" t="s">
        <v>481</v>
      </c>
      <c r="BL481">
        <v>34</v>
      </c>
      <c r="BM481">
        <v>1</v>
      </c>
      <c r="BN481">
        <v>1609000</v>
      </c>
      <c r="BO481">
        <v>198000</v>
      </c>
      <c r="BP481">
        <v>105000</v>
      </c>
      <c r="BQ481">
        <v>53000</v>
      </c>
      <c r="BR481">
        <v>18000</v>
      </c>
    </row>
    <row r="482" spans="59:70" x14ac:dyDescent="0.25">
      <c r="BG482" t="s">
        <v>135</v>
      </c>
      <c r="BH482" t="s">
        <v>188</v>
      </c>
      <c r="BI482">
        <v>19</v>
      </c>
      <c r="BJ482">
        <v>49</v>
      </c>
      <c r="BK482" t="s">
        <v>481</v>
      </c>
      <c r="BL482">
        <v>34</v>
      </c>
      <c r="BM482">
        <v>1</v>
      </c>
      <c r="BN482">
        <v>1609000</v>
      </c>
      <c r="BO482">
        <v>202000</v>
      </c>
      <c r="BP482">
        <v>107000</v>
      </c>
      <c r="BQ482">
        <v>54000</v>
      </c>
      <c r="BR482">
        <v>18000</v>
      </c>
    </row>
    <row r="483" spans="59:70" x14ac:dyDescent="0.25">
      <c r="BG483" t="s">
        <v>135</v>
      </c>
      <c r="BH483" t="s">
        <v>188</v>
      </c>
      <c r="BI483">
        <v>20</v>
      </c>
      <c r="BJ483">
        <v>50</v>
      </c>
      <c r="BK483" t="s">
        <v>481</v>
      </c>
      <c r="BL483">
        <v>34</v>
      </c>
      <c r="BM483">
        <v>1</v>
      </c>
      <c r="BN483">
        <v>1609000</v>
      </c>
      <c r="BO483">
        <v>207000</v>
      </c>
      <c r="BP483">
        <v>110000</v>
      </c>
      <c r="BQ483">
        <v>55000</v>
      </c>
      <c r="BR483">
        <v>19000</v>
      </c>
    </row>
    <row r="484" spans="59:70" x14ac:dyDescent="0.25">
      <c r="BG484" t="s">
        <v>135</v>
      </c>
      <c r="BH484" t="s">
        <v>188</v>
      </c>
      <c r="BI484">
        <v>21</v>
      </c>
      <c r="BJ484">
        <v>51</v>
      </c>
      <c r="BK484" t="s">
        <v>481</v>
      </c>
      <c r="BL484">
        <v>34</v>
      </c>
      <c r="BM484">
        <v>1</v>
      </c>
      <c r="BN484">
        <v>1609000</v>
      </c>
      <c r="BO484">
        <v>208000</v>
      </c>
      <c r="BP484">
        <v>110000</v>
      </c>
      <c r="BQ484">
        <v>55000</v>
      </c>
      <c r="BR484">
        <v>19000</v>
      </c>
    </row>
    <row r="485" spans="59:70" x14ac:dyDescent="0.25">
      <c r="BG485" t="s">
        <v>135</v>
      </c>
      <c r="BH485" t="s">
        <v>188</v>
      </c>
      <c r="BI485">
        <v>22</v>
      </c>
      <c r="BJ485">
        <v>52</v>
      </c>
      <c r="BK485" t="s">
        <v>481</v>
      </c>
      <c r="BL485">
        <v>34</v>
      </c>
      <c r="BM485">
        <v>1</v>
      </c>
      <c r="BN485">
        <v>1609000</v>
      </c>
      <c r="BO485">
        <v>207000</v>
      </c>
      <c r="BP485">
        <v>110000</v>
      </c>
      <c r="BQ485">
        <v>55000</v>
      </c>
      <c r="BR485">
        <v>19000</v>
      </c>
    </row>
    <row r="486" spans="59:70" x14ac:dyDescent="0.25">
      <c r="BG486" t="s">
        <v>135</v>
      </c>
      <c r="BH486" t="s">
        <v>188</v>
      </c>
      <c r="BI486">
        <v>23</v>
      </c>
      <c r="BJ486">
        <v>53</v>
      </c>
      <c r="BK486" t="s">
        <v>481</v>
      </c>
      <c r="BL486">
        <v>34</v>
      </c>
      <c r="BM486">
        <v>1</v>
      </c>
      <c r="BN486">
        <v>1609000</v>
      </c>
      <c r="BO486">
        <v>205000</v>
      </c>
      <c r="BP486">
        <v>109000</v>
      </c>
      <c r="BQ486">
        <v>55000</v>
      </c>
      <c r="BR486">
        <v>19000</v>
      </c>
    </row>
    <row r="487" spans="59:70" x14ac:dyDescent="0.25">
      <c r="BG487" t="s">
        <v>135</v>
      </c>
      <c r="BH487" t="s">
        <v>188</v>
      </c>
      <c r="BI487">
        <v>24</v>
      </c>
      <c r="BJ487">
        <v>54</v>
      </c>
      <c r="BK487" t="s">
        <v>481</v>
      </c>
      <c r="BL487">
        <v>34</v>
      </c>
      <c r="BM487">
        <v>1</v>
      </c>
      <c r="BN487">
        <v>1609000</v>
      </c>
      <c r="BO487">
        <v>199000</v>
      </c>
      <c r="BP487">
        <v>106000</v>
      </c>
      <c r="BQ487">
        <v>54000</v>
      </c>
      <c r="BR487">
        <v>18000</v>
      </c>
    </row>
    <row r="488" spans="59:70" x14ac:dyDescent="0.25">
      <c r="BG488" t="s">
        <v>135</v>
      </c>
      <c r="BH488" t="s">
        <v>188</v>
      </c>
      <c r="BI488">
        <v>25</v>
      </c>
      <c r="BJ488">
        <v>55</v>
      </c>
      <c r="BK488" t="s">
        <v>481</v>
      </c>
      <c r="BL488">
        <v>34</v>
      </c>
      <c r="BM488">
        <v>1</v>
      </c>
      <c r="BN488">
        <v>1609000</v>
      </c>
      <c r="BO488">
        <v>194000</v>
      </c>
      <c r="BP488">
        <v>103000</v>
      </c>
      <c r="BQ488">
        <v>52000</v>
      </c>
      <c r="BR488">
        <v>17000</v>
      </c>
    </row>
    <row r="489" spans="59:70" x14ac:dyDescent="0.25">
      <c r="BG489" t="s">
        <v>135</v>
      </c>
      <c r="BH489" t="s">
        <v>188</v>
      </c>
      <c r="BI489">
        <v>26</v>
      </c>
      <c r="BJ489">
        <v>56</v>
      </c>
      <c r="BK489" t="s">
        <v>481</v>
      </c>
      <c r="BL489">
        <v>34</v>
      </c>
      <c r="BM489">
        <v>1</v>
      </c>
      <c r="BN489">
        <v>1609000</v>
      </c>
      <c r="BO489">
        <v>188000</v>
      </c>
      <c r="BP489">
        <v>100000</v>
      </c>
      <c r="BQ489">
        <v>50000</v>
      </c>
      <c r="BR489">
        <v>16000</v>
      </c>
    </row>
    <row r="490" spans="59:70" x14ac:dyDescent="0.25">
      <c r="BG490" t="s">
        <v>135</v>
      </c>
      <c r="BH490" t="s">
        <v>188</v>
      </c>
      <c r="BI490">
        <v>27</v>
      </c>
      <c r="BJ490">
        <v>57</v>
      </c>
      <c r="BK490" t="s">
        <v>481</v>
      </c>
      <c r="BL490">
        <v>34</v>
      </c>
      <c r="BM490">
        <v>1</v>
      </c>
      <c r="BN490">
        <v>1609000</v>
      </c>
      <c r="BO490">
        <v>178000</v>
      </c>
      <c r="BP490">
        <v>95000</v>
      </c>
      <c r="BQ490">
        <v>48000</v>
      </c>
      <c r="BR490">
        <v>16000</v>
      </c>
    </row>
    <row r="491" spans="59:70" x14ac:dyDescent="0.25">
      <c r="BG491" t="s">
        <v>135</v>
      </c>
      <c r="BH491" t="s">
        <v>188</v>
      </c>
      <c r="BI491">
        <v>28</v>
      </c>
      <c r="BJ491">
        <v>58</v>
      </c>
      <c r="BK491" t="s">
        <v>481</v>
      </c>
      <c r="BL491">
        <v>34</v>
      </c>
      <c r="BM491">
        <v>1</v>
      </c>
      <c r="BN491">
        <v>1609000</v>
      </c>
      <c r="BO491">
        <v>167000</v>
      </c>
      <c r="BP491">
        <v>88000</v>
      </c>
      <c r="BQ491">
        <v>45000</v>
      </c>
      <c r="BR491">
        <v>15000</v>
      </c>
    </row>
    <row r="492" spans="59:70" x14ac:dyDescent="0.25">
      <c r="BG492" t="s">
        <v>135</v>
      </c>
      <c r="BH492" t="s">
        <v>188</v>
      </c>
      <c r="BI492">
        <v>29</v>
      </c>
      <c r="BJ492">
        <v>59</v>
      </c>
      <c r="BK492" t="s">
        <v>481</v>
      </c>
      <c r="BL492">
        <v>34</v>
      </c>
      <c r="BM492">
        <v>1</v>
      </c>
      <c r="BN492">
        <v>1609000</v>
      </c>
      <c r="BO492">
        <v>151000</v>
      </c>
      <c r="BP492">
        <v>80000</v>
      </c>
      <c r="BQ492">
        <v>40000</v>
      </c>
      <c r="BR492">
        <v>14000</v>
      </c>
    </row>
    <row r="493" spans="59:70" x14ac:dyDescent="0.25">
      <c r="BG493" t="s">
        <v>135</v>
      </c>
      <c r="BH493" t="s">
        <v>188</v>
      </c>
      <c r="BI493">
        <v>30</v>
      </c>
      <c r="BJ493">
        <v>60</v>
      </c>
      <c r="BK493" t="s">
        <v>481</v>
      </c>
      <c r="BL493">
        <v>34</v>
      </c>
      <c r="BM493">
        <v>1</v>
      </c>
      <c r="BN493">
        <v>1609000</v>
      </c>
      <c r="BO493">
        <v>133000</v>
      </c>
      <c r="BP493">
        <v>71000</v>
      </c>
      <c r="BQ493">
        <v>35000</v>
      </c>
      <c r="BR493">
        <v>11000</v>
      </c>
    </row>
    <row r="494" spans="59:70" x14ac:dyDescent="0.25">
      <c r="BG494" t="s">
        <v>135</v>
      </c>
      <c r="BH494" t="s">
        <v>188</v>
      </c>
      <c r="BI494">
        <v>31</v>
      </c>
      <c r="BJ494">
        <v>61</v>
      </c>
      <c r="BK494" t="s">
        <v>481</v>
      </c>
      <c r="BL494">
        <v>34</v>
      </c>
      <c r="BM494">
        <v>1</v>
      </c>
      <c r="BN494">
        <v>1609000</v>
      </c>
      <c r="BO494">
        <v>112000</v>
      </c>
      <c r="BP494">
        <v>60000</v>
      </c>
      <c r="BQ494">
        <v>30000</v>
      </c>
      <c r="BR494">
        <v>10000</v>
      </c>
    </row>
    <row r="495" spans="59:70" x14ac:dyDescent="0.25">
      <c r="BG495" t="s">
        <v>135</v>
      </c>
      <c r="BH495" t="s">
        <v>188</v>
      </c>
      <c r="BI495">
        <v>32</v>
      </c>
      <c r="BJ495">
        <v>62</v>
      </c>
      <c r="BK495" t="s">
        <v>481</v>
      </c>
      <c r="BL495">
        <v>34</v>
      </c>
      <c r="BM495">
        <v>1</v>
      </c>
      <c r="BN495">
        <v>1609000</v>
      </c>
      <c r="BO495">
        <v>87000</v>
      </c>
      <c r="BP495">
        <v>46000</v>
      </c>
      <c r="BQ495">
        <v>23000</v>
      </c>
      <c r="BR495">
        <v>8000</v>
      </c>
    </row>
    <row r="496" spans="59:70" x14ac:dyDescent="0.25">
      <c r="BG496" t="s">
        <v>135</v>
      </c>
      <c r="BH496" t="s">
        <v>188</v>
      </c>
      <c r="BI496">
        <v>33</v>
      </c>
      <c r="BJ496">
        <v>63</v>
      </c>
      <c r="BK496" t="s">
        <v>481</v>
      </c>
      <c r="BL496">
        <v>34</v>
      </c>
      <c r="BM496">
        <v>1</v>
      </c>
      <c r="BN496">
        <v>1609000</v>
      </c>
      <c r="BO496">
        <v>58000</v>
      </c>
      <c r="BP496">
        <v>31000</v>
      </c>
      <c r="BQ496">
        <v>15000</v>
      </c>
      <c r="BR496">
        <v>5000</v>
      </c>
    </row>
    <row r="497" spans="59:70" x14ac:dyDescent="0.25">
      <c r="BG497" t="s">
        <v>135</v>
      </c>
      <c r="BH497" t="s">
        <v>188</v>
      </c>
      <c r="BI497">
        <v>34</v>
      </c>
      <c r="BJ497">
        <v>64</v>
      </c>
      <c r="BK497" t="s">
        <v>481</v>
      </c>
      <c r="BL497">
        <v>34</v>
      </c>
      <c r="BM497">
        <v>1</v>
      </c>
      <c r="BN497">
        <v>1609000</v>
      </c>
      <c r="BO497">
        <v>23000</v>
      </c>
      <c r="BP497">
        <v>12000</v>
      </c>
      <c r="BQ497">
        <v>6000</v>
      </c>
      <c r="BR497">
        <v>2000</v>
      </c>
    </row>
    <row r="498" spans="59:70" x14ac:dyDescent="0.25">
      <c r="BG498" t="s">
        <v>135</v>
      </c>
      <c r="BH498" t="s">
        <v>188</v>
      </c>
      <c r="BI498">
        <v>1</v>
      </c>
      <c r="BJ498">
        <v>31</v>
      </c>
      <c r="BK498" t="s">
        <v>482</v>
      </c>
      <c r="BL498">
        <v>34</v>
      </c>
      <c r="BM498">
        <v>1</v>
      </c>
      <c r="BN498">
        <v>1609000</v>
      </c>
      <c r="BO498">
        <v>206000</v>
      </c>
      <c r="BP498">
        <v>109000</v>
      </c>
      <c r="BQ498">
        <v>55000</v>
      </c>
      <c r="BR498">
        <v>18000</v>
      </c>
    </row>
    <row r="499" spans="59:70" x14ac:dyDescent="0.25">
      <c r="BG499" t="s">
        <v>135</v>
      </c>
      <c r="BH499" t="s">
        <v>188</v>
      </c>
      <c r="BI499">
        <v>2</v>
      </c>
      <c r="BJ499">
        <v>32</v>
      </c>
      <c r="BK499" t="s">
        <v>482</v>
      </c>
      <c r="BL499">
        <v>34</v>
      </c>
      <c r="BM499">
        <v>1</v>
      </c>
      <c r="BN499">
        <v>1609000</v>
      </c>
      <c r="BO499">
        <v>200000</v>
      </c>
      <c r="BP499">
        <v>107000</v>
      </c>
      <c r="BQ499">
        <v>54000</v>
      </c>
      <c r="BR499">
        <v>18000</v>
      </c>
    </row>
    <row r="500" spans="59:70" x14ac:dyDescent="0.25">
      <c r="BG500" t="s">
        <v>135</v>
      </c>
      <c r="BH500" t="s">
        <v>188</v>
      </c>
      <c r="BI500">
        <v>3</v>
      </c>
      <c r="BJ500">
        <v>33</v>
      </c>
      <c r="BK500" t="s">
        <v>482</v>
      </c>
      <c r="BL500">
        <v>34</v>
      </c>
      <c r="BM500">
        <v>1</v>
      </c>
      <c r="BN500">
        <v>1609000</v>
      </c>
      <c r="BO500">
        <v>194000</v>
      </c>
      <c r="BP500">
        <v>103000</v>
      </c>
      <c r="BQ500">
        <v>52000</v>
      </c>
      <c r="BR500">
        <v>17000</v>
      </c>
    </row>
    <row r="501" spans="59:70" x14ac:dyDescent="0.25">
      <c r="BG501" t="s">
        <v>135</v>
      </c>
      <c r="BH501" t="s">
        <v>188</v>
      </c>
      <c r="BI501">
        <v>4</v>
      </c>
      <c r="BJ501">
        <v>34</v>
      </c>
      <c r="BK501" t="s">
        <v>482</v>
      </c>
      <c r="BL501">
        <v>34</v>
      </c>
      <c r="BM501">
        <v>1</v>
      </c>
      <c r="BN501">
        <v>1609000</v>
      </c>
      <c r="BO501">
        <v>188000</v>
      </c>
      <c r="BP501">
        <v>100000</v>
      </c>
      <c r="BQ501">
        <v>51000</v>
      </c>
      <c r="BR501">
        <v>17000</v>
      </c>
    </row>
    <row r="502" spans="59:70" x14ac:dyDescent="0.25">
      <c r="BG502" t="s">
        <v>135</v>
      </c>
      <c r="BH502" t="s">
        <v>188</v>
      </c>
      <c r="BI502">
        <v>5</v>
      </c>
      <c r="BJ502">
        <v>35</v>
      </c>
      <c r="BK502" t="s">
        <v>482</v>
      </c>
      <c r="BL502">
        <v>34</v>
      </c>
      <c r="BM502">
        <v>1</v>
      </c>
      <c r="BN502">
        <v>1609000</v>
      </c>
      <c r="BO502">
        <v>182000</v>
      </c>
      <c r="BP502">
        <v>97000</v>
      </c>
      <c r="BQ502">
        <v>50000</v>
      </c>
      <c r="BR502">
        <v>16000</v>
      </c>
    </row>
    <row r="503" spans="59:70" x14ac:dyDescent="0.25">
      <c r="BG503" t="s">
        <v>135</v>
      </c>
      <c r="BH503" t="s">
        <v>188</v>
      </c>
      <c r="BI503">
        <v>6</v>
      </c>
      <c r="BJ503">
        <v>36</v>
      </c>
      <c r="BK503" t="s">
        <v>482</v>
      </c>
      <c r="BL503">
        <v>34</v>
      </c>
      <c r="BM503">
        <v>1</v>
      </c>
      <c r="BN503">
        <v>1609000</v>
      </c>
      <c r="BO503">
        <v>176000</v>
      </c>
      <c r="BP503">
        <v>93000</v>
      </c>
      <c r="BQ503">
        <v>48000</v>
      </c>
      <c r="BR503">
        <v>16000</v>
      </c>
    </row>
    <row r="504" spans="59:70" x14ac:dyDescent="0.25">
      <c r="BG504" t="s">
        <v>135</v>
      </c>
      <c r="BH504" t="s">
        <v>188</v>
      </c>
      <c r="BI504">
        <v>7</v>
      </c>
      <c r="BJ504">
        <v>37</v>
      </c>
      <c r="BK504" t="s">
        <v>482</v>
      </c>
      <c r="BL504">
        <v>34</v>
      </c>
      <c r="BM504">
        <v>1</v>
      </c>
      <c r="BN504">
        <v>1609000</v>
      </c>
      <c r="BO504">
        <v>171000</v>
      </c>
      <c r="BP504">
        <v>91000</v>
      </c>
      <c r="BQ504">
        <v>46000</v>
      </c>
      <c r="BR504">
        <v>15000</v>
      </c>
    </row>
    <row r="505" spans="59:70" x14ac:dyDescent="0.25">
      <c r="BG505" t="s">
        <v>135</v>
      </c>
      <c r="BH505" t="s">
        <v>188</v>
      </c>
      <c r="BI505">
        <v>8</v>
      </c>
      <c r="BJ505">
        <v>38</v>
      </c>
      <c r="BK505" t="s">
        <v>482</v>
      </c>
      <c r="BL505">
        <v>34</v>
      </c>
      <c r="BM505">
        <v>1</v>
      </c>
      <c r="BN505">
        <v>1609000</v>
      </c>
      <c r="BO505">
        <v>164000</v>
      </c>
      <c r="BP505">
        <v>88000</v>
      </c>
      <c r="BQ505">
        <v>45000</v>
      </c>
      <c r="BR505">
        <v>14000</v>
      </c>
    </row>
    <row r="506" spans="59:70" x14ac:dyDescent="0.25">
      <c r="BG506" t="s">
        <v>135</v>
      </c>
      <c r="BH506" t="s">
        <v>188</v>
      </c>
      <c r="BI506">
        <v>9</v>
      </c>
      <c r="BJ506">
        <v>39</v>
      </c>
      <c r="BK506" t="s">
        <v>482</v>
      </c>
      <c r="BL506">
        <v>34</v>
      </c>
      <c r="BM506">
        <v>1</v>
      </c>
      <c r="BN506">
        <v>1609000</v>
      </c>
      <c r="BO506">
        <v>159000</v>
      </c>
      <c r="BP506">
        <v>84000</v>
      </c>
      <c r="BQ506">
        <v>43000</v>
      </c>
      <c r="BR506">
        <v>14000</v>
      </c>
    </row>
    <row r="507" spans="59:70" x14ac:dyDescent="0.25">
      <c r="BG507" t="s">
        <v>135</v>
      </c>
      <c r="BH507" t="s">
        <v>188</v>
      </c>
      <c r="BI507">
        <v>10</v>
      </c>
      <c r="BJ507">
        <v>40</v>
      </c>
      <c r="BK507" t="s">
        <v>482</v>
      </c>
      <c r="BL507">
        <v>34</v>
      </c>
      <c r="BM507">
        <v>1</v>
      </c>
      <c r="BN507">
        <v>1609000</v>
      </c>
      <c r="BO507">
        <v>152000</v>
      </c>
      <c r="BP507">
        <v>81000</v>
      </c>
      <c r="BQ507">
        <v>41000</v>
      </c>
      <c r="BR507">
        <v>14000</v>
      </c>
    </row>
    <row r="508" spans="59:70" x14ac:dyDescent="0.25">
      <c r="BG508" t="s">
        <v>135</v>
      </c>
      <c r="BH508" t="s">
        <v>188</v>
      </c>
      <c r="BI508">
        <v>11</v>
      </c>
      <c r="BJ508">
        <v>41</v>
      </c>
      <c r="BK508" t="s">
        <v>482</v>
      </c>
      <c r="BL508">
        <v>34</v>
      </c>
      <c r="BM508">
        <v>1</v>
      </c>
      <c r="BN508">
        <v>1609000</v>
      </c>
      <c r="BO508">
        <v>146000</v>
      </c>
      <c r="BP508">
        <v>78000</v>
      </c>
      <c r="BQ508">
        <v>40000</v>
      </c>
      <c r="BR508">
        <v>13000</v>
      </c>
    </row>
    <row r="509" spans="59:70" x14ac:dyDescent="0.25">
      <c r="BG509" t="s">
        <v>135</v>
      </c>
      <c r="BH509" t="s">
        <v>188</v>
      </c>
      <c r="BI509">
        <v>12</v>
      </c>
      <c r="BJ509">
        <v>42</v>
      </c>
      <c r="BK509" t="s">
        <v>482</v>
      </c>
      <c r="BL509">
        <v>34</v>
      </c>
      <c r="BM509">
        <v>1</v>
      </c>
      <c r="BN509">
        <v>1609000</v>
      </c>
      <c r="BO509">
        <v>140000</v>
      </c>
      <c r="BP509">
        <v>75000</v>
      </c>
      <c r="BQ509">
        <v>38000</v>
      </c>
      <c r="BR509">
        <v>12000</v>
      </c>
    </row>
    <row r="510" spans="59:70" x14ac:dyDescent="0.25">
      <c r="BG510" t="s">
        <v>135</v>
      </c>
      <c r="BH510" t="s">
        <v>188</v>
      </c>
      <c r="BI510">
        <v>13</v>
      </c>
      <c r="BJ510">
        <v>43</v>
      </c>
      <c r="BK510" t="s">
        <v>482</v>
      </c>
      <c r="BL510">
        <v>34</v>
      </c>
      <c r="BM510">
        <v>1</v>
      </c>
      <c r="BN510">
        <v>1609000</v>
      </c>
      <c r="BO510">
        <v>134000</v>
      </c>
      <c r="BP510">
        <v>72000</v>
      </c>
      <c r="BQ510">
        <v>36000</v>
      </c>
      <c r="BR510">
        <v>12000</v>
      </c>
    </row>
    <row r="511" spans="59:70" x14ac:dyDescent="0.25">
      <c r="BG511" t="s">
        <v>135</v>
      </c>
      <c r="BH511" t="s">
        <v>188</v>
      </c>
      <c r="BI511">
        <v>14</v>
      </c>
      <c r="BJ511">
        <v>44</v>
      </c>
      <c r="BK511" t="s">
        <v>482</v>
      </c>
      <c r="BL511">
        <v>34</v>
      </c>
      <c r="BM511">
        <v>1</v>
      </c>
      <c r="BN511">
        <v>1609000</v>
      </c>
      <c r="BO511">
        <v>129000</v>
      </c>
      <c r="BP511">
        <v>68000</v>
      </c>
      <c r="BQ511">
        <v>35000</v>
      </c>
      <c r="BR511">
        <v>11000</v>
      </c>
    </row>
    <row r="512" spans="59:70" x14ac:dyDescent="0.25">
      <c r="BG512" t="s">
        <v>135</v>
      </c>
      <c r="BH512" t="s">
        <v>188</v>
      </c>
      <c r="BI512">
        <v>15</v>
      </c>
      <c r="BJ512">
        <v>45</v>
      </c>
      <c r="BK512" t="s">
        <v>482</v>
      </c>
      <c r="BL512">
        <v>34</v>
      </c>
      <c r="BM512">
        <v>1</v>
      </c>
      <c r="BN512">
        <v>1609000</v>
      </c>
      <c r="BO512">
        <v>122000</v>
      </c>
      <c r="BP512">
        <v>65000</v>
      </c>
      <c r="BQ512">
        <v>33000</v>
      </c>
      <c r="BR512">
        <v>11000</v>
      </c>
    </row>
    <row r="513" spans="59:70" x14ac:dyDescent="0.25">
      <c r="BG513" t="s">
        <v>135</v>
      </c>
      <c r="BH513" t="s">
        <v>188</v>
      </c>
      <c r="BI513">
        <v>16</v>
      </c>
      <c r="BJ513">
        <v>46</v>
      </c>
      <c r="BK513" t="s">
        <v>482</v>
      </c>
      <c r="BL513">
        <v>34</v>
      </c>
      <c r="BM513">
        <v>1</v>
      </c>
      <c r="BN513">
        <v>1609000</v>
      </c>
      <c r="BO513">
        <v>117000</v>
      </c>
      <c r="BP513">
        <v>62000</v>
      </c>
      <c r="BQ513">
        <v>31000</v>
      </c>
      <c r="BR513">
        <v>10000</v>
      </c>
    </row>
    <row r="514" spans="59:70" x14ac:dyDescent="0.25">
      <c r="BG514" t="s">
        <v>135</v>
      </c>
      <c r="BH514" t="s">
        <v>188</v>
      </c>
      <c r="BI514">
        <v>17</v>
      </c>
      <c r="BJ514">
        <v>47</v>
      </c>
      <c r="BK514" t="s">
        <v>482</v>
      </c>
      <c r="BL514">
        <v>34</v>
      </c>
      <c r="BM514">
        <v>1</v>
      </c>
      <c r="BN514">
        <v>1609000</v>
      </c>
      <c r="BO514">
        <v>110000</v>
      </c>
      <c r="BP514">
        <v>59000</v>
      </c>
      <c r="BQ514">
        <v>30000</v>
      </c>
      <c r="BR514">
        <v>10000</v>
      </c>
    </row>
    <row r="515" spans="59:70" x14ac:dyDescent="0.25">
      <c r="BG515" t="s">
        <v>135</v>
      </c>
      <c r="BH515" t="s">
        <v>188</v>
      </c>
      <c r="BI515">
        <v>18</v>
      </c>
      <c r="BJ515">
        <v>48</v>
      </c>
      <c r="BK515" t="s">
        <v>482</v>
      </c>
      <c r="BL515">
        <v>34</v>
      </c>
      <c r="BM515">
        <v>1</v>
      </c>
      <c r="BN515">
        <v>1609000</v>
      </c>
      <c r="BO515">
        <v>104000</v>
      </c>
      <c r="BP515">
        <v>56000</v>
      </c>
      <c r="BQ515">
        <v>29000</v>
      </c>
      <c r="BR515">
        <v>9000</v>
      </c>
    </row>
    <row r="516" spans="59:70" x14ac:dyDescent="0.25">
      <c r="BG516" t="s">
        <v>135</v>
      </c>
      <c r="BH516" t="s">
        <v>188</v>
      </c>
      <c r="BI516">
        <v>19</v>
      </c>
      <c r="BJ516">
        <v>49</v>
      </c>
      <c r="BK516" t="s">
        <v>482</v>
      </c>
      <c r="BL516">
        <v>34</v>
      </c>
      <c r="BM516">
        <v>1</v>
      </c>
      <c r="BN516">
        <v>1609000</v>
      </c>
      <c r="BO516">
        <v>99000</v>
      </c>
      <c r="BP516">
        <v>53000</v>
      </c>
      <c r="BQ516">
        <v>27000</v>
      </c>
      <c r="BR516">
        <v>9000</v>
      </c>
    </row>
    <row r="517" spans="59:70" x14ac:dyDescent="0.25">
      <c r="BG517" t="s">
        <v>135</v>
      </c>
      <c r="BH517" t="s">
        <v>188</v>
      </c>
      <c r="BI517">
        <v>20</v>
      </c>
      <c r="BJ517">
        <v>50</v>
      </c>
      <c r="BK517" t="s">
        <v>482</v>
      </c>
      <c r="BL517">
        <v>34</v>
      </c>
      <c r="BM517">
        <v>1</v>
      </c>
      <c r="BN517">
        <v>1609000</v>
      </c>
      <c r="BO517">
        <v>92000</v>
      </c>
      <c r="BP517">
        <v>49000</v>
      </c>
      <c r="BQ517">
        <v>25000</v>
      </c>
      <c r="BR517">
        <v>8000</v>
      </c>
    </row>
    <row r="518" spans="59:70" x14ac:dyDescent="0.25">
      <c r="BG518" t="s">
        <v>135</v>
      </c>
      <c r="BH518" t="s">
        <v>188</v>
      </c>
      <c r="BI518">
        <v>21</v>
      </c>
      <c r="BJ518">
        <v>51</v>
      </c>
      <c r="BK518" t="s">
        <v>482</v>
      </c>
      <c r="BL518">
        <v>34</v>
      </c>
      <c r="BM518">
        <v>1</v>
      </c>
      <c r="BN518">
        <v>1609000</v>
      </c>
      <c r="BO518">
        <v>87000</v>
      </c>
      <c r="BP518">
        <v>46000</v>
      </c>
      <c r="BQ518">
        <v>24000</v>
      </c>
      <c r="BR518">
        <v>7000</v>
      </c>
    </row>
    <row r="519" spans="59:70" x14ac:dyDescent="0.25">
      <c r="BG519" t="s">
        <v>135</v>
      </c>
      <c r="BH519" t="s">
        <v>188</v>
      </c>
      <c r="BI519">
        <v>22</v>
      </c>
      <c r="BJ519">
        <v>52</v>
      </c>
      <c r="BK519" t="s">
        <v>482</v>
      </c>
      <c r="BL519">
        <v>34</v>
      </c>
      <c r="BM519">
        <v>1</v>
      </c>
      <c r="BN519">
        <v>1609000</v>
      </c>
      <c r="BO519">
        <v>80000</v>
      </c>
      <c r="BP519">
        <v>44000</v>
      </c>
      <c r="BQ519">
        <v>22000</v>
      </c>
      <c r="BR519">
        <v>7000</v>
      </c>
    </row>
    <row r="520" spans="59:70" x14ac:dyDescent="0.25">
      <c r="BG520" t="s">
        <v>135</v>
      </c>
      <c r="BH520" t="s">
        <v>188</v>
      </c>
      <c r="BI520">
        <v>23</v>
      </c>
      <c r="BJ520">
        <v>53</v>
      </c>
      <c r="BK520" t="s">
        <v>482</v>
      </c>
      <c r="BL520">
        <v>34</v>
      </c>
      <c r="BM520">
        <v>1</v>
      </c>
      <c r="BN520">
        <v>1609000</v>
      </c>
      <c r="BO520">
        <v>75000</v>
      </c>
      <c r="BP520">
        <v>40000</v>
      </c>
      <c r="BQ520">
        <v>20000</v>
      </c>
      <c r="BR520">
        <v>7000</v>
      </c>
    </row>
    <row r="521" spans="59:70" x14ac:dyDescent="0.25">
      <c r="BG521" t="s">
        <v>135</v>
      </c>
      <c r="BH521" t="s">
        <v>188</v>
      </c>
      <c r="BI521">
        <v>24</v>
      </c>
      <c r="BJ521">
        <v>54</v>
      </c>
      <c r="BK521" t="s">
        <v>482</v>
      </c>
      <c r="BL521">
        <v>34</v>
      </c>
      <c r="BM521">
        <v>1</v>
      </c>
      <c r="BN521">
        <v>1609000</v>
      </c>
      <c r="BO521">
        <v>69000</v>
      </c>
      <c r="BP521">
        <v>37000</v>
      </c>
      <c r="BQ521">
        <v>19000</v>
      </c>
      <c r="BR521">
        <v>6000</v>
      </c>
    </row>
    <row r="522" spans="59:70" x14ac:dyDescent="0.25">
      <c r="BG522" t="s">
        <v>135</v>
      </c>
      <c r="BH522" t="s">
        <v>188</v>
      </c>
      <c r="BI522">
        <v>25</v>
      </c>
      <c r="BJ522">
        <v>55</v>
      </c>
      <c r="BK522" t="s">
        <v>482</v>
      </c>
      <c r="BL522">
        <v>34</v>
      </c>
      <c r="BM522">
        <v>1</v>
      </c>
      <c r="BN522">
        <v>1609000</v>
      </c>
      <c r="BO522">
        <v>63000</v>
      </c>
      <c r="BP522">
        <v>34000</v>
      </c>
      <c r="BQ522">
        <v>17000</v>
      </c>
      <c r="BR522">
        <v>5000</v>
      </c>
    </row>
    <row r="523" spans="59:70" x14ac:dyDescent="0.25">
      <c r="BG523" t="s">
        <v>135</v>
      </c>
      <c r="BH523" t="s">
        <v>188</v>
      </c>
      <c r="BI523">
        <v>26</v>
      </c>
      <c r="BJ523">
        <v>56</v>
      </c>
      <c r="BK523" t="s">
        <v>482</v>
      </c>
      <c r="BL523">
        <v>34</v>
      </c>
      <c r="BM523">
        <v>1</v>
      </c>
      <c r="BN523">
        <v>1609000</v>
      </c>
      <c r="BO523">
        <v>57000</v>
      </c>
      <c r="BP523">
        <v>30000</v>
      </c>
      <c r="BQ523">
        <v>15000</v>
      </c>
      <c r="BR523">
        <v>5000</v>
      </c>
    </row>
    <row r="524" spans="59:70" x14ac:dyDescent="0.25">
      <c r="BG524" t="s">
        <v>135</v>
      </c>
      <c r="BH524" t="s">
        <v>188</v>
      </c>
      <c r="BI524">
        <v>27</v>
      </c>
      <c r="BJ524">
        <v>57</v>
      </c>
      <c r="BK524" t="s">
        <v>482</v>
      </c>
      <c r="BL524">
        <v>34</v>
      </c>
      <c r="BM524">
        <v>1</v>
      </c>
      <c r="BN524">
        <v>1609000</v>
      </c>
      <c r="BO524">
        <v>50000</v>
      </c>
      <c r="BP524">
        <v>27000</v>
      </c>
      <c r="BQ524">
        <v>14000</v>
      </c>
      <c r="BR524">
        <v>4000</v>
      </c>
    </row>
    <row r="525" spans="59:70" x14ac:dyDescent="0.25">
      <c r="BG525" t="s">
        <v>135</v>
      </c>
      <c r="BH525" t="s">
        <v>188</v>
      </c>
      <c r="BI525">
        <v>28</v>
      </c>
      <c r="BJ525">
        <v>58</v>
      </c>
      <c r="BK525" t="s">
        <v>482</v>
      </c>
      <c r="BL525">
        <v>34</v>
      </c>
      <c r="BM525">
        <v>1</v>
      </c>
      <c r="BN525">
        <v>1609000</v>
      </c>
      <c r="BO525">
        <v>45000</v>
      </c>
      <c r="BP525">
        <v>24000</v>
      </c>
      <c r="BQ525">
        <v>12000</v>
      </c>
      <c r="BR525">
        <v>4000</v>
      </c>
    </row>
    <row r="526" spans="59:70" x14ac:dyDescent="0.25">
      <c r="BG526" t="s">
        <v>135</v>
      </c>
      <c r="BH526" t="s">
        <v>188</v>
      </c>
      <c r="BI526">
        <v>29</v>
      </c>
      <c r="BJ526">
        <v>59</v>
      </c>
      <c r="BK526" t="s">
        <v>482</v>
      </c>
      <c r="BL526">
        <v>34</v>
      </c>
      <c r="BM526">
        <v>1</v>
      </c>
      <c r="BN526">
        <v>1609000</v>
      </c>
      <c r="BO526">
        <v>38000</v>
      </c>
      <c r="BP526">
        <v>21000</v>
      </c>
      <c r="BQ526">
        <v>11000</v>
      </c>
      <c r="BR526">
        <v>3000</v>
      </c>
    </row>
    <row r="527" spans="59:70" x14ac:dyDescent="0.25">
      <c r="BG527" t="s">
        <v>135</v>
      </c>
      <c r="BH527" t="s">
        <v>188</v>
      </c>
      <c r="BI527">
        <v>30</v>
      </c>
      <c r="BJ527">
        <v>60</v>
      </c>
      <c r="BK527" t="s">
        <v>482</v>
      </c>
      <c r="BL527">
        <v>34</v>
      </c>
      <c r="BM527">
        <v>1</v>
      </c>
      <c r="BN527">
        <v>1609000</v>
      </c>
      <c r="BO527">
        <v>33000</v>
      </c>
      <c r="BP527">
        <v>18000</v>
      </c>
      <c r="BQ527">
        <v>9000</v>
      </c>
      <c r="BR527">
        <v>3000</v>
      </c>
    </row>
    <row r="528" spans="59:70" x14ac:dyDescent="0.25">
      <c r="BG528" t="s">
        <v>135</v>
      </c>
      <c r="BH528" t="s">
        <v>188</v>
      </c>
      <c r="BI528">
        <v>31</v>
      </c>
      <c r="BJ528">
        <v>61</v>
      </c>
      <c r="BK528" t="s">
        <v>482</v>
      </c>
      <c r="BL528">
        <v>34</v>
      </c>
      <c r="BM528">
        <v>1</v>
      </c>
      <c r="BN528">
        <v>1609000</v>
      </c>
      <c r="BO528">
        <v>27000</v>
      </c>
      <c r="BP528">
        <v>14000</v>
      </c>
      <c r="BQ528">
        <v>8000</v>
      </c>
      <c r="BR528">
        <v>2000</v>
      </c>
    </row>
    <row r="529" spans="59:70" x14ac:dyDescent="0.25">
      <c r="BG529" t="s">
        <v>135</v>
      </c>
      <c r="BH529" t="s">
        <v>188</v>
      </c>
      <c r="BI529">
        <v>32</v>
      </c>
      <c r="BJ529">
        <v>62</v>
      </c>
      <c r="BK529" t="s">
        <v>482</v>
      </c>
      <c r="BL529">
        <v>34</v>
      </c>
      <c r="BM529">
        <v>1</v>
      </c>
      <c r="BN529">
        <v>1609000</v>
      </c>
      <c r="BO529">
        <v>21000</v>
      </c>
      <c r="BP529">
        <v>11000</v>
      </c>
      <c r="BQ529">
        <v>6000</v>
      </c>
      <c r="BR529">
        <v>2000</v>
      </c>
    </row>
    <row r="530" spans="59:70" x14ac:dyDescent="0.25">
      <c r="BG530" t="s">
        <v>135</v>
      </c>
      <c r="BH530" t="s">
        <v>188</v>
      </c>
      <c r="BI530">
        <v>33</v>
      </c>
      <c r="BJ530">
        <v>63</v>
      </c>
      <c r="BK530" t="s">
        <v>482</v>
      </c>
      <c r="BL530">
        <v>34</v>
      </c>
      <c r="BM530">
        <v>1</v>
      </c>
      <c r="BN530">
        <v>1609000</v>
      </c>
      <c r="BO530">
        <v>15000</v>
      </c>
      <c r="BP530">
        <v>9000</v>
      </c>
      <c r="BQ530">
        <v>4000</v>
      </c>
      <c r="BR530">
        <v>1000</v>
      </c>
    </row>
    <row r="531" spans="59:70" x14ac:dyDescent="0.25">
      <c r="BG531" t="s">
        <v>135</v>
      </c>
      <c r="BH531" t="s">
        <v>188</v>
      </c>
      <c r="BI531">
        <v>34</v>
      </c>
      <c r="BJ531">
        <v>64</v>
      </c>
      <c r="BK531" t="s">
        <v>482</v>
      </c>
      <c r="BL531">
        <v>34</v>
      </c>
      <c r="BM531">
        <v>1</v>
      </c>
      <c r="BN531">
        <v>1609000</v>
      </c>
      <c r="BO531">
        <v>9000</v>
      </c>
      <c r="BP531">
        <v>5000</v>
      </c>
      <c r="BQ531">
        <v>3000</v>
      </c>
      <c r="BR531">
        <v>0</v>
      </c>
    </row>
    <row r="532" spans="59:70" x14ac:dyDescent="0.25">
      <c r="BG532" t="s">
        <v>141</v>
      </c>
      <c r="BH532" t="s">
        <v>188</v>
      </c>
      <c r="BI532">
        <v>1</v>
      </c>
      <c r="BJ532">
        <v>31</v>
      </c>
      <c r="BK532" t="s">
        <v>481</v>
      </c>
      <c r="BL532">
        <v>34</v>
      </c>
      <c r="BM532">
        <v>1</v>
      </c>
      <c r="BN532">
        <v>1609000</v>
      </c>
      <c r="BO532">
        <v>91000</v>
      </c>
      <c r="BP532">
        <v>48000</v>
      </c>
      <c r="BQ532">
        <v>24000</v>
      </c>
      <c r="BR532">
        <v>8000</v>
      </c>
    </row>
    <row r="533" spans="59:70" x14ac:dyDescent="0.25">
      <c r="BG533" t="s">
        <v>141</v>
      </c>
      <c r="BH533" t="s">
        <v>188</v>
      </c>
      <c r="BI533">
        <v>2</v>
      </c>
      <c r="BJ533">
        <v>32</v>
      </c>
      <c r="BK533" t="s">
        <v>481</v>
      </c>
      <c r="BL533">
        <v>34</v>
      </c>
      <c r="BM533">
        <v>1</v>
      </c>
      <c r="BN533">
        <v>1609000</v>
      </c>
      <c r="BO533">
        <v>97000</v>
      </c>
      <c r="BP533">
        <v>51000</v>
      </c>
      <c r="BQ533">
        <v>25000</v>
      </c>
      <c r="BR533">
        <v>9000</v>
      </c>
    </row>
    <row r="534" spans="59:70" x14ac:dyDescent="0.25">
      <c r="BG534" t="s">
        <v>141</v>
      </c>
      <c r="BH534" t="s">
        <v>188</v>
      </c>
      <c r="BI534">
        <v>3</v>
      </c>
      <c r="BJ534">
        <v>33</v>
      </c>
      <c r="BK534" t="s">
        <v>481</v>
      </c>
      <c r="BL534">
        <v>34</v>
      </c>
      <c r="BM534">
        <v>1</v>
      </c>
      <c r="BN534">
        <v>1609000</v>
      </c>
      <c r="BO534">
        <v>102000</v>
      </c>
      <c r="BP534">
        <v>55000</v>
      </c>
      <c r="BQ534">
        <v>27000</v>
      </c>
      <c r="BR534">
        <v>9000</v>
      </c>
    </row>
    <row r="535" spans="59:70" x14ac:dyDescent="0.25">
      <c r="BG535" t="s">
        <v>141</v>
      </c>
      <c r="BH535" t="s">
        <v>188</v>
      </c>
      <c r="BI535">
        <v>4</v>
      </c>
      <c r="BJ535">
        <v>34</v>
      </c>
      <c r="BK535" t="s">
        <v>481</v>
      </c>
      <c r="BL535">
        <v>34</v>
      </c>
      <c r="BM535">
        <v>1</v>
      </c>
      <c r="BN535">
        <v>1609000</v>
      </c>
      <c r="BO535">
        <v>108000</v>
      </c>
      <c r="BP535">
        <v>57000</v>
      </c>
      <c r="BQ535">
        <v>29000</v>
      </c>
      <c r="BR535">
        <v>10000</v>
      </c>
    </row>
    <row r="536" spans="59:70" x14ac:dyDescent="0.25">
      <c r="BG536" t="s">
        <v>141</v>
      </c>
      <c r="BH536" t="s">
        <v>188</v>
      </c>
      <c r="BI536">
        <v>5</v>
      </c>
      <c r="BJ536">
        <v>35</v>
      </c>
      <c r="BK536" t="s">
        <v>481</v>
      </c>
      <c r="BL536">
        <v>34</v>
      </c>
      <c r="BM536">
        <v>1</v>
      </c>
      <c r="BN536">
        <v>1609000</v>
      </c>
      <c r="BO536">
        <v>115000</v>
      </c>
      <c r="BP536">
        <v>61000</v>
      </c>
      <c r="BQ536">
        <v>30000</v>
      </c>
      <c r="BR536">
        <v>10000</v>
      </c>
    </row>
    <row r="537" spans="59:70" x14ac:dyDescent="0.25">
      <c r="BG537" t="s">
        <v>141</v>
      </c>
      <c r="BH537" t="s">
        <v>188</v>
      </c>
      <c r="BI537">
        <v>6</v>
      </c>
      <c r="BJ537">
        <v>36</v>
      </c>
      <c r="BK537" t="s">
        <v>481</v>
      </c>
      <c r="BL537">
        <v>34</v>
      </c>
      <c r="BM537">
        <v>1</v>
      </c>
      <c r="BN537">
        <v>1609000</v>
      </c>
      <c r="BO537">
        <v>123000</v>
      </c>
      <c r="BP537">
        <v>65000</v>
      </c>
      <c r="BQ537">
        <v>33000</v>
      </c>
      <c r="BR537">
        <v>11000</v>
      </c>
    </row>
    <row r="538" spans="59:70" x14ac:dyDescent="0.25">
      <c r="BG538" t="s">
        <v>141</v>
      </c>
      <c r="BH538" t="s">
        <v>188</v>
      </c>
      <c r="BI538">
        <v>7</v>
      </c>
      <c r="BJ538">
        <v>37</v>
      </c>
      <c r="BK538" t="s">
        <v>481</v>
      </c>
      <c r="BL538">
        <v>34</v>
      </c>
      <c r="BM538">
        <v>1</v>
      </c>
      <c r="BN538">
        <v>1609000</v>
      </c>
      <c r="BO538">
        <v>131000</v>
      </c>
      <c r="BP538">
        <v>70000</v>
      </c>
      <c r="BQ538">
        <v>35000</v>
      </c>
      <c r="BR538">
        <v>11000</v>
      </c>
    </row>
    <row r="539" spans="59:70" x14ac:dyDescent="0.25">
      <c r="BG539" t="s">
        <v>141</v>
      </c>
      <c r="BH539" t="s">
        <v>188</v>
      </c>
      <c r="BI539">
        <v>8</v>
      </c>
      <c r="BJ539">
        <v>38</v>
      </c>
      <c r="BK539" t="s">
        <v>481</v>
      </c>
      <c r="BL539">
        <v>34</v>
      </c>
      <c r="BM539">
        <v>1</v>
      </c>
      <c r="BN539">
        <v>1609000</v>
      </c>
      <c r="BO539">
        <v>137000</v>
      </c>
      <c r="BP539">
        <v>72000</v>
      </c>
      <c r="BQ539">
        <v>36000</v>
      </c>
      <c r="BR539">
        <v>12000</v>
      </c>
    </row>
    <row r="540" spans="59:70" x14ac:dyDescent="0.25">
      <c r="BG540" t="s">
        <v>141</v>
      </c>
      <c r="BH540" t="s">
        <v>188</v>
      </c>
      <c r="BI540">
        <v>9</v>
      </c>
      <c r="BJ540">
        <v>39</v>
      </c>
      <c r="BK540" t="s">
        <v>481</v>
      </c>
      <c r="BL540">
        <v>34</v>
      </c>
      <c r="BM540">
        <v>1</v>
      </c>
      <c r="BN540">
        <v>1609000</v>
      </c>
      <c r="BO540">
        <v>143000</v>
      </c>
      <c r="BP540">
        <v>76000</v>
      </c>
      <c r="BQ540">
        <v>39000</v>
      </c>
      <c r="BR540">
        <v>13000</v>
      </c>
    </row>
    <row r="541" spans="59:70" x14ac:dyDescent="0.25">
      <c r="BG541" t="s">
        <v>141</v>
      </c>
      <c r="BH541" t="s">
        <v>188</v>
      </c>
      <c r="BI541">
        <v>10</v>
      </c>
      <c r="BJ541">
        <v>40</v>
      </c>
      <c r="BK541" t="s">
        <v>481</v>
      </c>
      <c r="BL541">
        <v>34</v>
      </c>
      <c r="BM541">
        <v>1</v>
      </c>
      <c r="BN541">
        <v>1609000</v>
      </c>
      <c r="BO541">
        <v>149000</v>
      </c>
      <c r="BP541">
        <v>79000</v>
      </c>
      <c r="BQ541">
        <v>40000</v>
      </c>
      <c r="BR541">
        <v>14000</v>
      </c>
    </row>
    <row r="542" spans="59:70" x14ac:dyDescent="0.25">
      <c r="BG542" t="s">
        <v>141</v>
      </c>
      <c r="BH542" t="s">
        <v>188</v>
      </c>
      <c r="BI542">
        <v>11</v>
      </c>
      <c r="BJ542">
        <v>41</v>
      </c>
      <c r="BK542" t="s">
        <v>481</v>
      </c>
      <c r="BL542">
        <v>34</v>
      </c>
      <c r="BM542">
        <v>1</v>
      </c>
      <c r="BN542">
        <v>1609000</v>
      </c>
      <c r="BO542">
        <v>156000</v>
      </c>
      <c r="BP542">
        <v>82000</v>
      </c>
      <c r="BQ542">
        <v>41000</v>
      </c>
      <c r="BR542">
        <v>14000</v>
      </c>
    </row>
    <row r="543" spans="59:70" x14ac:dyDescent="0.25">
      <c r="BG543" t="s">
        <v>141</v>
      </c>
      <c r="BH543" t="s">
        <v>188</v>
      </c>
      <c r="BI543">
        <v>12</v>
      </c>
      <c r="BJ543">
        <v>42</v>
      </c>
      <c r="BK543" t="s">
        <v>481</v>
      </c>
      <c r="BL543">
        <v>34</v>
      </c>
      <c r="BM543">
        <v>1</v>
      </c>
      <c r="BN543">
        <v>1609000</v>
      </c>
      <c r="BO543">
        <v>163000</v>
      </c>
      <c r="BP543">
        <v>86000</v>
      </c>
      <c r="BQ543">
        <v>44000</v>
      </c>
      <c r="BR543">
        <v>15000</v>
      </c>
    </row>
    <row r="544" spans="59:70" x14ac:dyDescent="0.25">
      <c r="BG544" t="s">
        <v>141</v>
      </c>
      <c r="BH544" t="s">
        <v>188</v>
      </c>
      <c r="BI544">
        <v>13</v>
      </c>
      <c r="BJ544">
        <v>43</v>
      </c>
      <c r="BK544" t="s">
        <v>481</v>
      </c>
      <c r="BL544">
        <v>34</v>
      </c>
      <c r="BM544">
        <v>1</v>
      </c>
      <c r="BN544">
        <v>1609000</v>
      </c>
      <c r="BO544">
        <v>169000</v>
      </c>
      <c r="BP544">
        <v>90000</v>
      </c>
      <c r="BQ544">
        <v>45000</v>
      </c>
      <c r="BR544">
        <v>15000</v>
      </c>
    </row>
    <row r="545" spans="59:70" x14ac:dyDescent="0.25">
      <c r="BG545" t="s">
        <v>141</v>
      </c>
      <c r="BH545" t="s">
        <v>188</v>
      </c>
      <c r="BI545">
        <v>14</v>
      </c>
      <c r="BJ545">
        <v>44</v>
      </c>
      <c r="BK545" t="s">
        <v>481</v>
      </c>
      <c r="BL545">
        <v>34</v>
      </c>
      <c r="BM545">
        <v>1</v>
      </c>
      <c r="BN545">
        <v>1609000</v>
      </c>
      <c r="BO545">
        <v>175000</v>
      </c>
      <c r="BP545">
        <v>92000</v>
      </c>
      <c r="BQ545">
        <v>46000</v>
      </c>
      <c r="BR545">
        <v>15000</v>
      </c>
    </row>
    <row r="546" spans="59:70" x14ac:dyDescent="0.25">
      <c r="BG546" t="s">
        <v>141</v>
      </c>
      <c r="BH546" t="s">
        <v>188</v>
      </c>
      <c r="BI546">
        <v>15</v>
      </c>
      <c r="BJ546">
        <v>45</v>
      </c>
      <c r="BK546" t="s">
        <v>481</v>
      </c>
      <c r="BL546">
        <v>34</v>
      </c>
      <c r="BM546">
        <v>1</v>
      </c>
      <c r="BN546">
        <v>1609000</v>
      </c>
      <c r="BO546">
        <v>180000</v>
      </c>
      <c r="BP546">
        <v>95000</v>
      </c>
      <c r="BQ546">
        <v>48000</v>
      </c>
      <c r="BR546">
        <v>16000</v>
      </c>
    </row>
    <row r="547" spans="59:70" x14ac:dyDescent="0.25">
      <c r="BG547" t="s">
        <v>141</v>
      </c>
      <c r="BH547" t="s">
        <v>188</v>
      </c>
      <c r="BI547">
        <v>16</v>
      </c>
      <c r="BJ547">
        <v>46</v>
      </c>
      <c r="BK547" t="s">
        <v>481</v>
      </c>
      <c r="BL547">
        <v>34</v>
      </c>
      <c r="BM547">
        <v>1</v>
      </c>
      <c r="BN547">
        <v>1609000</v>
      </c>
      <c r="BO547">
        <v>186000</v>
      </c>
      <c r="BP547">
        <v>99000</v>
      </c>
      <c r="BQ547">
        <v>50000</v>
      </c>
      <c r="BR547">
        <v>16000</v>
      </c>
    </row>
    <row r="548" spans="59:70" x14ac:dyDescent="0.25">
      <c r="BG548" t="s">
        <v>141</v>
      </c>
      <c r="BH548" t="s">
        <v>188</v>
      </c>
      <c r="BI548">
        <v>17</v>
      </c>
      <c r="BJ548">
        <v>47</v>
      </c>
      <c r="BK548" t="s">
        <v>481</v>
      </c>
      <c r="BL548">
        <v>34</v>
      </c>
      <c r="BM548">
        <v>1</v>
      </c>
      <c r="BN548">
        <v>1609000</v>
      </c>
      <c r="BO548">
        <v>192000</v>
      </c>
      <c r="BP548">
        <v>102000</v>
      </c>
      <c r="BQ548">
        <v>51000</v>
      </c>
      <c r="BR548">
        <v>17000</v>
      </c>
    </row>
    <row r="549" spans="59:70" x14ac:dyDescent="0.25">
      <c r="BG549" t="s">
        <v>141</v>
      </c>
      <c r="BH549" t="s">
        <v>188</v>
      </c>
      <c r="BI549">
        <v>18</v>
      </c>
      <c r="BJ549">
        <v>48</v>
      </c>
      <c r="BK549" t="s">
        <v>481</v>
      </c>
      <c r="BL549">
        <v>34</v>
      </c>
      <c r="BM549">
        <v>1</v>
      </c>
      <c r="BN549">
        <v>1609000</v>
      </c>
      <c r="BO549">
        <v>198000</v>
      </c>
      <c r="BP549">
        <v>105000</v>
      </c>
      <c r="BQ549">
        <v>53000</v>
      </c>
      <c r="BR549">
        <v>18000</v>
      </c>
    </row>
    <row r="550" spans="59:70" x14ac:dyDescent="0.25">
      <c r="BG550" t="s">
        <v>141</v>
      </c>
      <c r="BH550" t="s">
        <v>188</v>
      </c>
      <c r="BI550">
        <v>19</v>
      </c>
      <c r="BJ550">
        <v>49</v>
      </c>
      <c r="BK550" t="s">
        <v>481</v>
      </c>
      <c r="BL550">
        <v>34</v>
      </c>
      <c r="BM550">
        <v>1</v>
      </c>
      <c r="BN550">
        <v>1609000</v>
      </c>
      <c r="BO550">
        <v>202000</v>
      </c>
      <c r="BP550">
        <v>107000</v>
      </c>
      <c r="BQ550">
        <v>54000</v>
      </c>
      <c r="BR550">
        <v>18000</v>
      </c>
    </row>
    <row r="551" spans="59:70" x14ac:dyDescent="0.25">
      <c r="BG551" t="s">
        <v>141</v>
      </c>
      <c r="BH551" t="s">
        <v>188</v>
      </c>
      <c r="BI551">
        <v>20</v>
      </c>
      <c r="BJ551">
        <v>50</v>
      </c>
      <c r="BK551" t="s">
        <v>481</v>
      </c>
      <c r="BL551">
        <v>34</v>
      </c>
      <c r="BM551">
        <v>1</v>
      </c>
      <c r="BN551">
        <v>1609000</v>
      </c>
      <c r="BO551">
        <v>207000</v>
      </c>
      <c r="BP551">
        <v>110000</v>
      </c>
      <c r="BQ551">
        <v>55000</v>
      </c>
      <c r="BR551">
        <v>19000</v>
      </c>
    </row>
    <row r="552" spans="59:70" x14ac:dyDescent="0.25">
      <c r="BG552" t="s">
        <v>141</v>
      </c>
      <c r="BH552" t="s">
        <v>188</v>
      </c>
      <c r="BI552">
        <v>21</v>
      </c>
      <c r="BJ552">
        <v>51</v>
      </c>
      <c r="BK552" t="s">
        <v>481</v>
      </c>
      <c r="BL552">
        <v>34</v>
      </c>
      <c r="BM552">
        <v>1</v>
      </c>
      <c r="BN552">
        <v>1609000</v>
      </c>
      <c r="BO552">
        <v>208000</v>
      </c>
      <c r="BP552">
        <v>110000</v>
      </c>
      <c r="BQ552">
        <v>55000</v>
      </c>
      <c r="BR552">
        <v>19000</v>
      </c>
    </row>
    <row r="553" spans="59:70" x14ac:dyDescent="0.25">
      <c r="BG553" t="s">
        <v>141</v>
      </c>
      <c r="BH553" t="s">
        <v>188</v>
      </c>
      <c r="BI553">
        <v>22</v>
      </c>
      <c r="BJ553">
        <v>52</v>
      </c>
      <c r="BK553" t="s">
        <v>481</v>
      </c>
      <c r="BL553">
        <v>34</v>
      </c>
      <c r="BM553">
        <v>1</v>
      </c>
      <c r="BN553">
        <v>1609000</v>
      </c>
      <c r="BO553">
        <v>207000</v>
      </c>
      <c r="BP553">
        <v>110000</v>
      </c>
      <c r="BQ553">
        <v>55000</v>
      </c>
      <c r="BR553">
        <v>19000</v>
      </c>
    </row>
    <row r="554" spans="59:70" x14ac:dyDescent="0.25">
      <c r="BG554" t="s">
        <v>141</v>
      </c>
      <c r="BH554" t="s">
        <v>188</v>
      </c>
      <c r="BI554">
        <v>23</v>
      </c>
      <c r="BJ554">
        <v>53</v>
      </c>
      <c r="BK554" t="s">
        <v>481</v>
      </c>
      <c r="BL554">
        <v>34</v>
      </c>
      <c r="BM554">
        <v>1</v>
      </c>
      <c r="BN554">
        <v>1609000</v>
      </c>
      <c r="BO554">
        <v>205000</v>
      </c>
      <c r="BP554">
        <v>109000</v>
      </c>
      <c r="BQ554">
        <v>55000</v>
      </c>
      <c r="BR554">
        <v>19000</v>
      </c>
    </row>
    <row r="555" spans="59:70" x14ac:dyDescent="0.25">
      <c r="BG555" t="s">
        <v>141</v>
      </c>
      <c r="BH555" t="s">
        <v>188</v>
      </c>
      <c r="BI555">
        <v>24</v>
      </c>
      <c r="BJ555">
        <v>54</v>
      </c>
      <c r="BK555" t="s">
        <v>481</v>
      </c>
      <c r="BL555">
        <v>34</v>
      </c>
      <c r="BM555">
        <v>1</v>
      </c>
      <c r="BN555">
        <v>1609000</v>
      </c>
      <c r="BO555">
        <v>199000</v>
      </c>
      <c r="BP555">
        <v>106000</v>
      </c>
      <c r="BQ555">
        <v>54000</v>
      </c>
      <c r="BR555">
        <v>18000</v>
      </c>
    </row>
    <row r="556" spans="59:70" x14ac:dyDescent="0.25">
      <c r="BG556" t="s">
        <v>141</v>
      </c>
      <c r="BH556" t="s">
        <v>188</v>
      </c>
      <c r="BI556">
        <v>25</v>
      </c>
      <c r="BJ556">
        <v>55</v>
      </c>
      <c r="BK556" t="s">
        <v>481</v>
      </c>
      <c r="BL556">
        <v>34</v>
      </c>
      <c r="BM556">
        <v>1</v>
      </c>
      <c r="BN556">
        <v>1609000</v>
      </c>
      <c r="BO556">
        <v>194000</v>
      </c>
      <c r="BP556">
        <v>103000</v>
      </c>
      <c r="BQ556">
        <v>52000</v>
      </c>
      <c r="BR556">
        <v>17000</v>
      </c>
    </row>
    <row r="557" spans="59:70" x14ac:dyDescent="0.25">
      <c r="BG557" t="s">
        <v>141</v>
      </c>
      <c r="BH557" t="s">
        <v>188</v>
      </c>
      <c r="BI557">
        <v>26</v>
      </c>
      <c r="BJ557">
        <v>56</v>
      </c>
      <c r="BK557" t="s">
        <v>481</v>
      </c>
      <c r="BL557">
        <v>34</v>
      </c>
      <c r="BM557">
        <v>1</v>
      </c>
      <c r="BN557">
        <v>1609000</v>
      </c>
      <c r="BO557">
        <v>188000</v>
      </c>
      <c r="BP557">
        <v>100000</v>
      </c>
      <c r="BQ557">
        <v>50000</v>
      </c>
      <c r="BR557">
        <v>16000</v>
      </c>
    </row>
    <row r="558" spans="59:70" x14ac:dyDescent="0.25">
      <c r="BG558" t="s">
        <v>141</v>
      </c>
      <c r="BH558" t="s">
        <v>188</v>
      </c>
      <c r="BI558">
        <v>27</v>
      </c>
      <c r="BJ558">
        <v>57</v>
      </c>
      <c r="BK558" t="s">
        <v>481</v>
      </c>
      <c r="BL558">
        <v>34</v>
      </c>
      <c r="BM558">
        <v>1</v>
      </c>
      <c r="BN558">
        <v>1609000</v>
      </c>
      <c r="BO558">
        <v>178000</v>
      </c>
      <c r="BP558">
        <v>95000</v>
      </c>
      <c r="BQ558">
        <v>48000</v>
      </c>
      <c r="BR558">
        <v>16000</v>
      </c>
    </row>
    <row r="559" spans="59:70" x14ac:dyDescent="0.25">
      <c r="BG559" t="s">
        <v>141</v>
      </c>
      <c r="BH559" t="s">
        <v>188</v>
      </c>
      <c r="BI559">
        <v>28</v>
      </c>
      <c r="BJ559">
        <v>58</v>
      </c>
      <c r="BK559" t="s">
        <v>481</v>
      </c>
      <c r="BL559">
        <v>34</v>
      </c>
      <c r="BM559">
        <v>1</v>
      </c>
      <c r="BN559">
        <v>1609000</v>
      </c>
      <c r="BO559">
        <v>167000</v>
      </c>
      <c r="BP559">
        <v>88000</v>
      </c>
      <c r="BQ559">
        <v>45000</v>
      </c>
      <c r="BR559">
        <v>15000</v>
      </c>
    </row>
    <row r="560" spans="59:70" x14ac:dyDescent="0.25">
      <c r="BG560" t="s">
        <v>141</v>
      </c>
      <c r="BH560" t="s">
        <v>188</v>
      </c>
      <c r="BI560">
        <v>29</v>
      </c>
      <c r="BJ560">
        <v>59</v>
      </c>
      <c r="BK560" t="s">
        <v>481</v>
      </c>
      <c r="BL560">
        <v>34</v>
      </c>
      <c r="BM560">
        <v>1</v>
      </c>
      <c r="BN560">
        <v>1609000</v>
      </c>
      <c r="BO560">
        <v>151000</v>
      </c>
      <c r="BP560">
        <v>80000</v>
      </c>
      <c r="BQ560">
        <v>40000</v>
      </c>
      <c r="BR560">
        <v>14000</v>
      </c>
    </row>
    <row r="561" spans="59:70" x14ac:dyDescent="0.25">
      <c r="BG561" t="s">
        <v>141</v>
      </c>
      <c r="BH561" t="s">
        <v>188</v>
      </c>
      <c r="BI561">
        <v>30</v>
      </c>
      <c r="BJ561">
        <v>60</v>
      </c>
      <c r="BK561" t="s">
        <v>481</v>
      </c>
      <c r="BL561">
        <v>34</v>
      </c>
      <c r="BM561">
        <v>1</v>
      </c>
      <c r="BN561">
        <v>1609000</v>
      </c>
      <c r="BO561">
        <v>133000</v>
      </c>
      <c r="BP561">
        <v>71000</v>
      </c>
      <c r="BQ561">
        <v>35000</v>
      </c>
      <c r="BR561">
        <v>11000</v>
      </c>
    </row>
    <row r="562" spans="59:70" x14ac:dyDescent="0.25">
      <c r="BG562" t="s">
        <v>141</v>
      </c>
      <c r="BH562" t="s">
        <v>188</v>
      </c>
      <c r="BI562">
        <v>31</v>
      </c>
      <c r="BJ562">
        <v>61</v>
      </c>
      <c r="BK562" t="s">
        <v>481</v>
      </c>
      <c r="BL562">
        <v>34</v>
      </c>
      <c r="BM562">
        <v>1</v>
      </c>
      <c r="BN562">
        <v>1609000</v>
      </c>
      <c r="BO562">
        <v>112000</v>
      </c>
      <c r="BP562">
        <v>60000</v>
      </c>
      <c r="BQ562">
        <v>30000</v>
      </c>
      <c r="BR562">
        <v>10000</v>
      </c>
    </row>
    <row r="563" spans="59:70" x14ac:dyDescent="0.25">
      <c r="BG563" t="s">
        <v>141</v>
      </c>
      <c r="BH563" t="s">
        <v>188</v>
      </c>
      <c r="BI563">
        <v>32</v>
      </c>
      <c r="BJ563">
        <v>62</v>
      </c>
      <c r="BK563" t="s">
        <v>481</v>
      </c>
      <c r="BL563">
        <v>34</v>
      </c>
      <c r="BM563">
        <v>1</v>
      </c>
      <c r="BN563">
        <v>1609000</v>
      </c>
      <c r="BO563">
        <v>87000</v>
      </c>
      <c r="BP563">
        <v>46000</v>
      </c>
      <c r="BQ563">
        <v>23000</v>
      </c>
      <c r="BR563">
        <v>8000</v>
      </c>
    </row>
    <row r="564" spans="59:70" x14ac:dyDescent="0.25">
      <c r="BG564" t="s">
        <v>141</v>
      </c>
      <c r="BH564" t="s">
        <v>188</v>
      </c>
      <c r="BI564">
        <v>33</v>
      </c>
      <c r="BJ564">
        <v>63</v>
      </c>
      <c r="BK564" t="s">
        <v>481</v>
      </c>
      <c r="BL564">
        <v>34</v>
      </c>
      <c r="BM564">
        <v>1</v>
      </c>
      <c r="BN564">
        <v>1609000</v>
      </c>
      <c r="BO564">
        <v>58000</v>
      </c>
      <c r="BP564">
        <v>31000</v>
      </c>
      <c r="BQ564">
        <v>15000</v>
      </c>
      <c r="BR564">
        <v>5000</v>
      </c>
    </row>
    <row r="565" spans="59:70" x14ac:dyDescent="0.25">
      <c r="BG565" t="s">
        <v>141</v>
      </c>
      <c r="BH565" t="s">
        <v>188</v>
      </c>
      <c r="BI565">
        <v>34</v>
      </c>
      <c r="BJ565">
        <v>64</v>
      </c>
      <c r="BK565" t="s">
        <v>481</v>
      </c>
      <c r="BL565">
        <v>34</v>
      </c>
      <c r="BM565">
        <v>1</v>
      </c>
      <c r="BN565">
        <v>1609000</v>
      </c>
      <c r="BO565">
        <v>23000</v>
      </c>
      <c r="BP565">
        <v>12000</v>
      </c>
      <c r="BQ565">
        <v>6000</v>
      </c>
      <c r="BR565">
        <v>2000</v>
      </c>
    </row>
    <row r="566" spans="59:70" x14ac:dyDescent="0.25">
      <c r="BG566" t="s">
        <v>141</v>
      </c>
      <c r="BH566" t="s">
        <v>188</v>
      </c>
      <c r="BI566">
        <v>1</v>
      </c>
      <c r="BJ566">
        <v>31</v>
      </c>
      <c r="BK566" t="s">
        <v>482</v>
      </c>
      <c r="BL566">
        <v>34</v>
      </c>
      <c r="BM566">
        <v>1</v>
      </c>
      <c r="BN566">
        <v>1609000</v>
      </c>
      <c r="BO566">
        <v>206000</v>
      </c>
      <c r="BP566">
        <v>109000</v>
      </c>
      <c r="BQ566">
        <v>55000</v>
      </c>
      <c r="BR566">
        <v>18000</v>
      </c>
    </row>
    <row r="567" spans="59:70" x14ac:dyDescent="0.25">
      <c r="BG567" t="s">
        <v>141</v>
      </c>
      <c r="BH567" t="s">
        <v>188</v>
      </c>
      <c r="BI567">
        <v>2</v>
      </c>
      <c r="BJ567">
        <v>32</v>
      </c>
      <c r="BK567" t="s">
        <v>482</v>
      </c>
      <c r="BL567">
        <v>34</v>
      </c>
      <c r="BM567">
        <v>1</v>
      </c>
      <c r="BN567">
        <v>1609000</v>
      </c>
      <c r="BO567">
        <v>200000</v>
      </c>
      <c r="BP567">
        <v>107000</v>
      </c>
      <c r="BQ567">
        <v>54000</v>
      </c>
      <c r="BR567">
        <v>18000</v>
      </c>
    </row>
    <row r="568" spans="59:70" x14ac:dyDescent="0.25">
      <c r="BG568" t="s">
        <v>141</v>
      </c>
      <c r="BH568" t="s">
        <v>188</v>
      </c>
      <c r="BI568">
        <v>3</v>
      </c>
      <c r="BJ568">
        <v>33</v>
      </c>
      <c r="BK568" t="s">
        <v>482</v>
      </c>
      <c r="BL568">
        <v>34</v>
      </c>
      <c r="BM568">
        <v>1</v>
      </c>
      <c r="BN568">
        <v>1609000</v>
      </c>
      <c r="BO568">
        <v>194000</v>
      </c>
      <c r="BP568">
        <v>103000</v>
      </c>
      <c r="BQ568">
        <v>52000</v>
      </c>
      <c r="BR568">
        <v>17000</v>
      </c>
    </row>
    <row r="569" spans="59:70" x14ac:dyDescent="0.25">
      <c r="BG569" t="s">
        <v>141</v>
      </c>
      <c r="BH569" t="s">
        <v>188</v>
      </c>
      <c r="BI569">
        <v>4</v>
      </c>
      <c r="BJ569">
        <v>34</v>
      </c>
      <c r="BK569" t="s">
        <v>482</v>
      </c>
      <c r="BL569">
        <v>34</v>
      </c>
      <c r="BM569">
        <v>1</v>
      </c>
      <c r="BN569">
        <v>1609000</v>
      </c>
      <c r="BO569">
        <v>188000</v>
      </c>
      <c r="BP569">
        <v>100000</v>
      </c>
      <c r="BQ569">
        <v>51000</v>
      </c>
      <c r="BR569">
        <v>17000</v>
      </c>
    </row>
    <row r="570" spans="59:70" x14ac:dyDescent="0.25">
      <c r="BG570" t="s">
        <v>141</v>
      </c>
      <c r="BH570" t="s">
        <v>188</v>
      </c>
      <c r="BI570">
        <v>5</v>
      </c>
      <c r="BJ570">
        <v>35</v>
      </c>
      <c r="BK570" t="s">
        <v>482</v>
      </c>
      <c r="BL570">
        <v>34</v>
      </c>
      <c r="BM570">
        <v>1</v>
      </c>
      <c r="BN570">
        <v>1609000</v>
      </c>
      <c r="BO570">
        <v>182000</v>
      </c>
      <c r="BP570">
        <v>97000</v>
      </c>
      <c r="BQ570">
        <v>50000</v>
      </c>
      <c r="BR570">
        <v>16000</v>
      </c>
    </row>
    <row r="571" spans="59:70" x14ac:dyDescent="0.25">
      <c r="BG571" t="s">
        <v>141</v>
      </c>
      <c r="BH571" t="s">
        <v>188</v>
      </c>
      <c r="BI571">
        <v>6</v>
      </c>
      <c r="BJ571">
        <v>36</v>
      </c>
      <c r="BK571" t="s">
        <v>482</v>
      </c>
      <c r="BL571">
        <v>34</v>
      </c>
      <c r="BM571">
        <v>1</v>
      </c>
      <c r="BN571">
        <v>1609000</v>
      </c>
      <c r="BO571">
        <v>176000</v>
      </c>
      <c r="BP571">
        <v>93000</v>
      </c>
      <c r="BQ571">
        <v>48000</v>
      </c>
      <c r="BR571">
        <v>16000</v>
      </c>
    </row>
    <row r="572" spans="59:70" x14ac:dyDescent="0.25">
      <c r="BG572" t="s">
        <v>141</v>
      </c>
      <c r="BH572" t="s">
        <v>188</v>
      </c>
      <c r="BI572">
        <v>7</v>
      </c>
      <c r="BJ572">
        <v>37</v>
      </c>
      <c r="BK572" t="s">
        <v>482</v>
      </c>
      <c r="BL572">
        <v>34</v>
      </c>
      <c r="BM572">
        <v>1</v>
      </c>
      <c r="BN572">
        <v>1609000</v>
      </c>
      <c r="BO572">
        <v>171000</v>
      </c>
      <c r="BP572">
        <v>91000</v>
      </c>
      <c r="BQ572">
        <v>46000</v>
      </c>
      <c r="BR572">
        <v>15000</v>
      </c>
    </row>
    <row r="573" spans="59:70" x14ac:dyDescent="0.25">
      <c r="BG573" t="s">
        <v>141</v>
      </c>
      <c r="BH573" t="s">
        <v>188</v>
      </c>
      <c r="BI573">
        <v>8</v>
      </c>
      <c r="BJ573">
        <v>38</v>
      </c>
      <c r="BK573" t="s">
        <v>482</v>
      </c>
      <c r="BL573">
        <v>34</v>
      </c>
      <c r="BM573">
        <v>1</v>
      </c>
      <c r="BN573">
        <v>1609000</v>
      </c>
      <c r="BO573">
        <v>164000</v>
      </c>
      <c r="BP573">
        <v>88000</v>
      </c>
      <c r="BQ573">
        <v>45000</v>
      </c>
      <c r="BR573">
        <v>14000</v>
      </c>
    </row>
    <row r="574" spans="59:70" x14ac:dyDescent="0.25">
      <c r="BG574" t="s">
        <v>141</v>
      </c>
      <c r="BH574" t="s">
        <v>188</v>
      </c>
      <c r="BI574">
        <v>9</v>
      </c>
      <c r="BJ574">
        <v>39</v>
      </c>
      <c r="BK574" t="s">
        <v>482</v>
      </c>
      <c r="BL574">
        <v>34</v>
      </c>
      <c r="BM574">
        <v>1</v>
      </c>
      <c r="BN574">
        <v>1609000</v>
      </c>
      <c r="BO574">
        <v>159000</v>
      </c>
      <c r="BP574">
        <v>84000</v>
      </c>
      <c r="BQ574">
        <v>43000</v>
      </c>
      <c r="BR574">
        <v>14000</v>
      </c>
    </row>
    <row r="575" spans="59:70" x14ac:dyDescent="0.25">
      <c r="BG575" t="s">
        <v>141</v>
      </c>
      <c r="BH575" t="s">
        <v>188</v>
      </c>
      <c r="BI575">
        <v>10</v>
      </c>
      <c r="BJ575">
        <v>40</v>
      </c>
      <c r="BK575" t="s">
        <v>482</v>
      </c>
      <c r="BL575">
        <v>34</v>
      </c>
      <c r="BM575">
        <v>1</v>
      </c>
      <c r="BN575">
        <v>1609000</v>
      </c>
      <c r="BO575">
        <v>152000</v>
      </c>
      <c r="BP575">
        <v>81000</v>
      </c>
      <c r="BQ575">
        <v>41000</v>
      </c>
      <c r="BR575">
        <v>14000</v>
      </c>
    </row>
    <row r="576" spans="59:70" x14ac:dyDescent="0.25">
      <c r="BG576" t="s">
        <v>141</v>
      </c>
      <c r="BH576" t="s">
        <v>188</v>
      </c>
      <c r="BI576">
        <v>11</v>
      </c>
      <c r="BJ576">
        <v>41</v>
      </c>
      <c r="BK576" t="s">
        <v>482</v>
      </c>
      <c r="BL576">
        <v>34</v>
      </c>
      <c r="BM576">
        <v>1</v>
      </c>
      <c r="BN576">
        <v>1609000</v>
      </c>
      <c r="BO576">
        <v>146000</v>
      </c>
      <c r="BP576">
        <v>78000</v>
      </c>
      <c r="BQ576">
        <v>40000</v>
      </c>
      <c r="BR576">
        <v>13000</v>
      </c>
    </row>
    <row r="577" spans="59:70" x14ac:dyDescent="0.25">
      <c r="BG577" t="s">
        <v>141</v>
      </c>
      <c r="BH577" t="s">
        <v>188</v>
      </c>
      <c r="BI577">
        <v>12</v>
      </c>
      <c r="BJ577">
        <v>42</v>
      </c>
      <c r="BK577" t="s">
        <v>482</v>
      </c>
      <c r="BL577">
        <v>34</v>
      </c>
      <c r="BM577">
        <v>1</v>
      </c>
      <c r="BN577">
        <v>1609000</v>
      </c>
      <c r="BO577">
        <v>140000</v>
      </c>
      <c r="BP577">
        <v>75000</v>
      </c>
      <c r="BQ577">
        <v>38000</v>
      </c>
      <c r="BR577">
        <v>12000</v>
      </c>
    </row>
    <row r="578" spans="59:70" x14ac:dyDescent="0.25">
      <c r="BG578" t="s">
        <v>141</v>
      </c>
      <c r="BH578" t="s">
        <v>188</v>
      </c>
      <c r="BI578">
        <v>13</v>
      </c>
      <c r="BJ578">
        <v>43</v>
      </c>
      <c r="BK578" t="s">
        <v>482</v>
      </c>
      <c r="BL578">
        <v>34</v>
      </c>
      <c r="BM578">
        <v>1</v>
      </c>
      <c r="BN578">
        <v>1609000</v>
      </c>
      <c r="BO578">
        <v>134000</v>
      </c>
      <c r="BP578">
        <v>72000</v>
      </c>
      <c r="BQ578">
        <v>36000</v>
      </c>
      <c r="BR578">
        <v>12000</v>
      </c>
    </row>
    <row r="579" spans="59:70" x14ac:dyDescent="0.25">
      <c r="BG579" t="s">
        <v>141</v>
      </c>
      <c r="BH579" t="s">
        <v>188</v>
      </c>
      <c r="BI579">
        <v>14</v>
      </c>
      <c r="BJ579">
        <v>44</v>
      </c>
      <c r="BK579" t="s">
        <v>482</v>
      </c>
      <c r="BL579">
        <v>34</v>
      </c>
      <c r="BM579">
        <v>1</v>
      </c>
      <c r="BN579">
        <v>1609000</v>
      </c>
      <c r="BO579">
        <v>129000</v>
      </c>
      <c r="BP579">
        <v>68000</v>
      </c>
      <c r="BQ579">
        <v>35000</v>
      </c>
      <c r="BR579">
        <v>11000</v>
      </c>
    </row>
    <row r="580" spans="59:70" x14ac:dyDescent="0.25">
      <c r="BG580" t="s">
        <v>141</v>
      </c>
      <c r="BH580" t="s">
        <v>188</v>
      </c>
      <c r="BI580">
        <v>15</v>
      </c>
      <c r="BJ580">
        <v>45</v>
      </c>
      <c r="BK580" t="s">
        <v>482</v>
      </c>
      <c r="BL580">
        <v>34</v>
      </c>
      <c r="BM580">
        <v>1</v>
      </c>
      <c r="BN580">
        <v>1609000</v>
      </c>
      <c r="BO580">
        <v>122000</v>
      </c>
      <c r="BP580">
        <v>65000</v>
      </c>
      <c r="BQ580">
        <v>33000</v>
      </c>
      <c r="BR580">
        <v>11000</v>
      </c>
    </row>
    <row r="581" spans="59:70" x14ac:dyDescent="0.25">
      <c r="BG581" t="s">
        <v>141</v>
      </c>
      <c r="BH581" t="s">
        <v>188</v>
      </c>
      <c r="BI581">
        <v>16</v>
      </c>
      <c r="BJ581">
        <v>46</v>
      </c>
      <c r="BK581" t="s">
        <v>482</v>
      </c>
      <c r="BL581">
        <v>34</v>
      </c>
      <c r="BM581">
        <v>1</v>
      </c>
      <c r="BN581">
        <v>1609000</v>
      </c>
      <c r="BO581">
        <v>117000</v>
      </c>
      <c r="BP581">
        <v>62000</v>
      </c>
      <c r="BQ581">
        <v>31000</v>
      </c>
      <c r="BR581">
        <v>10000</v>
      </c>
    </row>
    <row r="582" spans="59:70" x14ac:dyDescent="0.25">
      <c r="BG582" t="s">
        <v>141</v>
      </c>
      <c r="BH582" t="s">
        <v>188</v>
      </c>
      <c r="BI582">
        <v>17</v>
      </c>
      <c r="BJ582">
        <v>47</v>
      </c>
      <c r="BK582" t="s">
        <v>482</v>
      </c>
      <c r="BL582">
        <v>34</v>
      </c>
      <c r="BM582">
        <v>1</v>
      </c>
      <c r="BN582">
        <v>1609000</v>
      </c>
      <c r="BO582">
        <v>110000</v>
      </c>
      <c r="BP582">
        <v>59000</v>
      </c>
      <c r="BQ582">
        <v>30000</v>
      </c>
      <c r="BR582">
        <v>10000</v>
      </c>
    </row>
    <row r="583" spans="59:70" x14ac:dyDescent="0.25">
      <c r="BG583" t="s">
        <v>141</v>
      </c>
      <c r="BH583" t="s">
        <v>188</v>
      </c>
      <c r="BI583">
        <v>18</v>
      </c>
      <c r="BJ583">
        <v>48</v>
      </c>
      <c r="BK583" t="s">
        <v>482</v>
      </c>
      <c r="BL583">
        <v>34</v>
      </c>
      <c r="BM583">
        <v>1</v>
      </c>
      <c r="BN583">
        <v>1609000</v>
      </c>
      <c r="BO583">
        <v>104000</v>
      </c>
      <c r="BP583">
        <v>56000</v>
      </c>
      <c r="BQ583">
        <v>29000</v>
      </c>
      <c r="BR583">
        <v>9000</v>
      </c>
    </row>
    <row r="584" spans="59:70" x14ac:dyDescent="0.25">
      <c r="BG584" t="s">
        <v>141</v>
      </c>
      <c r="BH584" t="s">
        <v>188</v>
      </c>
      <c r="BI584">
        <v>19</v>
      </c>
      <c r="BJ584">
        <v>49</v>
      </c>
      <c r="BK584" t="s">
        <v>482</v>
      </c>
      <c r="BL584">
        <v>34</v>
      </c>
      <c r="BM584">
        <v>1</v>
      </c>
      <c r="BN584">
        <v>1609000</v>
      </c>
      <c r="BO584">
        <v>99000</v>
      </c>
      <c r="BP584">
        <v>53000</v>
      </c>
      <c r="BQ584">
        <v>27000</v>
      </c>
      <c r="BR584">
        <v>9000</v>
      </c>
    </row>
    <row r="585" spans="59:70" x14ac:dyDescent="0.25">
      <c r="BG585" t="s">
        <v>141</v>
      </c>
      <c r="BH585" t="s">
        <v>188</v>
      </c>
      <c r="BI585">
        <v>20</v>
      </c>
      <c r="BJ585">
        <v>50</v>
      </c>
      <c r="BK585" t="s">
        <v>482</v>
      </c>
      <c r="BL585">
        <v>34</v>
      </c>
      <c r="BM585">
        <v>1</v>
      </c>
      <c r="BN585">
        <v>1609000</v>
      </c>
      <c r="BO585">
        <v>92000</v>
      </c>
      <c r="BP585">
        <v>49000</v>
      </c>
      <c r="BQ585">
        <v>25000</v>
      </c>
      <c r="BR585">
        <v>8000</v>
      </c>
    </row>
    <row r="586" spans="59:70" x14ac:dyDescent="0.25">
      <c r="BG586" t="s">
        <v>141</v>
      </c>
      <c r="BH586" t="s">
        <v>188</v>
      </c>
      <c r="BI586">
        <v>21</v>
      </c>
      <c r="BJ586">
        <v>51</v>
      </c>
      <c r="BK586" t="s">
        <v>482</v>
      </c>
      <c r="BL586">
        <v>34</v>
      </c>
      <c r="BM586">
        <v>1</v>
      </c>
      <c r="BN586">
        <v>1609000</v>
      </c>
      <c r="BO586">
        <v>87000</v>
      </c>
      <c r="BP586">
        <v>46000</v>
      </c>
      <c r="BQ586">
        <v>24000</v>
      </c>
      <c r="BR586">
        <v>7000</v>
      </c>
    </row>
    <row r="587" spans="59:70" x14ac:dyDescent="0.25">
      <c r="BG587" t="s">
        <v>141</v>
      </c>
      <c r="BH587" t="s">
        <v>188</v>
      </c>
      <c r="BI587">
        <v>22</v>
      </c>
      <c r="BJ587">
        <v>52</v>
      </c>
      <c r="BK587" t="s">
        <v>482</v>
      </c>
      <c r="BL587">
        <v>34</v>
      </c>
      <c r="BM587">
        <v>1</v>
      </c>
      <c r="BN587">
        <v>1609000</v>
      </c>
      <c r="BO587">
        <v>80000</v>
      </c>
      <c r="BP587">
        <v>44000</v>
      </c>
      <c r="BQ587">
        <v>22000</v>
      </c>
      <c r="BR587">
        <v>7000</v>
      </c>
    </row>
    <row r="588" spans="59:70" x14ac:dyDescent="0.25">
      <c r="BG588" t="s">
        <v>141</v>
      </c>
      <c r="BH588" t="s">
        <v>188</v>
      </c>
      <c r="BI588">
        <v>23</v>
      </c>
      <c r="BJ588">
        <v>53</v>
      </c>
      <c r="BK588" t="s">
        <v>482</v>
      </c>
      <c r="BL588">
        <v>34</v>
      </c>
      <c r="BM588">
        <v>1</v>
      </c>
      <c r="BN588">
        <v>1609000</v>
      </c>
      <c r="BO588">
        <v>75000</v>
      </c>
      <c r="BP588">
        <v>40000</v>
      </c>
      <c r="BQ588">
        <v>20000</v>
      </c>
      <c r="BR588">
        <v>7000</v>
      </c>
    </row>
    <row r="589" spans="59:70" x14ac:dyDescent="0.25">
      <c r="BG589" t="s">
        <v>141</v>
      </c>
      <c r="BH589" t="s">
        <v>188</v>
      </c>
      <c r="BI589">
        <v>24</v>
      </c>
      <c r="BJ589">
        <v>54</v>
      </c>
      <c r="BK589" t="s">
        <v>482</v>
      </c>
      <c r="BL589">
        <v>34</v>
      </c>
      <c r="BM589">
        <v>1</v>
      </c>
      <c r="BN589">
        <v>1609000</v>
      </c>
      <c r="BO589">
        <v>69000</v>
      </c>
      <c r="BP589">
        <v>37000</v>
      </c>
      <c r="BQ589">
        <v>19000</v>
      </c>
      <c r="BR589">
        <v>6000</v>
      </c>
    </row>
    <row r="590" spans="59:70" x14ac:dyDescent="0.25">
      <c r="BG590" t="s">
        <v>141</v>
      </c>
      <c r="BH590" t="s">
        <v>188</v>
      </c>
      <c r="BI590">
        <v>25</v>
      </c>
      <c r="BJ590">
        <v>55</v>
      </c>
      <c r="BK590" t="s">
        <v>482</v>
      </c>
      <c r="BL590">
        <v>34</v>
      </c>
      <c r="BM590">
        <v>1</v>
      </c>
      <c r="BN590">
        <v>1609000</v>
      </c>
      <c r="BO590">
        <v>63000</v>
      </c>
      <c r="BP590">
        <v>34000</v>
      </c>
      <c r="BQ590">
        <v>17000</v>
      </c>
      <c r="BR590">
        <v>5000</v>
      </c>
    </row>
    <row r="591" spans="59:70" x14ac:dyDescent="0.25">
      <c r="BG591" t="s">
        <v>141</v>
      </c>
      <c r="BH591" t="s">
        <v>188</v>
      </c>
      <c r="BI591">
        <v>26</v>
      </c>
      <c r="BJ591">
        <v>56</v>
      </c>
      <c r="BK591" t="s">
        <v>482</v>
      </c>
      <c r="BL591">
        <v>34</v>
      </c>
      <c r="BM591">
        <v>1</v>
      </c>
      <c r="BN591">
        <v>1609000</v>
      </c>
      <c r="BO591">
        <v>57000</v>
      </c>
      <c r="BP591">
        <v>30000</v>
      </c>
      <c r="BQ591">
        <v>15000</v>
      </c>
      <c r="BR591">
        <v>5000</v>
      </c>
    </row>
    <row r="592" spans="59:70" x14ac:dyDescent="0.25">
      <c r="BG592" t="s">
        <v>141</v>
      </c>
      <c r="BH592" t="s">
        <v>188</v>
      </c>
      <c r="BI592">
        <v>27</v>
      </c>
      <c r="BJ592">
        <v>57</v>
      </c>
      <c r="BK592" t="s">
        <v>482</v>
      </c>
      <c r="BL592">
        <v>34</v>
      </c>
      <c r="BM592">
        <v>1</v>
      </c>
      <c r="BN592">
        <v>1609000</v>
      </c>
      <c r="BO592">
        <v>50000</v>
      </c>
      <c r="BP592">
        <v>27000</v>
      </c>
      <c r="BQ592">
        <v>14000</v>
      </c>
      <c r="BR592">
        <v>4000</v>
      </c>
    </row>
    <row r="593" spans="59:70" x14ac:dyDescent="0.25">
      <c r="BG593" t="s">
        <v>141</v>
      </c>
      <c r="BH593" t="s">
        <v>188</v>
      </c>
      <c r="BI593">
        <v>28</v>
      </c>
      <c r="BJ593">
        <v>58</v>
      </c>
      <c r="BK593" t="s">
        <v>482</v>
      </c>
      <c r="BL593">
        <v>34</v>
      </c>
      <c r="BM593">
        <v>1</v>
      </c>
      <c r="BN593">
        <v>1609000</v>
      </c>
      <c r="BO593">
        <v>45000</v>
      </c>
      <c r="BP593">
        <v>24000</v>
      </c>
      <c r="BQ593">
        <v>12000</v>
      </c>
      <c r="BR593">
        <v>4000</v>
      </c>
    </row>
    <row r="594" spans="59:70" x14ac:dyDescent="0.25">
      <c r="BG594" t="s">
        <v>141</v>
      </c>
      <c r="BH594" t="s">
        <v>188</v>
      </c>
      <c r="BI594">
        <v>29</v>
      </c>
      <c r="BJ594">
        <v>59</v>
      </c>
      <c r="BK594" t="s">
        <v>482</v>
      </c>
      <c r="BL594">
        <v>34</v>
      </c>
      <c r="BM594">
        <v>1</v>
      </c>
      <c r="BN594">
        <v>1609000</v>
      </c>
      <c r="BO594">
        <v>38000</v>
      </c>
      <c r="BP594">
        <v>21000</v>
      </c>
      <c r="BQ594">
        <v>11000</v>
      </c>
      <c r="BR594">
        <v>3000</v>
      </c>
    </row>
    <row r="595" spans="59:70" x14ac:dyDescent="0.25">
      <c r="BG595" t="s">
        <v>141</v>
      </c>
      <c r="BH595" t="s">
        <v>188</v>
      </c>
      <c r="BI595">
        <v>30</v>
      </c>
      <c r="BJ595">
        <v>60</v>
      </c>
      <c r="BK595" t="s">
        <v>482</v>
      </c>
      <c r="BL595">
        <v>34</v>
      </c>
      <c r="BM595">
        <v>1</v>
      </c>
      <c r="BN595">
        <v>1609000</v>
      </c>
      <c r="BO595">
        <v>33000</v>
      </c>
      <c r="BP595">
        <v>18000</v>
      </c>
      <c r="BQ595">
        <v>9000</v>
      </c>
      <c r="BR595">
        <v>3000</v>
      </c>
    </row>
    <row r="596" spans="59:70" x14ac:dyDescent="0.25">
      <c r="BG596" t="s">
        <v>141</v>
      </c>
      <c r="BH596" t="s">
        <v>188</v>
      </c>
      <c r="BI596">
        <v>31</v>
      </c>
      <c r="BJ596">
        <v>61</v>
      </c>
      <c r="BK596" t="s">
        <v>482</v>
      </c>
      <c r="BL596">
        <v>34</v>
      </c>
      <c r="BM596">
        <v>1</v>
      </c>
      <c r="BN596">
        <v>1609000</v>
      </c>
      <c r="BO596">
        <v>27000</v>
      </c>
      <c r="BP596">
        <v>14000</v>
      </c>
      <c r="BQ596">
        <v>8000</v>
      </c>
      <c r="BR596">
        <v>2000</v>
      </c>
    </row>
    <row r="597" spans="59:70" x14ac:dyDescent="0.25">
      <c r="BG597" t="s">
        <v>141</v>
      </c>
      <c r="BH597" t="s">
        <v>188</v>
      </c>
      <c r="BI597">
        <v>32</v>
      </c>
      <c r="BJ597">
        <v>62</v>
      </c>
      <c r="BK597" t="s">
        <v>482</v>
      </c>
      <c r="BL597">
        <v>34</v>
      </c>
      <c r="BM597">
        <v>1</v>
      </c>
      <c r="BN597">
        <v>1609000</v>
      </c>
      <c r="BO597">
        <v>21000</v>
      </c>
      <c r="BP597">
        <v>11000</v>
      </c>
      <c r="BQ597">
        <v>6000</v>
      </c>
      <c r="BR597">
        <v>2000</v>
      </c>
    </row>
    <row r="598" spans="59:70" x14ac:dyDescent="0.25">
      <c r="BG598" t="s">
        <v>141</v>
      </c>
      <c r="BH598" t="s">
        <v>188</v>
      </c>
      <c r="BI598">
        <v>33</v>
      </c>
      <c r="BJ598">
        <v>63</v>
      </c>
      <c r="BK598" t="s">
        <v>482</v>
      </c>
      <c r="BL598">
        <v>34</v>
      </c>
      <c r="BM598">
        <v>1</v>
      </c>
      <c r="BN598">
        <v>1609000</v>
      </c>
      <c r="BO598">
        <v>15000</v>
      </c>
      <c r="BP598">
        <v>9000</v>
      </c>
      <c r="BQ598">
        <v>4000</v>
      </c>
      <c r="BR598">
        <v>1000</v>
      </c>
    </row>
    <row r="599" spans="59:70" x14ac:dyDescent="0.25">
      <c r="BG599" t="s">
        <v>141</v>
      </c>
      <c r="BH599" t="s">
        <v>188</v>
      </c>
      <c r="BI599">
        <v>34</v>
      </c>
      <c r="BJ599">
        <v>64</v>
      </c>
      <c r="BK599" t="s">
        <v>482</v>
      </c>
      <c r="BL599">
        <v>34</v>
      </c>
      <c r="BM599">
        <v>1</v>
      </c>
      <c r="BN599">
        <v>1609000</v>
      </c>
      <c r="BO599">
        <v>9000</v>
      </c>
      <c r="BP599">
        <v>5000</v>
      </c>
      <c r="BQ599">
        <v>3000</v>
      </c>
      <c r="BR599">
        <v>0</v>
      </c>
    </row>
  </sheetData>
  <dataValidations count="1">
    <dataValidation type="list" allowBlank="1" showInputMessage="1" showErrorMessage="1" sqref="B8" xr:uid="{CCCE98DE-901D-4209-9F90-8882E2ED4287}">
      <formula1>"Standard,Sub-standard"</formula1>
    </dataValidation>
  </dataValidations>
  <pageMargins left="0.7" right="0.7" top="0.75" bottom="0.75" header="0.3" footer="0.3"/>
  <ignoredErrors>
    <ignoredError sqref="BG12" emptyCellReference="1"/>
  </ignoredErrors>
  <drawing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A3788-71BD-42D6-8F1C-4F4F31852785}">
  <sheetPr codeName="Sheet5"/>
  <dimension ref="A2:AK167"/>
  <sheetViews>
    <sheetView zoomScale="55" zoomScaleNormal="55" workbookViewId="0">
      <selection activeCell="H45" sqref="H45"/>
    </sheetView>
  </sheetViews>
  <sheetFormatPr defaultColWidth="8.7109375" defaultRowHeight="15" customHeight="1" x14ac:dyDescent="0.25"/>
  <cols>
    <col min="1" max="1" width="5.140625" bestFit="1" customWidth="1"/>
    <col min="2" max="2" width="4.5703125" bestFit="1" customWidth="1"/>
    <col min="3" max="3" width="7.42578125" customWidth="1"/>
    <col min="4" max="4" width="23.5703125" bestFit="1" customWidth="1"/>
    <col min="5" max="5" width="20" bestFit="1" customWidth="1"/>
    <col min="6" max="6" width="22.140625" bestFit="1" customWidth="1"/>
    <col min="7" max="7" width="21.5703125" customWidth="1"/>
    <col min="8" max="8" width="23.140625" bestFit="1" customWidth="1"/>
    <col min="9" max="9" width="29.85546875" bestFit="1" customWidth="1"/>
    <col min="10" max="10" width="19.42578125" bestFit="1" customWidth="1"/>
    <col min="11" max="11" width="23.140625" bestFit="1" customWidth="1"/>
    <col min="12" max="12" width="19.7109375" bestFit="1" customWidth="1"/>
    <col min="13" max="13" width="13.5703125" bestFit="1" customWidth="1"/>
    <col min="14" max="14" width="23.140625" bestFit="1" customWidth="1"/>
    <col min="15" max="15" width="17" bestFit="1" customWidth="1"/>
    <col min="16" max="16" width="20.42578125" bestFit="1" customWidth="1"/>
    <col min="17" max="17" width="13.7109375" customWidth="1"/>
    <col min="18" max="18" width="5" customWidth="1"/>
    <col min="19" max="19" width="5.140625" customWidth="1"/>
    <col min="20" max="20" width="15.28515625" bestFit="1" customWidth="1"/>
    <col min="21" max="21" width="11.5703125" bestFit="1" customWidth="1"/>
    <col min="22" max="22" width="10.85546875" bestFit="1" customWidth="1"/>
    <col min="23" max="23" width="5.140625" customWidth="1"/>
    <col min="24" max="24" width="24.7109375" customWidth="1"/>
    <col min="25" max="26" width="21.28515625" customWidth="1"/>
    <col min="27" max="27" width="24" bestFit="1" customWidth="1"/>
    <col min="28" max="28" width="15.7109375" bestFit="1" customWidth="1"/>
    <col min="29" max="29" width="29.7109375" bestFit="1" customWidth="1"/>
    <col min="30" max="37" width="13" customWidth="1"/>
    <col min="38" max="38" width="11.42578125" bestFit="1" customWidth="1"/>
    <col min="39" max="39" width="7.85546875" customWidth="1"/>
  </cols>
  <sheetData>
    <row r="2" spans="1:30" ht="23.25" x14ac:dyDescent="0.35">
      <c r="A2" s="154"/>
      <c r="B2" s="154"/>
      <c r="C2" s="154"/>
      <c r="D2" s="176" t="s">
        <v>324</v>
      </c>
      <c r="E2" s="154"/>
      <c r="F2" s="154"/>
      <c r="G2" s="154"/>
      <c r="H2" s="154"/>
      <c r="J2" s="374" t="s">
        <v>323</v>
      </c>
      <c r="K2" s="374"/>
      <c r="L2" s="374"/>
      <c r="M2" s="374"/>
      <c r="N2" s="374"/>
      <c r="O2" s="374"/>
      <c r="P2" s="154"/>
      <c r="Q2" s="154"/>
      <c r="R2" s="156"/>
      <c r="S2" s="154"/>
      <c r="T2" s="154"/>
      <c r="U2" s="154"/>
      <c r="V2" s="154"/>
      <c r="W2" s="154"/>
      <c r="X2" s="374" t="s">
        <v>322</v>
      </c>
      <c r="Y2" s="374"/>
      <c r="Z2" s="374"/>
      <c r="AA2" s="374"/>
      <c r="AB2" s="374"/>
      <c r="AC2" s="374"/>
      <c r="AD2" s="154"/>
    </row>
    <row r="3" spans="1:30" ht="23.25" x14ac:dyDescent="0.35">
      <c r="A3" s="154"/>
      <c r="B3" s="154"/>
      <c r="C3" s="154"/>
      <c r="D3" s="176" t="s">
        <v>321</v>
      </c>
      <c r="E3" s="154"/>
      <c r="F3" s="154"/>
      <c r="G3" s="154"/>
      <c r="H3" s="154"/>
      <c r="J3" s="154"/>
      <c r="K3" s="154"/>
      <c r="L3" s="154"/>
      <c r="M3" s="154"/>
      <c r="N3" s="154"/>
      <c r="O3" s="154"/>
      <c r="P3" s="154"/>
      <c r="Q3" s="154"/>
      <c r="R3" s="156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</row>
    <row r="4" spans="1:30" x14ac:dyDescent="0.25">
      <c r="A4" s="154"/>
      <c r="B4" s="154"/>
      <c r="C4" s="154"/>
      <c r="D4" s="154" t="s">
        <v>320</v>
      </c>
      <c r="E4" s="154"/>
      <c r="F4" s="154"/>
      <c r="G4" s="154"/>
      <c r="H4" s="154"/>
      <c r="J4" s="17" t="s">
        <v>131</v>
      </c>
      <c r="K4" s="11" t="s">
        <v>135</v>
      </c>
      <c r="O4" s="154"/>
      <c r="P4" s="154"/>
      <c r="Q4" s="154"/>
      <c r="R4" s="156"/>
      <c r="S4" s="154"/>
      <c r="X4" s="17" t="s">
        <v>131</v>
      </c>
      <c r="Y4" s="11" t="s">
        <v>135</v>
      </c>
      <c r="AD4" s="154"/>
    </row>
    <row r="5" spans="1:30" ht="15" customHeight="1" x14ac:dyDescent="0.25">
      <c r="A5" s="154"/>
      <c r="B5" s="154"/>
      <c r="C5" s="154"/>
      <c r="F5" s="154"/>
      <c r="G5" s="154"/>
      <c r="H5" s="154"/>
      <c r="J5" s="17" t="s">
        <v>17</v>
      </c>
      <c r="K5" s="11">
        <v>1</v>
      </c>
      <c r="O5" s="154"/>
      <c r="P5" s="154"/>
      <c r="Q5" s="154"/>
      <c r="R5" s="156"/>
      <c r="S5" s="154"/>
      <c r="AD5" s="154"/>
    </row>
    <row r="6" spans="1:30" x14ac:dyDescent="0.25">
      <c r="A6" s="154"/>
      <c r="B6" s="154"/>
      <c r="C6" s="154"/>
      <c r="D6" s="17" t="s">
        <v>130</v>
      </c>
      <c r="E6" s="11" t="s">
        <v>139</v>
      </c>
      <c r="F6" s="154"/>
      <c r="G6" s="154"/>
      <c r="H6" s="154"/>
      <c r="O6" s="154"/>
      <c r="P6" s="154"/>
      <c r="Q6" s="154"/>
      <c r="R6" s="156"/>
      <c r="S6" s="154"/>
      <c r="T6" s="175" t="s">
        <v>319</v>
      </c>
      <c r="U6" s="175" t="s">
        <v>160</v>
      </c>
      <c r="V6" s="175" t="s">
        <v>244</v>
      </c>
      <c r="W6" s="154"/>
      <c r="X6" s="162" t="s">
        <v>160</v>
      </c>
      <c r="Y6" s="162" t="s">
        <v>318</v>
      </c>
      <c r="Z6" s="162" t="s">
        <v>185</v>
      </c>
      <c r="AA6" s="162" t="s">
        <v>317</v>
      </c>
      <c r="AB6" s="162" t="s">
        <v>264</v>
      </c>
      <c r="AC6" s="162" t="s">
        <v>316</v>
      </c>
      <c r="AD6" s="154"/>
    </row>
    <row r="7" spans="1:30" ht="15" customHeight="1" x14ac:dyDescent="0.25">
      <c r="D7" s="17" t="s">
        <v>131</v>
      </c>
      <c r="E7" s="11" t="s">
        <v>135</v>
      </c>
      <c r="J7" s="162" t="s">
        <v>315</v>
      </c>
      <c r="K7" s="159" t="s">
        <v>220</v>
      </c>
      <c r="L7" s="159" t="s">
        <v>223</v>
      </c>
      <c r="M7" s="159" t="s">
        <v>224</v>
      </c>
      <c r="N7" s="159" t="s">
        <v>225</v>
      </c>
      <c r="O7" s="154"/>
      <c r="P7" s="154"/>
      <c r="Q7" s="154"/>
      <c r="R7" s="156"/>
      <c r="S7" s="154"/>
      <c r="T7" s="174"/>
      <c r="U7" s="174"/>
      <c r="V7" s="174"/>
      <c r="W7" s="154"/>
      <c r="X7" s="153" t="str">
        <f>base</f>
        <v>UVL01</v>
      </c>
      <c r="Y7" s="153" t="str">
        <f>Input!$N$26</f>
        <v>Test Case 01 MainLA</v>
      </c>
      <c r="Z7" s="153"/>
      <c r="AA7" s="153"/>
      <c r="AB7" s="152">
        <f>Base_CF!si</f>
        <v>101000000</v>
      </c>
      <c r="AC7" s="152">
        <f ca="1">Base_CF!tp</f>
        <v>1072000</v>
      </c>
    </row>
    <row r="8" spans="1:30" x14ac:dyDescent="0.25">
      <c r="D8" s="17" t="s">
        <v>132</v>
      </c>
      <c r="E8" s="11" t="s">
        <v>502</v>
      </c>
      <c r="J8" s="172" t="s">
        <v>309</v>
      </c>
      <c r="K8" s="152" cm="1">
        <f t="array" ref="K8">_xlfn._xlws.FILTER(tblBaseCFResult[TotalPrem]/1000,
(tblBaseCFResult[Risk]=$K$4)
*(tblBaseCFResult[Year]=$K$5)
*(tblBaseCFResult[IntRateScenario]="Guaranteed"),"")</f>
        <v>6272</v>
      </c>
      <c r="L8" s="152" cm="1">
        <f t="array" ref="L8">_xlfn._xlws.FILTER(tblBaseCFResult[SemiAnnualTotalPrem]/1000,
(tblBaseCFResult[Risk]=$K$4)
*(tblBaseCFResult[Year]=$K$5)
*(tblBaseCFResult[IntRateScenario]="Guaranteed"),"")</f>
        <v>3136</v>
      </c>
      <c r="M8" s="152" cm="1">
        <f t="array" ref="M8">_xlfn._xlws.FILTER(tblBaseCFResult[QuarterlyTotalPrem]/1000,
(tblBaseCFResult[Risk]=$K$4)
*(tblBaseCFResult[Year]=$K$5)
*(tblBaseCFResult[IntRateScenario]="Guaranteed"),"")</f>
        <v>1568</v>
      </c>
      <c r="N8" s="152" cm="1">
        <f t="array" ref="N8">_xlfn._xlws.FILTER(tblBaseCFResult[MonthlyTotalPrem]/1000,
(tblBaseCFResult[Risk]=$K$4)
*(tblBaseCFResult[Year]=$K$5)
*(tblBaseCFResult[IntRateScenario]="Guaranteed"),"")</f>
        <v>524</v>
      </c>
      <c r="O8" s="154"/>
      <c r="P8" s="154"/>
      <c r="Q8" s="154"/>
      <c r="R8" s="156"/>
      <c r="S8" s="154"/>
      <c r="T8" s="170" t="str">
        <f t="array" ref="T8:T16">_xlfn.UNIQUE(IF(tblRiderCFResult[Insured]&amp;"|"&amp;tblRiderCFResult[Product]="|","",tblRiderCFResult[Insured]&amp;"|"&amp;tblRiderCFResult[Product]))</f>
        <v>SubLI01|ADD01</v>
      </c>
      <c r="U8" s="170" t="str">
        <f>IFERROR(IF(LEFT(T8,6)="MainLi","MainLI",LEFT(T8,7)),"")</f>
        <v>SubLI01</v>
      </c>
      <c r="V8" s="170" t="str">
        <f>IFERROR(RIGHT($T8,LEN($T8)-8),"")</f>
        <v>ADD01</v>
      </c>
      <c r="W8" s="154"/>
      <c r="X8" s="153" t="str">
        <f t="shared" ref="X8:X54" si="0">U8</f>
        <v>SubLI01</v>
      </c>
      <c r="Y8" s="153" t="str">
        <f>IFERROR(INDEX(Input!$N$26:$N$36,MATCH($U8,Input!$M$26:$M$36,0)),"")</f>
        <v>Test Case 01 SubLA01</v>
      </c>
      <c r="Z8" s="153"/>
      <c r="AA8" s="153"/>
      <c r="AB8" s="152" cm="1">
        <f t="array" ref="AB8">IF(LEFT($V8,3)="WOP","",
_xlfn._xlws.FILTER(tblRiderCFResult[SI]/1000,
(tblRiderCFResult[Product]=$V8)
*(tblRiderCFResult[Insured]=$U8)
*(tblRiderCFResult[Risk]=$Y$4)
*(tblRiderCFResult[Year]=1),""))</f>
        <v>120000</v>
      </c>
      <c r="AC8" s="152" cm="1">
        <f t="array" ref="AC8">_xlfn._xlws.FILTER(tblRiderCFResult[TotalPrem]/1000,
(tblRiderCFResult[Product]=$V8)
*(tblRiderCFResult[Insured]=$U8)
*(tblRiderCFResult[Risk]=$Y$4)
*(tblRiderCFResult[Year]=1),"")</f>
        <v>534</v>
      </c>
    </row>
    <row r="9" spans="1:30" x14ac:dyDescent="0.25">
      <c r="J9" s="172" t="s">
        <v>314</v>
      </c>
      <c r="K9" s="152">
        <f>SUMIFS(tblRiderCFResult[TotalPrem],
tblRiderCFResult[Risk],$K$4,
tblRiderCFResult[Year],$K$5)/1000</f>
        <v>5563</v>
      </c>
      <c r="L9" s="152">
        <f>SUMIFS(tblRiderCFResult[SemiAnnualTotalPrem],
tblRiderCFResult[Risk],$K$4,
tblRiderCFResult[Year],$K$5)/1000</f>
        <v>2898</v>
      </c>
      <c r="M9" s="152">
        <f>SUMIFS(tblRiderCFResult[QuarterlyTotalPrem],
tblRiderCFResult[Risk],$K$4,
tblRiderCFResult[Year],$K$5)/1000</f>
        <v>1471</v>
      </c>
      <c r="N9" s="152">
        <f>SUMIFS(tblRiderCFResult[MonthlyTotalPrem],
tblRiderCFResult[Risk],$K$4,
tblRiderCFResult[Year],$K$5)/1000</f>
        <v>494</v>
      </c>
      <c r="O9" s="154"/>
      <c r="P9" s="154"/>
      <c r="Q9" s="154"/>
      <c r="R9" s="156"/>
      <c r="S9" s="154"/>
      <c r="T9" s="170" t="str">
        <v>SubLI01|CIR02</v>
      </c>
      <c r="U9" s="170" t="str">
        <f t="shared" ref="U9:U54" si="1">IFERROR(IF(LEFT(T9,6)="MainLi","MainLI",LEFT(T9,7)),"")</f>
        <v>SubLI01</v>
      </c>
      <c r="V9" s="170" t="str">
        <f t="shared" ref="V9:V54" si="2">IFERROR(RIGHT($T9,LEN($T9)-8),"")</f>
        <v>CIR02</v>
      </c>
      <c r="W9" s="154"/>
      <c r="X9" s="153" t="str">
        <f t="shared" si="0"/>
        <v>SubLI01</v>
      </c>
      <c r="Y9" s="153" t="str">
        <f>IFERROR(INDEX(Input!$N$26:$N$36,MATCH($U9,Input!$M$26:$M$36,0)),"")</f>
        <v>Test Case 01 SubLA01</v>
      </c>
      <c r="Z9" s="153"/>
      <c r="AA9" s="153"/>
      <c r="AB9" s="152" cm="1">
        <f t="array" ref="AB9">IF(LEFT($V9,3)="WOP","",
_xlfn._xlws.FILTER(tblRiderCFResult[SI]/1000,
(tblRiderCFResult[Product]=$V9)
*(tblRiderCFResult[Insured]=$U9)
*(tblRiderCFResult[Risk]=$Y$4)
*(tblRiderCFResult[Year]=1),""))</f>
        <v>250000</v>
      </c>
      <c r="AC9" s="152" cm="1">
        <f t="array" ref="AC9">_xlfn._xlws.FILTER(tblRiderCFResult[TotalPrem]/1000,
(tblRiderCFResult[Product]=$V9)
*(tblRiderCFResult[Insured]=$U9)
*(tblRiderCFResult[Risk]=$Y$4)
*(tblRiderCFResult[Year]=1),"")</f>
        <v>1900</v>
      </c>
    </row>
    <row r="10" spans="1:30" x14ac:dyDescent="0.25">
      <c r="A10" s="161" t="s">
        <v>17</v>
      </c>
      <c r="B10" s="161" t="s">
        <v>20</v>
      </c>
      <c r="C10" s="160"/>
      <c r="D10" s="162" t="s">
        <v>299</v>
      </c>
      <c r="E10" s="162" t="s">
        <v>308</v>
      </c>
      <c r="F10" s="162" t="s">
        <v>301</v>
      </c>
      <c r="G10" s="162" t="s">
        <v>300</v>
      </c>
      <c r="H10" s="173"/>
      <c r="I10" s="154"/>
      <c r="J10" s="172" t="s">
        <v>313</v>
      </c>
      <c r="K10" s="152">
        <f>K$8+K$9</f>
        <v>11835</v>
      </c>
      <c r="L10" s="152">
        <f>L$8+L$9</f>
        <v>6034</v>
      </c>
      <c r="M10" s="152">
        <f t="shared" ref="M10:N10" si="3">M$8+M$9</f>
        <v>3039</v>
      </c>
      <c r="N10" s="152">
        <f t="shared" si="3"/>
        <v>1018</v>
      </c>
      <c r="P10" s="154"/>
      <c r="Q10" s="154"/>
      <c r="R10" s="156"/>
      <c r="S10" s="154"/>
      <c r="T10" s="170" t="str">
        <v>SubLI01|SUP01</v>
      </c>
      <c r="U10" s="170" t="str">
        <f t="shared" si="1"/>
        <v>SubLI01</v>
      </c>
      <c r="V10" s="170" t="str">
        <f t="shared" si="2"/>
        <v>SUP01</v>
      </c>
      <c r="W10" s="154"/>
      <c r="X10" s="153" t="str">
        <f t="shared" si="0"/>
        <v>SubLI01</v>
      </c>
      <c r="Y10" s="153" t="str">
        <f>IFERROR(INDEX(Input!$N$26:$N$36,MATCH($U10,Input!$M$26:$M$36,0)),"")</f>
        <v>Test Case 01 SubLA01</v>
      </c>
      <c r="Z10" s="153"/>
      <c r="AA10" s="153"/>
      <c r="AB10" s="152" cm="1">
        <f t="array" ref="AB10">IF(LEFT($V10,3)="WOP","",
_xlfn._xlws.FILTER(tblRiderCFResult[SI]/1000,
(tblRiderCFResult[Product]=$V10)
*(tblRiderCFResult[Insured]=$U10)
*(tblRiderCFResult[Risk]=$Y$4)
*(tblRiderCFResult[Year]=1),""))</f>
        <v>0</v>
      </c>
      <c r="AC10" s="152" cm="1">
        <f t="array" ref="AC10">_xlfn._xlws.FILTER(tblRiderCFResult[TotalPrem]/1000,
(tblRiderCFResult[Product]=$V10)
*(tblRiderCFResult[Insured]=$U10)
*(tblRiderCFResult[Risk]=$Y$4)
*(tblRiderCFResult[Year]=1),"")</f>
        <v>620</v>
      </c>
    </row>
    <row r="11" spans="1:30" x14ac:dyDescent="0.25">
      <c r="A11" s="155">
        <v>4</v>
      </c>
      <c r="B11" s="155">
        <f>mainLI_entry_age+A11-1</f>
        <v>3</v>
      </c>
      <c r="C11" s="154"/>
      <c r="D11" s="153" t="str">
        <f>$A11&amp;"/"&amp;$B11</f>
        <v>4/3</v>
      </c>
      <c r="E11" s="157" cm="1">
        <f t="array" ref="E11">_xlfn._xlws.FILTER(tblBaseCFResult[AccumTotalPrem]/1000,
(tblBaseCFResult[Year]=$A11)
*(tblBaseCFResult[IntRateScenario]=$E$6)
*(tblBaseCFResult[Risk]=$E$7)
*(tblBaseCFResult[PremTermScenario]=$E$8),"")</f>
        <v>25088</v>
      </c>
      <c r="F11" s="157" cm="1">
        <f t="array" ref="F11">_xlfn._xlws.FILTER(ROUND(tblBaseCFResult[Ben],-3)/1000,
(tblBaseCFResult[Year]=$A11)
*(tblBaseCFResult[IntRateScenario]=$E$6)
*(tblBaseCFResult[Risk]=$E$7)
*(tblBaseCFResult[PremTermScenario]=$E$8),"")</f>
        <v>101000</v>
      </c>
      <c r="G11" s="157" cm="1">
        <f t="array" ref="G11">_xlfn._xlws.FILTER(ROUND(tblBaseCFResult[EndPAV],-3)/1000,
(tblBaseCFResult[Year]=$A11)
*(tblBaseCFResult[IntRateScenario]=$E$6)
*(tblBaseCFResult[Risk]=$E$7)
*(tblBaseCFResult[PremTermScenario]=$E$8),"")</f>
        <v>21588</v>
      </c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6"/>
      <c r="S11" s="154"/>
      <c r="T11" s="170" t="str">
        <v>MainLI|PPD01</v>
      </c>
      <c r="U11" s="170" t="str">
        <f t="shared" si="1"/>
        <v>MainLI</v>
      </c>
      <c r="V11" s="170" t="str">
        <f t="shared" si="2"/>
        <v>PD01</v>
      </c>
      <c r="W11" s="154"/>
      <c r="X11" s="153" t="str">
        <f t="shared" si="0"/>
        <v>MainLI</v>
      </c>
      <c r="Y11" s="153" t="str">
        <f>IFERROR(INDEX(Input!$N$26:$N$36,MATCH($U11,Input!$M$26:$M$36,0)),"")</f>
        <v>Test Case 01 MainLA</v>
      </c>
      <c r="Z11" s="153"/>
      <c r="AA11" s="153"/>
      <c r="AB11" s="152" t="str" cm="1">
        <f t="array" ref="AB11">IF(LEFT($V11,3)="WOP","",
_xlfn._xlws.FILTER(tblRiderCFResult[SI]/1000,
(tblRiderCFResult[Product]=$V11)
*(tblRiderCFResult[Insured]=$U11)
*(tblRiderCFResult[Risk]=$Y$4)
*(tblRiderCFResult[Year]=1),""))</f>
        <v/>
      </c>
      <c r="AC11" s="152" t="str" cm="1">
        <f t="array" ref="AC11">_xlfn._xlws.FILTER(tblRiderCFResult[TotalPrem]/1000,
(tblRiderCFResult[Product]=$V11)
*(tblRiderCFResult[Insured]=$U11)
*(tblRiderCFResult[Risk]=$Y$4)
*(tblRiderCFResult[Year]=1),"")</f>
        <v/>
      </c>
    </row>
    <row r="12" spans="1:30" x14ac:dyDescent="0.25">
      <c r="A12" s="155">
        <f>A11+4</f>
        <v>8</v>
      </c>
      <c r="B12" s="155">
        <f>mainLI_entry_age+A12-1</f>
        <v>7</v>
      </c>
      <c r="C12" s="154"/>
      <c r="D12" s="153" t="str">
        <f>$A12&amp;"/"&amp;$B12</f>
        <v>8/7</v>
      </c>
      <c r="E12" s="157" cm="1">
        <f t="array" ref="E12">_xlfn._xlws.FILTER(tblBaseCFResult[AccumTotalPrem]/1000,
(tblBaseCFResult[Year]=$A12)
*(tblBaseCFResult[IntRateScenario]=$E$6)
*(tblBaseCFResult[Risk]=$E$7)
*(tblBaseCFResult[PremTermScenario]=$E$8),"")</f>
        <v>50176</v>
      </c>
      <c r="F12" s="157" cm="1">
        <f t="array" ref="F12">_xlfn._xlws.FILTER(ROUND(tblBaseCFResult[Ben],-3)/1000,
(tblBaseCFResult[Year]=$A12)
*(tblBaseCFResult[IntRateScenario]=$E$6)
*(tblBaseCFResult[Risk]=$E$7)
*(tblBaseCFResult[PremTermScenario]=$E$8),"")</f>
        <v>101000</v>
      </c>
      <c r="G12" s="157" cm="1">
        <f t="array" ref="G12">_xlfn._xlws.FILTER(ROUND(tblBaseCFResult[EndPAV],-3)/1000,
(tblBaseCFResult[Year]=$A12)
*(tblBaseCFResult[IntRateScenario]=$E$6)
*(tblBaseCFResult[Risk]=$E$7)
*(tblBaseCFResult[PremTermScenario]=$E$8),"")</f>
        <v>43316</v>
      </c>
      <c r="H12" s="154"/>
      <c r="I12" s="154"/>
      <c r="N12" s="154"/>
      <c r="O12" s="154"/>
      <c r="P12" s="154"/>
      <c r="Q12" s="154"/>
      <c r="R12" s="156"/>
      <c r="S12" s="154"/>
      <c r="T12" s="170" t="str">
        <v>SubLI01|HOP02</v>
      </c>
      <c r="U12" s="170" t="str">
        <f t="shared" si="1"/>
        <v>SubLI01</v>
      </c>
      <c r="V12" s="170" t="str">
        <f t="shared" si="2"/>
        <v>HOP02</v>
      </c>
      <c r="W12" s="154"/>
      <c r="X12" s="153" t="str">
        <f t="shared" si="0"/>
        <v>SubLI01</v>
      </c>
      <c r="Y12" s="153" t="str">
        <f>IFERROR(INDEX(Input!$N$26:$N$36,MATCH($U12,Input!$M$26:$M$36,0)),"")</f>
        <v>Test Case 01 SubLA01</v>
      </c>
      <c r="Z12" s="153"/>
      <c r="AA12" s="153"/>
      <c r="AB12" s="152" cm="1">
        <f t="array" ref="AB12">IF(LEFT($V12,3)="WOP","",
_xlfn._xlws.FILTER(tblRiderCFResult[SI]/1000,
(tblRiderCFResult[Product]=$V12)
*(tblRiderCFResult[Insured]=$U12)
*(tblRiderCFResult[Risk]=$Y$4)
*(tblRiderCFResult[Year]=1),""))</f>
        <v>0</v>
      </c>
      <c r="AC12" s="152" cm="1">
        <f t="array" ref="AC12">_xlfn._xlws.FILTER(tblRiderCFResult[TotalPrem]/1000,
(tblRiderCFResult[Product]=$V12)
*(tblRiderCFResult[Insured]=$U12)
*(tblRiderCFResult[Risk]=$Y$4)
*(tblRiderCFResult[Year]=1),"")</f>
        <v>630</v>
      </c>
    </row>
    <row r="13" spans="1:30" x14ac:dyDescent="0.25">
      <c r="A13" s="155">
        <f>A12+4</f>
        <v>12</v>
      </c>
      <c r="B13" s="155">
        <f>mainLI_entry_age+A13-1</f>
        <v>11</v>
      </c>
      <c r="C13" s="154"/>
      <c r="D13" s="153" t="str">
        <f>$A13&amp;"/"&amp;$B13</f>
        <v>12/11</v>
      </c>
      <c r="E13" s="157" cm="1">
        <f t="array" ref="E13">_xlfn._xlws.FILTER(tblBaseCFResult[AccumTotalPrem]/1000,
(tblBaseCFResult[Year]=$A13)
*(tblBaseCFResult[IntRateScenario]=$E$6)
*(tblBaseCFResult[Risk]=$E$7)
*(tblBaseCFResult[PremTermScenario]=$E$8),"")</f>
        <v>75264</v>
      </c>
      <c r="F13" s="157" cm="1">
        <f t="array" ref="F13">_xlfn._xlws.FILTER(ROUND(tblBaseCFResult[Ben],-3)/1000,
(tblBaseCFResult[Year]=$A13)
*(tblBaseCFResult[IntRateScenario]=$E$6)
*(tblBaseCFResult[Risk]=$E$7)
*(tblBaseCFResult[PremTermScenario]=$E$8),"")</f>
        <v>101000</v>
      </c>
      <c r="G13" s="157" cm="1">
        <f t="array" ref="G13">_xlfn._xlws.FILTER(ROUND(tblBaseCFResult[EndPAV],-3)/1000,
(tblBaseCFResult[Year]=$A13)
*(tblBaseCFResult[IntRateScenario]=$E$6)
*(tblBaseCFResult[Risk]=$E$7)
*(tblBaseCFResult[PremTermScenario]=$E$8),"")</f>
        <v>65273</v>
      </c>
      <c r="H13" s="154"/>
      <c r="I13" s="154"/>
      <c r="N13" s="154"/>
      <c r="O13" s="154"/>
      <c r="P13" s="154"/>
      <c r="Q13" s="154"/>
      <c r="R13" s="156"/>
      <c r="S13" s="154"/>
      <c r="T13" s="170" t="str">
        <v>SubLI01|CIR01</v>
      </c>
      <c r="U13" s="170" t="str">
        <f t="shared" si="1"/>
        <v>SubLI01</v>
      </c>
      <c r="V13" s="170" t="str">
        <f t="shared" si="2"/>
        <v>CIR01</v>
      </c>
      <c r="W13" s="154"/>
      <c r="X13" s="153" t="str">
        <f t="shared" si="0"/>
        <v>SubLI01</v>
      </c>
      <c r="Y13" s="153" t="str">
        <f>IFERROR(INDEX(Input!$N$26:$N$36,MATCH($U13,Input!$M$26:$M$36,0)),"")</f>
        <v>Test Case 01 SubLA01</v>
      </c>
      <c r="Z13" s="153"/>
      <c r="AA13" s="153"/>
      <c r="AB13" s="152" cm="1">
        <f t="array" ref="AB13">IF(LEFT($V13,3)="WOP","",
_xlfn._xlws.FILTER(tblRiderCFResult[SI]/1000,
(tblRiderCFResult[Product]=$V13)
*(tblRiderCFResult[Insured]=$U13)
*(tblRiderCFResult[Risk]=$Y$4)
*(tblRiderCFResult[Year]=1),""))</f>
        <v>175000</v>
      </c>
      <c r="AC13" s="152" cm="1">
        <f t="array" ref="AC13">_xlfn._xlws.FILTER(tblRiderCFResult[TotalPrem]/1000,
(tblRiderCFResult[Product]=$V13)
*(tblRiderCFResult[Insured]=$U13)
*(tblRiderCFResult[Risk]=$Y$4)
*(tblRiderCFResult[Year]=1),"")</f>
        <v>1045</v>
      </c>
    </row>
    <row r="14" spans="1:30" x14ac:dyDescent="0.25">
      <c r="A14" s="155">
        <f>A13+4</f>
        <v>16</v>
      </c>
      <c r="B14" s="155">
        <f>mainLI_entry_age+A14-1</f>
        <v>15</v>
      </c>
      <c r="C14" s="154"/>
      <c r="D14" s="153" t="str">
        <f>$A14&amp;"/"&amp;$B14</f>
        <v>16/15</v>
      </c>
      <c r="E14" s="157" cm="1">
        <f t="array" ref="E14">_xlfn._xlws.FILTER(tblBaseCFResult[AccumTotalPrem]/1000,
(tblBaseCFResult[Year]=$A14)
*(tblBaseCFResult[IntRateScenario]=$E$6)
*(tblBaseCFResult[Risk]=$E$7)
*(tblBaseCFResult[PremTermScenario]=$E$8),"")</f>
        <v>100352</v>
      </c>
      <c r="F14" s="157" cm="1">
        <f t="array" ref="F14">_xlfn._xlws.FILTER(ROUND(tblBaseCFResult[Ben],-3)/1000,
(tblBaseCFResult[Year]=$A14)
*(tblBaseCFResult[IntRateScenario]=$E$6)
*(tblBaseCFResult[Risk]=$E$7)
*(tblBaseCFResult[PremTermScenario]=$E$8),"")</f>
        <v>101000</v>
      </c>
      <c r="G14" s="157" cm="1">
        <f t="array" ref="G14">_xlfn._xlws.FILTER(ROUND(tblBaseCFResult[EndPAV],-3)/1000,
(tblBaseCFResult[Year]=$A14)
*(tblBaseCFResult[IntRateScenario]=$E$6)
*(tblBaseCFResult[Risk]=$E$7)
*(tblBaseCFResult[PremTermScenario]=$E$8),"")</f>
        <v>78336</v>
      </c>
      <c r="H14" s="154"/>
      <c r="I14" s="154"/>
      <c r="N14" s="154"/>
      <c r="O14" s="154"/>
      <c r="P14" s="154"/>
      <c r="Q14" s="154"/>
      <c r="R14" s="156"/>
      <c r="S14" s="154"/>
      <c r="T14" s="170" t="str">
        <v>SubLI01|WOP02</v>
      </c>
      <c r="U14" s="170" t="str">
        <f t="shared" si="1"/>
        <v>SubLI01</v>
      </c>
      <c r="V14" s="170" t="str">
        <f t="shared" si="2"/>
        <v>WOP02</v>
      </c>
      <c r="W14" s="154"/>
      <c r="X14" s="153" t="str">
        <f t="shared" si="0"/>
        <v>SubLI01</v>
      </c>
      <c r="Y14" s="153" t="str">
        <f>IFERROR(INDEX(Input!$N$26:$N$36,MATCH($U14,Input!$M$26:$M$36,0)),"")</f>
        <v>Test Case 01 SubLA01</v>
      </c>
      <c r="Z14" s="153"/>
      <c r="AA14" s="153"/>
      <c r="AB14" s="152" t="str" cm="1">
        <f t="array" ref="AB14">IF(LEFT($V14,3)="WOP","",
_xlfn._xlws.FILTER(tblRiderCFResult[SI]/1000,
(tblRiderCFResult[Product]=$V14)
*(tblRiderCFResult[Insured]=$U14)
*(tblRiderCFResult[Risk]=$Y$4)
*(tblRiderCFResult[Year]=1),""))</f>
        <v/>
      </c>
      <c r="AC14" s="152" cm="1">
        <f t="array" ref="AC14">_xlfn._xlws.FILTER(tblRiderCFResult[TotalPrem]/1000,
(tblRiderCFResult[Product]=$V14)
*(tblRiderCFResult[Insured]=$U14)
*(tblRiderCFResult[Risk]=$Y$4)
*(tblRiderCFResult[Year]=1),"")</f>
        <v>91</v>
      </c>
    </row>
    <row r="15" spans="1:30" x14ac:dyDescent="0.25">
      <c r="A15" s="155">
        <f>A14+4</f>
        <v>20</v>
      </c>
      <c r="B15" s="155">
        <f>mainLI_entry_age+A15-1</f>
        <v>19</v>
      </c>
      <c r="C15" s="154"/>
      <c r="D15" s="153" t="str">
        <f>$A15&amp;"/"&amp;$B15</f>
        <v>20/19</v>
      </c>
      <c r="E15" s="157" cm="1">
        <f t="array" ref="E15">_xlfn._xlws.FILTER(tblBaseCFResult[AccumTotalPrem]/1000,
(tblBaseCFResult[Year]=$A15)
*(tblBaseCFResult[IntRateScenario]=$E$6)
*(tblBaseCFResult[Risk]=$E$7)
*(tblBaseCFResult[PremTermScenario]=$E$8),"")</f>
        <v>125440</v>
      </c>
      <c r="F15" s="157" cm="1">
        <f t="array" ref="F15">_xlfn._xlws.FILTER(ROUND(tblBaseCFResult[Ben],-3)/1000,
(tblBaseCFResult[Year]=$A15)
*(tblBaseCFResult[IntRateScenario]=$E$6)
*(tblBaseCFResult[Risk]=$E$7)
*(tblBaseCFResult[PremTermScenario]=$E$8),"")</f>
        <v>101000</v>
      </c>
      <c r="G15" s="157" cm="1">
        <f t="array" ref="G15">_xlfn._xlws.FILTER(ROUND(tblBaseCFResult[EndPAV],-3)/1000,
(tblBaseCFResult[Year]=$A15)
*(tblBaseCFResult[IntRateScenario]=$E$6)
*(tblBaseCFResult[Risk]=$E$7)
*(tblBaseCFResult[PremTermScenario]=$E$8),"")</f>
        <v>98323</v>
      </c>
      <c r="H15" s="154"/>
      <c r="N15" s="154"/>
      <c r="O15" s="154"/>
      <c r="P15" s="154"/>
      <c r="Q15" s="154"/>
      <c r="R15" s="156"/>
      <c r="S15" s="154"/>
      <c r="T15" s="170" t="str">
        <v>SubLI01|WOP01</v>
      </c>
      <c r="U15" s="170" t="str">
        <f t="shared" si="1"/>
        <v>SubLI01</v>
      </c>
      <c r="V15" s="170" t="str">
        <f t="shared" si="2"/>
        <v>WOP01</v>
      </c>
      <c r="W15" s="154"/>
      <c r="X15" s="153" t="str">
        <f t="shared" si="0"/>
        <v>SubLI01</v>
      </c>
      <c r="Y15" s="153" t="str">
        <f>IFERROR(INDEX(Input!$N$26:$N$36,MATCH($U15,Input!$M$26:$M$36,0)),"")</f>
        <v>Test Case 01 SubLA01</v>
      </c>
      <c r="Z15" s="153"/>
      <c r="AA15" s="153"/>
      <c r="AB15" s="152" t="str" cm="1">
        <f t="array" ref="AB15">IF(LEFT($V15,3)="WOP","",
_xlfn._xlws.FILTER(tblRiderCFResult[SI]/1000,
(tblRiderCFResult[Product]=$V15)
*(tblRiderCFResult[Insured]=$U15)
*(tblRiderCFResult[Risk]=$Y$4)
*(tblRiderCFResult[Year]=1),""))</f>
        <v/>
      </c>
      <c r="AC15" s="152" cm="1">
        <f t="array" ref="AC15">_xlfn._xlws.FILTER(tblRiderCFResult[TotalPrem]/1000,
(tblRiderCFResult[Product]=$V15)
*(tblRiderCFResult[Insured]=$U15)
*(tblRiderCFResult[Risk]=$Y$4)
*(tblRiderCFResult[Year]=1),"")</f>
        <v>206</v>
      </c>
    </row>
    <row r="16" spans="1:30" x14ac:dyDescent="0.25">
      <c r="N16" s="154"/>
      <c r="O16" s="154"/>
      <c r="P16" s="154"/>
      <c r="Q16" s="154"/>
      <c r="R16" s="156"/>
      <c r="S16" s="154"/>
      <c r="T16" s="171" t="str">
        <v/>
      </c>
      <c r="U16" s="170" t="str">
        <f t="shared" si="1"/>
        <v/>
      </c>
      <c r="V16" s="170" t="str">
        <f t="shared" si="2"/>
        <v/>
      </c>
      <c r="W16" s="154"/>
      <c r="X16" s="153" t="str">
        <f t="shared" si="0"/>
        <v/>
      </c>
      <c r="Y16" s="153" t="str">
        <f>IFERROR(INDEX(Input!$N$26:$N$36,MATCH($U16,Input!$M$26:$M$36,0)),"")</f>
        <v/>
      </c>
      <c r="Z16" s="153"/>
      <c r="AA16" s="153"/>
      <c r="AB16" s="152" t="str" cm="1">
        <f t="array" ref="AB16">IF(LEFT($V16,3)="WOP","",
_xlfn._xlws.FILTER(tblRiderCFResult[SI]/1000,
(tblRiderCFResult[Product]=$V16)
*(tblRiderCFResult[Insured]=$U16)
*(tblRiderCFResult[Risk]=$Y$4)
*(tblRiderCFResult[Year]=1),""))</f>
        <v/>
      </c>
      <c r="AC16" s="152" t="str" cm="1">
        <f t="array" ref="AC16">_xlfn._xlws.FILTER(tblRiderCFResult[TotalPrem]/1000,
(tblRiderCFResult[Product]=$V16)
*(tblRiderCFResult[Insured]=$U16)
*(tblRiderCFResult[Risk]=$Y$4)
*(tblRiderCFResult[Year]=1),"")</f>
        <v/>
      </c>
    </row>
    <row r="17" spans="10:29" x14ac:dyDescent="0.25">
      <c r="N17" s="154"/>
      <c r="O17" s="154"/>
      <c r="P17" s="154"/>
      <c r="Q17" s="154"/>
      <c r="R17" s="156"/>
      <c r="S17" s="154"/>
      <c r="T17" s="170"/>
      <c r="U17" s="170" t="str">
        <f t="shared" si="1"/>
        <v/>
      </c>
      <c r="V17" s="170" t="str">
        <f t="shared" si="2"/>
        <v/>
      </c>
      <c r="W17" s="154"/>
      <c r="X17" s="153" t="str">
        <f t="shared" si="0"/>
        <v/>
      </c>
      <c r="Y17" s="153" t="str">
        <f>IFERROR(INDEX(Input!$N$26:$N$36,MATCH($U17,Input!$M$26:$M$36,0)),"")</f>
        <v/>
      </c>
      <c r="Z17" s="153"/>
      <c r="AA17" s="153"/>
      <c r="AB17" s="152" t="str" cm="1">
        <f t="array" ref="AB17">IF(LEFT($V17,3)="WOP","",
_xlfn._xlws.FILTER(tblRiderCFResult[SI]/1000,
(tblRiderCFResult[Product]=$V17)
*(tblRiderCFResult[Insured]=$U17)
*(tblRiderCFResult[Risk]=$Y$4)
*(tblRiderCFResult[Year]=1),""))</f>
        <v/>
      </c>
      <c r="AC17" s="152" t="str" cm="1">
        <f t="array" ref="AC17">_xlfn._xlws.FILTER(tblRiderCFResult[TotalPrem]/1000,
(tblRiderCFResult[Product]=$V17)
*(tblRiderCFResult[Insured]=$U17)
*(tblRiderCFResult[Risk]=$Y$4)
*(tblRiderCFResult[Year]=1),"")</f>
        <v/>
      </c>
    </row>
    <row r="18" spans="10:29" x14ac:dyDescent="0.25">
      <c r="N18" s="154"/>
      <c r="O18" s="154"/>
      <c r="P18" s="154"/>
      <c r="Q18" s="154"/>
      <c r="R18" s="156"/>
      <c r="S18" s="154"/>
      <c r="T18" s="170"/>
      <c r="U18" s="170" t="str">
        <f t="shared" si="1"/>
        <v/>
      </c>
      <c r="V18" s="170" t="str">
        <f t="shared" si="2"/>
        <v/>
      </c>
      <c r="W18" s="154"/>
      <c r="X18" s="153" t="str">
        <f t="shared" si="0"/>
        <v/>
      </c>
      <c r="Y18" s="153" t="str">
        <f>IFERROR(INDEX(Input!$N$26:$N$36,MATCH($U18,Input!$M$26:$M$36,0)),"")</f>
        <v/>
      </c>
      <c r="Z18" s="153"/>
      <c r="AA18" s="153"/>
      <c r="AB18" s="152" t="str" cm="1">
        <f t="array" ref="AB18">IF(LEFT($V18,3)="WOP","",
_xlfn._xlws.FILTER(tblRiderCFResult[SI]/1000,
(tblRiderCFResult[Product]=$V18)
*(tblRiderCFResult[Insured]=$U18)
*(tblRiderCFResult[Risk]=$Y$4)
*(tblRiderCFResult[Year]=1),""))</f>
        <v/>
      </c>
      <c r="AC18" s="152" t="str" cm="1">
        <f t="array" ref="AC18">_xlfn._xlws.FILTER(tblRiderCFResult[TotalPrem]/1000,
(tblRiderCFResult[Product]=$V18)
*(tblRiderCFResult[Insured]=$U18)
*(tblRiderCFResult[Risk]=$Y$4)
*(tblRiderCFResult[Year]=1),"")</f>
        <v/>
      </c>
    </row>
    <row r="19" spans="10:29" x14ac:dyDescent="0.25">
      <c r="N19" s="154"/>
      <c r="O19" s="154"/>
      <c r="P19" s="154"/>
      <c r="Q19" s="154"/>
      <c r="R19" s="156"/>
      <c r="S19" s="154"/>
      <c r="T19" s="170"/>
      <c r="U19" s="170" t="str">
        <f t="shared" si="1"/>
        <v/>
      </c>
      <c r="V19" s="170" t="str">
        <f t="shared" si="2"/>
        <v/>
      </c>
      <c r="W19" s="154"/>
      <c r="X19" s="153" t="str">
        <f t="shared" si="0"/>
        <v/>
      </c>
      <c r="Y19" s="153" t="str">
        <f>IFERROR(INDEX(Input!$N$26:$N$36,MATCH($U19,Input!$M$26:$M$36,0)),"")</f>
        <v/>
      </c>
      <c r="Z19" s="153"/>
      <c r="AA19" s="153"/>
      <c r="AB19" s="152" t="str" cm="1">
        <f t="array" ref="AB19">IF(LEFT($V19,3)="WOP","",
_xlfn._xlws.FILTER(tblRiderCFResult[SI]/1000,
(tblRiderCFResult[Product]=$V19)
*(tblRiderCFResult[Insured]=$U19)
*(tblRiderCFResult[Risk]=$Y$4)
*(tblRiderCFResult[Year]=1),""))</f>
        <v/>
      </c>
      <c r="AC19" s="152" t="str" cm="1">
        <f t="array" ref="AC19">_xlfn._xlws.FILTER(tblRiderCFResult[TotalPrem]/1000,
(tblRiderCFResult[Product]=$V19)
*(tblRiderCFResult[Insured]=$U19)
*(tblRiderCFResult[Risk]=$Y$4)
*(tblRiderCFResult[Year]=1),"")</f>
        <v/>
      </c>
    </row>
    <row r="20" spans="10:29" x14ac:dyDescent="0.25">
      <c r="J20" s="154"/>
      <c r="K20" s="154"/>
      <c r="L20" s="154"/>
      <c r="M20" s="154"/>
      <c r="N20" s="154"/>
      <c r="O20" s="154"/>
      <c r="P20" s="154"/>
      <c r="Q20" s="154"/>
      <c r="R20" s="156"/>
      <c r="S20" s="154"/>
      <c r="T20" s="170"/>
      <c r="U20" s="170" t="str">
        <f t="shared" si="1"/>
        <v/>
      </c>
      <c r="V20" s="170" t="str">
        <f t="shared" si="2"/>
        <v/>
      </c>
      <c r="W20" s="154"/>
      <c r="X20" s="153" t="str">
        <f t="shared" si="0"/>
        <v/>
      </c>
      <c r="Y20" s="153" t="str">
        <f>IFERROR(INDEX(Input!$N$26:$N$36,MATCH($U20,Input!$M$26:$M$36,0)),"")</f>
        <v/>
      </c>
      <c r="Z20" s="153"/>
      <c r="AA20" s="153"/>
      <c r="AB20" s="152" t="str" cm="1">
        <f t="array" ref="AB20">IF(LEFT($V20,3)="WOP","",
_xlfn._xlws.FILTER(tblRiderCFResult[SI]/1000,
(tblRiderCFResult[Product]=$V20)
*(tblRiderCFResult[Insured]=$U20)
*(tblRiderCFResult[Risk]=$Y$4)
*(tblRiderCFResult[Year]=1),""))</f>
        <v/>
      </c>
      <c r="AC20" s="152" t="str" cm="1">
        <f t="array" ref="AC20">_xlfn._xlws.FILTER(tblRiderCFResult[TotalPrem]/1000,
(tblRiderCFResult[Product]=$V20)
*(tblRiderCFResult[Insured]=$U20)
*(tblRiderCFResult[Risk]=$Y$4)
*(tblRiderCFResult[Year]=1),"")</f>
        <v/>
      </c>
    </row>
    <row r="21" spans="10:29" x14ac:dyDescent="0.25">
      <c r="J21" s="154"/>
      <c r="K21" s="154"/>
      <c r="L21" s="154"/>
      <c r="M21" s="154"/>
      <c r="N21" s="154"/>
      <c r="O21" s="154"/>
      <c r="P21" s="154"/>
      <c r="Q21" s="154"/>
      <c r="R21" s="156"/>
      <c r="S21" s="154"/>
      <c r="T21" s="170"/>
      <c r="U21" s="170" t="str">
        <f t="shared" si="1"/>
        <v/>
      </c>
      <c r="V21" s="170" t="str">
        <f t="shared" si="2"/>
        <v/>
      </c>
      <c r="W21" s="154"/>
      <c r="X21" s="153" t="str">
        <f t="shared" si="0"/>
        <v/>
      </c>
      <c r="Y21" s="153" t="str">
        <f>IFERROR(INDEX(Input!$N$26:$N$36,MATCH($U21,Input!$M$26:$M$36,0)),"")</f>
        <v/>
      </c>
      <c r="Z21" s="153"/>
      <c r="AA21" s="153"/>
      <c r="AB21" s="152" t="str" cm="1">
        <f t="array" ref="AB21">IF(LEFT($V21,3)="WOP","",
_xlfn._xlws.FILTER(tblRiderCFResult[SI]/1000,
(tblRiderCFResult[Product]=$V21)
*(tblRiderCFResult[Insured]=$U21)
*(tblRiderCFResult[Risk]=$Y$4)
*(tblRiderCFResult[Year]=1),""))</f>
        <v/>
      </c>
      <c r="AC21" s="152" t="str" cm="1">
        <f t="array" ref="AC21">_xlfn._xlws.FILTER(tblRiderCFResult[TotalPrem]/1000,
(tblRiderCFResult[Product]=$V21)
*(tblRiderCFResult[Insured]=$U21)
*(tblRiderCFResult[Risk]=$Y$4)
*(tblRiderCFResult[Year]=1),"")</f>
        <v/>
      </c>
    </row>
    <row r="22" spans="10:29" x14ac:dyDescent="0.25">
      <c r="J22" s="154"/>
      <c r="K22" s="154"/>
      <c r="L22" s="154"/>
      <c r="M22" s="154"/>
      <c r="N22" s="154"/>
      <c r="O22" s="154"/>
      <c r="P22" s="154"/>
      <c r="Q22" s="154"/>
      <c r="R22" s="156"/>
      <c r="S22" s="154"/>
      <c r="T22" s="170"/>
      <c r="U22" s="170" t="str">
        <f t="shared" si="1"/>
        <v/>
      </c>
      <c r="V22" s="170" t="str">
        <f t="shared" si="2"/>
        <v/>
      </c>
      <c r="W22" s="154"/>
      <c r="X22" s="153" t="str">
        <f t="shared" si="0"/>
        <v/>
      </c>
      <c r="Y22" s="153" t="str">
        <f>IFERROR(INDEX(Input!$N$26:$N$36,MATCH($U22,Input!$M$26:$M$36,0)),"")</f>
        <v/>
      </c>
      <c r="Z22" s="153"/>
      <c r="AA22" s="153"/>
      <c r="AB22" s="152" t="str" cm="1">
        <f t="array" ref="AB22">IF(LEFT($V22,3)="WOP","",
_xlfn._xlws.FILTER(tblRiderCFResult[SI]/1000,
(tblRiderCFResult[Product]=$V22)
*(tblRiderCFResult[Insured]=$U22)
*(tblRiderCFResult[Risk]=$Y$4)
*(tblRiderCFResult[Year]=1),""))</f>
        <v/>
      </c>
      <c r="AC22" s="152" t="str" cm="1">
        <f t="array" ref="AC22">_xlfn._xlws.FILTER(tblRiderCFResult[TotalPrem]/1000,
(tblRiderCFResult[Product]=$V22)
*(tblRiderCFResult[Insured]=$U22)
*(tblRiderCFResult[Risk]=$Y$4)
*(tblRiderCFResult[Year]=1),"")</f>
        <v/>
      </c>
    </row>
    <row r="23" spans="10:29" x14ac:dyDescent="0.25">
      <c r="J23" s="154"/>
      <c r="K23" s="154"/>
      <c r="L23" s="154"/>
      <c r="M23" s="154"/>
      <c r="N23" s="154"/>
      <c r="O23" s="154"/>
      <c r="P23" s="154"/>
      <c r="Q23" s="154"/>
      <c r="R23" s="156"/>
      <c r="S23" s="154"/>
      <c r="T23" s="170"/>
      <c r="U23" s="170" t="str">
        <f t="shared" si="1"/>
        <v/>
      </c>
      <c r="V23" s="170" t="str">
        <f t="shared" si="2"/>
        <v/>
      </c>
      <c r="W23" s="154"/>
      <c r="X23" s="153" t="str">
        <f t="shared" si="0"/>
        <v/>
      </c>
      <c r="Y23" s="153" t="str">
        <f>IFERROR(INDEX(Input!$N$26:$N$36,MATCH($U23,Input!$M$26:$M$36,0)),"")</f>
        <v/>
      </c>
      <c r="Z23" s="153"/>
      <c r="AA23" s="153"/>
      <c r="AB23" s="152" t="str" cm="1">
        <f t="array" ref="AB23">IF(LEFT($V23,3)="WOP","",
_xlfn._xlws.FILTER(tblRiderCFResult[SI]/1000,
(tblRiderCFResult[Product]=$V23)
*(tblRiderCFResult[Insured]=$U23)
*(tblRiderCFResult[Risk]=$Y$4)
*(tblRiderCFResult[Year]=1),""))</f>
        <v/>
      </c>
      <c r="AC23" s="152" t="str" cm="1">
        <f t="array" ref="AC23">_xlfn._xlws.FILTER(tblRiderCFResult[TotalPrem]/1000,
(tblRiderCFResult[Product]=$V23)
*(tblRiderCFResult[Insured]=$U23)
*(tblRiderCFResult[Risk]=$Y$4)
*(tblRiderCFResult[Year]=1),"")</f>
        <v/>
      </c>
    </row>
    <row r="24" spans="10:29" x14ac:dyDescent="0.25">
      <c r="J24" s="154"/>
      <c r="K24" s="154"/>
      <c r="L24" s="154"/>
      <c r="M24" s="154"/>
      <c r="N24" s="154"/>
      <c r="O24" s="154"/>
      <c r="P24" s="154"/>
      <c r="Q24" s="154"/>
      <c r="R24" s="156"/>
      <c r="S24" s="154"/>
      <c r="T24" s="170"/>
      <c r="U24" s="170" t="str">
        <f t="shared" si="1"/>
        <v/>
      </c>
      <c r="V24" s="170" t="str">
        <f t="shared" si="2"/>
        <v/>
      </c>
      <c r="W24" s="154"/>
      <c r="X24" s="153" t="str">
        <f t="shared" si="0"/>
        <v/>
      </c>
      <c r="Y24" s="153" t="str">
        <f>IFERROR(INDEX(Input!$N$26:$N$36,MATCH($U24,Input!$M$26:$M$36,0)),"")</f>
        <v/>
      </c>
      <c r="Z24" s="153"/>
      <c r="AA24" s="153"/>
      <c r="AB24" s="152" t="str" cm="1">
        <f t="array" ref="AB24">IF(LEFT($V24,3)="WOP","",
_xlfn._xlws.FILTER(tblRiderCFResult[SI]/1000,
(tblRiderCFResult[Product]=$V24)
*(tblRiderCFResult[Insured]=$U24)
*(tblRiderCFResult[Risk]=$Y$4)
*(tblRiderCFResult[Year]=1),""))</f>
        <v/>
      </c>
      <c r="AC24" s="152" t="str" cm="1">
        <f t="array" ref="AC24">_xlfn._xlws.FILTER(tblRiderCFResult[TotalPrem]/1000,
(tblRiderCFResult[Product]=$V24)
*(tblRiderCFResult[Insured]=$U24)
*(tblRiderCFResult[Risk]=$Y$4)
*(tblRiderCFResult[Year]=1),"")</f>
        <v/>
      </c>
    </row>
    <row r="25" spans="10:29" x14ac:dyDescent="0.25">
      <c r="K25" s="154"/>
      <c r="L25" s="154"/>
      <c r="M25" s="154"/>
      <c r="N25" s="154"/>
      <c r="O25" s="154"/>
      <c r="P25" s="154"/>
      <c r="Q25" s="154"/>
      <c r="R25" s="156"/>
      <c r="S25" s="154"/>
      <c r="T25" s="170"/>
      <c r="U25" s="170" t="str">
        <f t="shared" si="1"/>
        <v/>
      </c>
      <c r="V25" s="170" t="str">
        <f t="shared" si="2"/>
        <v/>
      </c>
      <c r="W25" s="154"/>
      <c r="X25" s="153" t="str">
        <f t="shared" si="0"/>
        <v/>
      </c>
      <c r="Y25" s="153" t="str">
        <f>IFERROR(INDEX(Input!$N$26:$N$36,MATCH($U25,Input!$M$26:$M$36,0)),"")</f>
        <v/>
      </c>
      <c r="Z25" s="153"/>
      <c r="AA25" s="153"/>
      <c r="AB25" s="152" t="str" cm="1">
        <f t="array" ref="AB25">IF(LEFT($V25,3)="WOP","",
_xlfn._xlws.FILTER(tblRiderCFResult[SI]/1000,
(tblRiderCFResult[Product]=$V25)
*(tblRiderCFResult[Insured]=$U25)
*(tblRiderCFResult[Risk]=$Y$4)
*(tblRiderCFResult[Year]=1),""))</f>
        <v/>
      </c>
      <c r="AC25" s="152" t="str" cm="1">
        <f t="array" ref="AC25">_xlfn._xlws.FILTER(tblRiderCFResult[TotalPrem]/1000,
(tblRiderCFResult[Product]=$V25)
*(tblRiderCFResult[Insured]=$U25)
*(tblRiderCFResult[Risk]=$Y$4)
*(tblRiderCFResult[Year]=1),"")</f>
        <v/>
      </c>
    </row>
    <row r="26" spans="10:29" x14ac:dyDescent="0.25">
      <c r="K26" s="154"/>
      <c r="L26" s="154"/>
      <c r="M26" s="154"/>
      <c r="N26" s="154"/>
      <c r="O26" s="154"/>
      <c r="P26" s="154"/>
      <c r="Q26" s="154"/>
      <c r="R26" s="156"/>
      <c r="S26" s="154"/>
      <c r="T26" s="170"/>
      <c r="U26" s="170" t="str">
        <f t="shared" si="1"/>
        <v/>
      </c>
      <c r="V26" s="170" t="str">
        <f t="shared" si="2"/>
        <v/>
      </c>
      <c r="W26" s="154"/>
      <c r="X26" s="153" t="str">
        <f t="shared" si="0"/>
        <v/>
      </c>
      <c r="Y26" s="153" t="str">
        <f>IFERROR(INDEX(Input!$N$26:$N$36,MATCH($U26,Input!$M$26:$M$36,0)),"")</f>
        <v/>
      </c>
      <c r="Z26" s="153"/>
      <c r="AA26" s="153"/>
      <c r="AB26" s="152" t="str" cm="1">
        <f t="array" ref="AB26">IF(LEFT($V26,3)="WOP","",
_xlfn._xlws.FILTER(tblRiderCFResult[SI]/1000,
(tblRiderCFResult[Product]=$V26)
*(tblRiderCFResult[Insured]=$U26)
*(tblRiderCFResult[Risk]=$Y$4)
*(tblRiderCFResult[Year]=1),""))</f>
        <v/>
      </c>
      <c r="AC26" s="152" t="str" cm="1">
        <f t="array" ref="AC26">_xlfn._xlws.FILTER(tblRiderCFResult[TotalPrem]/1000,
(tblRiderCFResult[Product]=$V26)
*(tblRiderCFResult[Insured]=$U26)
*(tblRiderCFResult[Risk]=$Y$4)
*(tblRiderCFResult[Year]=1),"")</f>
        <v/>
      </c>
    </row>
    <row r="27" spans="10:29" x14ac:dyDescent="0.25">
      <c r="K27" s="154"/>
      <c r="L27" s="154"/>
      <c r="M27" s="154"/>
      <c r="N27" s="154"/>
      <c r="O27" s="154"/>
      <c r="P27" s="154"/>
      <c r="Q27" s="154"/>
      <c r="R27" s="156"/>
      <c r="S27" s="154"/>
      <c r="T27" s="170"/>
      <c r="U27" s="170" t="str">
        <f t="shared" si="1"/>
        <v/>
      </c>
      <c r="V27" s="170" t="str">
        <f t="shared" si="2"/>
        <v/>
      </c>
      <c r="W27" s="154"/>
      <c r="X27" s="153" t="str">
        <f t="shared" si="0"/>
        <v/>
      </c>
      <c r="Y27" s="153" t="str">
        <f>IFERROR(INDEX(Input!$N$26:$N$36,MATCH($U27,Input!$M$26:$M$36,0)),"")</f>
        <v/>
      </c>
      <c r="Z27" s="153"/>
      <c r="AA27" s="153"/>
      <c r="AB27" s="152" t="str" cm="1">
        <f t="array" ref="AB27">IF(LEFT($V27,3)="WOP","",
_xlfn._xlws.FILTER(tblRiderCFResult[SI]/1000,
(tblRiderCFResult[Product]=$V27)
*(tblRiderCFResult[Insured]=$U27)
*(tblRiderCFResult[Risk]=$Y$4)
*(tblRiderCFResult[Year]=1),""))</f>
        <v/>
      </c>
      <c r="AC27" s="152" t="str" cm="1">
        <f t="array" ref="AC27">_xlfn._xlws.FILTER(tblRiderCFResult[TotalPrem]/1000,
(tblRiderCFResult[Product]=$V27)
*(tblRiderCFResult[Insured]=$U27)
*(tblRiderCFResult[Risk]=$Y$4)
*(tblRiderCFResult[Year]=1),"")</f>
        <v/>
      </c>
    </row>
    <row r="28" spans="10:29" ht="15" customHeight="1" x14ac:dyDescent="0.25">
      <c r="K28" s="154"/>
      <c r="L28" s="154"/>
      <c r="M28" s="154"/>
      <c r="N28" s="154"/>
      <c r="O28" s="154"/>
      <c r="P28" s="154"/>
      <c r="Q28" s="154"/>
      <c r="R28" s="156"/>
      <c r="S28" s="154"/>
      <c r="T28" s="170"/>
      <c r="U28" s="170" t="str">
        <f t="shared" si="1"/>
        <v/>
      </c>
      <c r="V28" s="170" t="str">
        <f t="shared" si="2"/>
        <v/>
      </c>
      <c r="W28" s="154"/>
      <c r="X28" s="153" t="str">
        <f t="shared" si="0"/>
        <v/>
      </c>
      <c r="Y28" s="153" t="str">
        <f>IFERROR(INDEX(Input!$N$26:$N$36,MATCH($U28,Input!$M$26:$M$36,0)),"")</f>
        <v/>
      </c>
      <c r="Z28" s="153"/>
      <c r="AA28" s="153"/>
      <c r="AB28" s="152" t="str" cm="1">
        <f t="array" ref="AB28">IF(LEFT($V28,3)="WOP","",
_xlfn._xlws.FILTER(tblRiderCFResult[SI]/1000,
(tblRiderCFResult[Product]=$V28)
*(tblRiderCFResult[Insured]=$U28)
*(tblRiderCFResult[Risk]=$Y$4)
*(tblRiderCFResult[Year]=1),""))</f>
        <v/>
      </c>
      <c r="AC28" s="152" t="str" cm="1">
        <f t="array" ref="AC28">_xlfn._xlws.FILTER(tblRiderCFResult[TotalPrem]/1000,
(tblRiderCFResult[Product]=$V28)
*(tblRiderCFResult[Insured]=$U28)
*(tblRiderCFResult[Risk]=$Y$4)
*(tblRiderCFResult[Year]=1),"")</f>
        <v/>
      </c>
    </row>
    <row r="29" spans="10:29" ht="15" customHeight="1" x14ac:dyDescent="0.25">
      <c r="K29" s="154"/>
      <c r="L29" s="154"/>
      <c r="M29" s="154"/>
      <c r="N29" s="154"/>
      <c r="O29" s="154"/>
      <c r="P29" s="154"/>
      <c r="Q29" s="154"/>
      <c r="R29" s="156"/>
      <c r="S29" s="154"/>
      <c r="T29" s="170"/>
      <c r="U29" s="170" t="str">
        <f t="shared" si="1"/>
        <v/>
      </c>
      <c r="V29" s="170" t="str">
        <f t="shared" si="2"/>
        <v/>
      </c>
      <c r="W29" s="154"/>
      <c r="X29" s="153" t="str">
        <f t="shared" si="0"/>
        <v/>
      </c>
      <c r="Y29" s="153" t="str">
        <f>IFERROR(INDEX(Input!$N$26:$N$36,MATCH($U29,Input!$M$26:$M$36,0)),"")</f>
        <v/>
      </c>
      <c r="Z29" s="153"/>
      <c r="AA29" s="153"/>
      <c r="AB29" s="152" t="str" cm="1">
        <f t="array" ref="AB29">IF(LEFT($V29,3)="WOP","",
_xlfn._xlws.FILTER(tblRiderCFResult[SI]/1000,
(tblRiderCFResult[Product]=$V29)
*(tblRiderCFResult[Insured]=$U29)
*(tblRiderCFResult[Risk]=$Y$4)
*(tblRiderCFResult[Year]=1),""))</f>
        <v/>
      </c>
      <c r="AC29" s="152" t="str" cm="1">
        <f t="array" ref="AC29">_xlfn._xlws.FILTER(tblRiderCFResult[TotalPrem]/1000,
(tblRiderCFResult[Product]=$V29)
*(tblRiderCFResult[Insured]=$U29)
*(tblRiderCFResult[Risk]=$Y$4)
*(tblRiderCFResult[Year]=1),"")</f>
        <v/>
      </c>
    </row>
    <row r="30" spans="10:29" ht="15" customHeight="1" x14ac:dyDescent="0.25">
      <c r="R30" s="156"/>
      <c r="T30" s="170"/>
      <c r="U30" s="170" t="str">
        <f t="shared" si="1"/>
        <v/>
      </c>
      <c r="V30" s="170" t="str">
        <f t="shared" si="2"/>
        <v/>
      </c>
      <c r="W30" s="154"/>
      <c r="X30" s="153" t="str">
        <f t="shared" si="0"/>
        <v/>
      </c>
      <c r="Y30" s="153" t="str">
        <f>IFERROR(INDEX(Input!$N$26:$N$36,MATCH($U30,Input!$M$26:$M$36,0)),"")</f>
        <v/>
      </c>
      <c r="Z30" s="153"/>
      <c r="AA30" s="153"/>
      <c r="AB30" s="152" t="str" cm="1">
        <f t="array" ref="AB30">IF(LEFT($V30,3)="WOP","",
_xlfn._xlws.FILTER(tblRiderCFResult[SI]/1000,
(tblRiderCFResult[Product]=$V30)
*(tblRiderCFResult[Insured]=$U30)
*(tblRiderCFResult[Risk]=$Y$4)
*(tblRiderCFResult[Year]=1),""))</f>
        <v/>
      </c>
      <c r="AC30" s="152" t="str" cm="1">
        <f t="array" ref="AC30">_xlfn._xlws.FILTER(tblRiderCFResult[TotalPrem]/1000,
(tblRiderCFResult[Product]=$V30)
*(tblRiderCFResult[Insured]=$U30)
*(tblRiderCFResult[Risk]=$Y$4)
*(tblRiderCFResult[Year]=1),"")</f>
        <v/>
      </c>
    </row>
    <row r="31" spans="10:29" ht="15" customHeight="1" x14ac:dyDescent="0.25">
      <c r="R31" s="156"/>
      <c r="T31" s="170"/>
      <c r="U31" s="170" t="str">
        <f t="shared" si="1"/>
        <v/>
      </c>
      <c r="V31" s="170" t="str">
        <f t="shared" si="2"/>
        <v/>
      </c>
      <c r="W31" s="154"/>
      <c r="X31" s="153" t="str">
        <f t="shared" si="0"/>
        <v/>
      </c>
      <c r="Y31" s="153" t="str">
        <f>IFERROR(INDEX(Input!$N$26:$N$36,MATCH($U31,Input!$M$26:$M$36,0)),"")</f>
        <v/>
      </c>
      <c r="Z31" s="153"/>
      <c r="AA31" s="153"/>
      <c r="AB31" s="152" t="str" cm="1">
        <f t="array" ref="AB31">IF(LEFT($V31,3)="WOP","",
_xlfn._xlws.FILTER(tblRiderCFResult[SI]/1000,
(tblRiderCFResult[Product]=$V31)
*(tblRiderCFResult[Insured]=$U31)
*(tblRiderCFResult[Risk]=$Y$4)
*(tblRiderCFResult[Year]=1),""))</f>
        <v/>
      </c>
      <c r="AC31" s="152" t="str" cm="1">
        <f t="array" ref="AC31">_xlfn._xlws.FILTER(tblRiderCFResult[TotalPrem]/1000,
(tblRiderCFResult[Product]=$V31)
*(tblRiderCFResult[Insured]=$U31)
*(tblRiderCFResult[Risk]=$Y$4)
*(tblRiderCFResult[Year]=1),"")</f>
        <v/>
      </c>
    </row>
    <row r="32" spans="10:29" ht="15" customHeight="1" x14ac:dyDescent="0.25">
      <c r="R32" s="156"/>
      <c r="T32" s="170"/>
      <c r="U32" s="170" t="str">
        <f t="shared" si="1"/>
        <v/>
      </c>
      <c r="V32" s="170" t="str">
        <f t="shared" si="2"/>
        <v/>
      </c>
      <c r="W32" s="154"/>
      <c r="X32" s="153" t="str">
        <f t="shared" si="0"/>
        <v/>
      </c>
      <c r="Y32" s="153" t="str">
        <f>IFERROR(INDEX(Input!$N$26:$N$36,MATCH($U32,Input!$M$26:$M$36,0)),"")</f>
        <v/>
      </c>
      <c r="Z32" s="153"/>
      <c r="AA32" s="153"/>
      <c r="AB32" s="152" t="str" cm="1">
        <f t="array" ref="AB32">IF(LEFT($V32,3)="WOP","",
_xlfn._xlws.FILTER(tblRiderCFResult[SI]/1000,
(tblRiderCFResult[Product]=$V32)
*(tblRiderCFResult[Insured]=$U32)
*(tblRiderCFResult[Risk]=$Y$4)
*(tblRiderCFResult[Year]=1),""))</f>
        <v/>
      </c>
      <c r="AC32" s="152" t="str" cm="1">
        <f t="array" ref="AC32">_xlfn._xlws.FILTER(tblRiderCFResult[TotalPrem]/1000,
(tblRiderCFResult[Product]=$V32)
*(tblRiderCFResult[Insured]=$U32)
*(tblRiderCFResult[Risk]=$Y$4)
*(tblRiderCFResult[Year]=1),"")</f>
        <v/>
      </c>
    </row>
    <row r="33" spans="18:29" ht="15" customHeight="1" x14ac:dyDescent="0.25">
      <c r="R33" s="156"/>
      <c r="T33" s="170"/>
      <c r="U33" s="170" t="str">
        <f t="shared" si="1"/>
        <v/>
      </c>
      <c r="V33" s="170" t="str">
        <f t="shared" si="2"/>
        <v/>
      </c>
      <c r="W33" s="154"/>
      <c r="X33" s="153" t="str">
        <f t="shared" si="0"/>
        <v/>
      </c>
      <c r="Y33" s="153" t="str">
        <f>IFERROR(INDEX(Input!$N$26:$N$36,MATCH($U33,Input!$M$26:$M$36,0)),"")</f>
        <v/>
      </c>
      <c r="Z33" s="153"/>
      <c r="AA33" s="153"/>
      <c r="AB33" s="152" t="str" cm="1">
        <f t="array" ref="AB33">IF(LEFT($V33,3)="WOP","",
_xlfn._xlws.FILTER(tblRiderCFResult[SI]/1000,
(tblRiderCFResult[Product]=$V33)
*(tblRiderCFResult[Insured]=$U33)
*(tblRiderCFResult[Risk]=$Y$4)
*(tblRiderCFResult[Year]=1),""))</f>
        <v/>
      </c>
      <c r="AC33" s="152" t="str" cm="1">
        <f t="array" ref="AC33">_xlfn._xlws.FILTER(tblRiderCFResult[TotalPrem]/1000,
(tblRiderCFResult[Product]=$V33)
*(tblRiderCFResult[Insured]=$U33)
*(tblRiderCFResult[Risk]=$Y$4)
*(tblRiderCFResult[Year]=1),"")</f>
        <v/>
      </c>
    </row>
    <row r="34" spans="18:29" ht="15" customHeight="1" x14ac:dyDescent="0.25">
      <c r="R34" s="156"/>
      <c r="T34" s="170"/>
      <c r="U34" s="170" t="str">
        <f t="shared" si="1"/>
        <v/>
      </c>
      <c r="V34" s="170" t="str">
        <f t="shared" si="2"/>
        <v/>
      </c>
      <c r="W34" s="154"/>
      <c r="X34" s="153" t="str">
        <f t="shared" si="0"/>
        <v/>
      </c>
      <c r="Y34" s="153" t="str">
        <f>IFERROR(INDEX(Input!$N$26:$N$36,MATCH($U34,Input!$M$26:$M$36,0)),"")</f>
        <v/>
      </c>
      <c r="Z34" s="153"/>
      <c r="AA34" s="153"/>
      <c r="AB34" s="152" t="str" cm="1">
        <f t="array" ref="AB34">IF(LEFT($V34,3)="WOP","",
_xlfn._xlws.FILTER(tblRiderCFResult[SI]/1000,
(tblRiderCFResult[Product]=$V34)
*(tblRiderCFResult[Insured]=$U34)
*(tblRiderCFResult[Risk]=$Y$4)
*(tblRiderCFResult[Year]=1),""))</f>
        <v/>
      </c>
      <c r="AC34" s="152" t="str" cm="1">
        <f t="array" ref="AC34">_xlfn._xlws.FILTER(tblRiderCFResult[TotalPrem]/1000,
(tblRiderCFResult[Product]=$V34)
*(tblRiderCFResult[Insured]=$U34)
*(tblRiderCFResult[Risk]=$Y$4)
*(tblRiderCFResult[Year]=1),"")</f>
        <v/>
      </c>
    </row>
    <row r="35" spans="18:29" ht="15" customHeight="1" x14ac:dyDescent="0.25">
      <c r="R35" s="156"/>
      <c r="T35" s="170"/>
      <c r="U35" s="170" t="str">
        <f t="shared" si="1"/>
        <v/>
      </c>
      <c r="V35" s="170" t="str">
        <f t="shared" si="2"/>
        <v/>
      </c>
      <c r="W35" s="154"/>
      <c r="X35" s="153" t="str">
        <f t="shared" si="0"/>
        <v/>
      </c>
      <c r="Y35" s="153" t="str">
        <f>IFERROR(INDEX(Input!$N$26:$N$36,MATCH($U35,Input!$M$26:$M$36,0)),"")</f>
        <v/>
      </c>
      <c r="Z35" s="153"/>
      <c r="AA35" s="153"/>
      <c r="AB35" s="152" t="str" cm="1">
        <f t="array" ref="AB35">IF(LEFT($V35,3)="WOP","",
_xlfn._xlws.FILTER(tblRiderCFResult[SI]/1000,
(tblRiderCFResult[Product]=$V35)
*(tblRiderCFResult[Insured]=$U35)
*(tblRiderCFResult[Risk]=$Y$4)
*(tblRiderCFResult[Year]=1),""))</f>
        <v/>
      </c>
      <c r="AC35" s="152" t="str" cm="1">
        <f t="array" ref="AC35">_xlfn._xlws.FILTER(tblRiderCFResult[TotalPrem]/1000,
(tblRiderCFResult[Product]=$V35)
*(tblRiderCFResult[Insured]=$U35)
*(tblRiderCFResult[Risk]=$Y$4)
*(tblRiderCFResult[Year]=1),"")</f>
        <v/>
      </c>
    </row>
    <row r="36" spans="18:29" ht="15" customHeight="1" x14ac:dyDescent="0.25">
      <c r="R36" s="156"/>
      <c r="T36" s="170"/>
      <c r="U36" s="170" t="str">
        <f t="shared" si="1"/>
        <v/>
      </c>
      <c r="V36" s="170" t="str">
        <f t="shared" si="2"/>
        <v/>
      </c>
      <c r="W36" s="154"/>
      <c r="X36" s="153" t="str">
        <f t="shared" si="0"/>
        <v/>
      </c>
      <c r="Y36" s="153" t="str">
        <f>IFERROR(INDEX(Input!$N$26:$N$36,MATCH($U36,Input!$M$26:$M$36,0)),"")</f>
        <v/>
      </c>
      <c r="Z36" s="153"/>
      <c r="AA36" s="153"/>
      <c r="AB36" s="152" t="str" cm="1">
        <f t="array" ref="AB36">IF(LEFT($V36,3)="WOP","",
_xlfn._xlws.FILTER(tblRiderCFResult[SI]/1000,
(tblRiderCFResult[Product]=$V36)
*(tblRiderCFResult[Insured]=$U36)
*(tblRiderCFResult[Risk]=$Y$4)
*(tblRiderCFResult[Year]=1),""))</f>
        <v/>
      </c>
      <c r="AC36" s="152" t="str" cm="1">
        <f t="array" ref="AC36">_xlfn._xlws.FILTER(tblRiderCFResult[TotalPrem]/1000,
(tblRiderCFResult[Product]=$V36)
*(tblRiderCFResult[Insured]=$U36)
*(tblRiderCFResult[Risk]=$Y$4)
*(tblRiderCFResult[Year]=1),"")</f>
        <v/>
      </c>
    </row>
    <row r="37" spans="18:29" ht="15" customHeight="1" x14ac:dyDescent="0.25">
      <c r="R37" s="156"/>
      <c r="T37" s="170"/>
      <c r="U37" s="170" t="str">
        <f t="shared" si="1"/>
        <v/>
      </c>
      <c r="V37" s="170" t="str">
        <f t="shared" si="2"/>
        <v/>
      </c>
      <c r="W37" s="154"/>
      <c r="X37" s="153" t="str">
        <f t="shared" si="0"/>
        <v/>
      </c>
      <c r="Y37" s="153" t="str">
        <f>IFERROR(INDEX(Input!$N$26:$N$36,MATCH($U37,Input!$M$26:$M$36,0)),"")</f>
        <v/>
      </c>
      <c r="Z37" s="153"/>
      <c r="AA37" s="153"/>
      <c r="AB37" s="152" t="str" cm="1">
        <f t="array" ref="AB37">IF(LEFT($V37,3)="WOP","",
_xlfn._xlws.FILTER(tblRiderCFResult[SI]/1000,
(tblRiderCFResult[Product]=$V37)
*(tblRiderCFResult[Insured]=$U37)
*(tblRiderCFResult[Risk]=$Y$4)
*(tblRiderCFResult[Year]=1),""))</f>
        <v/>
      </c>
      <c r="AC37" s="152" t="str" cm="1">
        <f t="array" ref="AC37">_xlfn._xlws.FILTER(tblRiderCFResult[TotalPrem]/1000,
(tblRiderCFResult[Product]=$V37)
*(tblRiderCFResult[Insured]=$U37)
*(tblRiderCFResult[Risk]=$Y$4)
*(tblRiderCFResult[Year]=1),"")</f>
        <v/>
      </c>
    </row>
    <row r="38" spans="18:29" x14ac:dyDescent="0.25">
      <c r="R38" s="156"/>
      <c r="T38" s="170"/>
      <c r="U38" s="170" t="str">
        <f t="shared" si="1"/>
        <v/>
      </c>
      <c r="V38" s="170" t="str">
        <f t="shared" si="2"/>
        <v/>
      </c>
      <c r="W38" s="154"/>
      <c r="X38" s="153" t="str">
        <f t="shared" si="0"/>
        <v/>
      </c>
      <c r="Y38" s="153" t="str">
        <f>IFERROR(INDEX(Input!$N$26:$N$36,MATCH($U38,Input!$M$26:$M$36,0)),"")</f>
        <v/>
      </c>
      <c r="Z38" s="153"/>
      <c r="AA38" s="153"/>
      <c r="AB38" s="152" t="str" cm="1">
        <f t="array" ref="AB38">IF(LEFT($V38,3)="WOP","",
_xlfn._xlws.FILTER(tblRiderCFResult[SI]/1000,
(tblRiderCFResult[Product]=$V38)
*(tblRiderCFResult[Insured]=$U38)
*(tblRiderCFResult[Risk]=$Y$4)
*(tblRiderCFResult[Year]=1),""))</f>
        <v/>
      </c>
      <c r="AC38" s="152" t="str" cm="1">
        <f t="array" ref="AC38">_xlfn._xlws.FILTER(tblRiderCFResult[TotalPrem]/1000,
(tblRiderCFResult[Product]=$V38)
*(tblRiderCFResult[Insured]=$U38)
*(tblRiderCFResult[Risk]=$Y$4)
*(tblRiderCFResult[Year]=1),"")</f>
        <v/>
      </c>
    </row>
    <row r="39" spans="18:29" ht="15" customHeight="1" x14ac:dyDescent="0.25">
      <c r="R39" s="156"/>
      <c r="T39" s="170"/>
      <c r="U39" s="170" t="str">
        <f t="shared" si="1"/>
        <v/>
      </c>
      <c r="V39" s="170" t="str">
        <f t="shared" si="2"/>
        <v/>
      </c>
      <c r="W39" s="154"/>
      <c r="X39" s="153" t="str">
        <f t="shared" si="0"/>
        <v/>
      </c>
      <c r="Y39" s="153" t="str">
        <f>IFERROR(INDEX(Input!$N$26:$N$36,MATCH($U39,Input!$M$26:$M$36,0)),"")</f>
        <v/>
      </c>
      <c r="Z39" s="153"/>
      <c r="AA39" s="153"/>
      <c r="AB39" s="152" t="str" cm="1">
        <f t="array" ref="AB39">IF(LEFT($V39,3)="WOP","",
_xlfn._xlws.FILTER(tblRiderCFResult[SI]/1000,
(tblRiderCFResult[Product]=$V39)
*(tblRiderCFResult[Insured]=$U39)
*(tblRiderCFResult[Risk]=$Y$4)
*(tblRiderCFResult[Year]=1),""))</f>
        <v/>
      </c>
      <c r="AC39" s="152" t="str" cm="1">
        <f t="array" ref="AC39">_xlfn._xlws.FILTER(tblRiderCFResult[TotalPrem]/1000,
(tblRiderCFResult[Product]=$V39)
*(tblRiderCFResult[Insured]=$U39)
*(tblRiderCFResult[Risk]=$Y$4)
*(tblRiderCFResult[Year]=1),"")</f>
        <v/>
      </c>
    </row>
    <row r="40" spans="18:29" ht="15" customHeight="1" x14ac:dyDescent="0.25">
      <c r="R40" s="156"/>
      <c r="T40" s="170"/>
      <c r="U40" s="170" t="str">
        <f t="shared" si="1"/>
        <v/>
      </c>
      <c r="V40" s="170" t="str">
        <f t="shared" si="2"/>
        <v/>
      </c>
      <c r="W40" s="154"/>
      <c r="X40" s="153" t="str">
        <f t="shared" si="0"/>
        <v/>
      </c>
      <c r="Y40" s="153" t="str">
        <f>IFERROR(INDEX(Input!$N$26:$N$36,MATCH($U40,Input!$M$26:$M$36,0)),"")</f>
        <v/>
      </c>
      <c r="Z40" s="153"/>
      <c r="AA40" s="153"/>
      <c r="AB40" s="152" t="str" cm="1">
        <f t="array" ref="AB40">IF(LEFT($V40,3)="WOP","",
_xlfn._xlws.FILTER(tblRiderCFResult[SI]/1000,
(tblRiderCFResult[Product]=$V40)
*(tblRiderCFResult[Insured]=$U40)
*(tblRiderCFResult[Risk]=$Y$4)
*(tblRiderCFResult[Year]=1),""))</f>
        <v/>
      </c>
      <c r="AC40" s="152" t="str" cm="1">
        <f t="array" ref="AC40">_xlfn._xlws.FILTER(tblRiderCFResult[TotalPrem]/1000,
(tblRiderCFResult[Product]=$V40)
*(tblRiderCFResult[Insured]=$U40)
*(tblRiderCFResult[Risk]=$Y$4)
*(tblRiderCFResult[Year]=1),"")</f>
        <v/>
      </c>
    </row>
    <row r="41" spans="18:29" ht="15" customHeight="1" x14ac:dyDescent="0.25">
      <c r="R41" s="156"/>
      <c r="T41" s="170"/>
      <c r="U41" s="170" t="str">
        <f t="shared" si="1"/>
        <v/>
      </c>
      <c r="V41" s="170" t="str">
        <f t="shared" si="2"/>
        <v/>
      </c>
      <c r="W41" s="154"/>
      <c r="X41" s="153" t="str">
        <f t="shared" si="0"/>
        <v/>
      </c>
      <c r="Y41" s="153" t="str">
        <f>IFERROR(INDEX(Input!$N$26:$N$36,MATCH($U41,Input!$M$26:$M$36,0)),"")</f>
        <v/>
      </c>
      <c r="Z41" s="153"/>
      <c r="AA41" s="153"/>
      <c r="AB41" s="152" t="str" cm="1">
        <f t="array" ref="AB41">IF(LEFT($V41,3)="WOP","",
_xlfn._xlws.FILTER(tblRiderCFResult[SI]/1000,
(tblRiderCFResult[Product]=$V41)
*(tblRiderCFResult[Insured]=$U41)
*(tblRiderCFResult[Risk]=$Y$4)
*(tblRiderCFResult[Year]=1),""))</f>
        <v/>
      </c>
      <c r="AC41" s="152" t="str" cm="1">
        <f t="array" ref="AC41">_xlfn._xlws.FILTER(tblRiderCFResult[TotalPrem]/1000,
(tblRiderCFResult[Product]=$V41)
*(tblRiderCFResult[Insured]=$U41)
*(tblRiderCFResult[Risk]=$Y$4)
*(tblRiderCFResult[Year]=1),"")</f>
        <v/>
      </c>
    </row>
    <row r="42" spans="18:29" ht="15" customHeight="1" x14ac:dyDescent="0.25">
      <c r="R42" s="156"/>
      <c r="T42" s="170"/>
      <c r="U42" s="170" t="str">
        <f t="shared" si="1"/>
        <v/>
      </c>
      <c r="V42" s="170" t="str">
        <f t="shared" si="2"/>
        <v/>
      </c>
      <c r="W42" s="154"/>
      <c r="X42" s="153" t="str">
        <f t="shared" si="0"/>
        <v/>
      </c>
      <c r="Y42" s="153" t="str">
        <f>IFERROR(INDEX(Input!$N$26:$N$36,MATCH($U42,Input!$M$26:$M$36,0)),"")</f>
        <v/>
      </c>
      <c r="Z42" s="153"/>
      <c r="AA42" s="153"/>
      <c r="AB42" s="152" t="str" cm="1">
        <f t="array" ref="AB42">IF(LEFT($V42,3)="WOP","",
_xlfn._xlws.FILTER(tblRiderCFResult[SI]/1000,
(tblRiderCFResult[Product]=$V42)
*(tblRiderCFResult[Insured]=$U42)
*(tblRiderCFResult[Risk]=$Y$4)
*(tblRiderCFResult[Year]=1),""))</f>
        <v/>
      </c>
      <c r="AC42" s="152" t="str" cm="1">
        <f t="array" ref="AC42">_xlfn._xlws.FILTER(tblRiderCFResult[TotalPrem]/1000,
(tblRiderCFResult[Product]=$V42)
*(tblRiderCFResult[Insured]=$U42)
*(tblRiderCFResult[Risk]=$Y$4)
*(tblRiderCFResult[Year]=1),"")</f>
        <v/>
      </c>
    </row>
    <row r="43" spans="18:29" ht="15" customHeight="1" x14ac:dyDescent="0.25">
      <c r="R43" s="156"/>
      <c r="T43" s="170"/>
      <c r="U43" s="170" t="str">
        <f t="shared" si="1"/>
        <v/>
      </c>
      <c r="V43" s="170" t="str">
        <f t="shared" si="2"/>
        <v/>
      </c>
      <c r="W43" s="154"/>
      <c r="X43" s="153" t="str">
        <f t="shared" si="0"/>
        <v/>
      </c>
      <c r="Y43" s="153" t="str">
        <f>IFERROR(INDEX(Input!$N$26:$N$36,MATCH($U43,Input!$M$26:$M$36,0)),"")</f>
        <v/>
      </c>
      <c r="Z43" s="153"/>
      <c r="AA43" s="153"/>
      <c r="AB43" s="152" t="str" cm="1">
        <f t="array" ref="AB43">IF(LEFT($V43,3)="WOP","",
_xlfn._xlws.FILTER(tblRiderCFResult[SI]/1000,
(tblRiderCFResult[Product]=$V43)
*(tblRiderCFResult[Insured]=$U43)
*(tblRiderCFResult[Risk]=$Y$4)
*(tblRiderCFResult[Year]=1),""))</f>
        <v/>
      </c>
      <c r="AC43" s="152" t="str" cm="1">
        <f t="array" ref="AC43">_xlfn._xlws.FILTER(tblRiderCFResult[TotalPrem]/1000,
(tblRiderCFResult[Product]=$V43)
*(tblRiderCFResult[Insured]=$U43)
*(tblRiderCFResult[Risk]=$Y$4)
*(tblRiderCFResult[Year]=1),"")</f>
        <v/>
      </c>
    </row>
    <row r="44" spans="18:29" ht="15" customHeight="1" x14ac:dyDescent="0.25">
      <c r="R44" s="156"/>
      <c r="T44" s="170"/>
      <c r="U44" s="170" t="str">
        <f t="shared" si="1"/>
        <v/>
      </c>
      <c r="V44" s="170" t="str">
        <f t="shared" si="2"/>
        <v/>
      </c>
      <c r="W44" s="154"/>
      <c r="X44" s="153" t="str">
        <f t="shared" si="0"/>
        <v/>
      </c>
      <c r="Y44" s="153" t="str">
        <f>IFERROR(INDEX(Input!$N$26:$N$36,MATCH($U44,Input!$M$26:$M$36,0)),"")</f>
        <v/>
      </c>
      <c r="Z44" s="153"/>
      <c r="AA44" s="153"/>
      <c r="AB44" s="152" t="str" cm="1">
        <f t="array" ref="AB44">IF(LEFT($V44,3)="WOP","",
_xlfn._xlws.FILTER(tblRiderCFResult[SI]/1000,
(tblRiderCFResult[Product]=$V44)
*(tblRiderCFResult[Insured]=$U44)
*(tblRiderCFResult[Risk]=$Y$4)
*(tblRiderCFResult[Year]=1),""))</f>
        <v/>
      </c>
      <c r="AC44" s="152" t="str" cm="1">
        <f t="array" ref="AC44">_xlfn._xlws.FILTER(tblRiderCFResult[TotalPrem]/1000,
(tblRiderCFResult[Product]=$V44)
*(tblRiderCFResult[Insured]=$U44)
*(tblRiderCFResult[Risk]=$Y$4)
*(tblRiderCFResult[Year]=1),"")</f>
        <v/>
      </c>
    </row>
    <row r="45" spans="18:29" ht="15" customHeight="1" x14ac:dyDescent="0.25">
      <c r="R45" s="156"/>
      <c r="T45" s="170"/>
      <c r="U45" s="170" t="str">
        <f t="shared" si="1"/>
        <v/>
      </c>
      <c r="V45" s="170" t="str">
        <f t="shared" si="2"/>
        <v/>
      </c>
      <c r="W45" s="154"/>
      <c r="X45" s="153" t="str">
        <f t="shared" si="0"/>
        <v/>
      </c>
      <c r="Y45" s="153" t="str">
        <f>IFERROR(INDEX(Input!$N$26:$N$36,MATCH($U45,Input!$M$26:$M$36,0)),"")</f>
        <v/>
      </c>
      <c r="Z45" s="153"/>
      <c r="AA45" s="153"/>
      <c r="AB45" s="152" t="str" cm="1">
        <f t="array" ref="AB45">IF(LEFT($V45,3)="WOP","",
_xlfn._xlws.FILTER(tblRiderCFResult[SI]/1000,
(tblRiderCFResult[Product]=$V45)
*(tblRiderCFResult[Insured]=$U45)
*(tblRiderCFResult[Risk]=$Y$4)
*(tblRiderCFResult[Year]=1),""))</f>
        <v/>
      </c>
      <c r="AC45" s="152" t="str" cm="1">
        <f t="array" ref="AC45">_xlfn._xlws.FILTER(tblRiderCFResult[TotalPrem]/1000,
(tblRiderCFResult[Product]=$V45)
*(tblRiderCFResult[Insured]=$U45)
*(tblRiderCFResult[Risk]=$Y$4)
*(tblRiderCFResult[Year]=1),"")</f>
        <v/>
      </c>
    </row>
    <row r="46" spans="18:29" ht="15" customHeight="1" x14ac:dyDescent="0.25">
      <c r="R46" s="156"/>
      <c r="T46" s="170"/>
      <c r="U46" s="170" t="str">
        <f t="shared" si="1"/>
        <v/>
      </c>
      <c r="V46" s="170" t="str">
        <f t="shared" si="2"/>
        <v/>
      </c>
      <c r="W46" s="154"/>
      <c r="X46" s="153" t="str">
        <f t="shared" si="0"/>
        <v/>
      </c>
      <c r="Y46" s="153" t="str">
        <f>IFERROR(INDEX(Input!$N$26:$N$36,MATCH($U46,Input!$M$26:$M$36,0)),"")</f>
        <v/>
      </c>
      <c r="Z46" s="153"/>
      <c r="AA46" s="153"/>
      <c r="AB46" s="152" t="str" cm="1">
        <f t="array" ref="AB46">IF(LEFT($V46,3)="WOP","",
_xlfn._xlws.FILTER(tblRiderCFResult[SI]/1000,
(tblRiderCFResult[Product]=$V46)
*(tblRiderCFResult[Insured]=$U46)
*(tblRiderCFResult[Risk]=$Y$4)
*(tblRiderCFResult[Year]=1),""))</f>
        <v/>
      </c>
      <c r="AC46" s="152" t="str" cm="1">
        <f t="array" ref="AC46">_xlfn._xlws.FILTER(tblRiderCFResult[TotalPrem]/1000,
(tblRiderCFResult[Product]=$V46)
*(tblRiderCFResult[Insured]=$U46)
*(tblRiderCFResult[Risk]=$Y$4)
*(tblRiderCFResult[Year]=1),"")</f>
        <v/>
      </c>
    </row>
    <row r="47" spans="18:29" ht="15" customHeight="1" x14ac:dyDescent="0.25">
      <c r="R47" s="156"/>
      <c r="T47" s="170"/>
      <c r="U47" s="170" t="str">
        <f t="shared" si="1"/>
        <v/>
      </c>
      <c r="V47" s="170" t="str">
        <f t="shared" si="2"/>
        <v/>
      </c>
      <c r="W47" s="154"/>
      <c r="X47" s="153" t="str">
        <f t="shared" si="0"/>
        <v/>
      </c>
      <c r="Y47" s="153" t="str">
        <f>IFERROR(INDEX(Input!$N$26:$N$36,MATCH($U47,Input!$M$26:$M$36,0)),"")</f>
        <v/>
      </c>
      <c r="Z47" s="153"/>
      <c r="AA47" s="153"/>
      <c r="AB47" s="152" t="str" cm="1">
        <f t="array" ref="AB47">IF(LEFT($V47,3)="WOP","",
_xlfn._xlws.FILTER(tblRiderCFResult[SI]/1000,
(tblRiderCFResult[Product]=$V47)
*(tblRiderCFResult[Insured]=$U47)
*(tblRiderCFResult[Risk]=$Y$4)
*(tblRiderCFResult[Year]=1),""))</f>
        <v/>
      </c>
      <c r="AC47" s="152" t="str" cm="1">
        <f t="array" ref="AC47">_xlfn._xlws.FILTER(tblRiderCFResult[TotalPrem]/1000,
(tblRiderCFResult[Product]=$V47)
*(tblRiderCFResult[Insured]=$U47)
*(tblRiderCFResult[Risk]=$Y$4)
*(tblRiderCFResult[Year]=1),"")</f>
        <v/>
      </c>
    </row>
    <row r="48" spans="18:29" ht="15" customHeight="1" x14ac:dyDescent="0.25">
      <c r="R48" s="156"/>
      <c r="T48" s="170"/>
      <c r="U48" s="170" t="str">
        <f t="shared" si="1"/>
        <v/>
      </c>
      <c r="V48" s="170" t="str">
        <f t="shared" si="2"/>
        <v/>
      </c>
      <c r="W48" s="154"/>
      <c r="X48" s="153" t="str">
        <f t="shared" si="0"/>
        <v/>
      </c>
      <c r="Y48" s="153" t="str">
        <f>IFERROR(INDEX(Input!$N$26:$N$36,MATCH($U48,Input!$M$26:$M$36,0)),"")</f>
        <v/>
      </c>
      <c r="Z48" s="153"/>
      <c r="AA48" s="153"/>
      <c r="AB48" s="152" t="str" cm="1">
        <f t="array" ref="AB48">IF(LEFT($V48,3)="WOP","",
_xlfn._xlws.FILTER(tblRiderCFResult[SI]/1000,
(tblRiderCFResult[Product]=$V48)
*(tblRiderCFResult[Insured]=$U48)
*(tblRiderCFResult[Risk]=$Y$4)
*(tblRiderCFResult[Year]=1),""))</f>
        <v/>
      </c>
      <c r="AC48" s="152" t="str" cm="1">
        <f t="array" ref="AC48">_xlfn._xlws.FILTER(tblRiderCFResult[TotalPrem]/1000,
(tblRiderCFResult[Product]=$V48)
*(tblRiderCFResult[Insured]=$U48)
*(tblRiderCFResult[Risk]=$Y$4)
*(tblRiderCFResult[Year]=1),"")</f>
        <v/>
      </c>
    </row>
    <row r="49" spans="1:37" ht="15" customHeight="1" x14ac:dyDescent="0.25">
      <c r="R49" s="156"/>
      <c r="T49" s="170"/>
      <c r="U49" s="170" t="str">
        <f t="shared" si="1"/>
        <v/>
      </c>
      <c r="V49" s="170" t="str">
        <f t="shared" si="2"/>
        <v/>
      </c>
      <c r="W49" s="154"/>
      <c r="X49" s="153" t="str">
        <f t="shared" si="0"/>
        <v/>
      </c>
      <c r="Y49" s="153" t="str">
        <f>IFERROR(INDEX(Input!$N$26:$N$36,MATCH($U49,Input!$M$26:$M$36,0)),"")</f>
        <v/>
      </c>
      <c r="Z49" s="153"/>
      <c r="AA49" s="153"/>
      <c r="AB49" s="152" t="str" cm="1">
        <f t="array" ref="AB49">IF(LEFT($V49,3)="WOP","",
_xlfn._xlws.FILTER(tblRiderCFResult[SI]/1000,
(tblRiderCFResult[Product]=$V49)
*(tblRiderCFResult[Insured]=$U49)
*(tblRiderCFResult[Risk]=$Y$4)
*(tblRiderCFResult[Year]=1),""))</f>
        <v/>
      </c>
      <c r="AC49" s="152" t="str" cm="1">
        <f t="array" ref="AC49">_xlfn._xlws.FILTER(tblRiderCFResult[TotalPrem]/1000,
(tblRiderCFResult[Product]=$V49)
*(tblRiderCFResult[Insured]=$U49)
*(tblRiderCFResult[Risk]=$Y$4)
*(tblRiderCFResult[Year]=1),"")</f>
        <v/>
      </c>
    </row>
    <row r="50" spans="1:37" ht="15" customHeight="1" x14ac:dyDescent="0.25">
      <c r="R50" s="156"/>
      <c r="T50" s="170"/>
      <c r="U50" s="170" t="str">
        <f t="shared" si="1"/>
        <v/>
      </c>
      <c r="V50" s="170" t="str">
        <f t="shared" si="2"/>
        <v/>
      </c>
      <c r="W50" s="154"/>
      <c r="X50" s="153" t="str">
        <f t="shared" si="0"/>
        <v/>
      </c>
      <c r="Y50" s="153" t="str">
        <f>IFERROR(INDEX(Input!$N$26:$N$36,MATCH($U50,Input!$M$26:$M$36,0)),"")</f>
        <v/>
      </c>
      <c r="Z50" s="153"/>
      <c r="AA50" s="153"/>
      <c r="AB50" s="152" t="str" cm="1">
        <f t="array" ref="AB50">IF(LEFT($V50,3)="WOP","",
_xlfn._xlws.FILTER(tblRiderCFResult[SI]/1000,
(tblRiderCFResult[Product]=$V50)
*(tblRiderCFResult[Insured]=$U50)
*(tblRiderCFResult[Risk]=$Y$4)
*(tblRiderCFResult[Year]=1),""))</f>
        <v/>
      </c>
      <c r="AC50" s="152" t="str" cm="1">
        <f t="array" ref="AC50">_xlfn._xlws.FILTER(tblRiderCFResult[TotalPrem]/1000,
(tblRiderCFResult[Product]=$V50)
*(tblRiderCFResult[Insured]=$U50)
*(tblRiderCFResult[Risk]=$Y$4)
*(tblRiderCFResult[Year]=1),"")</f>
        <v/>
      </c>
    </row>
    <row r="51" spans="1:37" ht="15" customHeight="1" x14ac:dyDescent="0.25">
      <c r="R51" s="156"/>
      <c r="T51" s="170"/>
      <c r="U51" s="170" t="str">
        <f t="shared" si="1"/>
        <v/>
      </c>
      <c r="V51" s="170" t="str">
        <f t="shared" si="2"/>
        <v/>
      </c>
      <c r="W51" s="154"/>
      <c r="X51" s="153" t="str">
        <f t="shared" si="0"/>
        <v/>
      </c>
      <c r="Y51" s="153" t="str">
        <f>IFERROR(INDEX(Input!$N$26:$N$36,MATCH($U51,Input!$M$26:$M$36,0)),"")</f>
        <v/>
      </c>
      <c r="Z51" s="153"/>
      <c r="AA51" s="153"/>
      <c r="AB51" s="152" t="str" cm="1">
        <f t="array" ref="AB51">IF(LEFT($V51,3)="WOP","",
_xlfn._xlws.FILTER(tblRiderCFResult[SI]/1000,
(tblRiderCFResult[Product]=$V51)
*(tblRiderCFResult[Insured]=$U51)
*(tblRiderCFResult[Risk]=$Y$4)
*(tblRiderCFResult[Year]=1),""))</f>
        <v/>
      </c>
      <c r="AC51" s="152" t="str" cm="1">
        <f t="array" ref="AC51">_xlfn._xlws.FILTER(tblRiderCFResult[TotalPrem]/1000,
(tblRiderCFResult[Product]=$V51)
*(tblRiderCFResult[Insured]=$U51)
*(tblRiderCFResult[Risk]=$Y$4)
*(tblRiderCFResult[Year]=1),"")</f>
        <v/>
      </c>
    </row>
    <row r="52" spans="1:37" ht="15" customHeight="1" x14ac:dyDescent="0.25">
      <c r="R52" s="156"/>
      <c r="T52" s="170"/>
      <c r="U52" s="170" t="str">
        <f t="shared" si="1"/>
        <v/>
      </c>
      <c r="V52" s="170" t="str">
        <f t="shared" si="2"/>
        <v/>
      </c>
      <c r="W52" s="154"/>
      <c r="X52" s="153" t="str">
        <f t="shared" si="0"/>
        <v/>
      </c>
      <c r="Y52" s="153" t="str">
        <f>IFERROR(INDEX(Input!$N$26:$N$36,MATCH($U52,Input!$M$26:$M$36,0)),"")</f>
        <v/>
      </c>
      <c r="Z52" s="153"/>
      <c r="AA52" s="153"/>
      <c r="AB52" s="152" t="str" cm="1">
        <f t="array" ref="AB52">IF(LEFT($V52,3)="WOP","",
_xlfn._xlws.FILTER(tblRiderCFResult[SI]/1000,
(tblRiderCFResult[Product]=$V52)
*(tblRiderCFResult[Insured]=$U52)
*(tblRiderCFResult[Risk]=$Y$4)
*(tblRiderCFResult[Year]=1),""))</f>
        <v/>
      </c>
      <c r="AC52" s="152" t="str" cm="1">
        <f t="array" ref="AC52">_xlfn._xlws.FILTER(tblRiderCFResult[TotalPrem]/1000,
(tblRiderCFResult[Product]=$V52)
*(tblRiderCFResult[Insured]=$U52)
*(tblRiderCFResult[Risk]=$Y$4)
*(tblRiderCFResult[Year]=1),"")</f>
        <v/>
      </c>
    </row>
    <row r="53" spans="1:37" ht="15" customHeight="1" x14ac:dyDescent="0.25">
      <c r="R53" s="156"/>
      <c r="T53" s="170"/>
      <c r="U53" s="170" t="str">
        <f t="shared" si="1"/>
        <v/>
      </c>
      <c r="V53" s="170" t="str">
        <f t="shared" si="2"/>
        <v/>
      </c>
      <c r="W53" s="154"/>
      <c r="X53" s="153" t="str">
        <f t="shared" si="0"/>
        <v/>
      </c>
      <c r="Y53" s="153" t="str">
        <f>IFERROR(INDEX(Input!$N$26:$N$36,MATCH($U53,Input!$M$26:$M$36,0)),"")</f>
        <v/>
      </c>
      <c r="Z53" s="153"/>
      <c r="AA53" s="153"/>
      <c r="AB53" s="152" t="str" cm="1">
        <f t="array" ref="AB53">IF(LEFT($V53,3)="WOP","",
_xlfn._xlws.FILTER(tblRiderCFResult[SI]/1000,
(tblRiderCFResult[Product]=$V53)
*(tblRiderCFResult[Insured]=$U53)
*(tblRiderCFResult[Risk]=$Y$4)
*(tblRiderCFResult[Year]=1),""))</f>
        <v/>
      </c>
      <c r="AC53" s="152" t="str" cm="1">
        <f t="array" ref="AC53">_xlfn._xlws.FILTER(tblRiderCFResult[TotalPrem]/1000,
(tblRiderCFResult[Product]=$V53)
*(tblRiderCFResult[Insured]=$U53)
*(tblRiderCFResult[Risk]=$Y$4)
*(tblRiderCFResult[Year]=1),"")</f>
        <v/>
      </c>
    </row>
    <row r="54" spans="1:37" ht="15" customHeight="1" x14ac:dyDescent="0.25">
      <c r="R54" s="156"/>
      <c r="T54" s="170"/>
      <c r="U54" s="170" t="str">
        <f t="shared" si="1"/>
        <v/>
      </c>
      <c r="V54" s="170" t="str">
        <f t="shared" si="2"/>
        <v/>
      </c>
      <c r="W54" s="154"/>
      <c r="X54" s="153" t="str">
        <f t="shared" si="0"/>
        <v/>
      </c>
      <c r="Y54" s="153" t="str">
        <f>IFERROR(INDEX(Input!$N$26:$N$36,MATCH($U54,Input!$M$26:$M$36,0)),"")</f>
        <v/>
      </c>
      <c r="Z54" s="153"/>
      <c r="AA54" s="153"/>
      <c r="AB54" s="152" t="str" cm="1">
        <f t="array" ref="AB54">IF(LEFT($V54,3)="WOP","",
_xlfn._xlws.FILTER(tblRiderCFResult[SI]/1000,
(tblRiderCFResult[Product]=$V54)
*(tblRiderCFResult[Insured]=$U54)
*(tblRiderCFResult[Risk]=$Y$4)
*(tblRiderCFResult[Year]=1),""))</f>
        <v/>
      </c>
      <c r="AC54" s="152" t="str" cm="1">
        <f t="array" ref="AC54">_xlfn._xlws.FILTER(tblRiderCFResult[TotalPrem]/1000,
(tblRiderCFResult[Product]=$V54)
*(tblRiderCFResult[Insured]=$U54)
*(tblRiderCFResult[Risk]=$Y$4)
*(tblRiderCFResult[Year]=1),"")</f>
        <v/>
      </c>
    </row>
    <row r="55" spans="1:37" ht="15" customHeight="1" x14ac:dyDescent="0.25">
      <c r="R55" s="156"/>
    </row>
    <row r="56" spans="1:37" ht="15" customHeight="1" x14ac:dyDescent="0.25">
      <c r="A56" s="169"/>
      <c r="B56" s="169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56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</row>
    <row r="57" spans="1:37" ht="15" customHeight="1" x14ac:dyDescent="0.25">
      <c r="R57" s="156"/>
    </row>
    <row r="58" spans="1:37" ht="23.25" x14ac:dyDescent="0.35">
      <c r="A58" s="154"/>
      <c r="B58" s="154"/>
      <c r="C58" s="154"/>
      <c r="D58" s="374" t="s">
        <v>312</v>
      </c>
      <c r="E58" s="374"/>
      <c r="F58" s="374"/>
      <c r="G58" s="374"/>
      <c r="H58" s="374"/>
      <c r="I58" s="374"/>
      <c r="J58" s="374"/>
      <c r="K58" s="374"/>
      <c r="L58" s="374"/>
      <c r="M58" s="374"/>
      <c r="N58" s="374"/>
      <c r="O58" s="374"/>
      <c r="P58" s="374"/>
      <c r="Q58" s="154"/>
      <c r="R58" s="156"/>
      <c r="S58" s="154"/>
      <c r="T58" s="154"/>
      <c r="U58" s="154"/>
      <c r="V58" s="154"/>
      <c r="W58" s="154"/>
      <c r="X58" s="374" t="s">
        <v>311</v>
      </c>
      <c r="Y58" s="374"/>
      <c r="Z58" s="374"/>
      <c r="AA58" s="374"/>
      <c r="AB58" s="374"/>
      <c r="AC58" s="374"/>
      <c r="AD58" s="374"/>
      <c r="AE58" s="374"/>
      <c r="AF58" s="374"/>
      <c r="AG58" s="374"/>
      <c r="AH58" s="374"/>
      <c r="AI58" s="374"/>
      <c r="AJ58" s="374"/>
      <c r="AK58" s="154"/>
    </row>
    <row r="59" spans="1:37" ht="15" customHeight="1" x14ac:dyDescent="0.25">
      <c r="A59" s="154"/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6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  <c r="AC59" s="154"/>
      <c r="AD59" s="154"/>
      <c r="AE59" s="154"/>
      <c r="AF59" s="154"/>
      <c r="AG59" s="154"/>
      <c r="AH59" s="154"/>
      <c r="AI59" s="154"/>
      <c r="AJ59" s="154"/>
      <c r="AK59" s="154"/>
    </row>
    <row r="60" spans="1:37" ht="15" customHeight="1" x14ac:dyDescent="0.25">
      <c r="A60" s="154"/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6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  <c r="AD60" s="154"/>
      <c r="AE60" s="154"/>
      <c r="AF60" s="154"/>
      <c r="AG60" s="154"/>
      <c r="AH60" s="154"/>
      <c r="AI60" s="154"/>
      <c r="AJ60" s="154"/>
      <c r="AK60" s="154"/>
    </row>
    <row r="61" spans="1:37" ht="15" customHeight="1" x14ac:dyDescent="0.25">
      <c r="D61" s="17" t="s">
        <v>131</v>
      </c>
      <c r="E61" s="11" t="s">
        <v>135</v>
      </c>
      <c r="R61" s="156"/>
      <c r="X61" s="17" t="s">
        <v>131</v>
      </c>
      <c r="Y61" s="11" t="s">
        <v>135</v>
      </c>
    </row>
    <row r="62" spans="1:37" ht="15" customHeight="1" x14ac:dyDescent="0.25">
      <c r="A62" s="154"/>
      <c r="B62" s="154"/>
      <c r="C62" s="154"/>
      <c r="D62" s="17" t="s">
        <v>132</v>
      </c>
      <c r="E62" s="11" t="s">
        <v>502</v>
      </c>
      <c r="F62" s="154"/>
      <c r="G62" s="154"/>
      <c r="H62" s="154"/>
      <c r="I62" s="154"/>
      <c r="J62" s="154"/>
      <c r="K62" s="154"/>
      <c r="L62" s="154"/>
      <c r="M62" s="154"/>
      <c r="N62" s="154"/>
      <c r="O62" s="154"/>
      <c r="P62" s="154"/>
      <c r="Q62" s="154"/>
      <c r="R62" s="156"/>
      <c r="S62" s="154"/>
      <c r="T62" s="154"/>
      <c r="U62" s="154"/>
      <c r="V62" s="154"/>
      <c r="W62" s="154"/>
      <c r="X62" s="17" t="s">
        <v>132</v>
      </c>
      <c r="Y62" s="11" t="s">
        <v>502</v>
      </c>
      <c r="Z62" s="154"/>
      <c r="AA62" s="154"/>
      <c r="AB62" s="154"/>
      <c r="AC62" s="154"/>
      <c r="AD62" s="154"/>
      <c r="AE62" s="154"/>
      <c r="AF62" s="154"/>
      <c r="AG62" s="154"/>
      <c r="AH62" s="154"/>
      <c r="AI62" s="154"/>
      <c r="AJ62" s="154"/>
      <c r="AK62" s="154"/>
    </row>
    <row r="63" spans="1:37" ht="15" customHeight="1" x14ac:dyDescent="0.25">
      <c r="A63" s="154"/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6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154"/>
      <c r="AE63" s="154"/>
      <c r="AF63" s="154"/>
      <c r="AG63" s="154"/>
      <c r="AH63" s="154"/>
      <c r="AI63" s="154"/>
      <c r="AJ63" s="154"/>
      <c r="AK63" s="154"/>
    </row>
    <row r="64" spans="1:37" ht="15" customHeight="1" x14ac:dyDescent="0.25">
      <c r="A64" s="154"/>
      <c r="B64" s="154"/>
      <c r="C64" s="154"/>
      <c r="D64" s="168" t="s">
        <v>130</v>
      </c>
      <c r="E64" s="155" t="s">
        <v>139</v>
      </c>
      <c r="F64" s="155" t="s">
        <v>139</v>
      </c>
      <c r="G64" s="155" t="s">
        <v>139</v>
      </c>
      <c r="H64" s="155" t="s">
        <v>139</v>
      </c>
      <c r="I64" s="155" t="s">
        <v>139</v>
      </c>
      <c r="J64" s="155" t="s">
        <v>139</v>
      </c>
      <c r="K64" s="155" t="s">
        <v>144</v>
      </c>
      <c r="L64" s="155" t="s">
        <v>144</v>
      </c>
      <c r="M64" s="155" t="s">
        <v>144</v>
      </c>
      <c r="N64" s="155" t="s">
        <v>134</v>
      </c>
      <c r="O64" s="155" t="s">
        <v>134</v>
      </c>
      <c r="P64" s="155" t="s">
        <v>134</v>
      </c>
      <c r="Q64" s="154"/>
      <c r="R64" s="156"/>
      <c r="S64" s="154"/>
      <c r="T64" s="154"/>
      <c r="U64" s="154"/>
      <c r="V64" s="154"/>
      <c r="W64" s="154"/>
      <c r="X64" s="167" t="s">
        <v>130</v>
      </c>
      <c r="Y64" s="166" t="s">
        <v>139</v>
      </c>
      <c r="Z64" s="166" t="s">
        <v>139</v>
      </c>
      <c r="AA64" s="166" t="s">
        <v>139</v>
      </c>
      <c r="AB64" s="166" t="s">
        <v>139</v>
      </c>
      <c r="AC64" s="166" t="s">
        <v>139</v>
      </c>
      <c r="AD64" s="166" t="s">
        <v>139</v>
      </c>
      <c r="AE64" s="166" t="s">
        <v>139</v>
      </c>
      <c r="AF64" s="166" t="s">
        <v>139</v>
      </c>
      <c r="AG64" s="166" t="s">
        <v>139</v>
      </c>
      <c r="AH64" s="166" t="s">
        <v>139</v>
      </c>
      <c r="AI64" s="166" t="s">
        <v>139</v>
      </c>
      <c r="AJ64" s="166" t="s">
        <v>134</v>
      </c>
      <c r="AK64" s="166" t="s">
        <v>134</v>
      </c>
    </row>
    <row r="65" spans="1:37" ht="15" customHeight="1" x14ac:dyDescent="0.25">
      <c r="A65" s="154"/>
      <c r="B65" s="154"/>
      <c r="C65" s="154"/>
      <c r="D65" s="165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64" t="s">
        <v>310</v>
      </c>
      <c r="Q65" s="154"/>
      <c r="R65" s="156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54"/>
      <c r="AI65" s="154"/>
      <c r="AJ65" s="154"/>
      <c r="AK65" s="154"/>
    </row>
    <row r="66" spans="1:37" ht="15" customHeight="1" x14ac:dyDescent="0.25">
      <c r="A66" s="154"/>
      <c r="B66" s="154"/>
      <c r="C66" s="154"/>
      <c r="D66" s="373" t="s">
        <v>299</v>
      </c>
      <c r="E66" s="373" t="s">
        <v>309</v>
      </c>
      <c r="F66" s="373" t="s">
        <v>308</v>
      </c>
      <c r="G66" s="373" t="s">
        <v>108</v>
      </c>
      <c r="H66" s="373" t="s">
        <v>307</v>
      </c>
      <c r="I66" s="373"/>
      <c r="J66" s="373"/>
      <c r="K66" s="373" t="s">
        <v>144</v>
      </c>
      <c r="L66" s="373"/>
      <c r="M66" s="373"/>
      <c r="N66" s="373" t="s">
        <v>134</v>
      </c>
      <c r="O66" s="373"/>
      <c r="P66" s="373"/>
      <c r="Q66" s="154"/>
      <c r="R66" s="156"/>
      <c r="S66" s="154"/>
      <c r="T66" s="154"/>
      <c r="U66" s="154"/>
      <c r="V66" s="154"/>
      <c r="W66" s="154"/>
      <c r="X66" s="163"/>
      <c r="Y66" s="375" t="s">
        <v>306</v>
      </c>
      <c r="Z66" s="376"/>
      <c r="AA66" s="377"/>
      <c r="AB66" s="375" t="s">
        <v>305</v>
      </c>
      <c r="AC66" s="376"/>
      <c r="AD66" s="377"/>
      <c r="AE66" s="375" t="s">
        <v>304</v>
      </c>
      <c r="AF66" s="376"/>
      <c r="AG66" s="377"/>
      <c r="AH66" s="375" t="s">
        <v>303</v>
      </c>
      <c r="AI66" s="377"/>
      <c r="AJ66" s="375" t="s">
        <v>302</v>
      </c>
      <c r="AK66" s="377"/>
    </row>
    <row r="67" spans="1:37" ht="15" customHeight="1" x14ac:dyDescent="0.25">
      <c r="A67" s="161" t="s">
        <v>17</v>
      </c>
      <c r="B67" s="161" t="s">
        <v>20</v>
      </c>
      <c r="C67" s="160"/>
      <c r="D67" s="373"/>
      <c r="E67" s="373"/>
      <c r="F67" s="373"/>
      <c r="G67" s="373"/>
      <c r="H67" s="162" t="s">
        <v>301</v>
      </c>
      <c r="I67" s="162" t="s">
        <v>300</v>
      </c>
      <c r="J67" s="162" t="s">
        <v>37</v>
      </c>
      <c r="K67" s="162" t="s">
        <v>301</v>
      </c>
      <c r="L67" s="162" t="s">
        <v>300</v>
      </c>
      <c r="M67" s="162" t="s">
        <v>37</v>
      </c>
      <c r="N67" s="162" t="s">
        <v>301</v>
      </c>
      <c r="O67" s="162" t="s">
        <v>300</v>
      </c>
      <c r="P67" s="162" t="s">
        <v>37</v>
      </c>
      <c r="Q67" s="154"/>
      <c r="R67" s="156"/>
      <c r="S67" s="154"/>
      <c r="T67" s="161" t="s">
        <v>17</v>
      </c>
      <c r="U67" s="161" t="s">
        <v>20</v>
      </c>
      <c r="W67" s="160"/>
      <c r="X67" s="159" t="s">
        <v>299</v>
      </c>
      <c r="Y67" s="159" t="s">
        <v>50</v>
      </c>
      <c r="Z67" s="159" t="s">
        <v>54</v>
      </c>
      <c r="AA67" s="159" t="s">
        <v>298</v>
      </c>
      <c r="AB67" s="159" t="s">
        <v>50</v>
      </c>
      <c r="AC67" s="159" t="s">
        <v>54</v>
      </c>
      <c r="AD67" s="159" t="s">
        <v>298</v>
      </c>
      <c r="AE67" s="159" t="s">
        <v>50</v>
      </c>
      <c r="AF67" s="159" t="s">
        <v>54</v>
      </c>
      <c r="AG67" s="159" t="s">
        <v>298</v>
      </c>
      <c r="AH67" s="159" t="s">
        <v>297</v>
      </c>
      <c r="AI67" s="159" t="s">
        <v>89</v>
      </c>
      <c r="AJ67" s="159" t="s">
        <v>297</v>
      </c>
      <c r="AK67" s="159" t="s">
        <v>89</v>
      </c>
    </row>
    <row r="68" spans="1:37" ht="15" customHeight="1" x14ac:dyDescent="0.25">
      <c r="A68" s="155">
        <v>1</v>
      </c>
      <c r="B68" s="155">
        <f t="shared" ref="B68:B99" si="4">mainLI_entry_age+A68-1</f>
        <v>0</v>
      </c>
      <c r="C68" s="154"/>
      <c r="D68" s="153" t="str">
        <f t="shared" ref="D68:D99" si="5">$A68&amp;"/"&amp;$B68</f>
        <v>1/0</v>
      </c>
      <c r="E68" s="157" cm="1">
        <f t="array" ref="E68">_xlfn._xlws.FILTER(tblBaseCFResult[TotalPrem]/1000,
(tblBaseCFResult[Year]=$A68)
*(tblBaseCFResult[Risk]=$E$61)
*(tblBaseCFResult[PremTermScenario]=$E$62)
*(tblBaseCFResult[IntRateScenario]=E$64),"")</f>
        <v>6272</v>
      </c>
      <c r="F68" s="157" cm="1">
        <f t="array" ref="F68">_xlfn._xlws.FILTER(tblBaseCFResult[AccumTotalPrem]/1000,
(tblBaseCFResult[Year]=$A68)
*(tblBaseCFResult[Risk]=$E$61)
*(tblBaseCFResult[PremTermScenario]=$E$62)
*(tblBaseCFResult[IntRateScenario]=F$64),"")</f>
        <v>6272</v>
      </c>
      <c r="G68" s="157" cm="1">
        <f t="array" ref="G68">_xlfn._xlws.FILTER(ROUND(tblBaseCFResult[SemiAnnualTotalPrem],-3)/1000,
(tblBaseCFResult[Year]=$A68)
*(tblBaseCFResult[Risk]=$E$61)
*(tblBaseCFResult[PremTermScenario]=$E$62)
*(tblBaseCFResult[IntRateScenario]=G$64),"")</f>
        <v>3136</v>
      </c>
      <c r="H68" s="157" cm="1">
        <f t="array" ref="H68">_xlfn._xlws.FILTER(tblBaseCFResult[Ben]/1000,
(tblBaseCFResult[Year]=$A68)
*(tblBaseCFResult[Risk]=$E$61)
*(tblBaseCFResult[PremTermScenario]=$E$62)
*(tblBaseCFResult[IntRateScenario]=H$64),"")</f>
        <v>101000</v>
      </c>
      <c r="I68" s="157" cm="1">
        <f t="array" ref="I68">_xlfn._xlws.FILTER(ROUND(tblBaseCFResult[EndPAV],-3)/1000,
(tblBaseCFResult[Year]=$A68)
*(tblBaseCFResult[Risk]=$E$61)
*(tblBaseCFResult[PremTermScenario]=$E$62)
*(tblBaseCFResult[IntRateScenario]=I$64),"")</f>
        <v>4919</v>
      </c>
      <c r="J68" s="157" cm="1">
        <f t="array" ref="J68">_xlfn._xlws.FILTER(ROUND(tblBaseCFResult[SV],-3)/1000,
(tblBaseCFResult[Year]=$A68)
*(tblBaseCFResult[Risk]=$E$61)
*(tblBaseCFResult[PremTermScenario]=$E$62)
*(tblBaseCFResult[IntRateScenario]=J$64),"")</f>
        <v>0</v>
      </c>
      <c r="K68" s="157" cm="1">
        <f t="array" ref="K68">_xlfn._xlws.FILTER(tblBaseCFResult[Ben]/1000,
(tblBaseCFResult[Year]=$A68)
*(tblBaseCFResult[Risk]=$E$61)
*(tblBaseCFResult[PremTermScenario]=$E$62)
*(tblBaseCFResult[IntRateScenario]=K$64),"")</f>
        <v>101000</v>
      </c>
      <c r="L68" s="157" cm="1">
        <f t="array" ref="L68">_xlfn._xlws.FILTER(ROUND(tblBaseCFResult[EndPAV],-3)/1000,
(tblBaseCFResult[Year]=$A68)
*(tblBaseCFResult[Risk]=$E$61)
*(tblBaseCFResult[PremTermScenario]=$E$62)
*(tblBaseCFResult[IntRateScenario]=L$64),"")</f>
        <v>5074</v>
      </c>
      <c r="M68" s="157" cm="1">
        <f t="array" ref="M68">_xlfn._xlws.FILTER(ROUND(tblBaseCFResult[SV],-3)/1000,
(tblBaseCFResult[Year]=$A68)
*(tblBaseCFResult[Risk]=$E$61)
*(tblBaseCFResult[PremTermScenario]=$E$62)
*(tblBaseCFResult[IntRateScenario]=M$64),"")</f>
        <v>0</v>
      </c>
      <c r="N68" s="157" cm="1">
        <f t="array" ref="N68">_xlfn._xlws.FILTER(tblBaseCFResult[Ben]/1000,
(tblBaseCFResult[Year]=$A68)
*(tblBaseCFResult[Risk]=$E$61)
*(tblBaseCFResult[PremTermScenario]=$E$62)
*(tblBaseCFResult[IntRateScenario]=N$64),"")</f>
        <v>101000</v>
      </c>
      <c r="O68" s="157" cm="1">
        <f t="array" ref="O68">_xlfn._xlws.FILTER(ROUND(tblBaseCFResult[EndPAV],-3)/1000,
(tblBaseCFResult[Year]=$A68)
*(tblBaseCFResult[Risk]=$E$61)
*(tblBaseCFResult[PremTermScenario]=$E$62)
*(tblBaseCFResult[IntRateScenario]=O$64),"")</f>
        <v>5178</v>
      </c>
      <c r="P68" s="157" cm="1">
        <f t="array" ref="P68">_xlfn._xlws.FILTER(ROUND(tblBaseCFResult[SV],-3)/1000,
(tblBaseCFResult[Year]=$A68)
*(tblBaseCFResult[Risk]=$E$61)
*(tblBaseCFResult[PremTermScenario]=$E$62)
*(tblBaseCFResult[IntRateScenario]=P$64),"")</f>
        <v>0</v>
      </c>
      <c r="Q68" s="154"/>
      <c r="R68" s="156"/>
      <c r="S68" s="154"/>
      <c r="T68" s="155">
        <v>1</v>
      </c>
      <c r="U68" s="155">
        <f t="shared" ref="U68:U99" si="6">mainLI_entry_age+T68-1</f>
        <v>0</v>
      </c>
      <c r="W68" s="154"/>
      <c r="X68" s="153" t="str">
        <f t="shared" ref="X68:X99" si="7">$T68&amp;"/"&amp;$U68</f>
        <v>1/0</v>
      </c>
      <c r="Y68" s="158" cm="1">
        <f t="array" ref="Y68">_xlfn._xlws.FILTER(tblBaseCFResult[TP]/1000,
(tblBaseCFResult[Year]=$T68)
*(tblBaseCFResult[Risk]=$Y$61)
*(tblBaseCFResult[PremTermScenario]=$Y$62)
*(tblBaseCFResult[IntRateScenario]=Y$64),"")</f>
        <v>1072</v>
      </c>
      <c r="Z68" s="158" cm="1">
        <f t="array" ref="Z68">_xlfn._xlws.FILTER(tblBaseCFResult[EP]/1000,
(tblBaseCFResult[Year]=$T68)
*(tblBaseCFResult[Risk]=$Y$61)
*(tblBaseCFResult[PremTermScenario]=$Y$62)
*(tblBaseCFResult[IntRateScenario]=Z$64),"")</f>
        <v>5200</v>
      </c>
      <c r="AA68" s="152">
        <f t="shared" ref="AA68:AA99" si="8">IFERROR(Y68+Z68,"")</f>
        <v>6272</v>
      </c>
      <c r="AB68" s="158" cm="1">
        <f t="array" ref="AB68">_xlfn._xlws.FILTER(ROUND(tblBaseCFResult[AllocChrg],-3)/1000,
(tblBaseCFResult[Year]=$T68)
*(tblBaseCFResult[Risk]=$Y$61)
*(tblBaseCFResult[PremTermScenario]=$Y$62)
*(tblBaseCFResult[IntRateScenario]=AB$64),"")</f>
        <v>694</v>
      </c>
      <c r="AC68" s="158" cm="1">
        <f t="array" ref="AC68">_xlfn._xlws.FILTER(ROUND(tblBaseCFResult[EPAllocChrg],-3)/1000,
(tblBaseCFResult[Year]=$T68)
*(tblBaseCFResult[Risk]=$Y$61)
*(tblBaseCFResult[PremTermScenario]=$Y$62)
*(tblBaseCFResult[IntRateScenario]=AC$64),"")</f>
        <v>104</v>
      </c>
      <c r="AD68" s="152">
        <f t="shared" ref="AD68:AD99" si="9">IFERROR(AB68+AC68,"")</f>
        <v>798</v>
      </c>
      <c r="AE68" s="158">
        <f t="shared" ref="AE68:AE99" si="10">IFERROR(Y68-AB68,"")</f>
        <v>378</v>
      </c>
      <c r="AF68" s="158">
        <f t="shared" ref="AF68:AF99" si="11">IFERROR(Z68-AC68,"")</f>
        <v>5096</v>
      </c>
      <c r="AG68" s="152">
        <f t="shared" ref="AG68:AG99" si="12">IFERROR(AA68-AD68,"")</f>
        <v>5474</v>
      </c>
      <c r="AH68" s="158" cm="1">
        <f t="array" ref="AH68">_xlfn._xlws.FILTER(ROUND(tblBaseCFResult[AdminChrg],-3)/1000,
(tblBaseCFResult[Year]=$T68)
*(tblBaseCFResult[Risk]=$Y$61)
*(tblBaseCFResult[PremTermScenario]=$Y$62)
*(tblBaseCFResult[IntRateScenario]=AH$64),"")</f>
        <v>300</v>
      </c>
      <c r="AI68" s="158" cm="1">
        <f t="array" ref="AI68">_xlfn._xlws.FILTER(ROUND(tblBaseCFResult[COI],-3)/1000,
(tblBaseCFResult[Year]=$T68)
*(tblBaseCFResult[Risk]=$Y$61)
*(tblBaseCFResult[PremTermScenario]=$Y$62)
*(tblBaseCFResult[IntRateScenario]=AI$64),"")</f>
        <v>463</v>
      </c>
      <c r="AJ68" s="158" cm="1">
        <f t="array" ref="AJ68">_xlfn._xlws.FILTER(ROUND(tblBaseCFResult[AdminChrg],-3)/1000,
(tblBaseCFResult[Year]=$T68)
*(tblBaseCFResult[Risk]=$Y$61)
*(tblBaseCFResult[PremTermScenario]=$Y$62)
*(tblBaseCFResult[IntRateScenario]=AJ$64),"")</f>
        <v>300</v>
      </c>
      <c r="AK68" s="158" cm="1">
        <f t="array" ref="AK68">_xlfn._xlws.FILTER(ROUND(tblBaseCFResult[COI],-3)/1000,
(tblBaseCFResult[Year]=$T68)
*(tblBaseCFResult[Risk]=$Y$61)
*(tblBaseCFResult[PremTermScenario]=$Y$62)
*(tblBaseCFResult[IntRateScenario]=AK$64),"")</f>
        <v>463</v>
      </c>
    </row>
    <row r="69" spans="1:37" ht="15" customHeight="1" x14ac:dyDescent="0.25">
      <c r="A69" s="155">
        <v>2</v>
      </c>
      <c r="B69" s="155">
        <f t="shared" si="4"/>
        <v>1</v>
      </c>
      <c r="C69" s="154"/>
      <c r="D69" s="153" t="str">
        <f t="shared" si="5"/>
        <v>2/1</v>
      </c>
      <c r="E69" s="157" cm="1">
        <f t="array" ref="E69">_xlfn._xlws.FILTER(tblBaseCFResult[TotalPrem]/1000,
(tblBaseCFResult[Year]=$A69)
*(tblBaseCFResult[Risk]=$E$61)
*(tblBaseCFResult[PremTermScenario]=$E$62)
*(tblBaseCFResult[IntRateScenario]=E$64),"")</f>
        <v>6272</v>
      </c>
      <c r="F69" s="157" cm="1">
        <f t="array" ref="F69">_xlfn._xlws.FILTER(tblBaseCFResult[AccumTotalPrem]/1000,
(tblBaseCFResult[Year]=$A69)
*(tblBaseCFResult[Risk]=$E$61)
*(tblBaseCFResult[PremTermScenario]=$E$62)
*(tblBaseCFResult[IntRateScenario]=F$64),"")</f>
        <v>12544</v>
      </c>
      <c r="G69" s="157" cm="1">
        <f t="array" ref="G69">_xlfn._xlws.FILTER(ROUND(tblBaseCFResult[SemiAnnualTotalPrem],-3)/1000,
(tblBaseCFResult[Year]=$A69)
*(tblBaseCFResult[Risk]=$E$61)
*(tblBaseCFResult[PremTermScenario]=$E$62)
*(tblBaseCFResult[IntRateScenario]=G$64),"")</f>
        <v>3136</v>
      </c>
      <c r="H69" s="157" cm="1">
        <f t="array" ref="H69">_xlfn._xlws.FILTER(tblBaseCFResult[Ben]/1000,
(tblBaseCFResult[Year]=$A69)
*(tblBaseCFResult[Risk]=$E$61)
*(tblBaseCFResult[PremTermScenario]=$E$62)
*(tblBaseCFResult[IntRateScenario]=H$64),"")</f>
        <v>101000</v>
      </c>
      <c r="I69" s="157" cm="1">
        <f t="array" ref="I69">_xlfn._xlws.FILTER(ROUND(tblBaseCFResult[EndPAV],-3)/1000,
(tblBaseCFResult[Year]=$A69)
*(tblBaseCFResult[Risk]=$E$61)
*(tblBaseCFResult[PremTermScenario]=$E$62)
*(tblBaseCFResult[IntRateScenario]=I$64),"")</f>
        <v>10211</v>
      </c>
      <c r="J69" s="157" cm="1">
        <f t="array" ref="J69">_xlfn._xlws.FILTER(ROUND(tblBaseCFResult[SV],-3)/1000,
(tblBaseCFResult[Year]=$A69)
*(tblBaseCFResult[Risk]=$E$61)
*(tblBaseCFResult[PremTermScenario]=$E$62)
*(tblBaseCFResult[IntRateScenario]=J$64),"")</f>
        <v>4919</v>
      </c>
      <c r="K69" s="157" cm="1">
        <f t="array" ref="K69">_xlfn._xlws.FILTER(tblBaseCFResult[Ben]/1000,
(tblBaseCFResult[Year]=$A69)
*(tblBaseCFResult[Risk]=$E$61)
*(tblBaseCFResult[PremTermScenario]=$E$62)
*(tblBaseCFResult[IntRateScenario]=K$64),"")</f>
        <v>101000</v>
      </c>
      <c r="L69" s="157" cm="1">
        <f t="array" ref="L69">_xlfn._xlws.FILTER(ROUND(tblBaseCFResult[EndPAV],-3)/1000,
(tblBaseCFResult[Year]=$A69)
*(tblBaseCFResult[Risk]=$E$61)
*(tblBaseCFResult[PremTermScenario]=$E$62)
*(tblBaseCFResult[IntRateScenario]=L$64),"")</f>
        <v>10683</v>
      </c>
      <c r="M69" s="157" cm="1">
        <f t="array" ref="M69">_xlfn._xlws.FILTER(ROUND(tblBaseCFResult[SV],-3)/1000,
(tblBaseCFResult[Year]=$A69)
*(tblBaseCFResult[Risk]=$E$61)
*(tblBaseCFResult[PremTermScenario]=$E$62)
*(tblBaseCFResult[IntRateScenario]=M$64),"")</f>
        <v>5074</v>
      </c>
      <c r="N69" s="157" cm="1">
        <f t="array" ref="N69">_xlfn._xlws.FILTER(tblBaseCFResult[Ben]/1000,
(tblBaseCFResult[Year]=$A69)
*(tblBaseCFResult[Risk]=$E$61)
*(tblBaseCFResult[PremTermScenario]=$E$62)
*(tblBaseCFResult[IntRateScenario]=N$64),"")</f>
        <v>101000</v>
      </c>
      <c r="O69" s="157" cm="1">
        <f t="array" ref="O69">_xlfn._xlws.FILTER(ROUND(tblBaseCFResult[EndPAV],-3)/1000,
(tblBaseCFResult[Year]=$A69)
*(tblBaseCFResult[Risk]=$E$61)
*(tblBaseCFResult[PremTermScenario]=$E$62)
*(tblBaseCFResult[IntRateScenario]=O$64),"")</f>
        <v>11003</v>
      </c>
      <c r="P69" s="157" cm="1">
        <f t="array" ref="P69">_xlfn._xlws.FILTER(ROUND(tblBaseCFResult[SV],-3)/1000,
(tblBaseCFResult[Year]=$A69)
*(tblBaseCFResult[Risk]=$E$61)
*(tblBaseCFResult[PremTermScenario]=$E$62)
*(tblBaseCFResult[IntRateScenario]=P$64),"")</f>
        <v>5178</v>
      </c>
      <c r="Q69" s="154"/>
      <c r="R69" s="156"/>
      <c r="S69" s="154"/>
      <c r="T69" s="155">
        <v>2</v>
      </c>
      <c r="U69" s="155">
        <f t="shared" si="6"/>
        <v>1</v>
      </c>
      <c r="W69" s="154"/>
      <c r="X69" s="153" t="str">
        <f t="shared" si="7"/>
        <v>2/1</v>
      </c>
      <c r="Y69" s="152" cm="1">
        <f t="array" ref="Y69">_xlfn._xlws.FILTER(tblBaseCFResult[TP]/1000,
(tblBaseCFResult[Year]=$T69)
*(tblBaseCFResult[Risk]=$Y$61)
*(tblBaseCFResult[PremTermScenario]=$Y$62)
*(tblBaseCFResult[IntRateScenario]=Y$64),"")</f>
        <v>1072</v>
      </c>
      <c r="Z69" s="152" cm="1">
        <f t="array" ref="Z69">_xlfn._xlws.FILTER(tblBaseCFResult[EP]/1000,
(tblBaseCFResult[Year]=$T69)
*(tblBaseCFResult[Risk]=$Y$61)
*(tblBaseCFResult[PremTermScenario]=$Y$62)
*(tblBaseCFResult[IntRateScenario]=Z$64),"")</f>
        <v>5200</v>
      </c>
      <c r="AA69" s="152">
        <f t="shared" si="8"/>
        <v>6272</v>
      </c>
      <c r="AB69" s="152" cm="1">
        <f t="array" ref="AB69">_xlfn._xlws.FILTER(ROUND(tblBaseCFResult[AllocChrg],-3)/1000,
(tblBaseCFResult[Year]=$T69)
*(tblBaseCFResult[Risk]=$Y$61)
*(tblBaseCFResult[PremTermScenario]=$Y$62)
*(tblBaseCFResult[IntRateScenario]=AB$64),"")</f>
        <v>533</v>
      </c>
      <c r="AC69" s="152" cm="1">
        <f t="array" ref="AC69">_xlfn._xlws.FILTER(ROUND(tblBaseCFResult[EPAllocChrg],-3)/1000,
(tblBaseCFResult[Year]=$T69)
*(tblBaseCFResult[Risk]=$Y$61)
*(tblBaseCFResult[PremTermScenario]=$Y$62)
*(tblBaseCFResult[IntRateScenario]=AC$64),"")</f>
        <v>104</v>
      </c>
      <c r="AD69" s="152">
        <f t="shared" si="9"/>
        <v>637</v>
      </c>
      <c r="AE69" s="152">
        <f t="shared" si="10"/>
        <v>539</v>
      </c>
      <c r="AF69" s="152">
        <f t="shared" si="11"/>
        <v>5096</v>
      </c>
      <c r="AG69" s="152">
        <f t="shared" si="12"/>
        <v>5635</v>
      </c>
      <c r="AH69" s="152" cm="1">
        <f t="array" ref="AH69">_xlfn._xlws.FILTER(ROUND(tblBaseCFResult[AdminChrg],-3)/1000,
(tblBaseCFResult[Year]=$T69)
*(tblBaseCFResult[Risk]=$Y$61)
*(tblBaseCFResult[PremTermScenario]=$Y$62)
*(tblBaseCFResult[IntRateScenario]=AH$64),"")</f>
        <v>300</v>
      </c>
      <c r="AI69" s="152" cm="1">
        <f t="array" ref="AI69">_xlfn._xlws.FILTER(ROUND(tblBaseCFResult[COI],-3)/1000,
(tblBaseCFResult[Year]=$T69)
*(tblBaseCFResult[Risk]=$Y$61)
*(tblBaseCFResult[PremTermScenario]=$Y$62)
*(tblBaseCFResult[IntRateScenario]=AI$64),"")</f>
        <v>353</v>
      </c>
      <c r="AJ69" s="152" cm="1">
        <f t="array" ref="AJ69">_xlfn._xlws.FILTER(ROUND(tblBaseCFResult[AdminChrg],-3)/1000,
(tblBaseCFResult[Year]=$T69)
*(tblBaseCFResult[Risk]=$Y$61)
*(tblBaseCFResult[PremTermScenario]=$Y$62)
*(tblBaseCFResult[IntRateScenario]=AJ$64),"")</f>
        <v>300</v>
      </c>
      <c r="AK69" s="152" cm="1">
        <f t="array" ref="AK69">_xlfn._xlws.FILTER(ROUND(tblBaseCFResult[COI],-3)/1000,
(tblBaseCFResult[Year]=$T69)
*(tblBaseCFResult[Risk]=$Y$61)
*(tblBaseCFResult[PremTermScenario]=$Y$62)
*(tblBaseCFResult[IntRateScenario]=AK$64),"")</f>
        <v>353</v>
      </c>
    </row>
    <row r="70" spans="1:37" ht="15" customHeight="1" x14ac:dyDescent="0.25">
      <c r="A70" s="155">
        <v>3</v>
      </c>
      <c r="B70" s="155">
        <f t="shared" si="4"/>
        <v>2</v>
      </c>
      <c r="C70" s="154"/>
      <c r="D70" s="153" t="str">
        <f t="shared" si="5"/>
        <v>3/2</v>
      </c>
      <c r="E70" s="157" cm="1">
        <f t="array" ref="E70">_xlfn._xlws.FILTER(tblBaseCFResult[TotalPrem]/1000,
(tblBaseCFResult[Year]=$A70)
*(tblBaseCFResult[Risk]=$E$61)
*(tblBaseCFResult[PremTermScenario]=$E$62)
*(tblBaseCFResult[IntRateScenario]=E$64),"")</f>
        <v>6272</v>
      </c>
      <c r="F70" s="157" cm="1">
        <f t="array" ref="F70">_xlfn._xlws.FILTER(tblBaseCFResult[AccumTotalPrem]/1000,
(tblBaseCFResult[Year]=$A70)
*(tblBaseCFResult[Risk]=$E$61)
*(tblBaseCFResult[PremTermScenario]=$E$62)
*(tblBaseCFResult[IntRateScenario]=F$64),"")</f>
        <v>18816</v>
      </c>
      <c r="G70" s="157" cm="1">
        <f t="array" ref="G70">_xlfn._xlws.FILTER(ROUND(tblBaseCFResult[SemiAnnualTotalPrem],-3)/1000,
(tblBaseCFResult[Year]=$A70)
*(tblBaseCFResult[Risk]=$E$61)
*(tblBaseCFResult[PremTermScenario]=$E$62)
*(tblBaseCFResult[IntRateScenario]=G$64),"")</f>
        <v>3136</v>
      </c>
      <c r="H70" s="157" cm="1">
        <f t="array" ref="H70">_xlfn._xlws.FILTER(tblBaseCFResult[Ben]/1000,
(tblBaseCFResult[Year]=$A70)
*(tblBaseCFResult[Risk]=$E$61)
*(tblBaseCFResult[PremTermScenario]=$E$62)
*(tblBaseCFResult[IntRateScenario]=H$64),"")</f>
        <v>101000</v>
      </c>
      <c r="I70" s="157" cm="1">
        <f t="array" ref="I70">_xlfn._xlws.FILTER(ROUND(tblBaseCFResult[EndPAV],-3)/1000,
(tblBaseCFResult[Year]=$A70)
*(tblBaseCFResult[Risk]=$E$61)
*(tblBaseCFResult[PremTermScenario]=$E$62)
*(tblBaseCFResult[IntRateScenario]=I$64),"")</f>
        <v>15781</v>
      </c>
      <c r="J70" s="157" cm="1">
        <f t="array" ref="J70">_xlfn._xlws.FILTER(ROUND(tblBaseCFResult[SV],-3)/1000,
(tblBaseCFResult[Year]=$A70)
*(tblBaseCFResult[Risk]=$E$61)
*(tblBaseCFResult[PremTermScenario]=$E$62)
*(tblBaseCFResult[IntRateScenario]=J$64),"")</f>
        <v>10211</v>
      </c>
      <c r="K70" s="157" cm="1">
        <f t="array" ref="K70">_xlfn._xlws.FILTER(tblBaseCFResult[Ben]/1000,
(tblBaseCFResult[Year]=$A70)
*(tblBaseCFResult[Risk]=$E$61)
*(tblBaseCFResult[PremTermScenario]=$E$62)
*(tblBaseCFResult[IntRateScenario]=K$64),"")</f>
        <v>101000</v>
      </c>
      <c r="L70" s="157" cm="1">
        <f t="array" ref="L70">_xlfn._xlws.FILTER(ROUND(tblBaseCFResult[EndPAV],-3)/1000,
(tblBaseCFResult[Year]=$A70)
*(tblBaseCFResult[Risk]=$E$61)
*(tblBaseCFResult[PremTermScenario]=$E$62)
*(tblBaseCFResult[IntRateScenario]=L$64),"")</f>
        <v>16750</v>
      </c>
      <c r="M70" s="157" cm="1">
        <f t="array" ref="M70">_xlfn._xlws.FILTER(ROUND(tblBaseCFResult[SV],-3)/1000,
(tblBaseCFResult[Year]=$A70)
*(tblBaseCFResult[Risk]=$E$61)
*(tblBaseCFResult[PremTermScenario]=$E$62)
*(tblBaseCFResult[IntRateScenario]=M$64),"")</f>
        <v>10679</v>
      </c>
      <c r="N70" s="157" cm="1">
        <f t="array" ref="N70">_xlfn._xlws.FILTER(tblBaseCFResult[Ben]/1000,
(tblBaseCFResult[Year]=$A70)
*(tblBaseCFResult[Risk]=$E$61)
*(tblBaseCFResult[PremTermScenario]=$E$62)
*(tblBaseCFResult[IntRateScenario]=N$64),"")</f>
        <v>101000</v>
      </c>
      <c r="O70" s="157" cm="1">
        <f t="array" ref="O70">_xlfn._xlws.FILTER(ROUND(tblBaseCFResult[EndPAV],-3)/1000,
(tblBaseCFResult[Year]=$A70)
*(tblBaseCFResult[Risk]=$E$61)
*(tblBaseCFResult[PremTermScenario]=$E$62)
*(tblBaseCFResult[IntRateScenario]=O$64),"")</f>
        <v>17418</v>
      </c>
      <c r="P70" s="157" cm="1">
        <f t="array" ref="P70">_xlfn._xlws.FILTER(ROUND(tblBaseCFResult[SV],-3)/1000,
(tblBaseCFResult[Year]=$A70)
*(tblBaseCFResult[Risk]=$E$61)
*(tblBaseCFResult[PremTermScenario]=$E$62)
*(tblBaseCFResult[IntRateScenario]=P$64),"")</f>
        <v>10993</v>
      </c>
      <c r="Q70" s="154"/>
      <c r="R70" s="156"/>
      <c r="S70" s="154"/>
      <c r="T70" s="155">
        <v>3</v>
      </c>
      <c r="U70" s="155">
        <f t="shared" si="6"/>
        <v>2</v>
      </c>
      <c r="W70" s="154"/>
      <c r="X70" s="153" t="str">
        <f t="shared" si="7"/>
        <v>3/2</v>
      </c>
      <c r="Y70" s="152" cm="1">
        <f t="array" ref="Y70">_xlfn._xlws.FILTER(tblBaseCFResult[TP]/1000,
(tblBaseCFResult[Year]=$T70)
*(tblBaseCFResult[Risk]=$Y$61)
*(tblBaseCFResult[PremTermScenario]=$Y$62)
*(tblBaseCFResult[IntRateScenario]=Y$64),"")</f>
        <v>1072</v>
      </c>
      <c r="Z70" s="152" cm="1">
        <f t="array" ref="Z70">_xlfn._xlws.FILTER(tblBaseCFResult[EP]/1000,
(tblBaseCFResult[Year]=$T70)
*(tblBaseCFResult[Risk]=$Y$61)
*(tblBaseCFResult[PremTermScenario]=$Y$62)
*(tblBaseCFResult[IntRateScenario]=Z$64),"")</f>
        <v>5200</v>
      </c>
      <c r="AA70" s="152">
        <f t="shared" si="8"/>
        <v>6272</v>
      </c>
      <c r="AB70" s="152" cm="1">
        <f t="array" ref="AB70">_xlfn._xlws.FILTER(ROUND(tblBaseCFResult[AllocChrg],-3)/1000,
(tblBaseCFResult[Year]=$T70)
*(tblBaseCFResult[Risk]=$Y$61)
*(tblBaseCFResult[PremTermScenario]=$Y$62)
*(tblBaseCFResult[IntRateScenario]=AB$64),"")</f>
        <v>372</v>
      </c>
      <c r="AC70" s="152" cm="1">
        <f t="array" ref="AC70">_xlfn._xlws.FILTER(ROUND(tblBaseCFResult[EPAllocChrg],-3)/1000,
(tblBaseCFResult[Year]=$T70)
*(tblBaseCFResult[Risk]=$Y$61)
*(tblBaseCFResult[PremTermScenario]=$Y$62)
*(tblBaseCFResult[IntRateScenario]=AC$64),"")</f>
        <v>104</v>
      </c>
      <c r="AD70" s="152">
        <f t="shared" si="9"/>
        <v>476</v>
      </c>
      <c r="AE70" s="152">
        <f t="shared" si="10"/>
        <v>700</v>
      </c>
      <c r="AF70" s="152">
        <f t="shared" si="11"/>
        <v>5096</v>
      </c>
      <c r="AG70" s="152">
        <f t="shared" si="12"/>
        <v>5796</v>
      </c>
      <c r="AH70" s="152" cm="1">
        <f t="array" ref="AH70">_xlfn._xlws.FILTER(ROUND(tblBaseCFResult[AdminChrg],-3)/1000,
(tblBaseCFResult[Year]=$T70)
*(tblBaseCFResult[Risk]=$Y$61)
*(tblBaseCFResult[PremTermScenario]=$Y$62)
*(tblBaseCFResult[IntRateScenario]=AH$64),"")</f>
        <v>300</v>
      </c>
      <c r="AI70" s="152" cm="1">
        <f t="array" ref="AI70">_xlfn._xlws.FILTER(ROUND(tblBaseCFResult[COI],-3)/1000,
(tblBaseCFResult[Year]=$T70)
*(tblBaseCFResult[Risk]=$Y$61)
*(tblBaseCFResult[PremTermScenario]=$Y$62)
*(tblBaseCFResult[IntRateScenario]=AI$64),"")</f>
        <v>345</v>
      </c>
      <c r="AJ70" s="152" cm="1">
        <f t="array" ref="AJ70">_xlfn._xlws.FILTER(ROUND(tblBaseCFResult[AdminChrg],-3)/1000,
(tblBaseCFResult[Year]=$T70)
*(tblBaseCFResult[Risk]=$Y$61)
*(tblBaseCFResult[PremTermScenario]=$Y$62)
*(tblBaseCFResult[IntRateScenario]=AJ$64),"")</f>
        <v>300</v>
      </c>
      <c r="AK70" s="152" cm="1">
        <f t="array" ref="AK70">_xlfn._xlws.FILTER(ROUND(tblBaseCFResult[COI],-3)/1000,
(tblBaseCFResult[Year]=$T70)
*(tblBaseCFResult[Risk]=$Y$61)
*(tblBaseCFResult[PremTermScenario]=$Y$62)
*(tblBaseCFResult[IntRateScenario]=AK$64),"")</f>
        <v>345</v>
      </c>
    </row>
    <row r="71" spans="1:37" ht="15" customHeight="1" x14ac:dyDescent="0.25">
      <c r="A71" s="155">
        <v>4</v>
      </c>
      <c r="B71" s="155">
        <f t="shared" si="4"/>
        <v>3</v>
      </c>
      <c r="C71" s="154"/>
      <c r="D71" s="153" t="str">
        <f t="shared" si="5"/>
        <v>4/3</v>
      </c>
      <c r="E71" s="157" cm="1">
        <f t="array" ref="E71">_xlfn._xlws.FILTER(tblBaseCFResult[TotalPrem]/1000,
(tblBaseCFResult[Year]=$A71)
*(tblBaseCFResult[Risk]=$E$61)
*(tblBaseCFResult[PremTermScenario]=$E$62)
*(tblBaseCFResult[IntRateScenario]=E$64),"")</f>
        <v>6272</v>
      </c>
      <c r="F71" s="157" cm="1">
        <f t="array" ref="F71">_xlfn._xlws.FILTER(tblBaseCFResult[AccumTotalPrem]/1000,
(tblBaseCFResult[Year]=$A71)
*(tblBaseCFResult[Risk]=$E$61)
*(tblBaseCFResult[PremTermScenario]=$E$62)
*(tblBaseCFResult[IntRateScenario]=F$64),"")</f>
        <v>25088</v>
      </c>
      <c r="G71" s="157" cm="1">
        <f t="array" ref="G71">_xlfn._xlws.FILTER(ROUND(tblBaseCFResult[SemiAnnualTotalPrem],-3)/1000,
(tblBaseCFResult[Year]=$A71)
*(tblBaseCFResult[Risk]=$E$61)
*(tblBaseCFResult[PremTermScenario]=$E$62)
*(tblBaseCFResult[IntRateScenario]=G$64),"")</f>
        <v>3136</v>
      </c>
      <c r="H71" s="157" cm="1">
        <f t="array" ref="H71">_xlfn._xlws.FILTER(tblBaseCFResult[Ben]/1000,
(tblBaseCFResult[Year]=$A71)
*(tblBaseCFResult[Risk]=$E$61)
*(tblBaseCFResult[PremTermScenario]=$E$62)
*(tblBaseCFResult[IntRateScenario]=H$64),"")</f>
        <v>101000</v>
      </c>
      <c r="I71" s="157" cm="1">
        <f t="array" ref="I71">_xlfn._xlws.FILTER(ROUND(tblBaseCFResult[EndPAV],-3)/1000,
(tblBaseCFResult[Year]=$A71)
*(tblBaseCFResult[Risk]=$E$61)
*(tblBaseCFResult[PremTermScenario]=$E$62)
*(tblBaseCFResult[IntRateScenario]=I$64),"")</f>
        <v>21588</v>
      </c>
      <c r="J71" s="157" cm="1">
        <f t="array" ref="J71">_xlfn._xlws.FILTER(ROUND(tblBaseCFResult[SV],-3)/1000,
(tblBaseCFResult[Year]=$A71)
*(tblBaseCFResult[Risk]=$E$61)
*(tblBaseCFResult[PremTermScenario]=$E$62)
*(tblBaseCFResult[IntRateScenario]=J$64),"")</f>
        <v>15613</v>
      </c>
      <c r="K71" s="157" cm="1">
        <f t="array" ref="K71">_xlfn._xlws.FILTER(tblBaseCFResult[Ben]/1000,
(tblBaseCFResult[Year]=$A71)
*(tblBaseCFResult[Risk]=$E$61)
*(tblBaseCFResult[PremTermScenario]=$E$62)
*(tblBaseCFResult[IntRateScenario]=K$64),"")</f>
        <v>101000</v>
      </c>
      <c r="L71" s="157" cm="1">
        <f t="array" ref="L71">_xlfn._xlws.FILTER(ROUND(tblBaseCFResult[EndPAV],-3)/1000,
(tblBaseCFResult[Year]=$A71)
*(tblBaseCFResult[Risk]=$E$61)
*(tblBaseCFResult[PremTermScenario]=$E$62)
*(tblBaseCFResult[IntRateScenario]=L$64),"")</f>
        <v>23248</v>
      </c>
      <c r="M71" s="157" cm="1">
        <f t="array" ref="M71">_xlfn._xlws.FILTER(ROUND(tblBaseCFResult[SV],-3)/1000,
(tblBaseCFResult[Year]=$A71)
*(tblBaseCFResult[Risk]=$E$61)
*(tblBaseCFResult[PremTermScenario]=$E$62)
*(tblBaseCFResult[IntRateScenario]=M$64),"")</f>
        <v>16563</v>
      </c>
      <c r="N71" s="157" cm="1">
        <f t="array" ref="N71">_xlfn._xlws.FILTER(tblBaseCFResult[Ben]/1000,
(tblBaseCFResult[Year]=$A71)
*(tblBaseCFResult[Risk]=$E$61)
*(tblBaseCFResult[PremTermScenario]=$E$62)
*(tblBaseCFResult[IntRateScenario]=N$64),"")</f>
        <v>101000</v>
      </c>
      <c r="O71" s="157" cm="1">
        <f t="array" ref="O71">_xlfn._xlws.FILTER(ROUND(tblBaseCFResult[EndPAV],-3)/1000,
(tblBaseCFResult[Year]=$A71)
*(tblBaseCFResult[Risk]=$E$61)
*(tblBaseCFResult[PremTermScenario]=$E$62)
*(tblBaseCFResult[IntRateScenario]=O$64),"")</f>
        <v>24410</v>
      </c>
      <c r="P71" s="157" cm="1">
        <f t="array" ref="P71">_xlfn._xlws.FILTER(ROUND(tblBaseCFResult[SV],-3)/1000,
(tblBaseCFResult[Year]=$A71)
*(tblBaseCFResult[Risk]=$E$61)
*(tblBaseCFResult[PremTermScenario]=$E$62)
*(tblBaseCFResult[IntRateScenario]=P$64),"")</f>
        <v>17215</v>
      </c>
      <c r="Q71" s="154"/>
      <c r="R71" s="156"/>
      <c r="S71" s="154"/>
      <c r="T71" s="155">
        <v>4</v>
      </c>
      <c r="U71" s="155">
        <f t="shared" si="6"/>
        <v>3</v>
      </c>
      <c r="W71" s="154"/>
      <c r="X71" s="153" t="str">
        <f t="shared" si="7"/>
        <v>4/3</v>
      </c>
      <c r="Y71" s="152" cm="1">
        <f t="array" ref="Y71">_xlfn._xlws.FILTER(tblBaseCFResult[TP]/1000,
(tblBaseCFResult[Year]=$T71)
*(tblBaseCFResult[Risk]=$Y$61)
*(tblBaseCFResult[PremTermScenario]=$Y$62)
*(tblBaseCFResult[IntRateScenario]=Y$64),"")</f>
        <v>1072</v>
      </c>
      <c r="Z71" s="152" cm="1">
        <f t="array" ref="Z71">_xlfn._xlws.FILTER(tblBaseCFResult[EP]/1000,
(tblBaseCFResult[Year]=$T71)
*(tblBaseCFResult[Risk]=$Y$61)
*(tblBaseCFResult[PremTermScenario]=$Y$62)
*(tblBaseCFResult[IntRateScenario]=Z$64),"")</f>
        <v>5200</v>
      </c>
      <c r="AA71" s="152">
        <f t="shared" si="8"/>
        <v>6272</v>
      </c>
      <c r="AB71" s="152" cm="1">
        <f t="array" ref="AB71">_xlfn._xlws.FILTER(ROUND(tblBaseCFResult[AllocChrg],-3)/1000,
(tblBaseCFResult[Year]=$T71)
*(tblBaseCFResult[Risk]=$Y$61)
*(tblBaseCFResult[PremTermScenario]=$Y$62)
*(tblBaseCFResult[IntRateScenario]=AB$64),"")</f>
        <v>318</v>
      </c>
      <c r="AC71" s="152" cm="1">
        <f t="array" ref="AC71">_xlfn._xlws.FILTER(ROUND(tblBaseCFResult[EPAllocChrg],-3)/1000,
(tblBaseCFResult[Year]=$T71)
*(tblBaseCFResult[Risk]=$Y$61)
*(tblBaseCFResult[PremTermScenario]=$Y$62)
*(tblBaseCFResult[IntRateScenario]=AC$64),"")</f>
        <v>104</v>
      </c>
      <c r="AD71" s="152">
        <f t="shared" si="9"/>
        <v>422</v>
      </c>
      <c r="AE71" s="152">
        <f t="shared" si="10"/>
        <v>754</v>
      </c>
      <c r="AF71" s="152">
        <f t="shared" si="11"/>
        <v>5096</v>
      </c>
      <c r="AG71" s="152">
        <f t="shared" si="12"/>
        <v>5850</v>
      </c>
      <c r="AH71" s="152" cm="1">
        <f t="array" ref="AH71">_xlfn._xlws.FILTER(ROUND(tblBaseCFResult[AdminChrg],-3)/1000,
(tblBaseCFResult[Year]=$T71)
*(tblBaseCFResult[Risk]=$Y$61)
*(tblBaseCFResult[PremTermScenario]=$Y$62)
*(tblBaseCFResult[IntRateScenario]=AH$64),"")</f>
        <v>300</v>
      </c>
      <c r="AI71" s="152" cm="1">
        <f t="array" ref="AI71">_xlfn._xlws.FILTER(ROUND(tblBaseCFResult[COI],-3)/1000,
(tblBaseCFResult[Year]=$T71)
*(tblBaseCFResult[Risk]=$Y$61)
*(tblBaseCFResult[PremTermScenario]=$Y$62)
*(tblBaseCFResult[IntRateScenario]=AI$64),"")</f>
        <v>339</v>
      </c>
      <c r="AJ71" s="152" cm="1">
        <f t="array" ref="AJ71">_xlfn._xlws.FILTER(ROUND(tblBaseCFResult[AdminChrg],-3)/1000,
(tblBaseCFResult[Year]=$T71)
*(tblBaseCFResult[Risk]=$Y$61)
*(tblBaseCFResult[PremTermScenario]=$Y$62)
*(tblBaseCFResult[IntRateScenario]=AJ$64),"")</f>
        <v>300</v>
      </c>
      <c r="AK71" s="152" cm="1">
        <f t="array" ref="AK71">_xlfn._xlws.FILTER(ROUND(tblBaseCFResult[COI],-3)/1000,
(tblBaseCFResult[Year]=$T71)
*(tblBaseCFResult[Risk]=$Y$61)
*(tblBaseCFResult[PremTermScenario]=$Y$62)
*(tblBaseCFResult[IntRateScenario]=AK$64),"")</f>
        <v>338</v>
      </c>
    </row>
    <row r="72" spans="1:37" ht="15" customHeight="1" x14ac:dyDescent="0.25">
      <c r="A72" s="155">
        <v>5</v>
      </c>
      <c r="B72" s="155">
        <f t="shared" si="4"/>
        <v>4</v>
      </c>
      <c r="C72" s="154"/>
      <c r="D72" s="153" t="str">
        <f t="shared" si="5"/>
        <v>5/4</v>
      </c>
      <c r="E72" s="157" cm="1">
        <f t="array" ref="E72">_xlfn._xlws.FILTER(tblBaseCFResult[TotalPrem]/1000,
(tblBaseCFResult[Year]=$A72)
*(tblBaseCFResult[Risk]=$E$61)
*(tblBaseCFResult[PremTermScenario]=$E$62)
*(tblBaseCFResult[IntRateScenario]=E$64),"")</f>
        <v>6272</v>
      </c>
      <c r="F72" s="157" cm="1">
        <f t="array" ref="F72">_xlfn._xlws.FILTER(tblBaseCFResult[AccumTotalPrem]/1000,
(tblBaseCFResult[Year]=$A72)
*(tblBaseCFResult[Risk]=$E$61)
*(tblBaseCFResult[PremTermScenario]=$E$62)
*(tblBaseCFResult[IntRateScenario]=F$64),"")</f>
        <v>31360</v>
      </c>
      <c r="G72" s="157" cm="1">
        <f t="array" ref="G72">_xlfn._xlws.FILTER(ROUND(tblBaseCFResult[SemiAnnualTotalPrem],-3)/1000,
(tblBaseCFResult[Year]=$A72)
*(tblBaseCFResult[Risk]=$E$61)
*(tblBaseCFResult[PremTermScenario]=$E$62)
*(tblBaseCFResult[IntRateScenario]=G$64),"")</f>
        <v>3136</v>
      </c>
      <c r="H72" s="157" cm="1">
        <f t="array" ref="H72">_xlfn._xlws.FILTER(tblBaseCFResult[Ben]/1000,
(tblBaseCFResult[Year]=$A72)
*(tblBaseCFResult[Risk]=$E$61)
*(tblBaseCFResult[PremTermScenario]=$E$62)
*(tblBaseCFResult[IntRateScenario]=H$64),"")</f>
        <v>101000</v>
      </c>
      <c r="I72" s="157" cm="1">
        <f t="array" ref="I72">_xlfn._xlws.FILTER(ROUND(tblBaseCFResult[EndPAV],-3)/1000,
(tblBaseCFResult[Year]=$A72)
*(tblBaseCFResult[Risk]=$E$61)
*(tblBaseCFResult[PremTermScenario]=$E$62)
*(tblBaseCFResult[IntRateScenario]=I$64),"")</f>
        <v>26541</v>
      </c>
      <c r="J72" s="157" cm="1">
        <f t="array" ref="J72">_xlfn._xlws.FILTER(ROUND(tblBaseCFResult[SV],-3)/1000,
(tblBaseCFResult[Year]=$A72)
*(tblBaseCFResult[Risk]=$E$61)
*(tblBaseCFResult[PremTermScenario]=$E$62)
*(tblBaseCFResult[IntRateScenario]=J$64),"")</f>
        <v>21123</v>
      </c>
      <c r="K72" s="157" cm="1">
        <f t="array" ref="K72">_xlfn._xlws.FILTER(tblBaseCFResult[Ben]/1000,
(tblBaseCFResult[Year]=$A72)
*(tblBaseCFResult[Risk]=$E$61)
*(tblBaseCFResult[PremTermScenario]=$E$62)
*(tblBaseCFResult[IntRateScenario]=K$64),"")</f>
        <v>101000</v>
      </c>
      <c r="L72" s="157" cm="1">
        <f t="array" ref="L72">_xlfn._xlws.FILTER(ROUND(tblBaseCFResult[EndPAV],-3)/1000,
(tblBaseCFResult[Year]=$A72)
*(tblBaseCFResult[Risk]=$E$61)
*(tblBaseCFResult[PremTermScenario]=$E$62)
*(tblBaseCFResult[IntRateScenario]=L$64),"")</f>
        <v>29074</v>
      </c>
      <c r="M72" s="157" cm="1">
        <f t="array" ref="M72">_xlfn._xlws.FILTER(ROUND(tblBaseCFResult[SV],-3)/1000,
(tblBaseCFResult[Year]=$A72)
*(tblBaseCFResult[Risk]=$E$61)
*(tblBaseCFResult[PremTermScenario]=$E$62)
*(tblBaseCFResult[IntRateScenario]=M$64),"")</f>
        <v>22742</v>
      </c>
      <c r="N72" s="157" cm="1">
        <f t="array" ref="N72">_xlfn._xlws.FILTER(tblBaseCFResult[Ben]/1000,
(tblBaseCFResult[Year]=$A72)
*(tblBaseCFResult[Risk]=$E$61)
*(tblBaseCFResult[PremTermScenario]=$E$62)
*(tblBaseCFResult[IntRateScenario]=N$64),"")</f>
        <v>101000</v>
      </c>
      <c r="O72" s="157" cm="1">
        <f t="array" ref="O72">_xlfn._xlws.FILTER(ROUND(tblBaseCFResult[EndPAV],-3)/1000,
(tblBaseCFResult[Year]=$A72)
*(tblBaseCFResult[Risk]=$E$61)
*(tblBaseCFResult[PremTermScenario]=$E$62)
*(tblBaseCFResult[IntRateScenario]=O$64),"")</f>
        <v>30878</v>
      </c>
      <c r="P72" s="157" cm="1">
        <f t="array" ref="P72">_xlfn._xlws.FILTER(ROUND(tblBaseCFResult[SV],-3)/1000,
(tblBaseCFResult[Year]=$A72)
*(tblBaseCFResult[Risk]=$E$61)
*(tblBaseCFResult[PremTermScenario]=$E$62)
*(tblBaseCFResult[IntRateScenario]=P$64),"")</f>
        <v>23873</v>
      </c>
      <c r="Q72" s="154"/>
      <c r="R72" s="156"/>
      <c r="S72" s="154"/>
      <c r="T72" s="155">
        <v>5</v>
      </c>
      <c r="U72" s="155">
        <f t="shared" si="6"/>
        <v>4</v>
      </c>
      <c r="W72" s="154"/>
      <c r="X72" s="153" t="str">
        <f t="shared" si="7"/>
        <v>5/4</v>
      </c>
      <c r="Y72" s="152" cm="1">
        <f t="array" ref="Y72">_xlfn._xlws.FILTER(tblBaseCFResult[TP]/1000,
(tblBaseCFResult[Year]=$T72)
*(tblBaseCFResult[Risk]=$Y$61)
*(tblBaseCFResult[PremTermScenario]=$Y$62)
*(tblBaseCFResult[IntRateScenario]=Y$64),"")</f>
        <v>1072</v>
      </c>
      <c r="Z72" s="152" cm="1">
        <f t="array" ref="Z72">_xlfn._xlws.FILTER(tblBaseCFResult[EP]/1000,
(tblBaseCFResult[Year]=$T72)
*(tblBaseCFResult[Risk]=$Y$61)
*(tblBaseCFResult[PremTermScenario]=$Y$62)
*(tblBaseCFResult[IntRateScenario]=Z$64),"")</f>
        <v>5200</v>
      </c>
      <c r="AA72" s="152">
        <f t="shared" si="8"/>
        <v>6272</v>
      </c>
      <c r="AB72" s="152" cm="1">
        <f t="array" ref="AB72">_xlfn._xlws.FILTER(ROUND(tblBaseCFResult[AllocChrg],-3)/1000,
(tblBaseCFResult[Year]=$T72)
*(tblBaseCFResult[Risk]=$Y$61)
*(tblBaseCFResult[PremTermScenario]=$Y$62)
*(tblBaseCFResult[IntRateScenario]=AB$64),"")</f>
        <v>211</v>
      </c>
      <c r="AC72" s="152" cm="1">
        <f t="array" ref="AC72">_xlfn._xlws.FILTER(ROUND(tblBaseCFResult[EPAllocChrg],-3)/1000,
(tblBaseCFResult[Year]=$T72)
*(tblBaseCFResult[Risk]=$Y$61)
*(tblBaseCFResult[PremTermScenario]=$Y$62)
*(tblBaseCFResult[IntRateScenario]=AC$64),"")</f>
        <v>104</v>
      </c>
      <c r="AD72" s="152">
        <f t="shared" si="9"/>
        <v>315</v>
      </c>
      <c r="AE72" s="152">
        <f t="shared" si="10"/>
        <v>861</v>
      </c>
      <c r="AF72" s="152">
        <f t="shared" si="11"/>
        <v>5096</v>
      </c>
      <c r="AG72" s="152">
        <f t="shared" si="12"/>
        <v>5957</v>
      </c>
      <c r="AH72" s="152" cm="1">
        <f t="array" ref="AH72">_xlfn._xlws.FILTER(ROUND(tblBaseCFResult[AdminChrg],-3)/1000,
(tblBaseCFResult[Year]=$T72)
*(tblBaseCFResult[Risk]=$Y$61)
*(tblBaseCFResult[PremTermScenario]=$Y$62)
*(tblBaseCFResult[IntRateScenario]=AH$64),"")</f>
        <v>300</v>
      </c>
      <c r="AI72" s="152" cm="1">
        <f t="array" ref="AI72">_xlfn._xlws.FILTER(ROUND(tblBaseCFResult[COI],-3)/1000,
(tblBaseCFResult[Year]=$T72)
*(tblBaseCFResult[Risk]=$Y$61)
*(tblBaseCFResult[PremTermScenario]=$Y$62)
*(tblBaseCFResult[IntRateScenario]=AI$64),"")</f>
        <v>334</v>
      </c>
      <c r="AJ72" s="152" cm="1">
        <f t="array" ref="AJ72">_xlfn._xlws.FILTER(ROUND(tblBaseCFResult[AdminChrg],-3)/1000,
(tblBaseCFResult[Year]=$T72)
*(tblBaseCFResult[Risk]=$Y$61)
*(tblBaseCFResult[PremTermScenario]=$Y$62)
*(tblBaseCFResult[IntRateScenario]=AJ$64),"")</f>
        <v>300</v>
      </c>
      <c r="AK72" s="152" cm="1">
        <f t="array" ref="AK72">_xlfn._xlws.FILTER(ROUND(tblBaseCFResult[COI],-3)/1000,
(tblBaseCFResult[Year]=$T72)
*(tblBaseCFResult[Risk]=$Y$61)
*(tblBaseCFResult[PremTermScenario]=$Y$62)
*(tblBaseCFResult[IntRateScenario]=AK$64),"")</f>
        <v>332</v>
      </c>
    </row>
    <row r="73" spans="1:37" ht="15" customHeight="1" x14ac:dyDescent="0.25">
      <c r="A73" s="155">
        <v>6</v>
      </c>
      <c r="B73" s="155">
        <f t="shared" si="4"/>
        <v>5</v>
      </c>
      <c r="C73" s="154"/>
      <c r="D73" s="153" t="str">
        <f t="shared" si="5"/>
        <v>6/5</v>
      </c>
      <c r="E73" s="157" cm="1">
        <f t="array" ref="E73">_xlfn._xlws.FILTER(tblBaseCFResult[TotalPrem]/1000,
(tblBaseCFResult[Year]=$A73)
*(tblBaseCFResult[Risk]=$E$61)
*(tblBaseCFResult[PremTermScenario]=$E$62)
*(tblBaseCFResult[IntRateScenario]=E$64),"")</f>
        <v>6272</v>
      </c>
      <c r="F73" s="157" cm="1">
        <f t="array" ref="F73">_xlfn._xlws.FILTER(tblBaseCFResult[AccumTotalPrem]/1000,
(tblBaseCFResult[Year]=$A73)
*(tblBaseCFResult[Risk]=$E$61)
*(tblBaseCFResult[PremTermScenario]=$E$62)
*(tblBaseCFResult[IntRateScenario]=F$64),"")</f>
        <v>37632</v>
      </c>
      <c r="G73" s="157" cm="1">
        <f t="array" ref="G73">_xlfn._xlws.FILTER(ROUND(tblBaseCFResult[SemiAnnualTotalPrem],-3)/1000,
(tblBaseCFResult[Year]=$A73)
*(tblBaseCFResult[Risk]=$E$61)
*(tblBaseCFResult[PremTermScenario]=$E$62)
*(tblBaseCFResult[IntRateScenario]=G$64),"")</f>
        <v>3136</v>
      </c>
      <c r="H73" s="157" cm="1">
        <f t="array" ref="H73">_xlfn._xlws.FILTER(tblBaseCFResult[Ben]/1000,
(tblBaseCFResult[Year]=$A73)
*(tblBaseCFResult[Risk]=$E$61)
*(tblBaseCFResult[PremTermScenario]=$E$62)
*(tblBaseCFResult[IntRateScenario]=H$64),"")</f>
        <v>101000</v>
      </c>
      <c r="I73" s="157" cm="1">
        <f t="array" ref="I73">_xlfn._xlws.FILTER(ROUND(tblBaseCFResult[EndPAV],-3)/1000,
(tblBaseCFResult[Year]=$A73)
*(tblBaseCFResult[Risk]=$E$61)
*(tblBaseCFResult[PremTermScenario]=$E$62)
*(tblBaseCFResult[IntRateScenario]=I$64),"")</f>
        <v>31631</v>
      </c>
      <c r="J73" s="157" cm="1">
        <f t="array" ref="J73">_xlfn._xlws.FILTER(ROUND(tblBaseCFResult[SV],-3)/1000,
(tblBaseCFResult[Year]=$A73)
*(tblBaseCFResult[Risk]=$E$61)
*(tblBaseCFResult[PremTermScenario]=$E$62)
*(tblBaseCFResult[IntRateScenario]=J$64),"")</f>
        <v>25897</v>
      </c>
      <c r="K73" s="157" cm="1">
        <f t="array" ref="K73">_xlfn._xlws.FILTER(tblBaseCFResult[Ben]/1000,
(tblBaseCFResult[Year]=$A73)
*(tblBaseCFResult[Risk]=$E$61)
*(tblBaseCFResult[PremTermScenario]=$E$62)
*(tblBaseCFResult[IntRateScenario]=K$64),"")</f>
        <v>101000</v>
      </c>
      <c r="L73" s="157" cm="1">
        <f t="array" ref="L73">_xlfn._xlws.FILTER(ROUND(tblBaseCFResult[EndPAV],-3)/1000,
(tblBaseCFResult[Year]=$A73)
*(tblBaseCFResult[Risk]=$E$61)
*(tblBaseCFResult[PremTermScenario]=$E$62)
*(tblBaseCFResult[IntRateScenario]=L$64),"")</f>
        <v>35232</v>
      </c>
      <c r="M73" s="157" cm="1">
        <f t="array" ref="M73">_xlfn._xlws.FILTER(ROUND(tblBaseCFResult[SV],-3)/1000,
(tblBaseCFResult[Year]=$A73)
*(tblBaseCFResult[Risk]=$E$61)
*(tblBaseCFResult[PremTermScenario]=$E$62)
*(tblBaseCFResult[IntRateScenario]=M$64),"")</f>
        <v>28431</v>
      </c>
      <c r="N73" s="157" cm="1">
        <f t="array" ref="N73">_xlfn._xlws.FILTER(tblBaseCFResult[Ben]/1000,
(tblBaseCFResult[Year]=$A73)
*(tblBaseCFResult[Risk]=$E$61)
*(tblBaseCFResult[PremTermScenario]=$E$62)
*(tblBaseCFResult[IntRateScenario]=N$64),"")</f>
        <v>101000</v>
      </c>
      <c r="O73" s="157" cm="1">
        <f t="array" ref="O73">_xlfn._xlws.FILTER(ROUND(tblBaseCFResult[EndPAV],-3)/1000,
(tblBaseCFResult[Year]=$A73)
*(tblBaseCFResult[Risk]=$E$61)
*(tblBaseCFResult[PremTermScenario]=$E$62)
*(tblBaseCFResult[IntRateScenario]=O$64),"")</f>
        <v>37840</v>
      </c>
      <c r="P73" s="157" cm="1">
        <f t="array" ref="P73">_xlfn._xlws.FILTER(ROUND(tblBaseCFResult[SV],-3)/1000,
(tblBaseCFResult[Year]=$A73)
*(tblBaseCFResult[Risk]=$E$61)
*(tblBaseCFResult[PremTermScenario]=$E$62)
*(tblBaseCFResult[IntRateScenario]=P$64),"")</f>
        <v>30235</v>
      </c>
      <c r="Q73" s="154"/>
      <c r="R73" s="156"/>
      <c r="S73" s="154"/>
      <c r="T73" s="155">
        <v>6</v>
      </c>
      <c r="U73" s="155">
        <f t="shared" si="6"/>
        <v>5</v>
      </c>
      <c r="W73" s="154"/>
      <c r="X73" s="153" t="str">
        <f t="shared" si="7"/>
        <v>6/5</v>
      </c>
      <c r="Y73" s="152" cm="1">
        <f t="array" ref="Y73">_xlfn._xlws.FILTER(tblBaseCFResult[TP]/1000,
(tblBaseCFResult[Year]=$T73)
*(tblBaseCFResult[Risk]=$Y$61)
*(tblBaseCFResult[PremTermScenario]=$Y$62)
*(tblBaseCFResult[IntRateScenario]=Y$64),"")</f>
        <v>1072</v>
      </c>
      <c r="Z73" s="152" cm="1">
        <f t="array" ref="Z73">_xlfn._xlws.FILTER(tblBaseCFResult[EP]/1000,
(tblBaseCFResult[Year]=$T73)
*(tblBaseCFResult[Risk]=$Y$61)
*(tblBaseCFResult[PremTermScenario]=$Y$62)
*(tblBaseCFResult[IntRateScenario]=Z$64),"")</f>
        <v>5200</v>
      </c>
      <c r="AA73" s="152">
        <f t="shared" si="8"/>
        <v>6272</v>
      </c>
      <c r="AB73" s="152" cm="1">
        <f t="array" ref="AB73">_xlfn._xlws.FILTER(ROUND(tblBaseCFResult[AllocChrg],-3)/1000,
(tblBaseCFResult[Year]=$T73)
*(tblBaseCFResult[Risk]=$Y$61)
*(tblBaseCFResult[PremTermScenario]=$Y$62)
*(tblBaseCFResult[IntRateScenario]=AB$64),"")</f>
        <v>179</v>
      </c>
      <c r="AC73" s="152" cm="1">
        <f t="array" ref="AC73">_xlfn._xlws.FILTER(ROUND(tblBaseCFResult[EPAllocChrg],-3)/1000,
(tblBaseCFResult[Year]=$T73)
*(tblBaseCFResult[Risk]=$Y$61)
*(tblBaseCFResult[PremTermScenario]=$Y$62)
*(tblBaseCFResult[IntRateScenario]=AC$64),"")</f>
        <v>104</v>
      </c>
      <c r="AD73" s="152">
        <f t="shared" si="9"/>
        <v>283</v>
      </c>
      <c r="AE73" s="152">
        <f t="shared" si="10"/>
        <v>893</v>
      </c>
      <c r="AF73" s="152">
        <f t="shared" si="11"/>
        <v>5096</v>
      </c>
      <c r="AG73" s="152">
        <f t="shared" si="12"/>
        <v>5989</v>
      </c>
      <c r="AH73" s="152" cm="1">
        <f t="array" ref="AH73">_xlfn._xlws.FILTER(ROUND(tblBaseCFResult[AdminChrg],-3)/1000,
(tblBaseCFResult[Year]=$T73)
*(tblBaseCFResult[Risk]=$Y$61)
*(tblBaseCFResult[PremTermScenario]=$Y$62)
*(tblBaseCFResult[IntRateScenario]=AH$64),"")</f>
        <v>300</v>
      </c>
      <c r="AI73" s="152" cm="1">
        <f t="array" ref="AI73">_xlfn._xlws.FILTER(ROUND(tblBaseCFResult[COI],-3)/1000,
(tblBaseCFResult[Year]=$T73)
*(tblBaseCFResult[Risk]=$Y$61)
*(tblBaseCFResult[PremTermScenario]=$Y$62)
*(tblBaseCFResult[IntRateScenario]=AI$64),"")</f>
        <v>329</v>
      </c>
      <c r="AJ73" s="152" cm="1">
        <f t="array" ref="AJ73">_xlfn._xlws.FILTER(ROUND(tblBaseCFResult[AdminChrg],-3)/1000,
(tblBaseCFResult[Year]=$T73)
*(tblBaseCFResult[Risk]=$Y$61)
*(tblBaseCFResult[PremTermScenario]=$Y$62)
*(tblBaseCFResult[IntRateScenario]=AJ$64),"")</f>
        <v>300</v>
      </c>
      <c r="AK73" s="152" cm="1">
        <f t="array" ref="AK73">_xlfn._xlws.FILTER(ROUND(tblBaseCFResult[COI],-3)/1000,
(tblBaseCFResult[Year]=$T73)
*(tblBaseCFResult[Risk]=$Y$61)
*(tblBaseCFResult[PremTermScenario]=$Y$62)
*(tblBaseCFResult[IntRateScenario]=AK$64),"")</f>
        <v>325</v>
      </c>
    </row>
    <row r="74" spans="1:37" ht="15" customHeight="1" x14ac:dyDescent="0.25">
      <c r="A74" s="155">
        <v>7</v>
      </c>
      <c r="B74" s="155">
        <f t="shared" si="4"/>
        <v>6</v>
      </c>
      <c r="C74" s="154"/>
      <c r="D74" s="153" t="str">
        <f t="shared" si="5"/>
        <v>7/6</v>
      </c>
      <c r="E74" s="157" cm="1">
        <f t="array" ref="E74">_xlfn._xlws.FILTER(tblBaseCFResult[TotalPrem]/1000,
(tblBaseCFResult[Year]=$A74)
*(tblBaseCFResult[Risk]=$E$61)
*(tblBaseCFResult[PremTermScenario]=$E$62)
*(tblBaseCFResult[IntRateScenario]=E$64),"")</f>
        <v>6272</v>
      </c>
      <c r="F74" s="157" cm="1">
        <f t="array" ref="F74">_xlfn._xlws.FILTER(tblBaseCFResult[AccumTotalPrem]/1000,
(tblBaseCFResult[Year]=$A74)
*(tblBaseCFResult[Risk]=$E$61)
*(tblBaseCFResult[PremTermScenario]=$E$62)
*(tblBaseCFResult[IntRateScenario]=F$64),"")</f>
        <v>43904</v>
      </c>
      <c r="G74" s="157" cm="1">
        <f t="array" ref="G74">_xlfn._xlws.FILTER(ROUND(tblBaseCFResult[SemiAnnualTotalPrem],-3)/1000,
(tblBaseCFResult[Year]=$A74)
*(tblBaseCFResult[Risk]=$E$61)
*(tblBaseCFResult[PremTermScenario]=$E$62)
*(tblBaseCFResult[IntRateScenario]=G$64),"")</f>
        <v>3136</v>
      </c>
      <c r="H74" s="157" cm="1">
        <f t="array" ref="H74">_xlfn._xlws.FILTER(tblBaseCFResult[Ben]/1000,
(tblBaseCFResult[Year]=$A74)
*(tblBaseCFResult[Risk]=$E$61)
*(tblBaseCFResult[PremTermScenario]=$E$62)
*(tblBaseCFResult[IntRateScenario]=H$64),"")</f>
        <v>101000</v>
      </c>
      <c r="I74" s="157" cm="1">
        <f t="array" ref="I74">_xlfn._xlws.FILTER(ROUND(tblBaseCFResult[EndPAV],-3)/1000,
(tblBaseCFResult[Year]=$A74)
*(tblBaseCFResult[Risk]=$E$61)
*(tblBaseCFResult[PremTermScenario]=$E$62)
*(tblBaseCFResult[IntRateScenario]=I$64),"")</f>
        <v>36828</v>
      </c>
      <c r="J74" s="157" cm="1">
        <f t="array" ref="J74">_xlfn._xlws.FILTER(ROUND(tblBaseCFResult[SV],-3)/1000,
(tblBaseCFResult[Year]=$A74)
*(tblBaseCFResult[Risk]=$E$61)
*(tblBaseCFResult[PremTermScenario]=$E$62)
*(tblBaseCFResult[IntRateScenario]=J$64),"")</f>
        <v>31202</v>
      </c>
      <c r="K74" s="157" cm="1">
        <f t="array" ref="K74">_xlfn._xlws.FILTER(tblBaseCFResult[Ben]/1000,
(tblBaseCFResult[Year]=$A74)
*(tblBaseCFResult[Risk]=$E$61)
*(tblBaseCFResult[PremTermScenario]=$E$62)
*(tblBaseCFResult[IntRateScenario]=K$64),"")</f>
        <v>101000</v>
      </c>
      <c r="L74" s="157" cm="1">
        <f t="array" ref="L74">_xlfn._xlws.FILTER(ROUND(tblBaseCFResult[EndPAV],-3)/1000,
(tblBaseCFResult[Year]=$A74)
*(tblBaseCFResult[Risk]=$E$61)
*(tblBaseCFResult[PremTermScenario]=$E$62)
*(tblBaseCFResult[IntRateScenario]=L$64),"")</f>
        <v>41704</v>
      </c>
      <c r="M74" s="157" cm="1">
        <f t="array" ref="M74">_xlfn._xlws.FILTER(ROUND(tblBaseCFResult[SV],-3)/1000,
(tblBaseCFResult[Year]=$A74)
*(tblBaseCFResult[Risk]=$E$61)
*(tblBaseCFResult[PremTermScenario]=$E$62)
*(tblBaseCFResult[IntRateScenario]=M$64),"")</f>
        <v>34803</v>
      </c>
      <c r="N74" s="157" cm="1">
        <f t="array" ref="N74">_xlfn._xlws.FILTER(tblBaseCFResult[Ben]/1000,
(tblBaseCFResult[Year]=$A74)
*(tblBaseCFResult[Risk]=$E$61)
*(tblBaseCFResult[PremTermScenario]=$E$62)
*(tblBaseCFResult[IntRateScenario]=N$64),"")</f>
        <v>101000</v>
      </c>
      <c r="O74" s="157" cm="1">
        <f t="array" ref="O74">_xlfn._xlws.FILTER(ROUND(tblBaseCFResult[EndPAV],-3)/1000,
(tblBaseCFResult[Year]=$A74)
*(tblBaseCFResult[Risk]=$E$61)
*(tblBaseCFResult[PremTermScenario]=$E$62)
*(tblBaseCFResult[IntRateScenario]=O$64),"")</f>
        <v>45297</v>
      </c>
      <c r="P74" s="157" cm="1">
        <f t="array" ref="P74">_xlfn._xlws.FILTER(ROUND(tblBaseCFResult[SV],-3)/1000,
(tblBaseCFResult[Year]=$A74)
*(tblBaseCFResult[Risk]=$E$61)
*(tblBaseCFResult[PremTermScenario]=$E$62)
*(tblBaseCFResult[IntRateScenario]=P$64),"")</f>
        <v>37412</v>
      </c>
      <c r="Q74" s="154"/>
      <c r="R74" s="156"/>
      <c r="S74" s="154"/>
      <c r="T74" s="155">
        <v>7</v>
      </c>
      <c r="U74" s="155">
        <f t="shared" si="6"/>
        <v>6</v>
      </c>
      <c r="W74" s="154"/>
      <c r="X74" s="153" t="str">
        <f t="shared" si="7"/>
        <v>7/6</v>
      </c>
      <c r="Y74" s="152" cm="1">
        <f t="array" ref="Y74">_xlfn._xlws.FILTER(tblBaseCFResult[TP]/1000,
(tblBaseCFResult[Year]=$T74)
*(tblBaseCFResult[Risk]=$Y$61)
*(tblBaseCFResult[PremTermScenario]=$Y$62)
*(tblBaseCFResult[IntRateScenario]=Y$64),"")</f>
        <v>1072</v>
      </c>
      <c r="Z74" s="152" cm="1">
        <f t="array" ref="Z74">_xlfn._xlws.FILTER(tblBaseCFResult[EP]/1000,
(tblBaseCFResult[Year]=$T74)
*(tblBaseCFResult[Risk]=$Y$61)
*(tblBaseCFResult[PremTermScenario]=$Y$62)
*(tblBaseCFResult[IntRateScenario]=Z$64),"")</f>
        <v>5200</v>
      </c>
      <c r="AA74" s="152">
        <f t="shared" si="8"/>
        <v>6272</v>
      </c>
      <c r="AB74" s="152" cm="1">
        <f t="array" ref="AB74">_xlfn._xlws.FILTER(ROUND(tblBaseCFResult[AllocChrg],-3)/1000,
(tblBaseCFResult[Year]=$T74)
*(tblBaseCFResult[Risk]=$Y$61)
*(tblBaseCFResult[PremTermScenario]=$Y$62)
*(tblBaseCFResult[IntRateScenario]=AB$64),"")</f>
        <v>179</v>
      </c>
      <c r="AC74" s="152" cm="1">
        <f t="array" ref="AC74">_xlfn._xlws.FILTER(ROUND(tblBaseCFResult[EPAllocChrg],-3)/1000,
(tblBaseCFResult[Year]=$T74)
*(tblBaseCFResult[Risk]=$Y$61)
*(tblBaseCFResult[PremTermScenario]=$Y$62)
*(tblBaseCFResult[IntRateScenario]=AC$64),"")</f>
        <v>104</v>
      </c>
      <c r="AD74" s="152">
        <f t="shared" si="9"/>
        <v>283</v>
      </c>
      <c r="AE74" s="152">
        <f t="shared" si="10"/>
        <v>893</v>
      </c>
      <c r="AF74" s="152">
        <f t="shared" si="11"/>
        <v>5096</v>
      </c>
      <c r="AG74" s="152">
        <f t="shared" si="12"/>
        <v>5989</v>
      </c>
      <c r="AH74" s="152" cm="1">
        <f t="array" ref="AH74">_xlfn._xlws.FILTER(ROUND(tblBaseCFResult[AdminChrg],-3)/1000,
(tblBaseCFResult[Year]=$T74)
*(tblBaseCFResult[Risk]=$Y$61)
*(tblBaseCFResult[PremTermScenario]=$Y$62)
*(tblBaseCFResult[IntRateScenario]=AH$64),"")</f>
        <v>300</v>
      </c>
      <c r="AI74" s="152" cm="1">
        <f t="array" ref="AI74">_xlfn._xlws.FILTER(ROUND(tblBaseCFResult[COI],-3)/1000,
(tblBaseCFResult[Year]=$T74)
*(tblBaseCFResult[Risk]=$Y$61)
*(tblBaseCFResult[PremTermScenario]=$Y$62)
*(tblBaseCFResult[IntRateScenario]=AI$64),"")</f>
        <v>323</v>
      </c>
      <c r="AJ74" s="152" cm="1">
        <f t="array" ref="AJ74">_xlfn._xlws.FILTER(ROUND(tblBaseCFResult[AdminChrg],-3)/1000,
(tblBaseCFResult[Year]=$T74)
*(tblBaseCFResult[Risk]=$Y$61)
*(tblBaseCFResult[PremTermScenario]=$Y$62)
*(tblBaseCFResult[IntRateScenario]=AJ$64),"")</f>
        <v>300</v>
      </c>
      <c r="AK74" s="152" cm="1">
        <f t="array" ref="AK74">_xlfn._xlws.FILTER(ROUND(tblBaseCFResult[COI],-3)/1000,
(tblBaseCFResult[Year]=$T74)
*(tblBaseCFResult[Risk]=$Y$61)
*(tblBaseCFResult[PremTermScenario]=$Y$62)
*(tblBaseCFResult[IntRateScenario]=AK$64),"")</f>
        <v>319</v>
      </c>
    </row>
    <row r="75" spans="1:37" ht="15" customHeight="1" x14ac:dyDescent="0.25">
      <c r="A75" s="155">
        <v>8</v>
      </c>
      <c r="B75" s="155">
        <f t="shared" si="4"/>
        <v>7</v>
      </c>
      <c r="C75" s="154"/>
      <c r="D75" s="153" t="str">
        <f t="shared" si="5"/>
        <v>8/7</v>
      </c>
      <c r="E75" s="157" cm="1">
        <f t="array" ref="E75">_xlfn._xlws.FILTER(tblBaseCFResult[TotalPrem]/1000,
(tblBaseCFResult[Year]=$A75)
*(tblBaseCFResult[Risk]=$E$61)
*(tblBaseCFResult[PremTermScenario]=$E$62)
*(tblBaseCFResult[IntRateScenario]=E$64),"")</f>
        <v>6272</v>
      </c>
      <c r="F75" s="157" cm="1">
        <f t="array" ref="F75">_xlfn._xlws.FILTER(tblBaseCFResult[AccumTotalPrem]/1000,
(tblBaseCFResult[Year]=$A75)
*(tblBaseCFResult[Risk]=$E$61)
*(tblBaseCFResult[PremTermScenario]=$E$62)
*(tblBaseCFResult[IntRateScenario]=F$64),"")</f>
        <v>50176</v>
      </c>
      <c r="G75" s="157" cm="1">
        <f t="array" ref="G75">_xlfn._xlws.FILTER(ROUND(tblBaseCFResult[SemiAnnualTotalPrem],-3)/1000,
(tblBaseCFResult[Year]=$A75)
*(tblBaseCFResult[Risk]=$E$61)
*(tblBaseCFResult[PremTermScenario]=$E$62)
*(tblBaseCFResult[IntRateScenario]=G$64),"")</f>
        <v>3136</v>
      </c>
      <c r="H75" s="157" cm="1">
        <f t="array" ref="H75">_xlfn._xlws.FILTER(tblBaseCFResult[Ben]/1000,
(tblBaseCFResult[Year]=$A75)
*(tblBaseCFResult[Risk]=$E$61)
*(tblBaseCFResult[PremTermScenario]=$E$62)
*(tblBaseCFResult[IntRateScenario]=H$64),"")</f>
        <v>101000</v>
      </c>
      <c r="I75" s="157" cm="1">
        <f t="array" ref="I75">_xlfn._xlws.FILTER(ROUND(tblBaseCFResult[EndPAV],-3)/1000,
(tblBaseCFResult[Year]=$A75)
*(tblBaseCFResult[Risk]=$E$61)
*(tblBaseCFResult[PremTermScenario]=$E$62)
*(tblBaseCFResult[IntRateScenario]=I$64),"")</f>
        <v>43316</v>
      </c>
      <c r="J75" s="157" cm="1">
        <f t="array" ref="J75">_xlfn._xlws.FILTER(ROUND(tblBaseCFResult[SV],-3)/1000,
(tblBaseCFResult[Year]=$A75)
*(tblBaseCFResult[Risk]=$E$61)
*(tblBaseCFResult[PremTermScenario]=$E$62)
*(tblBaseCFResult[IntRateScenario]=J$64),"")</f>
        <v>36614</v>
      </c>
      <c r="K75" s="157" cm="1">
        <f t="array" ref="K75">_xlfn._xlws.FILTER(tblBaseCFResult[Ben]/1000,
(tblBaseCFResult[Year]=$A75)
*(tblBaseCFResult[Risk]=$E$61)
*(tblBaseCFResult[PremTermScenario]=$E$62)
*(tblBaseCFResult[IntRateScenario]=K$64),"")</f>
        <v>101000</v>
      </c>
      <c r="L75" s="157" cm="1">
        <f t="array" ref="L75">_xlfn._xlws.FILTER(ROUND(tblBaseCFResult[EndPAV],-3)/1000,
(tblBaseCFResult[Year]=$A75)
*(tblBaseCFResult[Risk]=$E$61)
*(tblBaseCFResult[PremTermScenario]=$E$62)
*(tblBaseCFResult[IntRateScenario]=L$64),"")</f>
        <v>49718</v>
      </c>
      <c r="M75" s="157" cm="1">
        <f t="array" ref="M75">_xlfn._xlws.FILTER(ROUND(tblBaseCFResult[SV],-3)/1000,
(tblBaseCFResult[Year]=$A75)
*(tblBaseCFResult[Risk]=$E$61)
*(tblBaseCFResult[PremTermScenario]=$E$62)
*(tblBaseCFResult[IntRateScenario]=M$64),"")</f>
        <v>41490</v>
      </c>
      <c r="N75" s="157" cm="1">
        <f t="array" ref="N75">_xlfn._xlws.FILTER(tblBaseCFResult[Ben]/1000,
(tblBaseCFResult[Year]=$A75)
*(tblBaseCFResult[Risk]=$E$61)
*(tblBaseCFResult[PremTermScenario]=$E$62)
*(tblBaseCFResult[IntRateScenario]=N$64),"")</f>
        <v>101000</v>
      </c>
      <c r="O75" s="157" cm="1">
        <f t="array" ref="O75">_xlfn._xlws.FILTER(ROUND(tblBaseCFResult[EndPAV],-3)/1000,
(tblBaseCFResult[Year]=$A75)
*(tblBaseCFResult[Risk]=$E$61)
*(tblBaseCFResult[PremTermScenario]=$E$62)
*(tblBaseCFResult[IntRateScenario]=O$64),"")</f>
        <v>54515</v>
      </c>
      <c r="P75" s="157" cm="1">
        <f t="array" ref="P75">_xlfn._xlws.FILTER(ROUND(tblBaseCFResult[SV],-3)/1000,
(tblBaseCFResult[Year]=$A75)
*(tblBaseCFResult[Risk]=$E$61)
*(tblBaseCFResult[PremTermScenario]=$E$62)
*(tblBaseCFResult[IntRateScenario]=P$64),"")</f>
        <v>45082</v>
      </c>
      <c r="Q75" s="154"/>
      <c r="R75" s="156"/>
      <c r="S75" s="154"/>
      <c r="T75" s="155">
        <v>8</v>
      </c>
      <c r="U75" s="155">
        <f t="shared" si="6"/>
        <v>7</v>
      </c>
      <c r="W75" s="154"/>
      <c r="X75" s="153" t="str">
        <f t="shared" si="7"/>
        <v>8/7</v>
      </c>
      <c r="Y75" s="152" cm="1">
        <f t="array" ref="Y75">_xlfn._xlws.FILTER(tblBaseCFResult[TP]/1000,
(tblBaseCFResult[Year]=$T75)
*(tblBaseCFResult[Risk]=$Y$61)
*(tblBaseCFResult[PremTermScenario]=$Y$62)
*(tblBaseCFResult[IntRateScenario]=Y$64),"")</f>
        <v>1072</v>
      </c>
      <c r="Z75" s="152" cm="1">
        <f t="array" ref="Z75">_xlfn._xlws.FILTER(tblBaseCFResult[EP]/1000,
(tblBaseCFResult[Year]=$T75)
*(tblBaseCFResult[Risk]=$Y$61)
*(tblBaseCFResult[PremTermScenario]=$Y$62)
*(tblBaseCFResult[IntRateScenario]=Z$64),"")</f>
        <v>5200</v>
      </c>
      <c r="AA75" s="152">
        <f t="shared" si="8"/>
        <v>6272</v>
      </c>
      <c r="AB75" s="152" cm="1">
        <f t="array" ref="AB75">_xlfn._xlws.FILTER(ROUND(tblBaseCFResult[AllocChrg],-3)/1000,
(tblBaseCFResult[Year]=$T75)
*(tblBaseCFResult[Risk]=$Y$61)
*(tblBaseCFResult[PremTermScenario]=$Y$62)
*(tblBaseCFResult[IntRateScenario]=AB$64),"")</f>
        <v>147</v>
      </c>
      <c r="AC75" s="152" cm="1">
        <f t="array" ref="AC75">_xlfn._xlws.FILTER(ROUND(tblBaseCFResult[EPAllocChrg],-3)/1000,
(tblBaseCFResult[Year]=$T75)
*(tblBaseCFResult[Risk]=$Y$61)
*(tblBaseCFResult[PremTermScenario]=$Y$62)
*(tblBaseCFResult[IntRateScenario]=AC$64),"")</f>
        <v>104</v>
      </c>
      <c r="AD75" s="152">
        <f t="shared" si="9"/>
        <v>251</v>
      </c>
      <c r="AE75" s="152">
        <f t="shared" si="10"/>
        <v>925</v>
      </c>
      <c r="AF75" s="152">
        <f t="shared" si="11"/>
        <v>5096</v>
      </c>
      <c r="AG75" s="152">
        <f t="shared" si="12"/>
        <v>6021</v>
      </c>
      <c r="AH75" s="152" cm="1">
        <f t="array" ref="AH75">_xlfn._xlws.FILTER(ROUND(tblBaseCFResult[AdminChrg],-3)/1000,
(tblBaseCFResult[Year]=$T75)
*(tblBaseCFResult[Risk]=$Y$61)
*(tblBaseCFResult[PremTermScenario]=$Y$62)
*(tblBaseCFResult[IntRateScenario]=AH$64),"")</f>
        <v>300</v>
      </c>
      <c r="AI75" s="152" cm="1">
        <f t="array" ref="AI75">_xlfn._xlws.FILTER(ROUND(tblBaseCFResult[COI],-3)/1000,
(tblBaseCFResult[Year]=$T75)
*(tblBaseCFResult[Risk]=$Y$61)
*(tblBaseCFResult[PremTermScenario]=$Y$62)
*(tblBaseCFResult[IntRateScenario]=AI$64),"")</f>
        <v>318</v>
      </c>
      <c r="AJ75" s="152" cm="1">
        <f t="array" ref="AJ75">_xlfn._xlws.FILTER(ROUND(tblBaseCFResult[AdminChrg],-3)/1000,
(tblBaseCFResult[Year]=$T75)
*(tblBaseCFResult[Risk]=$Y$61)
*(tblBaseCFResult[PremTermScenario]=$Y$62)
*(tblBaseCFResult[IntRateScenario]=AJ$64),"")</f>
        <v>300</v>
      </c>
      <c r="AK75" s="152" cm="1">
        <f t="array" ref="AK75">_xlfn._xlws.FILTER(ROUND(tblBaseCFResult[COI],-3)/1000,
(tblBaseCFResult[Year]=$T75)
*(tblBaseCFResult[Risk]=$Y$61)
*(tblBaseCFResult[PremTermScenario]=$Y$62)
*(tblBaseCFResult[IntRateScenario]=AK$64),"")</f>
        <v>312</v>
      </c>
    </row>
    <row r="76" spans="1:37" ht="15" customHeight="1" x14ac:dyDescent="0.25">
      <c r="A76" s="155">
        <v>9</v>
      </c>
      <c r="B76" s="155">
        <f t="shared" si="4"/>
        <v>8</v>
      </c>
      <c r="C76" s="154"/>
      <c r="D76" s="153" t="str">
        <f t="shared" si="5"/>
        <v>9/8</v>
      </c>
      <c r="E76" s="157" cm="1">
        <f t="array" ref="E76">_xlfn._xlws.FILTER(tblBaseCFResult[TotalPrem]/1000,
(tblBaseCFResult[Year]=$A76)
*(tblBaseCFResult[Risk]=$E$61)
*(tblBaseCFResult[PremTermScenario]=$E$62)
*(tblBaseCFResult[IntRateScenario]=E$64),"")</f>
        <v>6272</v>
      </c>
      <c r="F76" s="157" cm="1">
        <f t="array" ref="F76">_xlfn._xlws.FILTER(tblBaseCFResult[AccumTotalPrem]/1000,
(tblBaseCFResult[Year]=$A76)
*(tblBaseCFResult[Risk]=$E$61)
*(tblBaseCFResult[PremTermScenario]=$E$62)
*(tblBaseCFResult[IntRateScenario]=F$64),"")</f>
        <v>56448</v>
      </c>
      <c r="G76" s="157" cm="1">
        <f t="array" ref="G76">_xlfn._xlws.FILTER(ROUND(tblBaseCFResult[SemiAnnualTotalPrem],-3)/1000,
(tblBaseCFResult[Year]=$A76)
*(tblBaseCFResult[Risk]=$E$61)
*(tblBaseCFResult[PremTermScenario]=$E$62)
*(tblBaseCFResult[IntRateScenario]=G$64),"")</f>
        <v>3136</v>
      </c>
      <c r="H76" s="157" cm="1">
        <f t="array" ref="H76">_xlfn._xlws.FILTER(tblBaseCFResult[Ben]/1000,
(tblBaseCFResult[Year]=$A76)
*(tblBaseCFResult[Risk]=$E$61)
*(tblBaseCFResult[PremTermScenario]=$E$62)
*(tblBaseCFResult[IntRateScenario]=H$64),"")</f>
        <v>101000</v>
      </c>
      <c r="I76" s="157" cm="1">
        <f t="array" ref="I76">_xlfn._xlws.FILTER(ROUND(tblBaseCFResult[EndPAV],-3)/1000,
(tblBaseCFResult[Year]=$A76)
*(tblBaseCFResult[Risk]=$E$61)
*(tblBaseCFResult[PremTermScenario]=$E$62)
*(tblBaseCFResult[IntRateScenario]=I$64),"")</f>
        <v>49810</v>
      </c>
      <c r="J76" s="157" cm="1">
        <f t="array" ref="J76">_xlfn._xlws.FILTER(ROUND(tblBaseCFResult[SV],-3)/1000,
(tblBaseCFResult[Year]=$A76)
*(tblBaseCFResult[Risk]=$E$61)
*(tblBaseCFResult[PremTermScenario]=$E$62)
*(tblBaseCFResult[IntRateScenario]=J$64),"")</f>
        <v>43209</v>
      </c>
      <c r="K76" s="157" cm="1">
        <f t="array" ref="K76">_xlfn._xlws.FILTER(tblBaseCFResult[Ben]/1000,
(tblBaseCFResult[Year]=$A76)
*(tblBaseCFResult[Risk]=$E$61)
*(tblBaseCFResult[PremTermScenario]=$E$62)
*(tblBaseCFResult[IntRateScenario]=K$64),"")</f>
        <v>101000</v>
      </c>
      <c r="L76" s="157" cm="1">
        <f t="array" ref="L76">_xlfn._xlws.FILTER(ROUND(tblBaseCFResult[EndPAV],-3)/1000,
(tblBaseCFResult[Year]=$A76)
*(tblBaseCFResult[Risk]=$E$61)
*(tblBaseCFResult[PremTermScenario]=$E$62)
*(tblBaseCFResult[IntRateScenario]=L$64),"")</f>
        <v>58010</v>
      </c>
      <c r="M76" s="157" cm="1">
        <f t="array" ref="M76">_xlfn._xlws.FILTER(ROUND(tblBaseCFResult[SV],-3)/1000,
(tblBaseCFResult[Year]=$A76)
*(tblBaseCFResult[Risk]=$E$61)
*(tblBaseCFResult[PremTermScenario]=$E$62)
*(tblBaseCFResult[IntRateScenario]=M$64),"")</f>
        <v>49611</v>
      </c>
      <c r="N76" s="157" cm="1">
        <f t="array" ref="N76">_xlfn._xlws.FILTER(tblBaseCFResult[Ben]/1000,
(tblBaseCFResult[Year]=$A76)
*(tblBaseCFResult[Risk]=$E$61)
*(tblBaseCFResult[PremTermScenario]=$E$62)
*(tblBaseCFResult[IntRateScenario]=N$64),"")</f>
        <v>101000</v>
      </c>
      <c r="O76" s="157" cm="1">
        <f t="array" ref="O76">_xlfn._xlws.FILTER(ROUND(tblBaseCFResult[EndPAV],-3)/1000,
(tblBaseCFResult[Year]=$A76)
*(tblBaseCFResult[Risk]=$E$61)
*(tblBaseCFResult[PremTermScenario]=$E$62)
*(tblBaseCFResult[IntRateScenario]=O$64),"")</f>
        <v>64257</v>
      </c>
      <c r="P76" s="157" cm="1">
        <f t="array" ref="P76">_xlfn._xlws.FILTER(ROUND(tblBaseCFResult[SV],-3)/1000,
(tblBaseCFResult[Year]=$A76)
*(tblBaseCFResult[Risk]=$E$61)
*(tblBaseCFResult[PremTermScenario]=$E$62)
*(tblBaseCFResult[IntRateScenario]=P$64),"")</f>
        <v>54407</v>
      </c>
      <c r="Q76" s="154"/>
      <c r="R76" s="156"/>
      <c r="S76" s="154"/>
      <c r="T76" s="155">
        <v>9</v>
      </c>
      <c r="U76" s="155">
        <f t="shared" si="6"/>
        <v>8</v>
      </c>
      <c r="W76" s="154"/>
      <c r="X76" s="153" t="str">
        <f t="shared" si="7"/>
        <v>9/8</v>
      </c>
      <c r="Y76" s="152" cm="1">
        <f t="array" ref="Y76">_xlfn._xlws.FILTER(tblBaseCFResult[TP]/1000,
(tblBaseCFResult[Year]=$T76)
*(tblBaseCFResult[Risk]=$Y$61)
*(tblBaseCFResult[PremTermScenario]=$Y$62)
*(tblBaseCFResult[IntRateScenario]=Y$64),"")</f>
        <v>1072</v>
      </c>
      <c r="Z76" s="152" cm="1">
        <f t="array" ref="Z76">_xlfn._xlws.FILTER(tblBaseCFResult[EP]/1000,
(tblBaseCFResult[Year]=$T76)
*(tblBaseCFResult[Risk]=$Y$61)
*(tblBaseCFResult[PremTermScenario]=$Y$62)
*(tblBaseCFResult[IntRateScenario]=Z$64),"")</f>
        <v>5200</v>
      </c>
      <c r="AA76" s="152">
        <f t="shared" si="8"/>
        <v>6272</v>
      </c>
      <c r="AB76" s="152" cm="1">
        <f t="array" ref="AB76">_xlfn._xlws.FILTER(ROUND(tblBaseCFResult[AllocChrg],-3)/1000,
(tblBaseCFResult[Year]=$T76)
*(tblBaseCFResult[Risk]=$Y$61)
*(tblBaseCFResult[PremTermScenario]=$Y$62)
*(tblBaseCFResult[IntRateScenario]=AB$64),"")</f>
        <v>147</v>
      </c>
      <c r="AC76" s="152" cm="1">
        <f t="array" ref="AC76">_xlfn._xlws.FILTER(ROUND(tblBaseCFResult[EPAllocChrg],-3)/1000,
(tblBaseCFResult[Year]=$T76)
*(tblBaseCFResult[Risk]=$Y$61)
*(tblBaseCFResult[PremTermScenario]=$Y$62)
*(tblBaseCFResult[IntRateScenario]=AC$64),"")</f>
        <v>104</v>
      </c>
      <c r="AD76" s="152">
        <f t="shared" si="9"/>
        <v>251</v>
      </c>
      <c r="AE76" s="152">
        <f t="shared" si="10"/>
        <v>925</v>
      </c>
      <c r="AF76" s="152">
        <f t="shared" si="11"/>
        <v>5096</v>
      </c>
      <c r="AG76" s="152">
        <f t="shared" si="12"/>
        <v>6021</v>
      </c>
      <c r="AH76" s="152" cm="1">
        <f t="array" ref="AH76">_xlfn._xlws.FILTER(ROUND(tblBaseCFResult[AdminChrg],-3)/1000,
(tblBaseCFResult[Year]=$T76)
*(tblBaseCFResult[Risk]=$Y$61)
*(tblBaseCFResult[PremTermScenario]=$Y$62)
*(tblBaseCFResult[IntRateScenario]=AH$64),"")</f>
        <v>300</v>
      </c>
      <c r="AI76" s="152" cm="1">
        <f t="array" ref="AI76">_xlfn._xlws.FILTER(ROUND(tblBaseCFResult[COI],-3)/1000,
(tblBaseCFResult[Year]=$T76)
*(tblBaseCFResult[Risk]=$Y$61)
*(tblBaseCFResult[PremTermScenario]=$Y$62)
*(tblBaseCFResult[IntRateScenario]=AI$64),"")</f>
        <v>313</v>
      </c>
      <c r="AJ76" s="152" cm="1">
        <f t="array" ref="AJ76">_xlfn._xlws.FILTER(ROUND(tblBaseCFResult[AdminChrg],-3)/1000,
(tblBaseCFResult[Year]=$T76)
*(tblBaseCFResult[Risk]=$Y$61)
*(tblBaseCFResult[PremTermScenario]=$Y$62)
*(tblBaseCFResult[IntRateScenario]=AJ$64),"")</f>
        <v>300</v>
      </c>
      <c r="AK76" s="152" cm="1">
        <f t="array" ref="AK76">_xlfn._xlws.FILTER(ROUND(tblBaseCFResult[COI],-3)/1000,
(tblBaseCFResult[Year]=$T76)
*(tblBaseCFResult[Risk]=$Y$61)
*(tblBaseCFResult[PremTermScenario]=$Y$62)
*(tblBaseCFResult[IntRateScenario]=AK$64),"")</f>
        <v>305</v>
      </c>
    </row>
    <row r="77" spans="1:37" ht="15" customHeight="1" x14ac:dyDescent="0.25">
      <c r="A77" s="155">
        <v>10</v>
      </c>
      <c r="B77" s="155">
        <f t="shared" si="4"/>
        <v>9</v>
      </c>
      <c r="C77" s="154"/>
      <c r="D77" s="153" t="str">
        <f t="shared" si="5"/>
        <v>10/9</v>
      </c>
      <c r="E77" s="157" cm="1">
        <f t="array" ref="E77">_xlfn._xlws.FILTER(tblBaseCFResult[TotalPrem]/1000,
(tblBaseCFResult[Year]=$A77)
*(tblBaseCFResult[Risk]=$E$61)
*(tblBaseCFResult[PremTermScenario]=$E$62)
*(tblBaseCFResult[IntRateScenario]=E$64),"")</f>
        <v>6272</v>
      </c>
      <c r="F77" s="157" cm="1">
        <f t="array" ref="F77">_xlfn._xlws.FILTER(tblBaseCFResult[AccumTotalPrem]/1000,
(tblBaseCFResult[Year]=$A77)
*(tblBaseCFResult[Risk]=$E$61)
*(tblBaseCFResult[PremTermScenario]=$E$62)
*(tblBaseCFResult[IntRateScenario]=F$64),"")</f>
        <v>62720</v>
      </c>
      <c r="G77" s="157" cm="1">
        <f t="array" ref="G77">_xlfn._xlws.FILTER(ROUND(tblBaseCFResult[SemiAnnualTotalPrem],-3)/1000,
(tblBaseCFResult[Year]=$A77)
*(tblBaseCFResult[Risk]=$E$61)
*(tblBaseCFResult[PremTermScenario]=$E$62)
*(tblBaseCFResult[IntRateScenario]=G$64),"")</f>
        <v>3136</v>
      </c>
      <c r="H77" s="157" cm="1">
        <f t="array" ref="H77">_xlfn._xlws.FILTER(tblBaseCFResult[Ben]/1000,
(tblBaseCFResult[Year]=$A77)
*(tblBaseCFResult[Risk]=$E$61)
*(tblBaseCFResult[PremTermScenario]=$E$62)
*(tblBaseCFResult[IntRateScenario]=H$64),"")</f>
        <v>101000</v>
      </c>
      <c r="I77" s="157" cm="1">
        <f t="array" ref="I77">_xlfn._xlws.FILTER(ROUND(tblBaseCFResult[EndPAV],-3)/1000,
(tblBaseCFResult[Year]=$A77)
*(tblBaseCFResult[Risk]=$E$61)
*(tblBaseCFResult[PremTermScenario]=$E$62)
*(tblBaseCFResult[IntRateScenario]=I$64),"")</f>
        <v>56461</v>
      </c>
      <c r="J77" s="157" cm="1">
        <f t="array" ref="J77">_xlfn._xlws.FILTER(ROUND(tblBaseCFResult[SV],-3)/1000,
(tblBaseCFResult[Year]=$A77)
*(tblBaseCFResult[Risk]=$E$61)
*(tblBaseCFResult[PremTermScenario]=$E$62)
*(tblBaseCFResult[IntRateScenario]=J$64),"")</f>
        <v>49810</v>
      </c>
      <c r="K77" s="157" cm="1">
        <f t="array" ref="K77">_xlfn._xlws.FILTER(tblBaseCFResult[Ben]/1000,
(tblBaseCFResult[Year]=$A77)
*(tblBaseCFResult[Risk]=$E$61)
*(tblBaseCFResult[PremTermScenario]=$E$62)
*(tblBaseCFResult[IntRateScenario]=K$64),"")</f>
        <v>101000</v>
      </c>
      <c r="L77" s="157" cm="1">
        <f t="array" ref="L77">_xlfn._xlws.FILTER(ROUND(tblBaseCFResult[EndPAV],-3)/1000,
(tblBaseCFResult[Year]=$A77)
*(tblBaseCFResult[Risk]=$E$61)
*(tblBaseCFResult[PremTermScenario]=$E$62)
*(tblBaseCFResult[IntRateScenario]=L$64),"")</f>
        <v>66746</v>
      </c>
      <c r="M77" s="157" cm="1">
        <f t="array" ref="M77">_xlfn._xlws.FILTER(ROUND(tblBaseCFResult[SV],-3)/1000,
(tblBaseCFResult[Year]=$A77)
*(tblBaseCFResult[Risk]=$E$61)
*(tblBaseCFResult[PremTermScenario]=$E$62)
*(tblBaseCFResult[IntRateScenario]=M$64),"")</f>
        <v>58010</v>
      </c>
      <c r="N77" s="157" cm="1">
        <f t="array" ref="N77">_xlfn._xlws.FILTER(tblBaseCFResult[Ben]/1000,
(tblBaseCFResult[Year]=$A77)
*(tblBaseCFResult[Risk]=$E$61)
*(tblBaseCFResult[PremTermScenario]=$E$62)
*(tblBaseCFResult[IntRateScenario]=N$64),"")</f>
        <v>101000</v>
      </c>
      <c r="O77" s="157" cm="1">
        <f t="array" ref="O77">_xlfn._xlws.FILTER(ROUND(tblBaseCFResult[EndPAV],-3)/1000,
(tblBaseCFResult[Year]=$A77)
*(tblBaseCFResult[Risk]=$E$61)
*(tblBaseCFResult[PremTermScenario]=$E$62)
*(tblBaseCFResult[IntRateScenario]=O$64),"")</f>
        <v>74711</v>
      </c>
      <c r="P77" s="157" cm="1">
        <f t="array" ref="P77">_xlfn._xlws.FILTER(ROUND(tblBaseCFResult[SV],-3)/1000,
(tblBaseCFResult[Year]=$A77)
*(tblBaseCFResult[Risk]=$E$61)
*(tblBaseCFResult[PremTermScenario]=$E$62)
*(tblBaseCFResult[IntRateScenario]=P$64),"")</f>
        <v>64257</v>
      </c>
      <c r="Q77" s="154"/>
      <c r="R77" s="156"/>
      <c r="S77" s="154"/>
      <c r="T77" s="155">
        <v>10</v>
      </c>
      <c r="U77" s="155">
        <f t="shared" si="6"/>
        <v>9</v>
      </c>
      <c r="W77" s="154"/>
      <c r="X77" s="153" t="str">
        <f t="shared" si="7"/>
        <v>10/9</v>
      </c>
      <c r="Y77" s="152" cm="1">
        <f t="array" ref="Y77">_xlfn._xlws.FILTER(tblBaseCFResult[TP]/1000,
(tblBaseCFResult[Year]=$T77)
*(tblBaseCFResult[Risk]=$Y$61)
*(tblBaseCFResult[PremTermScenario]=$Y$62)
*(tblBaseCFResult[IntRateScenario]=Y$64),"")</f>
        <v>1072</v>
      </c>
      <c r="Z77" s="152" cm="1">
        <f t="array" ref="Z77">_xlfn._xlws.FILTER(tblBaseCFResult[EP]/1000,
(tblBaseCFResult[Year]=$T77)
*(tblBaseCFResult[Risk]=$Y$61)
*(tblBaseCFResult[PremTermScenario]=$Y$62)
*(tblBaseCFResult[IntRateScenario]=Z$64),"")</f>
        <v>5200</v>
      </c>
      <c r="AA77" s="152">
        <f t="shared" si="8"/>
        <v>6272</v>
      </c>
      <c r="AB77" s="152" cm="1">
        <f t="array" ref="AB77">_xlfn._xlws.FILTER(ROUND(tblBaseCFResult[AllocChrg],-3)/1000,
(tblBaseCFResult[Year]=$T77)
*(tblBaseCFResult[Risk]=$Y$61)
*(tblBaseCFResult[PremTermScenario]=$Y$62)
*(tblBaseCFResult[IntRateScenario]=AB$64),"")</f>
        <v>125</v>
      </c>
      <c r="AC77" s="152" cm="1">
        <f t="array" ref="AC77">_xlfn._xlws.FILTER(ROUND(tblBaseCFResult[EPAllocChrg],-3)/1000,
(tblBaseCFResult[Year]=$T77)
*(tblBaseCFResult[Risk]=$Y$61)
*(tblBaseCFResult[PremTermScenario]=$Y$62)
*(tblBaseCFResult[IntRateScenario]=AC$64),"")</f>
        <v>104</v>
      </c>
      <c r="AD77" s="152">
        <f t="shared" si="9"/>
        <v>229</v>
      </c>
      <c r="AE77" s="152">
        <f t="shared" si="10"/>
        <v>947</v>
      </c>
      <c r="AF77" s="152">
        <f t="shared" si="11"/>
        <v>5096</v>
      </c>
      <c r="AG77" s="152">
        <f t="shared" si="12"/>
        <v>6043</v>
      </c>
      <c r="AH77" s="152" cm="1">
        <f t="array" ref="AH77">_xlfn._xlws.FILTER(ROUND(tblBaseCFResult[AdminChrg],-3)/1000,
(tblBaseCFResult[Year]=$T77)
*(tblBaseCFResult[Risk]=$Y$61)
*(tblBaseCFResult[PremTermScenario]=$Y$62)
*(tblBaseCFResult[IntRateScenario]=AH$64),"")</f>
        <v>300</v>
      </c>
      <c r="AI77" s="152" cm="1">
        <f t="array" ref="AI77">_xlfn._xlws.FILTER(ROUND(tblBaseCFResult[COI],-3)/1000,
(tblBaseCFResult[Year]=$T77)
*(tblBaseCFResult[Risk]=$Y$61)
*(tblBaseCFResult[PremTermScenario]=$Y$62)
*(tblBaseCFResult[IntRateScenario]=AI$64),"")</f>
        <v>308</v>
      </c>
      <c r="AJ77" s="152" cm="1">
        <f t="array" ref="AJ77">_xlfn._xlws.FILTER(ROUND(tblBaseCFResult[AdminChrg],-3)/1000,
(tblBaseCFResult[Year]=$T77)
*(tblBaseCFResult[Risk]=$Y$61)
*(tblBaseCFResult[PremTermScenario]=$Y$62)
*(tblBaseCFResult[IntRateScenario]=AJ$64),"")</f>
        <v>300</v>
      </c>
      <c r="AK77" s="152" cm="1">
        <f t="array" ref="AK77">_xlfn._xlws.FILTER(ROUND(tblBaseCFResult[COI],-3)/1000,
(tblBaseCFResult[Year]=$T77)
*(tblBaseCFResult[Risk]=$Y$61)
*(tblBaseCFResult[PremTermScenario]=$Y$62)
*(tblBaseCFResult[IntRateScenario]=AK$64),"")</f>
        <v>298</v>
      </c>
    </row>
    <row r="78" spans="1:37" ht="15" customHeight="1" x14ac:dyDescent="0.25">
      <c r="A78" s="155">
        <v>11</v>
      </c>
      <c r="B78" s="155">
        <f t="shared" si="4"/>
        <v>10</v>
      </c>
      <c r="C78" s="154"/>
      <c r="D78" s="153" t="str">
        <f t="shared" si="5"/>
        <v>11/10</v>
      </c>
      <c r="E78" s="157" cm="1">
        <f t="array" ref="E78">_xlfn._xlws.FILTER(tblBaseCFResult[TotalPrem]/1000,
(tblBaseCFResult[Year]=$A78)
*(tblBaseCFResult[Risk]=$E$61)
*(tblBaseCFResult[PremTermScenario]=$E$62)
*(tblBaseCFResult[IntRateScenario]=E$64),"")</f>
        <v>6272</v>
      </c>
      <c r="F78" s="157" cm="1">
        <f t="array" ref="F78">_xlfn._xlws.FILTER(tblBaseCFResult[AccumTotalPrem]/1000,
(tblBaseCFResult[Year]=$A78)
*(tblBaseCFResult[Risk]=$E$61)
*(tblBaseCFResult[PremTermScenario]=$E$62)
*(tblBaseCFResult[IntRateScenario]=F$64),"")</f>
        <v>68992</v>
      </c>
      <c r="G78" s="157" cm="1">
        <f t="array" ref="G78">_xlfn._xlws.FILTER(ROUND(tblBaseCFResult[SemiAnnualTotalPrem],-3)/1000,
(tblBaseCFResult[Year]=$A78)
*(tblBaseCFResult[Risk]=$E$61)
*(tblBaseCFResult[PremTermScenario]=$E$62)
*(tblBaseCFResult[IntRateScenario]=G$64),"")</f>
        <v>3136</v>
      </c>
      <c r="H78" s="157" cm="1">
        <f t="array" ref="H78">_xlfn._xlws.FILTER(tblBaseCFResult[Ben]/1000,
(tblBaseCFResult[Year]=$A78)
*(tblBaseCFResult[Risk]=$E$61)
*(tblBaseCFResult[PremTermScenario]=$E$62)
*(tblBaseCFResult[IntRateScenario]=H$64),"")</f>
        <v>101000</v>
      </c>
      <c r="I78" s="157" cm="1">
        <f t="array" ref="I78">_xlfn._xlws.FILTER(ROUND(tblBaseCFResult[EndPAV],-3)/1000,
(tblBaseCFResult[Year]=$A78)
*(tblBaseCFResult[Risk]=$E$61)
*(tblBaseCFResult[PremTermScenario]=$E$62)
*(tblBaseCFResult[IntRateScenario]=I$64),"")</f>
        <v>63251</v>
      </c>
      <c r="J78" s="157" cm="1">
        <f t="array" ref="J78">_xlfn._xlws.FILTER(ROUND(tblBaseCFResult[SV],-3)/1000,
(tblBaseCFResult[Year]=$A78)
*(tblBaseCFResult[Risk]=$E$61)
*(tblBaseCFResult[PremTermScenario]=$E$62)
*(tblBaseCFResult[IntRateScenario]=J$64),"")</f>
        <v>56461</v>
      </c>
      <c r="K78" s="157" cm="1">
        <f t="array" ref="K78">_xlfn._xlws.FILTER(tblBaseCFResult[Ben]/1000,
(tblBaseCFResult[Year]=$A78)
*(tblBaseCFResult[Risk]=$E$61)
*(tblBaseCFResult[PremTermScenario]=$E$62)
*(tblBaseCFResult[IntRateScenario]=K$64),"")</f>
        <v>101000</v>
      </c>
      <c r="L78" s="157" cm="1">
        <f t="array" ref="L78">_xlfn._xlws.FILTER(ROUND(tblBaseCFResult[EndPAV],-3)/1000,
(tblBaseCFResult[Year]=$A78)
*(tblBaseCFResult[Risk]=$E$61)
*(tblBaseCFResult[PremTermScenario]=$E$62)
*(tblBaseCFResult[IntRateScenario]=L$64),"")</f>
        <v>75925</v>
      </c>
      <c r="M78" s="157" cm="1">
        <f t="array" ref="M78">_xlfn._xlws.FILTER(ROUND(tblBaseCFResult[SV],-3)/1000,
(tblBaseCFResult[Year]=$A78)
*(tblBaseCFResult[Risk]=$E$61)
*(tblBaseCFResult[PremTermScenario]=$E$62)
*(tblBaseCFResult[IntRateScenario]=M$64),"")</f>
        <v>66746</v>
      </c>
      <c r="N78" s="157" cm="1">
        <f t="array" ref="N78">_xlfn._xlws.FILTER(tblBaseCFResult[Ben]/1000,
(tblBaseCFResult[Year]=$A78)
*(tblBaseCFResult[Risk]=$E$61)
*(tblBaseCFResult[PremTermScenario]=$E$62)
*(tblBaseCFResult[IntRateScenario]=N$64),"")</f>
        <v>101000</v>
      </c>
      <c r="O78" s="157" cm="1">
        <f t="array" ref="O78">_xlfn._xlws.FILTER(ROUND(tblBaseCFResult[EndPAV],-3)/1000,
(tblBaseCFResult[Year]=$A78)
*(tblBaseCFResult[Risk]=$E$61)
*(tblBaseCFResult[PremTermScenario]=$E$62)
*(tblBaseCFResult[IntRateScenario]=O$64),"")</f>
        <v>85905</v>
      </c>
      <c r="P78" s="157" cm="1">
        <f t="array" ref="P78">_xlfn._xlws.FILTER(ROUND(tblBaseCFResult[SV],-3)/1000,
(tblBaseCFResult[Year]=$A78)
*(tblBaseCFResult[Risk]=$E$61)
*(tblBaseCFResult[PremTermScenario]=$E$62)
*(tblBaseCFResult[IntRateScenario]=P$64),"")</f>
        <v>74711</v>
      </c>
      <c r="Q78" s="154"/>
      <c r="R78" s="156"/>
      <c r="S78" s="154"/>
      <c r="T78" s="155">
        <v>11</v>
      </c>
      <c r="U78" s="155">
        <f t="shared" si="6"/>
        <v>10</v>
      </c>
      <c r="W78" s="154"/>
      <c r="X78" s="153" t="str">
        <f t="shared" si="7"/>
        <v>11/10</v>
      </c>
      <c r="Y78" s="152" cm="1">
        <f t="array" ref="Y78">_xlfn._xlws.FILTER(tblBaseCFResult[TP]/1000,
(tblBaseCFResult[Year]=$T78)
*(tblBaseCFResult[Risk]=$Y$61)
*(tblBaseCFResult[PremTermScenario]=$Y$62)
*(tblBaseCFResult[IntRateScenario]=Y$64),"")</f>
        <v>1072</v>
      </c>
      <c r="Z78" s="152" cm="1">
        <f t="array" ref="Z78">_xlfn._xlws.FILTER(tblBaseCFResult[EP]/1000,
(tblBaseCFResult[Year]=$T78)
*(tblBaseCFResult[Risk]=$Y$61)
*(tblBaseCFResult[PremTermScenario]=$Y$62)
*(tblBaseCFResult[IntRateScenario]=Z$64),"")</f>
        <v>5200</v>
      </c>
      <c r="AA78" s="152">
        <f t="shared" si="8"/>
        <v>6272</v>
      </c>
      <c r="AB78" s="152" cm="1">
        <f t="array" ref="AB78">_xlfn._xlws.FILTER(ROUND(tblBaseCFResult[AllocChrg],-3)/1000,
(tblBaseCFResult[Year]=$T78)
*(tblBaseCFResult[Risk]=$Y$61)
*(tblBaseCFResult[PremTermScenario]=$Y$62)
*(tblBaseCFResult[IntRateScenario]=AB$64),"")</f>
        <v>125</v>
      </c>
      <c r="AC78" s="152" cm="1">
        <f t="array" ref="AC78">_xlfn._xlws.FILTER(ROUND(tblBaseCFResult[EPAllocChrg],-3)/1000,
(tblBaseCFResult[Year]=$T78)
*(tblBaseCFResult[Risk]=$Y$61)
*(tblBaseCFResult[PremTermScenario]=$Y$62)
*(tblBaseCFResult[IntRateScenario]=AC$64),"")</f>
        <v>104</v>
      </c>
      <c r="AD78" s="152">
        <f t="shared" si="9"/>
        <v>229</v>
      </c>
      <c r="AE78" s="152">
        <f t="shared" si="10"/>
        <v>947</v>
      </c>
      <c r="AF78" s="152">
        <f t="shared" si="11"/>
        <v>5096</v>
      </c>
      <c r="AG78" s="152">
        <f t="shared" si="12"/>
        <v>6043</v>
      </c>
      <c r="AH78" s="152" cm="1">
        <f t="array" ref="AH78">_xlfn._xlws.FILTER(ROUND(tblBaseCFResult[AdminChrg],-3)/1000,
(tblBaseCFResult[Year]=$T78)
*(tblBaseCFResult[Risk]=$Y$61)
*(tblBaseCFResult[PremTermScenario]=$Y$62)
*(tblBaseCFResult[IntRateScenario]=AH$64),"")</f>
        <v>300</v>
      </c>
      <c r="AI78" s="152" cm="1">
        <f t="array" ref="AI78">_xlfn._xlws.FILTER(ROUND(tblBaseCFResult[COI],-3)/1000,
(tblBaseCFResult[Year]=$T78)
*(tblBaseCFResult[Risk]=$Y$61)
*(tblBaseCFResult[PremTermScenario]=$Y$62)
*(tblBaseCFResult[IntRateScenario]=AI$64),"")</f>
        <v>303</v>
      </c>
      <c r="AJ78" s="152" cm="1">
        <f t="array" ref="AJ78">_xlfn._xlws.FILTER(ROUND(tblBaseCFResult[AdminChrg],-3)/1000,
(tblBaseCFResult[Year]=$T78)
*(tblBaseCFResult[Risk]=$Y$61)
*(tblBaseCFResult[PremTermScenario]=$Y$62)
*(tblBaseCFResult[IntRateScenario]=AJ$64),"")</f>
        <v>300</v>
      </c>
      <c r="AK78" s="152" cm="1">
        <f t="array" ref="AK78">_xlfn._xlws.FILTER(ROUND(tblBaseCFResult[COI],-3)/1000,
(tblBaseCFResult[Year]=$T78)
*(tblBaseCFResult[Risk]=$Y$61)
*(tblBaseCFResult[PremTermScenario]=$Y$62)
*(tblBaseCFResult[IntRateScenario]=AK$64),"")</f>
        <v>291</v>
      </c>
    </row>
    <row r="79" spans="1:37" ht="15" customHeight="1" x14ac:dyDescent="0.25">
      <c r="A79" s="155">
        <v>12</v>
      </c>
      <c r="B79" s="155">
        <f t="shared" si="4"/>
        <v>11</v>
      </c>
      <c r="C79" s="154"/>
      <c r="D79" s="153" t="str">
        <f t="shared" si="5"/>
        <v>12/11</v>
      </c>
      <c r="E79" s="157" cm="1">
        <f t="array" ref="E79">_xlfn._xlws.FILTER(tblBaseCFResult[TotalPrem]/1000,
(tblBaseCFResult[Year]=$A79)
*(tblBaseCFResult[Risk]=$E$61)
*(tblBaseCFResult[PremTermScenario]=$E$62)
*(tblBaseCFResult[IntRateScenario]=E$64),"")</f>
        <v>6272</v>
      </c>
      <c r="F79" s="157" cm="1">
        <f t="array" ref="F79">_xlfn._xlws.FILTER(tblBaseCFResult[AccumTotalPrem]/1000,
(tblBaseCFResult[Year]=$A79)
*(tblBaseCFResult[Risk]=$E$61)
*(tblBaseCFResult[PremTermScenario]=$E$62)
*(tblBaseCFResult[IntRateScenario]=F$64),"")</f>
        <v>75264</v>
      </c>
      <c r="G79" s="157" cm="1">
        <f t="array" ref="G79">_xlfn._xlws.FILTER(ROUND(tblBaseCFResult[SemiAnnualTotalPrem],-3)/1000,
(tblBaseCFResult[Year]=$A79)
*(tblBaseCFResult[Risk]=$E$61)
*(tblBaseCFResult[PremTermScenario]=$E$62)
*(tblBaseCFResult[IntRateScenario]=G$64),"")</f>
        <v>3136</v>
      </c>
      <c r="H79" s="157" cm="1">
        <f t="array" ref="H79">_xlfn._xlws.FILTER(tblBaseCFResult[Ben]/1000,
(tblBaseCFResult[Year]=$A79)
*(tblBaseCFResult[Risk]=$E$61)
*(tblBaseCFResult[PremTermScenario]=$E$62)
*(tblBaseCFResult[IntRateScenario]=H$64),"")</f>
        <v>101000</v>
      </c>
      <c r="I79" s="157" cm="1">
        <f t="array" ref="I79">_xlfn._xlws.FILTER(ROUND(tblBaseCFResult[EndPAV],-3)/1000,
(tblBaseCFResult[Year]=$A79)
*(tblBaseCFResult[Risk]=$E$61)
*(tblBaseCFResult[PremTermScenario]=$E$62)
*(tblBaseCFResult[IntRateScenario]=I$64),"")</f>
        <v>65273</v>
      </c>
      <c r="J79" s="157" cm="1">
        <f t="array" ref="J79">_xlfn._xlws.FILTER(ROUND(tblBaseCFResult[SV],-3)/1000,
(tblBaseCFResult[Year]=$A79)
*(tblBaseCFResult[Risk]=$E$61)
*(tblBaseCFResult[PremTermScenario]=$E$62)
*(tblBaseCFResult[IntRateScenario]=J$64),"")</f>
        <v>63251</v>
      </c>
      <c r="K79" s="157" cm="1">
        <f t="array" ref="K79">_xlfn._xlws.FILTER(tblBaseCFResult[Ben]/1000,
(tblBaseCFResult[Year]=$A79)
*(tblBaseCFResult[Risk]=$E$61)
*(tblBaseCFResult[PremTermScenario]=$E$62)
*(tblBaseCFResult[IntRateScenario]=K$64),"")</f>
        <v>101000</v>
      </c>
      <c r="L79" s="157" cm="1">
        <f t="array" ref="L79">_xlfn._xlws.FILTER(ROUND(tblBaseCFResult[EndPAV],-3)/1000,
(tblBaseCFResult[Year]=$A79)
*(tblBaseCFResult[Risk]=$E$61)
*(tblBaseCFResult[PremTermScenario]=$E$62)
*(tblBaseCFResult[IntRateScenario]=L$64),"")</f>
        <v>80512</v>
      </c>
      <c r="M79" s="157" cm="1">
        <f t="array" ref="M79">_xlfn._xlws.FILTER(ROUND(tblBaseCFResult[SV],-3)/1000,
(tblBaseCFResult[Year]=$A79)
*(tblBaseCFResult[Risk]=$E$61)
*(tblBaseCFResult[PremTermScenario]=$E$62)
*(tblBaseCFResult[IntRateScenario]=M$64),"")</f>
        <v>75925</v>
      </c>
      <c r="N79" s="157" cm="1">
        <f t="array" ref="N79">_xlfn._xlws.FILTER(tblBaseCFResult[Ben]/1000,
(tblBaseCFResult[Year]=$A79)
*(tblBaseCFResult[Risk]=$E$61)
*(tblBaseCFResult[PremTermScenario]=$E$62)
*(tblBaseCFResult[IntRateScenario]=N$64),"")</f>
        <v>101000</v>
      </c>
      <c r="O79" s="157" cm="1">
        <f t="array" ref="O79">_xlfn._xlws.FILTER(ROUND(tblBaseCFResult[EndPAV],-3)/1000,
(tblBaseCFResult[Year]=$A79)
*(tblBaseCFResult[Risk]=$E$61)
*(tblBaseCFResult[PremTermScenario]=$E$62)
*(tblBaseCFResult[IntRateScenario]=O$64),"")</f>
        <v>92733</v>
      </c>
      <c r="P79" s="157" cm="1">
        <f t="array" ref="P79">_xlfn._xlws.FILTER(ROUND(tblBaseCFResult[SV],-3)/1000,
(tblBaseCFResult[Year]=$A79)
*(tblBaseCFResult[Risk]=$E$61)
*(tblBaseCFResult[PremTermScenario]=$E$62)
*(tblBaseCFResult[IntRateScenario]=P$64),"")</f>
        <v>85905</v>
      </c>
      <c r="Q79" s="154"/>
      <c r="R79" s="156"/>
      <c r="S79" s="154"/>
      <c r="T79" s="155">
        <v>12</v>
      </c>
      <c r="U79" s="155">
        <f t="shared" si="6"/>
        <v>11</v>
      </c>
      <c r="W79" s="154"/>
      <c r="X79" s="153" t="str">
        <f t="shared" si="7"/>
        <v>12/11</v>
      </c>
      <c r="Y79" s="152" cm="1">
        <f t="array" ref="Y79">_xlfn._xlws.FILTER(tblBaseCFResult[TP]/1000,
(tblBaseCFResult[Year]=$T79)
*(tblBaseCFResult[Risk]=$Y$61)
*(tblBaseCFResult[PremTermScenario]=$Y$62)
*(tblBaseCFResult[IntRateScenario]=Y$64),"")</f>
        <v>1072</v>
      </c>
      <c r="Z79" s="152" cm="1">
        <f t="array" ref="Z79">_xlfn._xlws.FILTER(tblBaseCFResult[EP]/1000,
(tblBaseCFResult[Year]=$T79)
*(tblBaseCFResult[Risk]=$Y$61)
*(tblBaseCFResult[PremTermScenario]=$Y$62)
*(tblBaseCFResult[IntRateScenario]=Z$64),"")</f>
        <v>5200</v>
      </c>
      <c r="AA79" s="152">
        <f t="shared" si="8"/>
        <v>6272</v>
      </c>
      <c r="AB79" s="152" cm="1">
        <f t="array" ref="AB79">_xlfn._xlws.FILTER(ROUND(tblBaseCFResult[AllocChrg],-3)/1000,
(tblBaseCFResult[Year]=$T79)
*(tblBaseCFResult[Risk]=$Y$61)
*(tblBaseCFResult[PremTermScenario]=$Y$62)
*(tblBaseCFResult[IntRateScenario]=AB$64),"")</f>
        <v>125</v>
      </c>
      <c r="AC79" s="152" cm="1">
        <f t="array" ref="AC79">_xlfn._xlws.FILTER(ROUND(tblBaseCFResult[EPAllocChrg],-3)/1000,
(tblBaseCFResult[Year]=$T79)
*(tblBaseCFResult[Risk]=$Y$61)
*(tblBaseCFResult[PremTermScenario]=$Y$62)
*(tblBaseCFResult[IntRateScenario]=AC$64),"")</f>
        <v>104</v>
      </c>
      <c r="AD79" s="152">
        <f t="shared" si="9"/>
        <v>229</v>
      </c>
      <c r="AE79" s="152">
        <f t="shared" si="10"/>
        <v>947</v>
      </c>
      <c r="AF79" s="152">
        <f t="shared" si="11"/>
        <v>5096</v>
      </c>
      <c r="AG79" s="152">
        <f t="shared" si="12"/>
        <v>6043</v>
      </c>
      <c r="AH79" s="152" cm="1">
        <f t="array" ref="AH79">_xlfn._xlws.FILTER(ROUND(tblBaseCFResult[AdminChrg],-3)/1000,
(tblBaseCFResult[Year]=$T79)
*(tblBaseCFResult[Risk]=$Y$61)
*(tblBaseCFResult[PremTermScenario]=$Y$62)
*(tblBaseCFResult[IntRateScenario]=AH$64),"")</f>
        <v>300</v>
      </c>
      <c r="AI79" s="152" cm="1">
        <f t="array" ref="AI79">_xlfn._xlws.FILTER(ROUND(tblBaseCFResult[COI],-3)/1000,
(tblBaseCFResult[Year]=$T79)
*(tblBaseCFResult[Risk]=$Y$61)
*(tblBaseCFResult[PremTermScenario]=$Y$62)
*(tblBaseCFResult[IntRateScenario]=AI$64),"")</f>
        <v>299</v>
      </c>
      <c r="AJ79" s="152" cm="1">
        <f t="array" ref="AJ79">_xlfn._xlws.FILTER(ROUND(tblBaseCFResult[AdminChrg],-3)/1000,
(tblBaseCFResult[Year]=$T79)
*(tblBaseCFResult[Risk]=$Y$61)
*(tblBaseCFResult[PremTermScenario]=$Y$62)
*(tblBaseCFResult[IntRateScenario]=AJ$64),"")</f>
        <v>300</v>
      </c>
      <c r="AK79" s="152" cm="1">
        <f t="array" ref="AK79">_xlfn._xlws.FILTER(ROUND(tblBaseCFResult[COI],-3)/1000,
(tblBaseCFResult[Year]=$T79)
*(tblBaseCFResult[Risk]=$Y$61)
*(tblBaseCFResult[PremTermScenario]=$Y$62)
*(tblBaseCFResult[IntRateScenario]=AK$64),"")</f>
        <v>283</v>
      </c>
    </row>
    <row r="80" spans="1:37" ht="15" customHeight="1" x14ac:dyDescent="0.25">
      <c r="A80" s="155">
        <v>13</v>
      </c>
      <c r="B80" s="155">
        <f t="shared" si="4"/>
        <v>12</v>
      </c>
      <c r="C80" s="154"/>
      <c r="D80" s="153" t="str">
        <f t="shared" si="5"/>
        <v>13/12</v>
      </c>
      <c r="E80" s="157" cm="1">
        <f t="array" ref="E80">_xlfn._xlws.FILTER(tblBaseCFResult[TotalPrem]/1000,
(tblBaseCFResult[Year]=$A80)
*(tblBaseCFResult[Risk]=$E$61)
*(tblBaseCFResult[PremTermScenario]=$E$62)
*(tblBaseCFResult[IntRateScenario]=E$64),"")</f>
        <v>6272</v>
      </c>
      <c r="F80" s="157" cm="1">
        <f t="array" ref="F80">_xlfn._xlws.FILTER(tblBaseCFResult[AccumTotalPrem]/1000,
(tblBaseCFResult[Year]=$A80)
*(tblBaseCFResult[Risk]=$E$61)
*(tblBaseCFResult[PremTermScenario]=$E$62)
*(tblBaseCFResult[IntRateScenario]=F$64),"")</f>
        <v>81536</v>
      </c>
      <c r="G80" s="157" cm="1">
        <f t="array" ref="G80">_xlfn._xlws.FILTER(ROUND(tblBaseCFResult[SemiAnnualTotalPrem],-3)/1000,
(tblBaseCFResult[Year]=$A80)
*(tblBaseCFResult[Risk]=$E$61)
*(tblBaseCFResult[PremTermScenario]=$E$62)
*(tblBaseCFResult[IntRateScenario]=G$64),"")</f>
        <v>3136</v>
      </c>
      <c r="H80" s="157" cm="1">
        <f t="array" ref="H80">_xlfn._xlws.FILTER(tblBaseCFResult[Ben]/1000,
(tblBaseCFResult[Year]=$A80)
*(tblBaseCFResult[Risk]=$E$61)
*(tblBaseCFResult[PremTermScenario]=$E$62)
*(tblBaseCFResult[IntRateScenario]=H$64),"")</f>
        <v>101000</v>
      </c>
      <c r="I80" s="157" cm="1">
        <f t="array" ref="I80">_xlfn._xlws.FILTER(ROUND(tblBaseCFResult[EndPAV],-3)/1000,
(tblBaseCFResult[Year]=$A80)
*(tblBaseCFResult[Risk]=$E$61)
*(tblBaseCFResult[PremTermScenario]=$E$62)
*(tblBaseCFResult[IntRateScenario]=I$64),"")</f>
        <v>67142</v>
      </c>
      <c r="J80" s="157" cm="1">
        <f t="array" ref="J80">_xlfn._xlws.FILTER(ROUND(tblBaseCFResult[SV],-3)/1000,
(tblBaseCFResult[Year]=$A80)
*(tblBaseCFResult[Risk]=$E$61)
*(tblBaseCFResult[PremTermScenario]=$E$62)
*(tblBaseCFResult[IntRateScenario]=J$64),"")</f>
        <v>65273</v>
      </c>
      <c r="K80" s="157" cm="1">
        <f t="array" ref="K80">_xlfn._xlws.FILTER(tblBaseCFResult[Ben]/1000,
(tblBaseCFResult[Year]=$A80)
*(tblBaseCFResult[Risk]=$E$61)
*(tblBaseCFResult[PremTermScenario]=$E$62)
*(tblBaseCFResult[IntRateScenario]=K$64),"")</f>
        <v>101000</v>
      </c>
      <c r="L80" s="157" cm="1">
        <f t="array" ref="L80">_xlfn._xlws.FILTER(ROUND(tblBaseCFResult[EndPAV],-3)/1000,
(tblBaseCFResult[Year]=$A80)
*(tblBaseCFResult[Risk]=$E$61)
*(tblBaseCFResult[PremTermScenario]=$E$62)
*(tblBaseCFResult[IntRateScenario]=L$64),"")</f>
        <v>85138</v>
      </c>
      <c r="M80" s="157" cm="1">
        <f t="array" ref="M80">_xlfn._xlws.FILTER(ROUND(tblBaseCFResult[SV],-3)/1000,
(tblBaseCFResult[Year]=$A80)
*(tblBaseCFResult[Risk]=$E$61)
*(tblBaseCFResult[PremTermScenario]=$E$62)
*(tblBaseCFResult[IntRateScenario]=M$64),"")</f>
        <v>80512</v>
      </c>
      <c r="N80" s="157" cm="1">
        <f t="array" ref="N80">_xlfn._xlws.FILTER(tblBaseCFResult[Ben]/1000,
(tblBaseCFResult[Year]=$A80)
*(tblBaseCFResult[Risk]=$E$61)
*(tblBaseCFResult[PremTermScenario]=$E$62)
*(tblBaseCFResult[IntRateScenario]=N$64),"")</f>
        <v>101000</v>
      </c>
      <c r="O80" s="157" cm="1">
        <f t="array" ref="O80">_xlfn._xlws.FILTER(ROUND(tblBaseCFResult[EndPAV],-3)/1000,
(tblBaseCFResult[Year]=$A80)
*(tblBaseCFResult[Risk]=$E$61)
*(tblBaseCFResult[PremTermScenario]=$E$62)
*(tblBaseCFResult[IntRateScenario]=O$64),"")</f>
        <v>99850</v>
      </c>
      <c r="P80" s="157" cm="1">
        <f t="array" ref="P80">_xlfn._xlws.FILTER(ROUND(tblBaseCFResult[SV],-3)/1000,
(tblBaseCFResult[Year]=$A80)
*(tblBaseCFResult[Risk]=$E$61)
*(tblBaseCFResult[PremTermScenario]=$E$62)
*(tblBaseCFResult[IntRateScenario]=P$64),"")</f>
        <v>92733</v>
      </c>
      <c r="Q80" s="154"/>
      <c r="R80" s="156"/>
      <c r="S80" s="154"/>
      <c r="T80" s="155">
        <v>13</v>
      </c>
      <c r="U80" s="155">
        <f t="shared" si="6"/>
        <v>12</v>
      </c>
      <c r="W80" s="154"/>
      <c r="X80" s="153" t="str">
        <f t="shared" si="7"/>
        <v>13/12</v>
      </c>
      <c r="Y80" s="152" cm="1">
        <f t="array" ref="Y80">_xlfn._xlws.FILTER(tblBaseCFResult[TP]/1000,
(tblBaseCFResult[Year]=$T80)
*(tblBaseCFResult[Risk]=$Y$61)
*(tblBaseCFResult[PremTermScenario]=$Y$62)
*(tblBaseCFResult[IntRateScenario]=Y$64),"")</f>
        <v>1072</v>
      </c>
      <c r="Z80" s="152" cm="1">
        <f t="array" ref="Z80">_xlfn._xlws.FILTER(tblBaseCFResult[EP]/1000,
(tblBaseCFResult[Year]=$T80)
*(tblBaseCFResult[Risk]=$Y$61)
*(tblBaseCFResult[PremTermScenario]=$Y$62)
*(tblBaseCFResult[IntRateScenario]=Z$64),"")</f>
        <v>5200</v>
      </c>
      <c r="AA80" s="152">
        <f t="shared" si="8"/>
        <v>6272</v>
      </c>
      <c r="AB80" s="152" cm="1">
        <f t="array" ref="AB80">_xlfn._xlws.FILTER(ROUND(tblBaseCFResult[AllocChrg],-3)/1000,
(tblBaseCFResult[Year]=$T80)
*(tblBaseCFResult[Risk]=$Y$61)
*(tblBaseCFResult[PremTermScenario]=$Y$62)
*(tblBaseCFResult[IntRateScenario]=AB$64),"")</f>
        <v>125</v>
      </c>
      <c r="AC80" s="152" cm="1">
        <f t="array" ref="AC80">_xlfn._xlws.FILTER(ROUND(tblBaseCFResult[EPAllocChrg],-3)/1000,
(tblBaseCFResult[Year]=$T80)
*(tblBaseCFResult[Risk]=$Y$61)
*(tblBaseCFResult[PremTermScenario]=$Y$62)
*(tblBaseCFResult[IntRateScenario]=AC$64),"")</f>
        <v>104</v>
      </c>
      <c r="AD80" s="152">
        <f t="shared" si="9"/>
        <v>229</v>
      </c>
      <c r="AE80" s="152">
        <f t="shared" si="10"/>
        <v>947</v>
      </c>
      <c r="AF80" s="152">
        <f t="shared" si="11"/>
        <v>5096</v>
      </c>
      <c r="AG80" s="152">
        <f t="shared" si="12"/>
        <v>6043</v>
      </c>
      <c r="AH80" s="152" cm="1">
        <f t="array" ref="AH80">_xlfn._xlws.FILTER(ROUND(tblBaseCFResult[AdminChrg],-3)/1000,
(tblBaseCFResult[Year]=$T80)
*(tblBaseCFResult[Risk]=$Y$61)
*(tblBaseCFResult[PremTermScenario]=$Y$62)
*(tblBaseCFResult[IntRateScenario]=AH$64),"")</f>
        <v>300</v>
      </c>
      <c r="AI80" s="152" cm="1">
        <f t="array" ref="AI80">_xlfn._xlws.FILTER(ROUND(tblBaseCFResult[COI],-3)/1000,
(tblBaseCFResult[Year]=$T80)
*(tblBaseCFResult[Risk]=$Y$61)
*(tblBaseCFResult[PremTermScenario]=$Y$62)
*(tblBaseCFResult[IntRateScenario]=AI$64),"")</f>
        <v>299</v>
      </c>
      <c r="AJ80" s="152" cm="1">
        <f t="array" ref="AJ80">_xlfn._xlws.FILTER(ROUND(tblBaseCFResult[AdminChrg],-3)/1000,
(tblBaseCFResult[Year]=$T80)
*(tblBaseCFResult[Risk]=$Y$61)
*(tblBaseCFResult[PremTermScenario]=$Y$62)
*(tblBaseCFResult[IntRateScenario]=AJ$64),"")</f>
        <v>300</v>
      </c>
      <c r="AK80" s="152" cm="1">
        <f t="array" ref="AK80">_xlfn._xlws.FILTER(ROUND(tblBaseCFResult[COI],-3)/1000,
(tblBaseCFResult[Year]=$T80)
*(tblBaseCFResult[Risk]=$Y$61)
*(tblBaseCFResult[PremTermScenario]=$Y$62)
*(tblBaseCFResult[IntRateScenario]=AK$64),"")</f>
        <v>279</v>
      </c>
    </row>
    <row r="81" spans="1:37" ht="15" customHeight="1" x14ac:dyDescent="0.25">
      <c r="A81" s="155">
        <v>14</v>
      </c>
      <c r="B81" s="155">
        <f t="shared" si="4"/>
        <v>13</v>
      </c>
      <c r="C81" s="154"/>
      <c r="D81" s="153" t="str">
        <f t="shared" si="5"/>
        <v>14/13</v>
      </c>
      <c r="E81" s="157" cm="1">
        <f t="array" ref="E81">_xlfn._xlws.FILTER(tblBaseCFResult[TotalPrem]/1000,
(tblBaseCFResult[Year]=$A81)
*(tblBaseCFResult[Risk]=$E$61)
*(tblBaseCFResult[PremTermScenario]=$E$62)
*(tblBaseCFResult[IntRateScenario]=E$64),"")</f>
        <v>6272</v>
      </c>
      <c r="F81" s="157" cm="1">
        <f t="array" ref="F81">_xlfn._xlws.FILTER(tblBaseCFResult[AccumTotalPrem]/1000,
(tblBaseCFResult[Year]=$A81)
*(tblBaseCFResult[Risk]=$E$61)
*(tblBaseCFResult[PremTermScenario]=$E$62)
*(tblBaseCFResult[IntRateScenario]=F$64),"")</f>
        <v>87808</v>
      </c>
      <c r="G81" s="157" cm="1">
        <f t="array" ref="G81">_xlfn._xlws.FILTER(ROUND(tblBaseCFResult[SemiAnnualTotalPrem],-3)/1000,
(tblBaseCFResult[Year]=$A81)
*(tblBaseCFResult[Risk]=$E$61)
*(tblBaseCFResult[PremTermScenario]=$E$62)
*(tblBaseCFResult[IntRateScenario]=G$64),"")</f>
        <v>3136</v>
      </c>
      <c r="H81" s="157" cm="1">
        <f t="array" ref="H81">_xlfn._xlws.FILTER(tblBaseCFResult[Ben]/1000,
(tblBaseCFResult[Year]=$A81)
*(tblBaseCFResult[Risk]=$E$61)
*(tblBaseCFResult[PremTermScenario]=$E$62)
*(tblBaseCFResult[IntRateScenario]=H$64),"")</f>
        <v>101000</v>
      </c>
      <c r="I81" s="157" cm="1">
        <f t="array" ref="I81">_xlfn._xlws.FILTER(ROUND(tblBaseCFResult[EndPAV],-3)/1000,
(tblBaseCFResult[Year]=$A81)
*(tblBaseCFResult[Risk]=$E$61)
*(tblBaseCFResult[PremTermScenario]=$E$62)
*(tblBaseCFResult[IntRateScenario]=I$64),"")</f>
        <v>69049</v>
      </c>
      <c r="J81" s="157" cm="1">
        <f t="array" ref="J81">_xlfn._xlws.FILTER(ROUND(tblBaseCFResult[SV],-3)/1000,
(tblBaseCFResult[Year]=$A81)
*(tblBaseCFResult[Risk]=$E$61)
*(tblBaseCFResult[PremTermScenario]=$E$62)
*(tblBaseCFResult[IntRateScenario]=J$64),"")</f>
        <v>67142</v>
      </c>
      <c r="K81" s="157" cm="1">
        <f t="array" ref="K81">_xlfn._xlws.FILTER(tblBaseCFResult[Ben]/1000,
(tblBaseCFResult[Year]=$A81)
*(tblBaseCFResult[Risk]=$E$61)
*(tblBaseCFResult[PremTermScenario]=$E$62)
*(tblBaseCFResult[IntRateScenario]=K$64),"")</f>
        <v>101000</v>
      </c>
      <c r="L81" s="157" cm="1">
        <f t="array" ref="L81">_xlfn._xlws.FILTER(ROUND(tblBaseCFResult[EndPAV],-3)/1000,
(tblBaseCFResult[Year]=$A81)
*(tblBaseCFResult[Risk]=$E$61)
*(tblBaseCFResult[PremTermScenario]=$E$62)
*(tblBaseCFResult[IntRateScenario]=L$64),"")</f>
        <v>89998</v>
      </c>
      <c r="M81" s="157" cm="1">
        <f t="array" ref="M81">_xlfn._xlws.FILTER(ROUND(tblBaseCFResult[SV],-3)/1000,
(tblBaseCFResult[Year]=$A81)
*(tblBaseCFResult[Risk]=$E$61)
*(tblBaseCFResult[PremTermScenario]=$E$62)
*(tblBaseCFResult[IntRateScenario]=M$64),"")</f>
        <v>85138</v>
      </c>
      <c r="N81" s="157" cm="1">
        <f t="array" ref="N81">_xlfn._xlws.FILTER(tblBaseCFResult[Ben]/1000,
(tblBaseCFResult[Year]=$A81)
*(tblBaseCFResult[Risk]=$E$61)
*(tblBaseCFResult[PremTermScenario]=$E$62)
*(tblBaseCFResult[IntRateScenario]=N$64),"")</f>
        <v>101000</v>
      </c>
      <c r="O81" s="157" cm="1">
        <f t="array" ref="O81">_xlfn._xlws.FILTER(ROUND(tblBaseCFResult[EndPAV],-3)/1000,
(tblBaseCFResult[Year]=$A81)
*(tblBaseCFResult[Risk]=$E$61)
*(tblBaseCFResult[PremTermScenario]=$E$62)
*(tblBaseCFResult[IntRateScenario]=O$64),"")</f>
        <v>107472</v>
      </c>
      <c r="P81" s="157" cm="1">
        <f t="array" ref="P81">_xlfn._xlws.FILTER(ROUND(tblBaseCFResult[SV],-3)/1000,
(tblBaseCFResult[Year]=$A81)
*(tblBaseCFResult[Risk]=$E$61)
*(tblBaseCFResult[PremTermScenario]=$E$62)
*(tblBaseCFResult[IntRateScenario]=P$64),"")</f>
        <v>99850</v>
      </c>
      <c r="Q81" s="154"/>
      <c r="R81" s="156"/>
      <c r="S81" s="154"/>
      <c r="T81" s="155">
        <v>14</v>
      </c>
      <c r="U81" s="155">
        <f t="shared" si="6"/>
        <v>13</v>
      </c>
      <c r="W81" s="154"/>
      <c r="X81" s="153" t="str">
        <f t="shared" si="7"/>
        <v>14/13</v>
      </c>
      <c r="Y81" s="152" cm="1">
        <f t="array" ref="Y81">_xlfn._xlws.FILTER(tblBaseCFResult[TP]/1000,
(tblBaseCFResult[Year]=$T81)
*(tblBaseCFResult[Risk]=$Y$61)
*(tblBaseCFResult[PremTermScenario]=$Y$62)
*(tblBaseCFResult[IntRateScenario]=Y$64),"")</f>
        <v>1072</v>
      </c>
      <c r="Z81" s="152" cm="1">
        <f t="array" ref="Z81">_xlfn._xlws.FILTER(tblBaseCFResult[EP]/1000,
(tblBaseCFResult[Year]=$T81)
*(tblBaseCFResult[Risk]=$Y$61)
*(tblBaseCFResult[PremTermScenario]=$Y$62)
*(tblBaseCFResult[IntRateScenario]=Z$64),"")</f>
        <v>5200</v>
      </c>
      <c r="AA81" s="152">
        <f t="shared" si="8"/>
        <v>6272</v>
      </c>
      <c r="AB81" s="152" cm="1">
        <f t="array" ref="AB81">_xlfn._xlws.FILTER(ROUND(tblBaseCFResult[AllocChrg],-3)/1000,
(tblBaseCFResult[Year]=$T81)
*(tblBaseCFResult[Risk]=$Y$61)
*(tblBaseCFResult[PremTermScenario]=$Y$62)
*(tblBaseCFResult[IntRateScenario]=AB$64),"")</f>
        <v>125</v>
      </c>
      <c r="AC81" s="152" cm="1">
        <f t="array" ref="AC81">_xlfn._xlws.FILTER(ROUND(tblBaseCFResult[EPAllocChrg],-3)/1000,
(tblBaseCFResult[Year]=$T81)
*(tblBaseCFResult[Risk]=$Y$61)
*(tblBaseCFResult[PremTermScenario]=$Y$62)
*(tblBaseCFResult[IntRateScenario]=AC$64),"")</f>
        <v>104</v>
      </c>
      <c r="AD81" s="152">
        <f t="shared" si="9"/>
        <v>229</v>
      </c>
      <c r="AE81" s="152">
        <f t="shared" si="10"/>
        <v>947</v>
      </c>
      <c r="AF81" s="152">
        <f t="shared" si="11"/>
        <v>5096</v>
      </c>
      <c r="AG81" s="152">
        <f t="shared" si="12"/>
        <v>6043</v>
      </c>
      <c r="AH81" s="152" cm="1">
        <f t="array" ref="AH81">_xlfn._xlws.FILTER(ROUND(tblBaseCFResult[AdminChrg],-3)/1000,
(tblBaseCFResult[Year]=$T81)
*(tblBaseCFResult[Risk]=$Y$61)
*(tblBaseCFResult[PremTermScenario]=$Y$62)
*(tblBaseCFResult[IntRateScenario]=AH$64),"")</f>
        <v>300</v>
      </c>
      <c r="AI81" s="152" cm="1">
        <f t="array" ref="AI81">_xlfn._xlws.FILTER(ROUND(tblBaseCFResult[COI],-3)/1000,
(tblBaseCFResult[Year]=$T81)
*(tblBaseCFResult[Risk]=$Y$61)
*(tblBaseCFResult[PremTermScenario]=$Y$62)
*(tblBaseCFResult[IntRateScenario]=AI$64),"")</f>
        <v>299</v>
      </c>
      <c r="AJ81" s="152" cm="1">
        <f t="array" ref="AJ81">_xlfn._xlws.FILTER(ROUND(tblBaseCFResult[AdminChrg],-3)/1000,
(tblBaseCFResult[Year]=$T81)
*(tblBaseCFResult[Risk]=$Y$61)
*(tblBaseCFResult[PremTermScenario]=$Y$62)
*(tblBaseCFResult[IntRateScenario]=AJ$64),"")</f>
        <v>300</v>
      </c>
      <c r="AK81" s="152" cm="1">
        <f t="array" ref="AK81">_xlfn._xlws.FILTER(ROUND(tblBaseCFResult[COI],-3)/1000,
(tblBaseCFResult[Year]=$T81)
*(tblBaseCFResult[Risk]=$Y$61)
*(tblBaseCFResult[PremTermScenario]=$Y$62)
*(tblBaseCFResult[IntRateScenario]=AK$64),"")</f>
        <v>274</v>
      </c>
    </row>
    <row r="82" spans="1:37" ht="15" customHeight="1" x14ac:dyDescent="0.25">
      <c r="A82" s="155">
        <v>15</v>
      </c>
      <c r="B82" s="155">
        <f t="shared" si="4"/>
        <v>14</v>
      </c>
      <c r="C82" s="154"/>
      <c r="D82" s="153" t="str">
        <f t="shared" si="5"/>
        <v>15/14</v>
      </c>
      <c r="E82" s="157" cm="1">
        <f t="array" ref="E82">_xlfn._xlws.FILTER(tblBaseCFResult[TotalPrem]/1000,
(tblBaseCFResult[Year]=$A82)
*(tblBaseCFResult[Risk]=$E$61)
*(tblBaseCFResult[PremTermScenario]=$E$62)
*(tblBaseCFResult[IntRateScenario]=E$64),"")</f>
        <v>6272</v>
      </c>
      <c r="F82" s="157" cm="1">
        <f t="array" ref="F82">_xlfn._xlws.FILTER(tblBaseCFResult[AccumTotalPrem]/1000,
(tblBaseCFResult[Year]=$A82)
*(tblBaseCFResult[Risk]=$E$61)
*(tblBaseCFResult[PremTermScenario]=$E$62)
*(tblBaseCFResult[IntRateScenario]=F$64),"")</f>
        <v>94080</v>
      </c>
      <c r="G82" s="157" cm="1">
        <f t="array" ref="G82">_xlfn._xlws.FILTER(ROUND(tblBaseCFResult[SemiAnnualTotalPrem],-3)/1000,
(tblBaseCFResult[Year]=$A82)
*(tblBaseCFResult[Risk]=$E$61)
*(tblBaseCFResult[PremTermScenario]=$E$62)
*(tblBaseCFResult[IntRateScenario]=G$64),"")</f>
        <v>3136</v>
      </c>
      <c r="H82" s="157" cm="1">
        <f t="array" ref="H82">_xlfn._xlws.FILTER(tblBaseCFResult[Ben]/1000,
(tblBaseCFResult[Year]=$A82)
*(tblBaseCFResult[Risk]=$E$61)
*(tblBaseCFResult[PremTermScenario]=$E$62)
*(tblBaseCFResult[IntRateScenario]=H$64),"")</f>
        <v>101000</v>
      </c>
      <c r="I82" s="157" cm="1">
        <f t="array" ref="I82">_xlfn._xlws.FILTER(ROUND(tblBaseCFResult[EndPAV],-3)/1000,
(tblBaseCFResult[Year]=$A82)
*(tblBaseCFResult[Risk]=$E$61)
*(tblBaseCFResult[PremTermScenario]=$E$62)
*(tblBaseCFResult[IntRateScenario]=I$64),"")</f>
        <v>70994</v>
      </c>
      <c r="J82" s="157" cm="1">
        <f t="array" ref="J82">_xlfn._xlws.FILTER(ROUND(tblBaseCFResult[SV],-3)/1000,
(tblBaseCFResult[Year]=$A82)
*(tblBaseCFResult[Risk]=$E$61)
*(tblBaseCFResult[PremTermScenario]=$E$62)
*(tblBaseCFResult[IntRateScenario]=J$64),"")</f>
        <v>69049</v>
      </c>
      <c r="K82" s="157" cm="1">
        <f t="array" ref="K82">_xlfn._xlws.FILTER(tblBaseCFResult[Ben]/1000,
(tblBaseCFResult[Year]=$A82)
*(tblBaseCFResult[Risk]=$E$61)
*(tblBaseCFResult[PremTermScenario]=$E$62)
*(tblBaseCFResult[IntRateScenario]=K$64),"")</f>
        <v>101000</v>
      </c>
      <c r="L82" s="157" cm="1">
        <f t="array" ref="L82">_xlfn._xlws.FILTER(ROUND(tblBaseCFResult[EndPAV],-3)/1000,
(tblBaseCFResult[Year]=$A82)
*(tblBaseCFResult[Risk]=$E$61)
*(tblBaseCFResult[PremTermScenario]=$E$62)
*(tblBaseCFResult[IntRateScenario]=L$64),"")</f>
        <v>95105</v>
      </c>
      <c r="M82" s="157" cm="1">
        <f t="array" ref="M82">_xlfn._xlws.FILTER(ROUND(tblBaseCFResult[SV],-3)/1000,
(tblBaseCFResult[Year]=$A82)
*(tblBaseCFResult[Risk]=$E$61)
*(tblBaseCFResult[PremTermScenario]=$E$62)
*(tblBaseCFResult[IntRateScenario]=M$64),"")</f>
        <v>89998</v>
      </c>
      <c r="N82" s="157" cm="1">
        <f t="array" ref="N82">_xlfn._xlws.FILTER(tblBaseCFResult[Ben]/1000,
(tblBaseCFResult[Year]=$A82)
*(tblBaseCFResult[Risk]=$E$61)
*(tblBaseCFResult[PremTermScenario]=$E$62)
*(tblBaseCFResult[IntRateScenario]=N$64),"")</f>
        <v>107471.611466656</v>
      </c>
      <c r="O82" s="157" cm="1">
        <f t="array" ref="O82">_xlfn._xlws.FILTER(ROUND(tblBaseCFResult[EndPAV],-3)/1000,
(tblBaseCFResult[Year]=$A82)
*(tblBaseCFResult[Risk]=$E$61)
*(tblBaseCFResult[PremTermScenario]=$E$62)
*(tblBaseCFResult[IntRateScenario]=O$64),"")</f>
        <v>115627</v>
      </c>
      <c r="P82" s="157" cm="1">
        <f t="array" ref="P82">_xlfn._xlws.FILTER(ROUND(tblBaseCFResult[SV],-3)/1000,
(tblBaseCFResult[Year]=$A82)
*(tblBaseCFResult[Risk]=$E$61)
*(tblBaseCFResult[PremTermScenario]=$E$62)
*(tblBaseCFResult[IntRateScenario]=P$64),"")</f>
        <v>107472</v>
      </c>
      <c r="Q82" s="154"/>
      <c r="R82" s="156"/>
      <c r="S82" s="154"/>
      <c r="T82" s="155">
        <v>15</v>
      </c>
      <c r="U82" s="155">
        <f t="shared" si="6"/>
        <v>14</v>
      </c>
      <c r="W82" s="154"/>
      <c r="X82" s="153" t="str">
        <f t="shared" si="7"/>
        <v>15/14</v>
      </c>
      <c r="Y82" s="152" cm="1">
        <f t="array" ref="Y82">_xlfn._xlws.FILTER(tblBaseCFResult[TP]/1000,
(tblBaseCFResult[Year]=$T82)
*(tblBaseCFResult[Risk]=$Y$61)
*(tblBaseCFResult[PremTermScenario]=$Y$62)
*(tblBaseCFResult[IntRateScenario]=Y$64),"")</f>
        <v>1072</v>
      </c>
      <c r="Z82" s="152" cm="1">
        <f t="array" ref="Z82">_xlfn._xlws.FILTER(tblBaseCFResult[EP]/1000,
(tblBaseCFResult[Year]=$T82)
*(tblBaseCFResult[Risk]=$Y$61)
*(tblBaseCFResult[PremTermScenario]=$Y$62)
*(tblBaseCFResult[IntRateScenario]=Z$64),"")</f>
        <v>5200</v>
      </c>
      <c r="AA82" s="152">
        <f t="shared" si="8"/>
        <v>6272</v>
      </c>
      <c r="AB82" s="152" cm="1">
        <f t="array" ref="AB82">_xlfn._xlws.FILTER(ROUND(tblBaseCFResult[AllocChrg],-3)/1000,
(tblBaseCFResult[Year]=$T82)
*(tblBaseCFResult[Risk]=$Y$61)
*(tblBaseCFResult[PremTermScenario]=$Y$62)
*(tblBaseCFResult[IntRateScenario]=AB$64),"")</f>
        <v>125</v>
      </c>
      <c r="AC82" s="152" cm="1">
        <f t="array" ref="AC82">_xlfn._xlws.FILTER(ROUND(tblBaseCFResult[EPAllocChrg],-3)/1000,
(tblBaseCFResult[Year]=$T82)
*(tblBaseCFResult[Risk]=$Y$61)
*(tblBaseCFResult[PremTermScenario]=$Y$62)
*(tblBaseCFResult[IntRateScenario]=AC$64),"")</f>
        <v>104</v>
      </c>
      <c r="AD82" s="152">
        <f t="shared" si="9"/>
        <v>229</v>
      </c>
      <c r="AE82" s="152">
        <f t="shared" si="10"/>
        <v>947</v>
      </c>
      <c r="AF82" s="152">
        <f t="shared" si="11"/>
        <v>5096</v>
      </c>
      <c r="AG82" s="152">
        <f t="shared" si="12"/>
        <v>6043</v>
      </c>
      <c r="AH82" s="152" cm="1">
        <f t="array" ref="AH82">_xlfn._xlws.FILTER(ROUND(tblBaseCFResult[AdminChrg],-3)/1000,
(tblBaseCFResult[Year]=$T82)
*(tblBaseCFResult[Risk]=$Y$61)
*(tblBaseCFResult[PremTermScenario]=$Y$62)
*(tblBaseCFResult[IntRateScenario]=AH$64),"")</f>
        <v>300</v>
      </c>
      <c r="AI82" s="152" cm="1">
        <f t="array" ref="AI82">_xlfn._xlws.FILTER(ROUND(tblBaseCFResult[COI],-3)/1000,
(tblBaseCFResult[Year]=$T82)
*(tblBaseCFResult[Risk]=$Y$61)
*(tblBaseCFResult[PremTermScenario]=$Y$62)
*(tblBaseCFResult[IntRateScenario]=AI$64),"")</f>
        <v>299</v>
      </c>
      <c r="AJ82" s="152" cm="1">
        <f t="array" ref="AJ82">_xlfn._xlws.FILTER(ROUND(tblBaseCFResult[AdminChrg],-3)/1000,
(tblBaseCFResult[Year]=$T82)
*(tblBaseCFResult[Risk]=$Y$61)
*(tblBaseCFResult[PremTermScenario]=$Y$62)
*(tblBaseCFResult[IntRateScenario]=AJ$64),"")</f>
        <v>300</v>
      </c>
      <c r="AK82" s="152" cm="1">
        <f t="array" ref="AK82">_xlfn._xlws.FILTER(ROUND(tblBaseCFResult[COI],-3)/1000,
(tblBaseCFResult[Year]=$T82)
*(tblBaseCFResult[Risk]=$Y$61)
*(tblBaseCFResult[PremTermScenario]=$Y$62)
*(tblBaseCFResult[IntRateScenario]=AK$64),"")</f>
        <v>273</v>
      </c>
    </row>
    <row r="83" spans="1:37" ht="15" customHeight="1" x14ac:dyDescent="0.25">
      <c r="A83" s="155">
        <v>16</v>
      </c>
      <c r="B83" s="155">
        <f t="shared" si="4"/>
        <v>15</v>
      </c>
      <c r="C83" s="154"/>
      <c r="D83" s="153" t="str">
        <f t="shared" si="5"/>
        <v>16/15</v>
      </c>
      <c r="E83" s="157" cm="1">
        <f t="array" ref="E83">_xlfn._xlws.FILTER(tblBaseCFResult[TotalPrem]/1000,
(tblBaseCFResult[Year]=$A83)
*(tblBaseCFResult[Risk]=$E$61)
*(tblBaseCFResult[PremTermScenario]=$E$62)
*(tblBaseCFResult[IntRateScenario]=E$64),"")</f>
        <v>6272</v>
      </c>
      <c r="F83" s="157" cm="1">
        <f t="array" ref="F83">_xlfn._xlws.FILTER(tblBaseCFResult[AccumTotalPrem]/1000,
(tblBaseCFResult[Year]=$A83)
*(tblBaseCFResult[Risk]=$E$61)
*(tblBaseCFResult[PremTermScenario]=$E$62)
*(tblBaseCFResult[IntRateScenario]=F$64),"")</f>
        <v>100352</v>
      </c>
      <c r="G83" s="157" cm="1">
        <f t="array" ref="G83">_xlfn._xlws.FILTER(ROUND(tblBaseCFResult[SemiAnnualTotalPrem],-3)/1000,
(tblBaseCFResult[Year]=$A83)
*(tblBaseCFResult[Risk]=$E$61)
*(tblBaseCFResult[PremTermScenario]=$E$62)
*(tblBaseCFResult[IntRateScenario]=G$64),"")</f>
        <v>3136</v>
      </c>
      <c r="H83" s="157" cm="1">
        <f t="array" ref="H83">_xlfn._xlws.FILTER(tblBaseCFResult[Ben]/1000,
(tblBaseCFResult[Year]=$A83)
*(tblBaseCFResult[Risk]=$E$61)
*(tblBaseCFResult[PremTermScenario]=$E$62)
*(tblBaseCFResult[IntRateScenario]=H$64),"")</f>
        <v>101000</v>
      </c>
      <c r="I83" s="157" cm="1">
        <f t="array" ref="I83">_xlfn._xlws.FILTER(ROUND(tblBaseCFResult[EndPAV],-3)/1000,
(tblBaseCFResult[Year]=$A83)
*(tblBaseCFResult[Risk]=$E$61)
*(tblBaseCFResult[PremTermScenario]=$E$62)
*(tblBaseCFResult[IntRateScenario]=I$64),"")</f>
        <v>78336</v>
      </c>
      <c r="J83" s="157" cm="1">
        <f t="array" ref="J83">_xlfn._xlws.FILTER(ROUND(tblBaseCFResult[SV],-3)/1000,
(tblBaseCFResult[Year]=$A83)
*(tblBaseCFResult[Risk]=$E$61)
*(tblBaseCFResult[PremTermScenario]=$E$62)
*(tblBaseCFResult[IntRateScenario]=J$64),"")</f>
        <v>70994</v>
      </c>
      <c r="K83" s="157" cm="1">
        <f t="array" ref="K83">_xlfn._xlws.FILTER(tblBaseCFResult[Ben]/1000,
(tblBaseCFResult[Year]=$A83)
*(tblBaseCFResult[Risk]=$E$61)
*(tblBaseCFResult[PremTermScenario]=$E$62)
*(tblBaseCFResult[IntRateScenario]=K$64),"")</f>
        <v>101000</v>
      </c>
      <c r="L83" s="157" cm="1">
        <f t="array" ref="L83">_xlfn._xlws.FILTER(ROUND(tblBaseCFResult[EndPAV],-3)/1000,
(tblBaseCFResult[Year]=$A83)
*(tblBaseCFResult[Risk]=$E$61)
*(tblBaseCFResult[PremTermScenario]=$E$62)
*(tblBaseCFResult[IntRateScenario]=L$64),"")</f>
        <v>105978</v>
      </c>
      <c r="M83" s="157" cm="1">
        <f t="array" ref="M83">_xlfn._xlws.FILTER(ROUND(tblBaseCFResult[SV],-3)/1000,
(tblBaseCFResult[Year]=$A83)
*(tblBaseCFResult[Risk]=$E$61)
*(tblBaseCFResult[PremTermScenario]=$E$62)
*(tblBaseCFResult[IntRateScenario]=M$64),"")</f>
        <v>95105</v>
      </c>
      <c r="N83" s="157" cm="1">
        <f t="array" ref="N83">_xlfn._xlws.FILTER(tblBaseCFResult[Ben]/1000,
(tblBaseCFResult[Year]=$A83)
*(tblBaseCFResult[Risk]=$E$61)
*(tblBaseCFResult[PremTermScenario]=$E$62)
*(tblBaseCFResult[IntRateScenario]=N$64),"")</f>
        <v>115627.25303805199</v>
      </c>
      <c r="O83" s="157" cm="1">
        <f t="array" ref="O83">_xlfn._xlws.FILTER(ROUND(tblBaseCFResult[EndPAV],-3)/1000,
(tblBaseCFResult[Year]=$A83)
*(tblBaseCFResult[Risk]=$E$61)
*(tblBaseCFResult[PremTermScenario]=$E$62)
*(tblBaseCFResult[IntRateScenario]=O$64),"")</f>
        <v>129961</v>
      </c>
      <c r="P83" s="157" cm="1">
        <f t="array" ref="P83">_xlfn._xlws.FILTER(ROUND(tblBaseCFResult[SV],-3)/1000,
(tblBaseCFResult[Year]=$A83)
*(tblBaseCFResult[Risk]=$E$61)
*(tblBaseCFResult[PremTermScenario]=$E$62)
*(tblBaseCFResult[IntRateScenario]=P$64),"")</f>
        <v>115627</v>
      </c>
      <c r="Q83" s="154"/>
      <c r="R83" s="156"/>
      <c r="S83" s="154"/>
      <c r="T83" s="155">
        <v>16</v>
      </c>
      <c r="U83" s="155">
        <f t="shared" si="6"/>
        <v>15</v>
      </c>
      <c r="W83" s="154"/>
      <c r="X83" s="153" t="str">
        <f t="shared" si="7"/>
        <v>16/15</v>
      </c>
      <c r="Y83" s="152" cm="1">
        <f t="array" ref="Y83">_xlfn._xlws.FILTER(tblBaseCFResult[TP]/1000,
(tblBaseCFResult[Year]=$T83)
*(tblBaseCFResult[Risk]=$Y$61)
*(tblBaseCFResult[PremTermScenario]=$Y$62)
*(tblBaseCFResult[IntRateScenario]=Y$64),"")</f>
        <v>1072</v>
      </c>
      <c r="Z83" s="152" cm="1">
        <f t="array" ref="Z83">_xlfn._xlws.FILTER(tblBaseCFResult[EP]/1000,
(tblBaseCFResult[Year]=$T83)
*(tblBaseCFResult[Risk]=$Y$61)
*(tblBaseCFResult[PremTermScenario]=$Y$62)
*(tblBaseCFResult[IntRateScenario]=Z$64),"")</f>
        <v>5200</v>
      </c>
      <c r="AA83" s="152">
        <f t="shared" si="8"/>
        <v>6272</v>
      </c>
      <c r="AB83" s="152" cm="1">
        <f t="array" ref="AB83">_xlfn._xlws.FILTER(ROUND(tblBaseCFResult[AllocChrg],-3)/1000,
(tblBaseCFResult[Year]=$T83)
*(tblBaseCFResult[Risk]=$Y$61)
*(tblBaseCFResult[PremTermScenario]=$Y$62)
*(tblBaseCFResult[IntRateScenario]=AB$64),"")</f>
        <v>125</v>
      </c>
      <c r="AC83" s="152" cm="1">
        <f t="array" ref="AC83">_xlfn._xlws.FILTER(ROUND(tblBaseCFResult[EPAllocChrg],-3)/1000,
(tblBaseCFResult[Year]=$T83)
*(tblBaseCFResult[Risk]=$Y$61)
*(tblBaseCFResult[PremTermScenario]=$Y$62)
*(tblBaseCFResult[IntRateScenario]=AC$64),"")</f>
        <v>104</v>
      </c>
      <c r="AD83" s="152">
        <f t="shared" si="9"/>
        <v>229</v>
      </c>
      <c r="AE83" s="152">
        <f t="shared" si="10"/>
        <v>947</v>
      </c>
      <c r="AF83" s="152">
        <f t="shared" si="11"/>
        <v>5096</v>
      </c>
      <c r="AG83" s="152">
        <f t="shared" si="12"/>
        <v>6043</v>
      </c>
      <c r="AH83" s="152" cm="1">
        <f t="array" ref="AH83">_xlfn._xlws.FILTER(ROUND(tblBaseCFResult[AdminChrg],-3)/1000,
(tblBaseCFResult[Year]=$T83)
*(tblBaseCFResult[Risk]=$Y$61)
*(tblBaseCFResult[PremTermScenario]=$Y$62)
*(tblBaseCFResult[IntRateScenario]=AH$64),"")</f>
        <v>300</v>
      </c>
      <c r="AI83" s="152" cm="1">
        <f t="array" ref="AI83">_xlfn._xlws.FILTER(ROUND(tblBaseCFResult[COI],-3)/1000,
(tblBaseCFResult[Year]=$T83)
*(tblBaseCFResult[Risk]=$Y$61)
*(tblBaseCFResult[PremTermScenario]=$Y$62)
*(tblBaseCFResult[IntRateScenario]=AI$64),"")</f>
        <v>299</v>
      </c>
      <c r="AJ83" s="152" cm="1">
        <f t="array" ref="AJ83">_xlfn._xlws.FILTER(ROUND(tblBaseCFResult[AdminChrg],-3)/1000,
(tblBaseCFResult[Year]=$T83)
*(tblBaseCFResult[Risk]=$Y$61)
*(tblBaseCFResult[PremTermScenario]=$Y$62)
*(tblBaseCFResult[IntRateScenario]=AJ$64),"")</f>
        <v>300</v>
      </c>
      <c r="AK83" s="152" cm="1">
        <f t="array" ref="AK83">_xlfn._xlws.FILTER(ROUND(tblBaseCFResult[COI],-3)/1000,
(tblBaseCFResult[Year]=$T83)
*(tblBaseCFResult[Risk]=$Y$61)
*(tblBaseCFResult[PremTermScenario]=$Y$62)
*(tblBaseCFResult[IntRateScenario]=AK$64),"")</f>
        <v>273</v>
      </c>
    </row>
    <row r="84" spans="1:37" ht="15" customHeight="1" x14ac:dyDescent="0.25">
      <c r="A84" s="155">
        <v>17</v>
      </c>
      <c r="B84" s="155">
        <f t="shared" si="4"/>
        <v>16</v>
      </c>
      <c r="C84" s="154"/>
      <c r="D84" s="153" t="str">
        <f t="shared" si="5"/>
        <v>17/16</v>
      </c>
      <c r="E84" s="157" cm="1">
        <f t="array" ref="E84">_xlfn._xlws.FILTER(tblBaseCFResult[TotalPrem]/1000,
(tblBaseCFResult[Year]=$A84)
*(tblBaseCFResult[Risk]=$E$61)
*(tblBaseCFResult[PremTermScenario]=$E$62)
*(tblBaseCFResult[IntRateScenario]=E$64),"")</f>
        <v>6272</v>
      </c>
      <c r="F84" s="157" cm="1">
        <f t="array" ref="F84">_xlfn._xlws.FILTER(tblBaseCFResult[AccumTotalPrem]/1000,
(tblBaseCFResult[Year]=$A84)
*(tblBaseCFResult[Risk]=$E$61)
*(tblBaseCFResult[PremTermScenario]=$E$62)
*(tblBaseCFResult[IntRateScenario]=F$64),"")</f>
        <v>106624</v>
      </c>
      <c r="G84" s="157" cm="1">
        <f t="array" ref="G84">_xlfn._xlws.FILTER(ROUND(tblBaseCFResult[SemiAnnualTotalPrem],-3)/1000,
(tblBaseCFResult[Year]=$A84)
*(tblBaseCFResult[Risk]=$E$61)
*(tblBaseCFResult[PremTermScenario]=$E$62)
*(tblBaseCFResult[IntRateScenario]=G$64),"")</f>
        <v>3136</v>
      </c>
      <c r="H84" s="157" cm="1">
        <f t="array" ref="H84">_xlfn._xlws.FILTER(tblBaseCFResult[Ben]/1000,
(tblBaseCFResult[Year]=$A84)
*(tblBaseCFResult[Risk]=$E$61)
*(tblBaseCFResult[PremTermScenario]=$E$62)
*(tblBaseCFResult[IntRateScenario]=H$64),"")</f>
        <v>101000</v>
      </c>
      <c r="I84" s="157" cm="1">
        <f t="array" ref="I84">_xlfn._xlws.FILTER(ROUND(tblBaseCFResult[EndPAV],-3)/1000,
(tblBaseCFResult[Year]=$A84)
*(tblBaseCFResult[Risk]=$E$61)
*(tblBaseCFResult[PremTermScenario]=$E$62)
*(tblBaseCFResult[IntRateScenario]=I$64),"")</f>
        <v>85572</v>
      </c>
      <c r="J84" s="157" cm="1">
        <f t="array" ref="J84">_xlfn._xlws.FILTER(ROUND(tblBaseCFResult[SV],-3)/1000,
(tblBaseCFResult[Year]=$A84)
*(tblBaseCFResult[Risk]=$E$61)
*(tblBaseCFResult[PremTermScenario]=$E$62)
*(tblBaseCFResult[IntRateScenario]=J$64),"")</f>
        <v>78336</v>
      </c>
      <c r="K84" s="157" cm="1">
        <f t="array" ref="K84">_xlfn._xlws.FILTER(tblBaseCFResult[Ben]/1000,
(tblBaseCFResult[Year]=$A84)
*(tblBaseCFResult[Risk]=$E$61)
*(tblBaseCFResult[PremTermScenario]=$E$62)
*(tblBaseCFResult[IntRateScenario]=K$64),"")</f>
        <v>105977.894632511</v>
      </c>
      <c r="L84" s="157" cm="1">
        <f t="array" ref="L84">_xlfn._xlws.FILTER(ROUND(tblBaseCFResult[EndPAV],-3)/1000,
(tblBaseCFResult[Year]=$A84)
*(tblBaseCFResult[Risk]=$E$61)
*(tblBaseCFResult[PremTermScenario]=$E$62)
*(tblBaseCFResult[IntRateScenario]=L$64),"")</f>
        <v>117143</v>
      </c>
      <c r="M84" s="157" cm="1">
        <f t="array" ref="M84">_xlfn._xlws.FILTER(ROUND(tblBaseCFResult[SV],-3)/1000,
(tblBaseCFResult[Year]=$A84)
*(tblBaseCFResult[Risk]=$E$61)
*(tblBaseCFResult[PremTermScenario]=$E$62)
*(tblBaseCFResult[IntRateScenario]=M$64),"")</f>
        <v>105978</v>
      </c>
      <c r="N84" s="157" cm="1">
        <f t="array" ref="N84">_xlfn._xlws.FILTER(tblBaseCFResult[Ben]/1000,
(tblBaseCFResult[Year]=$A84)
*(tblBaseCFResult[Risk]=$E$61)
*(tblBaseCFResult[PremTermScenario]=$E$62)
*(tblBaseCFResult[IntRateScenario]=N$64),"")</f>
        <v>129961.069519446</v>
      </c>
      <c r="O84" s="157" cm="1">
        <f t="array" ref="O84">_xlfn._xlws.FILTER(ROUND(tblBaseCFResult[EndPAV],-3)/1000,
(tblBaseCFResult[Year]=$A84)
*(tblBaseCFResult[Risk]=$E$61)
*(tblBaseCFResult[PremTermScenario]=$E$62)
*(tblBaseCFResult[IntRateScenario]=O$64),"")</f>
        <v>145041</v>
      </c>
      <c r="P84" s="157" cm="1">
        <f t="array" ref="P84">_xlfn._xlws.FILTER(ROUND(tblBaseCFResult[SV],-3)/1000,
(tblBaseCFResult[Year]=$A84)
*(tblBaseCFResult[Risk]=$E$61)
*(tblBaseCFResult[PremTermScenario]=$E$62)
*(tblBaseCFResult[IntRateScenario]=P$64),"")</f>
        <v>129961</v>
      </c>
      <c r="Q84" s="154"/>
      <c r="R84" s="156"/>
      <c r="S84" s="154"/>
      <c r="T84" s="155">
        <v>17</v>
      </c>
      <c r="U84" s="155">
        <f t="shared" si="6"/>
        <v>16</v>
      </c>
      <c r="W84" s="154"/>
      <c r="X84" s="153" t="str">
        <f t="shared" si="7"/>
        <v>17/16</v>
      </c>
      <c r="Y84" s="152" cm="1">
        <f t="array" ref="Y84">_xlfn._xlws.FILTER(tblBaseCFResult[TP]/1000,
(tblBaseCFResult[Year]=$T84)
*(tblBaseCFResult[Risk]=$Y$61)
*(tblBaseCFResult[PremTermScenario]=$Y$62)
*(tblBaseCFResult[IntRateScenario]=Y$64),"")</f>
        <v>1072</v>
      </c>
      <c r="Z84" s="152" cm="1">
        <f t="array" ref="Z84">_xlfn._xlws.FILTER(tblBaseCFResult[EP]/1000,
(tblBaseCFResult[Year]=$T84)
*(tblBaseCFResult[Risk]=$Y$61)
*(tblBaseCFResult[PremTermScenario]=$Y$62)
*(tblBaseCFResult[IntRateScenario]=Z$64),"")</f>
        <v>5200</v>
      </c>
      <c r="AA84" s="152">
        <f t="shared" si="8"/>
        <v>6272</v>
      </c>
      <c r="AB84" s="152" cm="1">
        <f t="array" ref="AB84">_xlfn._xlws.FILTER(ROUND(tblBaseCFResult[AllocChrg],-3)/1000,
(tblBaseCFResult[Year]=$T84)
*(tblBaseCFResult[Risk]=$Y$61)
*(tblBaseCFResult[PremTermScenario]=$Y$62)
*(tblBaseCFResult[IntRateScenario]=AB$64),"")</f>
        <v>125</v>
      </c>
      <c r="AC84" s="152" cm="1">
        <f t="array" ref="AC84">_xlfn._xlws.FILTER(ROUND(tblBaseCFResult[EPAllocChrg],-3)/1000,
(tblBaseCFResult[Year]=$T84)
*(tblBaseCFResult[Risk]=$Y$61)
*(tblBaseCFResult[PremTermScenario]=$Y$62)
*(tblBaseCFResult[IntRateScenario]=AC$64),"")</f>
        <v>104</v>
      </c>
      <c r="AD84" s="152">
        <f t="shared" si="9"/>
        <v>229</v>
      </c>
      <c r="AE84" s="152">
        <f t="shared" si="10"/>
        <v>947</v>
      </c>
      <c r="AF84" s="152">
        <f t="shared" si="11"/>
        <v>5096</v>
      </c>
      <c r="AG84" s="152">
        <f t="shared" si="12"/>
        <v>6043</v>
      </c>
      <c r="AH84" s="152" cm="1">
        <f t="array" ref="AH84">_xlfn._xlws.FILTER(ROUND(tblBaseCFResult[AdminChrg],-3)/1000,
(tblBaseCFResult[Year]=$T84)
*(tblBaseCFResult[Risk]=$Y$61)
*(tblBaseCFResult[PremTermScenario]=$Y$62)
*(tblBaseCFResult[IntRateScenario]=AH$64),"")</f>
        <v>300</v>
      </c>
      <c r="AI84" s="152" cm="1">
        <f t="array" ref="AI84">_xlfn._xlws.FILTER(ROUND(tblBaseCFResult[COI],-3)/1000,
(tblBaseCFResult[Year]=$T84)
*(tblBaseCFResult[Risk]=$Y$61)
*(tblBaseCFResult[PremTermScenario]=$Y$62)
*(tblBaseCFResult[IntRateScenario]=AI$64),"")</f>
        <v>294</v>
      </c>
      <c r="AJ84" s="152" cm="1">
        <f t="array" ref="AJ84">_xlfn._xlws.FILTER(ROUND(tblBaseCFResult[AdminChrg],-3)/1000,
(tblBaseCFResult[Year]=$T84)
*(tblBaseCFResult[Risk]=$Y$61)
*(tblBaseCFResult[PremTermScenario]=$Y$62)
*(tblBaseCFResult[IntRateScenario]=AJ$64),"")</f>
        <v>300</v>
      </c>
      <c r="AK84" s="152" cm="1">
        <f t="array" ref="AK84">_xlfn._xlws.FILTER(ROUND(tblBaseCFResult[COI],-3)/1000,
(tblBaseCFResult[Year]=$T84)
*(tblBaseCFResult[Risk]=$Y$61)
*(tblBaseCFResult[PremTermScenario]=$Y$62)
*(tblBaseCFResult[IntRateScenario]=AK$64),"")</f>
        <v>273</v>
      </c>
    </row>
    <row r="85" spans="1:37" ht="15" customHeight="1" x14ac:dyDescent="0.25">
      <c r="A85" s="155">
        <v>18</v>
      </c>
      <c r="B85" s="155">
        <f t="shared" si="4"/>
        <v>17</v>
      </c>
      <c r="C85" s="154"/>
      <c r="D85" s="153" t="str">
        <f t="shared" si="5"/>
        <v>18/17</v>
      </c>
      <c r="E85" s="157" cm="1">
        <f t="array" ref="E85">_xlfn._xlws.FILTER(tblBaseCFResult[TotalPrem]/1000,
(tblBaseCFResult[Year]=$A85)
*(tblBaseCFResult[Risk]=$E$61)
*(tblBaseCFResult[PremTermScenario]=$E$62)
*(tblBaseCFResult[IntRateScenario]=E$64),"")</f>
        <v>6272</v>
      </c>
      <c r="F85" s="157" cm="1">
        <f t="array" ref="F85">_xlfn._xlws.FILTER(tblBaseCFResult[AccumTotalPrem]/1000,
(tblBaseCFResult[Year]=$A85)
*(tblBaseCFResult[Risk]=$E$61)
*(tblBaseCFResult[PremTermScenario]=$E$62)
*(tblBaseCFResult[IntRateScenario]=F$64),"")</f>
        <v>112896</v>
      </c>
      <c r="G85" s="157" cm="1">
        <f t="array" ref="G85">_xlfn._xlws.FILTER(ROUND(tblBaseCFResult[SemiAnnualTotalPrem],-3)/1000,
(tblBaseCFResult[Year]=$A85)
*(tblBaseCFResult[Risk]=$E$61)
*(tblBaseCFResult[PremTermScenario]=$E$62)
*(tblBaseCFResult[IntRateScenario]=G$64),"")</f>
        <v>3136</v>
      </c>
      <c r="H85" s="157" cm="1">
        <f t="array" ref="H85">_xlfn._xlws.FILTER(tblBaseCFResult[Ben]/1000,
(tblBaseCFResult[Year]=$A85)
*(tblBaseCFResult[Risk]=$E$61)
*(tblBaseCFResult[PremTermScenario]=$E$62)
*(tblBaseCFResult[IntRateScenario]=H$64),"")</f>
        <v>101000</v>
      </c>
      <c r="I85" s="157" cm="1">
        <f t="array" ref="I85">_xlfn._xlws.FILTER(ROUND(tblBaseCFResult[EndPAV],-3)/1000,
(tblBaseCFResult[Year]=$A85)
*(tblBaseCFResult[Risk]=$E$61)
*(tblBaseCFResult[PremTermScenario]=$E$62)
*(tblBaseCFResult[IntRateScenario]=I$64),"")</f>
        <v>92959</v>
      </c>
      <c r="J85" s="157" cm="1">
        <f t="array" ref="J85">_xlfn._xlws.FILTER(ROUND(tblBaseCFResult[SV],-3)/1000,
(tblBaseCFResult[Year]=$A85)
*(tblBaseCFResult[Risk]=$E$61)
*(tblBaseCFResult[PremTermScenario]=$E$62)
*(tblBaseCFResult[IntRateScenario]=J$64),"")</f>
        <v>85572</v>
      </c>
      <c r="K85" s="157" cm="1">
        <f t="array" ref="K85">_xlfn._xlws.FILTER(tblBaseCFResult[Ben]/1000,
(tblBaseCFResult[Year]=$A85)
*(tblBaseCFResult[Risk]=$E$61)
*(tblBaseCFResult[PremTermScenario]=$E$62)
*(tblBaseCFResult[IntRateScenario]=K$64),"")</f>
        <v>117142.582351537</v>
      </c>
      <c r="L85" s="157" cm="1">
        <f t="array" ref="L85">_xlfn._xlws.FILTER(ROUND(tblBaseCFResult[EndPAV],-3)/1000,
(tblBaseCFResult[Year]=$A85)
*(tblBaseCFResult[Risk]=$E$61)
*(tblBaseCFResult[PremTermScenario]=$E$62)
*(tblBaseCFResult[IntRateScenario]=L$64),"")</f>
        <v>128866</v>
      </c>
      <c r="M85" s="157" cm="1">
        <f t="array" ref="M85">_xlfn._xlws.FILTER(ROUND(tblBaseCFResult[SV],-3)/1000,
(tblBaseCFResult[Year]=$A85)
*(tblBaseCFResult[Risk]=$E$61)
*(tblBaseCFResult[PremTermScenario]=$E$62)
*(tblBaseCFResult[IntRateScenario]=M$64),"")</f>
        <v>117143</v>
      </c>
      <c r="N85" s="157" cm="1">
        <f t="array" ref="N85">_xlfn._xlws.FILTER(tblBaseCFResult[Ben]/1000,
(tblBaseCFResult[Year]=$A85)
*(tblBaseCFResult[Risk]=$E$61)
*(tblBaseCFResult[PremTermScenario]=$E$62)
*(tblBaseCFResult[IntRateScenario]=N$64),"")</f>
        <v>145040.97315453802</v>
      </c>
      <c r="O85" s="157" cm="1">
        <f t="array" ref="O85">_xlfn._xlws.FILTER(ROUND(tblBaseCFResult[EndPAV],-3)/1000,
(tblBaseCFResult[Year]=$A85)
*(tblBaseCFResult[Risk]=$E$61)
*(tblBaseCFResult[PremTermScenario]=$E$62)
*(tblBaseCFResult[IntRateScenario]=O$64),"")</f>
        <v>161176</v>
      </c>
      <c r="P85" s="157" cm="1">
        <f t="array" ref="P85">_xlfn._xlws.FILTER(ROUND(tblBaseCFResult[SV],-3)/1000,
(tblBaseCFResult[Year]=$A85)
*(tblBaseCFResult[Risk]=$E$61)
*(tblBaseCFResult[PremTermScenario]=$E$62)
*(tblBaseCFResult[IntRateScenario]=P$64),"")</f>
        <v>145041</v>
      </c>
      <c r="Q85" s="154"/>
      <c r="R85" s="156"/>
      <c r="S85" s="154"/>
      <c r="T85" s="155">
        <v>18</v>
      </c>
      <c r="U85" s="155">
        <f t="shared" si="6"/>
        <v>17</v>
      </c>
      <c r="W85" s="154"/>
      <c r="X85" s="153" t="str">
        <f t="shared" si="7"/>
        <v>18/17</v>
      </c>
      <c r="Y85" s="152" cm="1">
        <f t="array" ref="Y85">_xlfn._xlws.FILTER(tblBaseCFResult[TP]/1000,
(tblBaseCFResult[Year]=$T85)
*(tblBaseCFResult[Risk]=$Y$61)
*(tblBaseCFResult[PremTermScenario]=$Y$62)
*(tblBaseCFResult[IntRateScenario]=Y$64),"")</f>
        <v>1072</v>
      </c>
      <c r="Z85" s="152" cm="1">
        <f t="array" ref="Z85">_xlfn._xlws.FILTER(tblBaseCFResult[EP]/1000,
(tblBaseCFResult[Year]=$T85)
*(tblBaseCFResult[Risk]=$Y$61)
*(tblBaseCFResult[PremTermScenario]=$Y$62)
*(tblBaseCFResult[IntRateScenario]=Z$64),"")</f>
        <v>5200</v>
      </c>
      <c r="AA85" s="152">
        <f t="shared" si="8"/>
        <v>6272</v>
      </c>
      <c r="AB85" s="152" cm="1">
        <f t="array" ref="AB85">_xlfn._xlws.FILTER(ROUND(tblBaseCFResult[AllocChrg],-3)/1000,
(tblBaseCFResult[Year]=$T85)
*(tblBaseCFResult[Risk]=$Y$61)
*(tblBaseCFResult[PremTermScenario]=$Y$62)
*(tblBaseCFResult[IntRateScenario]=AB$64),"")</f>
        <v>125</v>
      </c>
      <c r="AC85" s="152" cm="1">
        <f t="array" ref="AC85">_xlfn._xlws.FILTER(ROUND(tblBaseCFResult[EPAllocChrg],-3)/1000,
(tblBaseCFResult[Year]=$T85)
*(tblBaseCFResult[Risk]=$Y$61)
*(tblBaseCFResult[PremTermScenario]=$Y$62)
*(tblBaseCFResult[IntRateScenario]=AC$64),"")</f>
        <v>104</v>
      </c>
      <c r="AD85" s="152">
        <f t="shared" si="9"/>
        <v>229</v>
      </c>
      <c r="AE85" s="152">
        <f t="shared" si="10"/>
        <v>947</v>
      </c>
      <c r="AF85" s="152">
        <f t="shared" si="11"/>
        <v>5096</v>
      </c>
      <c r="AG85" s="152">
        <f t="shared" si="12"/>
        <v>6043</v>
      </c>
      <c r="AH85" s="152" cm="1">
        <f t="array" ref="AH85">_xlfn._xlws.FILTER(ROUND(tblBaseCFResult[AdminChrg],-3)/1000,
(tblBaseCFResult[Year]=$T85)
*(tblBaseCFResult[Risk]=$Y$61)
*(tblBaseCFResult[PremTermScenario]=$Y$62)
*(tblBaseCFResult[IntRateScenario]=AH$64),"")</f>
        <v>300</v>
      </c>
      <c r="AI85" s="152" cm="1">
        <f t="array" ref="AI85">_xlfn._xlws.FILTER(ROUND(tblBaseCFResult[COI],-3)/1000,
(tblBaseCFResult[Year]=$T85)
*(tblBaseCFResult[Risk]=$Y$61)
*(tblBaseCFResult[PremTermScenario]=$Y$62)
*(tblBaseCFResult[IntRateScenario]=AI$64),"")</f>
        <v>288</v>
      </c>
      <c r="AJ85" s="152" cm="1">
        <f t="array" ref="AJ85">_xlfn._xlws.FILTER(ROUND(tblBaseCFResult[AdminChrg],-3)/1000,
(tblBaseCFResult[Year]=$T85)
*(tblBaseCFResult[Risk]=$Y$61)
*(tblBaseCFResult[PremTermScenario]=$Y$62)
*(tblBaseCFResult[IntRateScenario]=AJ$64),"")</f>
        <v>300</v>
      </c>
      <c r="AK85" s="152" cm="1">
        <f t="array" ref="AK85">_xlfn._xlws.FILTER(ROUND(tblBaseCFResult[COI],-3)/1000,
(tblBaseCFResult[Year]=$T85)
*(tblBaseCFResult[Risk]=$Y$61)
*(tblBaseCFResult[PremTermScenario]=$Y$62)
*(tblBaseCFResult[IntRateScenario]=AK$64),"")</f>
        <v>273</v>
      </c>
    </row>
    <row r="86" spans="1:37" ht="15" customHeight="1" x14ac:dyDescent="0.25">
      <c r="A86" s="155">
        <v>19</v>
      </c>
      <c r="B86" s="155">
        <f t="shared" si="4"/>
        <v>18</v>
      </c>
      <c r="C86" s="154"/>
      <c r="D86" s="153" t="str">
        <f t="shared" si="5"/>
        <v>19/18</v>
      </c>
      <c r="E86" s="157" cm="1">
        <f t="array" ref="E86">_xlfn._xlws.FILTER(tblBaseCFResult[TotalPrem]/1000,
(tblBaseCFResult[Year]=$A86)
*(tblBaseCFResult[Risk]=$E$61)
*(tblBaseCFResult[PremTermScenario]=$E$62)
*(tblBaseCFResult[IntRateScenario]=E$64),"")</f>
        <v>6272</v>
      </c>
      <c r="F86" s="157" cm="1">
        <f t="array" ref="F86">_xlfn._xlws.FILTER(tblBaseCFResult[AccumTotalPrem]/1000,
(tblBaseCFResult[Year]=$A86)
*(tblBaseCFResult[Risk]=$E$61)
*(tblBaseCFResult[PremTermScenario]=$E$62)
*(tblBaseCFResult[IntRateScenario]=F$64),"")</f>
        <v>119168</v>
      </c>
      <c r="G86" s="157" cm="1">
        <f t="array" ref="G86">_xlfn._xlws.FILTER(ROUND(tblBaseCFResult[SemiAnnualTotalPrem],-3)/1000,
(tblBaseCFResult[Year]=$A86)
*(tblBaseCFResult[Risk]=$E$61)
*(tblBaseCFResult[PremTermScenario]=$E$62)
*(tblBaseCFResult[IntRateScenario]=G$64),"")</f>
        <v>3136</v>
      </c>
      <c r="H86" s="157" cm="1">
        <f t="array" ref="H86">_xlfn._xlws.FILTER(tblBaseCFResult[Ben]/1000,
(tblBaseCFResult[Year]=$A86)
*(tblBaseCFResult[Risk]=$E$61)
*(tblBaseCFResult[PremTermScenario]=$E$62)
*(tblBaseCFResult[IntRateScenario]=H$64),"")</f>
        <v>101000</v>
      </c>
      <c r="I86" s="157" cm="1">
        <f t="array" ref="I86">_xlfn._xlws.FILTER(ROUND(tblBaseCFResult[EndPAV],-3)/1000,
(tblBaseCFResult[Year]=$A86)
*(tblBaseCFResult[Risk]=$E$61)
*(tblBaseCFResult[PremTermScenario]=$E$62)
*(tblBaseCFResult[IntRateScenario]=I$64),"")</f>
        <v>100501</v>
      </c>
      <c r="J86" s="157" cm="1">
        <f t="array" ref="J86">_xlfn._xlws.FILTER(ROUND(tblBaseCFResult[SV],-3)/1000,
(tblBaseCFResult[Year]=$A86)
*(tblBaseCFResult[Risk]=$E$61)
*(tblBaseCFResult[PremTermScenario]=$E$62)
*(tblBaseCFResult[IntRateScenario]=J$64),"")</f>
        <v>92959</v>
      </c>
      <c r="K86" s="157" cm="1">
        <f t="array" ref="K86">_xlfn._xlws.FILTER(tblBaseCFResult[Ben]/1000,
(tblBaseCFResult[Year]=$A86)
*(tblBaseCFResult[Risk]=$E$61)
*(tblBaseCFResult[PremTermScenario]=$E$62)
*(tblBaseCFResult[IntRateScenario]=K$64),"")</f>
        <v>128865.50445651301</v>
      </c>
      <c r="L86" s="157" cm="1">
        <f t="array" ref="L86">_xlfn._xlws.FILTER(ROUND(tblBaseCFResult[EndPAV],-3)/1000,
(tblBaseCFResult[Year]=$A86)
*(tblBaseCFResult[Risk]=$E$61)
*(tblBaseCFResult[PremTermScenario]=$E$62)
*(tblBaseCFResult[IntRateScenario]=L$64),"")</f>
        <v>141175</v>
      </c>
      <c r="M86" s="157" cm="1">
        <f t="array" ref="M86">_xlfn._xlws.FILTER(ROUND(tblBaseCFResult[SV],-3)/1000,
(tblBaseCFResult[Year]=$A86)
*(tblBaseCFResult[Risk]=$E$61)
*(tblBaseCFResult[PremTermScenario]=$E$62)
*(tblBaseCFResult[IntRateScenario]=M$64),"")</f>
        <v>128866</v>
      </c>
      <c r="N86" s="157" cm="1">
        <f t="array" ref="N86">_xlfn._xlws.FILTER(tblBaseCFResult[Ben]/1000,
(tblBaseCFResult[Year]=$A86)
*(tblBaseCFResult[Risk]=$E$61)
*(tblBaseCFResult[PremTermScenario]=$E$62)
*(tblBaseCFResult[IntRateScenario]=N$64),"")</f>
        <v>161176.47004408602</v>
      </c>
      <c r="O86" s="157" cm="1">
        <f t="array" ref="O86">_xlfn._xlws.FILTER(ROUND(tblBaseCFResult[EndPAV],-3)/1000,
(tblBaseCFResult[Year]=$A86)
*(tblBaseCFResult[Risk]=$E$61)
*(tblBaseCFResult[PremTermScenario]=$E$62)
*(tblBaseCFResult[IntRateScenario]=O$64),"")</f>
        <v>178441</v>
      </c>
      <c r="P86" s="157" cm="1">
        <f t="array" ref="P86">_xlfn._xlws.FILTER(ROUND(tblBaseCFResult[SV],-3)/1000,
(tblBaseCFResult[Year]=$A86)
*(tblBaseCFResult[Risk]=$E$61)
*(tblBaseCFResult[PremTermScenario]=$E$62)
*(tblBaseCFResult[IntRateScenario]=P$64),"")</f>
        <v>161176</v>
      </c>
      <c r="Q86" s="154"/>
      <c r="R86" s="156"/>
      <c r="S86" s="154"/>
      <c r="T86" s="155">
        <v>19</v>
      </c>
      <c r="U86" s="155">
        <f t="shared" si="6"/>
        <v>18</v>
      </c>
      <c r="W86" s="154"/>
      <c r="X86" s="153" t="str">
        <f t="shared" si="7"/>
        <v>19/18</v>
      </c>
      <c r="Y86" s="152" cm="1">
        <f t="array" ref="Y86">_xlfn._xlws.FILTER(tblBaseCFResult[TP]/1000,
(tblBaseCFResult[Year]=$T86)
*(tblBaseCFResult[Risk]=$Y$61)
*(tblBaseCFResult[PremTermScenario]=$Y$62)
*(tblBaseCFResult[IntRateScenario]=Y$64),"")</f>
        <v>1072</v>
      </c>
      <c r="Z86" s="152" cm="1">
        <f t="array" ref="Z86">_xlfn._xlws.FILTER(tblBaseCFResult[EP]/1000,
(tblBaseCFResult[Year]=$T86)
*(tblBaseCFResult[Risk]=$Y$61)
*(tblBaseCFResult[PremTermScenario]=$Y$62)
*(tblBaseCFResult[IntRateScenario]=Z$64),"")</f>
        <v>5200</v>
      </c>
      <c r="AA86" s="152">
        <f t="shared" si="8"/>
        <v>6272</v>
      </c>
      <c r="AB86" s="152" cm="1">
        <f t="array" ref="AB86">_xlfn._xlws.FILTER(ROUND(tblBaseCFResult[AllocChrg],-3)/1000,
(tblBaseCFResult[Year]=$T86)
*(tblBaseCFResult[Risk]=$Y$61)
*(tblBaseCFResult[PremTermScenario]=$Y$62)
*(tblBaseCFResult[IntRateScenario]=AB$64),"")</f>
        <v>125</v>
      </c>
      <c r="AC86" s="152" cm="1">
        <f t="array" ref="AC86">_xlfn._xlws.FILTER(ROUND(tblBaseCFResult[EPAllocChrg],-3)/1000,
(tblBaseCFResult[Year]=$T86)
*(tblBaseCFResult[Risk]=$Y$61)
*(tblBaseCFResult[PremTermScenario]=$Y$62)
*(tblBaseCFResult[IntRateScenario]=AC$64),"")</f>
        <v>104</v>
      </c>
      <c r="AD86" s="152">
        <f t="shared" si="9"/>
        <v>229</v>
      </c>
      <c r="AE86" s="152">
        <f t="shared" si="10"/>
        <v>947</v>
      </c>
      <c r="AF86" s="152">
        <f t="shared" si="11"/>
        <v>5096</v>
      </c>
      <c r="AG86" s="152">
        <f t="shared" si="12"/>
        <v>6043</v>
      </c>
      <c r="AH86" s="152" cm="1">
        <f t="array" ref="AH86">_xlfn._xlws.FILTER(ROUND(tblBaseCFResult[AdminChrg],-3)/1000,
(tblBaseCFResult[Year]=$T86)
*(tblBaseCFResult[Risk]=$Y$61)
*(tblBaseCFResult[PremTermScenario]=$Y$62)
*(tblBaseCFResult[IntRateScenario]=AH$64),"")</f>
        <v>300</v>
      </c>
      <c r="AI86" s="152" cm="1">
        <f t="array" ref="AI86">_xlfn._xlws.FILTER(ROUND(tblBaseCFResult[COI],-3)/1000,
(tblBaseCFResult[Year]=$T86)
*(tblBaseCFResult[Risk]=$Y$61)
*(tblBaseCFResult[PremTermScenario]=$Y$62)
*(tblBaseCFResult[IntRateScenario]=AI$64),"")</f>
        <v>281</v>
      </c>
      <c r="AJ86" s="152" cm="1">
        <f t="array" ref="AJ86">_xlfn._xlws.FILTER(ROUND(tblBaseCFResult[AdminChrg],-3)/1000,
(tblBaseCFResult[Year]=$T86)
*(tblBaseCFResult[Risk]=$Y$61)
*(tblBaseCFResult[PremTermScenario]=$Y$62)
*(tblBaseCFResult[IntRateScenario]=AJ$64),"")</f>
        <v>300</v>
      </c>
      <c r="AK86" s="152" cm="1">
        <f t="array" ref="AK86">_xlfn._xlws.FILTER(ROUND(tblBaseCFResult[COI],-3)/1000,
(tblBaseCFResult[Year]=$T86)
*(tblBaseCFResult[Risk]=$Y$61)
*(tblBaseCFResult[PremTermScenario]=$Y$62)
*(tblBaseCFResult[IntRateScenario]=AK$64),"")</f>
        <v>273</v>
      </c>
    </row>
    <row r="87" spans="1:37" ht="15" customHeight="1" x14ac:dyDescent="0.25">
      <c r="A87" s="155">
        <v>20</v>
      </c>
      <c r="B87" s="155">
        <f t="shared" si="4"/>
        <v>19</v>
      </c>
      <c r="C87" s="154"/>
      <c r="D87" s="153" t="str">
        <f t="shared" si="5"/>
        <v>20/19</v>
      </c>
      <c r="E87" s="157" cm="1">
        <f t="array" ref="E87">_xlfn._xlws.FILTER(tblBaseCFResult[TotalPrem]/1000,
(tblBaseCFResult[Year]=$A87)
*(tblBaseCFResult[Risk]=$E$61)
*(tblBaseCFResult[PremTermScenario]=$E$62)
*(tblBaseCFResult[IntRateScenario]=E$64),"")</f>
        <v>6272</v>
      </c>
      <c r="F87" s="157" cm="1">
        <f t="array" ref="F87">_xlfn._xlws.FILTER(tblBaseCFResult[AccumTotalPrem]/1000,
(tblBaseCFResult[Year]=$A87)
*(tblBaseCFResult[Risk]=$E$61)
*(tblBaseCFResult[PremTermScenario]=$E$62)
*(tblBaseCFResult[IntRateScenario]=F$64),"")</f>
        <v>125440</v>
      </c>
      <c r="G87" s="157" cm="1">
        <f t="array" ref="G87">_xlfn._xlws.FILTER(ROUND(tblBaseCFResult[SemiAnnualTotalPrem],-3)/1000,
(tblBaseCFResult[Year]=$A87)
*(tblBaseCFResult[Risk]=$E$61)
*(tblBaseCFResult[PremTermScenario]=$E$62)
*(tblBaseCFResult[IntRateScenario]=G$64),"")</f>
        <v>3136</v>
      </c>
      <c r="H87" s="157" cm="1">
        <f t="array" ref="H87">_xlfn._xlws.FILTER(tblBaseCFResult[Ben]/1000,
(tblBaseCFResult[Year]=$A87)
*(tblBaseCFResult[Risk]=$E$61)
*(tblBaseCFResult[PremTermScenario]=$E$62)
*(tblBaseCFResult[IntRateScenario]=H$64),"")</f>
        <v>101000</v>
      </c>
      <c r="I87" s="157" cm="1">
        <f t="array" ref="I87">_xlfn._xlws.FILTER(ROUND(tblBaseCFResult[EndPAV],-3)/1000,
(tblBaseCFResult[Year]=$A87)
*(tblBaseCFResult[Risk]=$E$61)
*(tblBaseCFResult[PremTermScenario]=$E$62)
*(tblBaseCFResult[IntRateScenario]=I$64),"")</f>
        <v>98323</v>
      </c>
      <c r="J87" s="157" cm="1">
        <f t="array" ref="J87">_xlfn._xlws.FILTER(ROUND(tblBaseCFResult[SV],-3)/1000,
(tblBaseCFResult[Year]=$A87)
*(tblBaseCFResult[Risk]=$E$61)
*(tblBaseCFResult[PremTermScenario]=$E$62)
*(tblBaseCFResult[IntRateScenario]=J$64),"")</f>
        <v>100501</v>
      </c>
      <c r="K87" s="157" cm="1">
        <f t="array" ref="K87">_xlfn._xlws.FILTER(tblBaseCFResult[Ben]/1000,
(tblBaseCFResult[Year]=$A87)
*(tblBaseCFResult[Risk]=$E$61)
*(tblBaseCFResult[PremTermScenario]=$E$62)
*(tblBaseCFResult[IntRateScenario]=K$64),"")</f>
        <v>141174.572666739</v>
      </c>
      <c r="L87" s="157" cm="1">
        <f t="array" ref="L87">_xlfn._xlws.FILTER(ROUND(tblBaseCFResult[EndPAV],-3)/1000,
(tblBaseCFResult[Year]=$A87)
*(tblBaseCFResult[Risk]=$E$61)
*(tblBaseCFResult[PremTermScenario]=$E$62)
*(tblBaseCFResult[IntRateScenario]=L$64),"")</f>
        <v>143921</v>
      </c>
      <c r="M87" s="157" cm="1">
        <f t="array" ref="M87">_xlfn._xlws.FILTER(ROUND(tblBaseCFResult[SV],-3)/1000,
(tblBaseCFResult[Year]=$A87)
*(tblBaseCFResult[Risk]=$E$61)
*(tblBaseCFResult[PremTermScenario]=$E$62)
*(tblBaseCFResult[IntRateScenario]=M$64),"")</f>
        <v>141175</v>
      </c>
      <c r="N87" s="157" cm="1">
        <f t="array" ref="N87">_xlfn._xlws.FILTER(tblBaseCFResult[Ben]/1000,
(tblBaseCFResult[Year]=$A87)
*(tblBaseCFResult[Risk]=$E$61)
*(tblBaseCFResult[PremTermScenario]=$E$62)
*(tblBaseCFResult[IntRateScenario]=N$64),"")</f>
        <v>178441.45171590301</v>
      </c>
      <c r="O87" s="157" cm="1">
        <f t="array" ref="O87">_xlfn._xlws.FILTER(ROUND(tblBaseCFResult[EndPAV],-3)/1000,
(tblBaseCFResult[Year]=$A87)
*(tblBaseCFResult[Risk]=$E$61)
*(tblBaseCFResult[PremTermScenario]=$E$62)
*(tblBaseCFResult[IntRateScenario]=O$64),"")</f>
        <v>186537</v>
      </c>
      <c r="P87" s="157" cm="1">
        <f t="array" ref="P87">_xlfn._xlws.FILTER(ROUND(tblBaseCFResult[SV],-3)/1000,
(tblBaseCFResult[Year]=$A87)
*(tblBaseCFResult[Risk]=$E$61)
*(tblBaseCFResult[PremTermScenario]=$E$62)
*(tblBaseCFResult[IntRateScenario]=P$64),"")</f>
        <v>178441</v>
      </c>
      <c r="Q87" s="154"/>
      <c r="R87" s="156"/>
      <c r="S87" s="154"/>
      <c r="T87" s="155">
        <v>20</v>
      </c>
      <c r="U87" s="155">
        <f t="shared" si="6"/>
        <v>19</v>
      </c>
      <c r="W87" s="154"/>
      <c r="X87" s="153" t="str">
        <f t="shared" si="7"/>
        <v>20/19</v>
      </c>
      <c r="Y87" s="152" cm="1">
        <f t="array" ref="Y87">_xlfn._xlws.FILTER(tblBaseCFResult[TP]/1000,
(tblBaseCFResult[Year]=$T87)
*(tblBaseCFResult[Risk]=$Y$61)
*(tblBaseCFResult[PremTermScenario]=$Y$62)
*(tblBaseCFResult[IntRateScenario]=Y$64),"")</f>
        <v>1072</v>
      </c>
      <c r="Z87" s="152" cm="1">
        <f t="array" ref="Z87">_xlfn._xlws.FILTER(tblBaseCFResult[EP]/1000,
(tblBaseCFResult[Year]=$T87)
*(tblBaseCFResult[Risk]=$Y$61)
*(tblBaseCFResult[PremTermScenario]=$Y$62)
*(tblBaseCFResult[IntRateScenario]=Z$64),"")</f>
        <v>5200</v>
      </c>
      <c r="AA87" s="152">
        <f t="shared" si="8"/>
        <v>6272</v>
      </c>
      <c r="AB87" s="152" cm="1">
        <f t="array" ref="AB87">_xlfn._xlws.FILTER(ROUND(tblBaseCFResult[AllocChrg],-3)/1000,
(tblBaseCFResult[Year]=$T87)
*(tblBaseCFResult[Risk]=$Y$61)
*(tblBaseCFResult[PremTermScenario]=$Y$62)
*(tblBaseCFResult[IntRateScenario]=AB$64),"")</f>
        <v>125</v>
      </c>
      <c r="AC87" s="152" cm="1">
        <f t="array" ref="AC87">_xlfn._xlws.FILTER(ROUND(tblBaseCFResult[EPAllocChrg],-3)/1000,
(tblBaseCFResult[Year]=$T87)
*(tblBaseCFResult[Risk]=$Y$61)
*(tblBaseCFResult[PremTermScenario]=$Y$62)
*(tblBaseCFResult[IntRateScenario]=AC$64),"")</f>
        <v>104</v>
      </c>
      <c r="AD87" s="152">
        <f t="shared" si="9"/>
        <v>229</v>
      </c>
      <c r="AE87" s="152">
        <f t="shared" si="10"/>
        <v>947</v>
      </c>
      <c r="AF87" s="152">
        <f t="shared" si="11"/>
        <v>5096</v>
      </c>
      <c r="AG87" s="152">
        <f t="shared" si="12"/>
        <v>6043</v>
      </c>
      <c r="AH87" s="152" cm="1">
        <f t="array" ref="AH87">_xlfn._xlws.FILTER(ROUND(tblBaseCFResult[AdminChrg],-3)/1000,
(tblBaseCFResult[Year]=$T87)
*(tblBaseCFResult[Risk]=$Y$61)
*(tblBaseCFResult[PremTermScenario]=$Y$62)
*(tblBaseCFResult[IntRateScenario]=AH$64),"")</f>
        <v>300</v>
      </c>
      <c r="AI87" s="152" cm="1">
        <f t="array" ref="AI87">_xlfn._xlws.FILTER(ROUND(tblBaseCFResult[COI],-3)/1000,
(tblBaseCFResult[Year]=$T87)
*(tblBaseCFResult[Risk]=$Y$61)
*(tblBaseCFResult[PremTermScenario]=$Y$62)
*(tblBaseCFResult[IntRateScenario]=AI$64),"")</f>
        <v>273</v>
      </c>
      <c r="AJ87" s="152" cm="1">
        <f t="array" ref="AJ87">_xlfn._xlws.FILTER(ROUND(tblBaseCFResult[AdminChrg],-3)/1000,
(tblBaseCFResult[Year]=$T87)
*(tblBaseCFResult[Risk]=$Y$61)
*(tblBaseCFResult[PremTermScenario]=$Y$62)
*(tblBaseCFResult[IntRateScenario]=AJ$64),"")</f>
        <v>300</v>
      </c>
      <c r="AK87" s="152" cm="1">
        <f t="array" ref="AK87">_xlfn._xlws.FILTER(ROUND(tblBaseCFResult[COI],-3)/1000,
(tblBaseCFResult[Year]=$T87)
*(tblBaseCFResult[Risk]=$Y$61)
*(tblBaseCFResult[PremTermScenario]=$Y$62)
*(tblBaseCFResult[IntRateScenario]=AK$64),"")</f>
        <v>273</v>
      </c>
    </row>
    <row r="88" spans="1:37" ht="15" customHeight="1" x14ac:dyDescent="0.25">
      <c r="A88" s="155">
        <v>21</v>
      </c>
      <c r="B88" s="155">
        <f t="shared" si="4"/>
        <v>20</v>
      </c>
      <c r="C88" s="154"/>
      <c r="D88" s="153" t="str">
        <f t="shared" si="5"/>
        <v>21/20</v>
      </c>
      <c r="E88" s="157" cm="1">
        <f t="array" ref="E88">_xlfn._xlws.FILTER(tblBaseCFResult[TotalPrem]/1000,
(tblBaseCFResult[Year]=$A88)
*(tblBaseCFResult[Risk]=$E$61)
*(tblBaseCFResult[PremTermScenario]=$E$62)
*(tblBaseCFResult[IntRateScenario]=E$64),"")</f>
        <v>6272</v>
      </c>
      <c r="F88" s="157" cm="1">
        <f t="array" ref="F88">_xlfn._xlws.FILTER(tblBaseCFResult[AccumTotalPrem]/1000,
(tblBaseCFResult[Year]=$A88)
*(tblBaseCFResult[Risk]=$E$61)
*(tblBaseCFResult[PremTermScenario]=$E$62)
*(tblBaseCFResult[IntRateScenario]=F$64),"")</f>
        <v>131712</v>
      </c>
      <c r="G88" s="157" cm="1">
        <f t="array" ref="G88">_xlfn._xlws.FILTER(ROUND(tblBaseCFResult[SemiAnnualTotalPrem],-3)/1000,
(tblBaseCFResult[Year]=$A88)
*(tblBaseCFResult[Risk]=$E$61)
*(tblBaseCFResult[PremTermScenario]=$E$62)
*(tblBaseCFResult[IntRateScenario]=G$64),"")</f>
        <v>3136</v>
      </c>
      <c r="H88" s="157" cm="1">
        <f t="array" ref="H88">_xlfn._xlws.FILTER(tblBaseCFResult[Ben]/1000,
(tblBaseCFResult[Year]=$A88)
*(tblBaseCFResult[Risk]=$E$61)
*(tblBaseCFResult[PremTermScenario]=$E$62)
*(tblBaseCFResult[IntRateScenario]=H$64),"")</f>
        <v>101000</v>
      </c>
      <c r="I88" s="157" cm="1">
        <f t="array" ref="I88">_xlfn._xlws.FILTER(ROUND(tblBaseCFResult[EndPAV],-3)/1000,
(tblBaseCFResult[Year]=$A88)
*(tblBaseCFResult[Risk]=$E$61)
*(tblBaseCFResult[PremTermScenario]=$E$62)
*(tblBaseCFResult[IntRateScenario]=I$64),"")</f>
        <v>95777</v>
      </c>
      <c r="J88" s="157" cm="1">
        <f t="array" ref="J88">_xlfn._xlws.FILTER(ROUND(tblBaseCFResult[SV],-3)/1000,
(tblBaseCFResult[Year]=$A88)
*(tblBaseCFResult[Risk]=$E$61)
*(tblBaseCFResult[PremTermScenario]=$E$62)
*(tblBaseCFResult[IntRateScenario]=J$64),"")</f>
        <v>98323</v>
      </c>
      <c r="K88" s="157" cm="1">
        <f t="array" ref="K88">_xlfn._xlws.FILTER(tblBaseCFResult[Ben]/1000,
(tblBaseCFResult[Year]=$A88)
*(tblBaseCFResult[Risk]=$E$61)
*(tblBaseCFResult[PremTermScenario]=$E$62)
*(tblBaseCFResult[IntRateScenario]=K$64),"")</f>
        <v>143920.69428747601</v>
      </c>
      <c r="L88" s="157" cm="1">
        <f t="array" ref="L88">_xlfn._xlws.FILTER(ROUND(tblBaseCFResult[EndPAV],-3)/1000,
(tblBaseCFResult[Year]=$A88)
*(tblBaseCFResult[Risk]=$E$61)
*(tblBaseCFResult[PremTermScenario]=$E$62)
*(tblBaseCFResult[IntRateScenario]=L$64),"")</f>
        <v>146483</v>
      </c>
      <c r="M88" s="157" cm="1">
        <f t="array" ref="M88">_xlfn._xlws.FILTER(ROUND(tblBaseCFResult[SV],-3)/1000,
(tblBaseCFResult[Year]=$A88)
*(tblBaseCFResult[Risk]=$E$61)
*(tblBaseCFResult[PremTermScenario]=$E$62)
*(tblBaseCFResult[IntRateScenario]=M$64),"")</f>
        <v>143921</v>
      </c>
      <c r="N88" s="157" cm="1">
        <f t="array" ref="N88">_xlfn._xlws.FILTER(tblBaseCFResult[Ben]/1000,
(tblBaseCFResult[Year]=$A88)
*(tblBaseCFResult[Risk]=$E$61)
*(tblBaseCFResult[PremTermScenario]=$E$62)
*(tblBaseCFResult[IntRateScenario]=N$64),"")</f>
        <v>186536.58210474602</v>
      </c>
      <c r="O88" s="157" cm="1">
        <f t="array" ref="O88">_xlfn._xlws.FILTER(ROUND(tblBaseCFResult[EndPAV],-3)/1000,
(tblBaseCFResult[Year]=$A88)
*(tblBaseCFResult[Risk]=$E$61)
*(tblBaseCFResult[PremTermScenario]=$E$62)
*(tblBaseCFResult[IntRateScenario]=O$64),"")</f>
        <v>194877</v>
      </c>
      <c r="P88" s="157" cm="1">
        <f t="array" ref="P88">_xlfn._xlws.FILTER(ROUND(tblBaseCFResult[SV],-3)/1000,
(tblBaseCFResult[Year]=$A88)
*(tblBaseCFResult[Risk]=$E$61)
*(tblBaseCFResult[PremTermScenario]=$E$62)
*(tblBaseCFResult[IntRateScenario]=P$64),"")</f>
        <v>186537</v>
      </c>
      <c r="Q88" s="154"/>
      <c r="R88" s="156"/>
      <c r="S88" s="154"/>
      <c r="T88" s="155">
        <v>21</v>
      </c>
      <c r="U88" s="155">
        <f t="shared" si="6"/>
        <v>20</v>
      </c>
      <c r="W88" s="154"/>
      <c r="X88" s="153" t="str">
        <f t="shared" si="7"/>
        <v>21/20</v>
      </c>
      <c r="Y88" s="152" cm="1">
        <f t="array" ref="Y88">_xlfn._xlws.FILTER(tblBaseCFResult[TP]/1000,
(tblBaseCFResult[Year]=$T88)
*(tblBaseCFResult[Risk]=$Y$61)
*(tblBaseCFResult[PremTermScenario]=$Y$62)
*(tblBaseCFResult[IntRateScenario]=Y$64),"")</f>
        <v>1072</v>
      </c>
      <c r="Z88" s="152" cm="1">
        <f t="array" ref="Z88">_xlfn._xlws.FILTER(tblBaseCFResult[EP]/1000,
(tblBaseCFResult[Year]=$T88)
*(tblBaseCFResult[Risk]=$Y$61)
*(tblBaseCFResult[PremTermScenario]=$Y$62)
*(tblBaseCFResult[IntRateScenario]=Z$64),"")</f>
        <v>5200</v>
      </c>
      <c r="AA88" s="152">
        <f t="shared" si="8"/>
        <v>6272</v>
      </c>
      <c r="AB88" s="152" cm="1">
        <f t="array" ref="AB88">_xlfn._xlws.FILTER(ROUND(tblBaseCFResult[AllocChrg],-3)/1000,
(tblBaseCFResult[Year]=$T88)
*(tblBaseCFResult[Risk]=$Y$61)
*(tblBaseCFResult[PremTermScenario]=$Y$62)
*(tblBaseCFResult[IntRateScenario]=AB$64),"")</f>
        <v>125</v>
      </c>
      <c r="AC88" s="152" cm="1">
        <f t="array" ref="AC88">_xlfn._xlws.FILTER(ROUND(tblBaseCFResult[EPAllocChrg],-3)/1000,
(tblBaseCFResult[Year]=$T88)
*(tblBaseCFResult[Risk]=$Y$61)
*(tblBaseCFResult[PremTermScenario]=$Y$62)
*(tblBaseCFResult[IntRateScenario]=AC$64),"")</f>
        <v>104</v>
      </c>
      <c r="AD88" s="152">
        <f t="shared" si="9"/>
        <v>229</v>
      </c>
      <c r="AE88" s="152">
        <f t="shared" si="10"/>
        <v>947</v>
      </c>
      <c r="AF88" s="152">
        <f t="shared" si="11"/>
        <v>5096</v>
      </c>
      <c r="AG88" s="152">
        <f t="shared" si="12"/>
        <v>6043</v>
      </c>
      <c r="AH88" s="152" cm="1">
        <f t="array" ref="AH88">_xlfn._xlws.FILTER(ROUND(tblBaseCFResult[AdminChrg],-3)/1000,
(tblBaseCFResult[Year]=$T88)
*(tblBaseCFResult[Risk]=$Y$61)
*(tblBaseCFResult[PremTermScenario]=$Y$62)
*(tblBaseCFResult[IntRateScenario]=AH$64),"")</f>
        <v>300</v>
      </c>
      <c r="AI88" s="152" cm="1">
        <f t="array" ref="AI88">_xlfn._xlws.FILTER(ROUND(tblBaseCFResult[COI],-3)/1000,
(tblBaseCFResult[Year]=$T88)
*(tblBaseCFResult[Risk]=$Y$61)
*(tblBaseCFResult[PremTermScenario]=$Y$62)
*(tblBaseCFResult[IntRateScenario]=AI$64),"")</f>
        <v>276</v>
      </c>
      <c r="AJ88" s="152" cm="1">
        <f t="array" ref="AJ88">_xlfn._xlws.FILTER(ROUND(tblBaseCFResult[AdminChrg],-3)/1000,
(tblBaseCFResult[Year]=$T88)
*(tblBaseCFResult[Risk]=$Y$61)
*(tblBaseCFResult[PremTermScenario]=$Y$62)
*(tblBaseCFResult[IntRateScenario]=AJ$64),"")</f>
        <v>300</v>
      </c>
      <c r="AK88" s="152" cm="1">
        <f t="array" ref="AK88">_xlfn._xlws.FILTER(ROUND(tblBaseCFResult[COI],-3)/1000,
(tblBaseCFResult[Year]=$T88)
*(tblBaseCFResult[Risk]=$Y$61)
*(tblBaseCFResult[PremTermScenario]=$Y$62)
*(tblBaseCFResult[IntRateScenario]=AK$64),"")</f>
        <v>273</v>
      </c>
    </row>
    <row r="89" spans="1:37" ht="15" customHeight="1" x14ac:dyDescent="0.25">
      <c r="A89" s="155">
        <v>22</v>
      </c>
      <c r="B89" s="155">
        <f t="shared" si="4"/>
        <v>21</v>
      </c>
      <c r="C89" s="154"/>
      <c r="D89" s="153" t="str">
        <f t="shared" si="5"/>
        <v>22/21</v>
      </c>
      <c r="E89" s="157" cm="1">
        <f t="array" ref="E89">_xlfn._xlws.FILTER(tblBaseCFResult[TotalPrem]/1000,
(tblBaseCFResult[Year]=$A89)
*(tblBaseCFResult[Risk]=$E$61)
*(tblBaseCFResult[PremTermScenario]=$E$62)
*(tblBaseCFResult[IntRateScenario]=E$64),"")</f>
        <v>6272</v>
      </c>
      <c r="F89" s="157" cm="1">
        <f t="array" ref="F89">_xlfn._xlws.FILTER(tblBaseCFResult[AccumTotalPrem]/1000,
(tblBaseCFResult[Year]=$A89)
*(tblBaseCFResult[Risk]=$E$61)
*(tblBaseCFResult[PremTermScenario]=$E$62)
*(tblBaseCFResult[IntRateScenario]=F$64),"")</f>
        <v>137984</v>
      </c>
      <c r="G89" s="157" cm="1">
        <f t="array" ref="G89">_xlfn._xlws.FILTER(ROUND(tblBaseCFResult[SemiAnnualTotalPrem],-3)/1000,
(tblBaseCFResult[Year]=$A89)
*(tblBaseCFResult[Risk]=$E$61)
*(tblBaseCFResult[PremTermScenario]=$E$62)
*(tblBaseCFResult[IntRateScenario]=G$64),"")</f>
        <v>3136</v>
      </c>
      <c r="H89" s="157" cm="1">
        <f t="array" ref="H89">_xlfn._xlws.FILTER(tblBaseCFResult[Ben]/1000,
(tblBaseCFResult[Year]=$A89)
*(tblBaseCFResult[Risk]=$E$61)
*(tblBaseCFResult[PremTermScenario]=$E$62)
*(tblBaseCFResult[IntRateScenario]=H$64),"")</f>
        <v>101000</v>
      </c>
      <c r="I89" s="157" cm="1">
        <f t="array" ref="I89">_xlfn._xlws.FILTER(ROUND(tblBaseCFResult[EndPAV],-3)/1000,
(tblBaseCFResult[Year]=$A89)
*(tblBaseCFResult[Risk]=$E$61)
*(tblBaseCFResult[PremTermScenario]=$E$62)
*(tblBaseCFResult[IntRateScenario]=I$64),"")</f>
        <v>93177</v>
      </c>
      <c r="J89" s="157" cm="1">
        <f t="array" ref="J89">_xlfn._xlws.FILTER(ROUND(tblBaseCFResult[SV],-3)/1000,
(tblBaseCFResult[Year]=$A89)
*(tblBaseCFResult[Risk]=$E$61)
*(tblBaseCFResult[PremTermScenario]=$E$62)
*(tblBaseCFResult[IntRateScenario]=J$64),"")</f>
        <v>95777</v>
      </c>
      <c r="K89" s="157" cm="1">
        <f t="array" ref="K89">_xlfn._xlws.FILTER(tblBaseCFResult[Ben]/1000,
(tblBaseCFResult[Year]=$A89)
*(tblBaseCFResult[Risk]=$E$61)
*(tblBaseCFResult[PremTermScenario]=$E$62)
*(tblBaseCFResult[IntRateScenario]=K$64),"")</f>
        <v>146482.52198925</v>
      </c>
      <c r="L89" s="157" cm="1">
        <f t="array" ref="L89">_xlfn._xlws.FILTER(ROUND(tblBaseCFResult[EndPAV],-3)/1000,
(tblBaseCFResult[Year]=$A89)
*(tblBaseCFResult[Risk]=$E$61)
*(tblBaseCFResult[PremTermScenario]=$E$62)
*(tblBaseCFResult[IntRateScenario]=L$64),"")</f>
        <v>149172</v>
      </c>
      <c r="M89" s="157" cm="1">
        <f t="array" ref="M89">_xlfn._xlws.FILTER(ROUND(tblBaseCFResult[SV],-3)/1000,
(tblBaseCFResult[Year]=$A89)
*(tblBaseCFResult[Risk]=$E$61)
*(tblBaseCFResult[PremTermScenario]=$E$62)
*(tblBaseCFResult[IntRateScenario]=M$64),"")</f>
        <v>146483</v>
      </c>
      <c r="N89" s="157" cm="1">
        <f t="array" ref="N89">_xlfn._xlws.FILTER(tblBaseCFResult[Ben]/1000,
(tblBaseCFResult[Year]=$A89)
*(tblBaseCFResult[Risk]=$E$61)
*(tblBaseCFResult[PremTermScenario]=$E$62)
*(tblBaseCFResult[IntRateScenario]=N$64),"")</f>
        <v>194876.77162080898</v>
      </c>
      <c r="O89" s="157" cm="1">
        <f t="array" ref="O89">_xlfn._xlws.FILTER(ROUND(tblBaseCFResult[EndPAV],-3)/1000,
(tblBaseCFResult[Year]=$A89)
*(tblBaseCFResult[Risk]=$E$61)
*(tblBaseCFResult[PremTermScenario]=$E$62)
*(tblBaseCFResult[IntRateScenario]=O$64),"")</f>
        <v>203801</v>
      </c>
      <c r="P89" s="157" cm="1">
        <f t="array" ref="P89">_xlfn._xlws.FILTER(ROUND(tblBaseCFResult[SV],-3)/1000,
(tblBaseCFResult[Year]=$A89)
*(tblBaseCFResult[Risk]=$E$61)
*(tblBaseCFResult[PremTermScenario]=$E$62)
*(tblBaseCFResult[IntRateScenario]=P$64),"")</f>
        <v>194877</v>
      </c>
      <c r="Q89" s="154"/>
      <c r="R89" s="156"/>
      <c r="S89" s="154"/>
      <c r="T89" s="155">
        <v>22</v>
      </c>
      <c r="U89" s="155">
        <f t="shared" si="6"/>
        <v>21</v>
      </c>
      <c r="W89" s="154"/>
      <c r="X89" s="153" t="str">
        <f t="shared" si="7"/>
        <v>22/21</v>
      </c>
      <c r="Y89" s="152" cm="1">
        <f t="array" ref="Y89">_xlfn._xlws.FILTER(tblBaseCFResult[TP]/1000,
(tblBaseCFResult[Year]=$T89)
*(tblBaseCFResult[Risk]=$Y$61)
*(tblBaseCFResult[PremTermScenario]=$Y$62)
*(tblBaseCFResult[IntRateScenario]=Y$64),"")</f>
        <v>1072</v>
      </c>
      <c r="Z89" s="152" cm="1">
        <f t="array" ref="Z89">_xlfn._xlws.FILTER(tblBaseCFResult[EP]/1000,
(tblBaseCFResult[Year]=$T89)
*(tblBaseCFResult[Risk]=$Y$61)
*(tblBaseCFResult[PremTermScenario]=$Y$62)
*(tblBaseCFResult[IntRateScenario]=Z$64),"")</f>
        <v>5200</v>
      </c>
      <c r="AA89" s="152">
        <f t="shared" si="8"/>
        <v>6272</v>
      </c>
      <c r="AB89" s="152" cm="1">
        <f t="array" ref="AB89">_xlfn._xlws.FILTER(ROUND(tblBaseCFResult[AllocChrg],-3)/1000,
(tblBaseCFResult[Year]=$T89)
*(tblBaseCFResult[Risk]=$Y$61)
*(tblBaseCFResult[PremTermScenario]=$Y$62)
*(tblBaseCFResult[IntRateScenario]=AB$64),"")</f>
        <v>125</v>
      </c>
      <c r="AC89" s="152" cm="1">
        <f t="array" ref="AC89">_xlfn._xlws.FILTER(ROUND(tblBaseCFResult[EPAllocChrg],-3)/1000,
(tblBaseCFResult[Year]=$T89)
*(tblBaseCFResult[Risk]=$Y$61)
*(tblBaseCFResult[PremTermScenario]=$Y$62)
*(tblBaseCFResult[IntRateScenario]=AC$64),"")</f>
        <v>104</v>
      </c>
      <c r="AD89" s="152">
        <f t="shared" si="9"/>
        <v>229</v>
      </c>
      <c r="AE89" s="152">
        <f t="shared" si="10"/>
        <v>947</v>
      </c>
      <c r="AF89" s="152">
        <f t="shared" si="11"/>
        <v>5096</v>
      </c>
      <c r="AG89" s="152">
        <f t="shared" si="12"/>
        <v>6043</v>
      </c>
      <c r="AH89" s="152" cm="1">
        <f t="array" ref="AH89">_xlfn._xlws.FILTER(ROUND(tblBaseCFResult[AdminChrg],-3)/1000,
(tblBaseCFResult[Year]=$T89)
*(tblBaseCFResult[Risk]=$Y$61)
*(tblBaseCFResult[PremTermScenario]=$Y$62)
*(tblBaseCFResult[IntRateScenario]=AH$64),"")</f>
        <v>300</v>
      </c>
      <c r="AI89" s="152" cm="1">
        <f t="array" ref="AI89">_xlfn._xlws.FILTER(ROUND(tblBaseCFResult[COI],-3)/1000,
(tblBaseCFResult[Year]=$T89)
*(tblBaseCFResult[Risk]=$Y$61)
*(tblBaseCFResult[PremTermScenario]=$Y$62)
*(tblBaseCFResult[IntRateScenario]=AI$64),"")</f>
        <v>278</v>
      </c>
      <c r="AJ89" s="152" cm="1">
        <f t="array" ref="AJ89">_xlfn._xlws.FILTER(ROUND(tblBaseCFResult[AdminChrg],-3)/1000,
(tblBaseCFResult[Year]=$T89)
*(tblBaseCFResult[Risk]=$Y$61)
*(tblBaseCFResult[PremTermScenario]=$Y$62)
*(tblBaseCFResult[IntRateScenario]=AJ$64),"")</f>
        <v>300</v>
      </c>
      <c r="AK89" s="152" cm="1">
        <f t="array" ref="AK89">_xlfn._xlws.FILTER(ROUND(tblBaseCFResult[COI],-3)/1000,
(tblBaseCFResult[Year]=$T89)
*(tblBaseCFResult[Risk]=$Y$61)
*(tblBaseCFResult[PremTermScenario]=$Y$62)
*(tblBaseCFResult[IntRateScenario]=AK$64),"")</f>
        <v>273</v>
      </c>
    </row>
    <row r="90" spans="1:37" ht="15" customHeight="1" x14ac:dyDescent="0.25">
      <c r="A90" s="155">
        <v>23</v>
      </c>
      <c r="B90" s="155">
        <f t="shared" si="4"/>
        <v>22</v>
      </c>
      <c r="C90" s="154"/>
      <c r="D90" s="153" t="str">
        <f t="shared" si="5"/>
        <v>23/22</v>
      </c>
      <c r="E90" s="157" cm="1">
        <f t="array" ref="E90">_xlfn._xlws.FILTER(tblBaseCFResult[TotalPrem]/1000,
(tblBaseCFResult[Year]=$A90)
*(tblBaseCFResult[Risk]=$E$61)
*(tblBaseCFResult[PremTermScenario]=$E$62)
*(tblBaseCFResult[IntRateScenario]=E$64),"")</f>
        <v>6272</v>
      </c>
      <c r="F90" s="157" cm="1">
        <f t="array" ref="F90">_xlfn._xlws.FILTER(tblBaseCFResult[AccumTotalPrem]/1000,
(tblBaseCFResult[Year]=$A90)
*(tblBaseCFResult[Risk]=$E$61)
*(tblBaseCFResult[PremTermScenario]=$E$62)
*(tblBaseCFResult[IntRateScenario]=F$64),"")</f>
        <v>144256</v>
      </c>
      <c r="G90" s="157" cm="1">
        <f t="array" ref="G90">_xlfn._xlws.FILTER(ROUND(tblBaseCFResult[SemiAnnualTotalPrem],-3)/1000,
(tblBaseCFResult[Year]=$A90)
*(tblBaseCFResult[Risk]=$E$61)
*(tblBaseCFResult[PremTermScenario]=$E$62)
*(tblBaseCFResult[IntRateScenario]=G$64),"")</f>
        <v>3136</v>
      </c>
      <c r="H90" s="157" cm="1">
        <f t="array" ref="H90">_xlfn._xlws.FILTER(tblBaseCFResult[Ben]/1000,
(tblBaseCFResult[Year]=$A90)
*(tblBaseCFResult[Risk]=$E$61)
*(tblBaseCFResult[PremTermScenario]=$E$62)
*(tblBaseCFResult[IntRateScenario]=H$64),"")</f>
        <v>101000</v>
      </c>
      <c r="I90" s="157" cm="1">
        <f t="array" ref="I90">_xlfn._xlws.FILTER(ROUND(tblBaseCFResult[EndPAV],-3)/1000,
(tblBaseCFResult[Year]=$A90)
*(tblBaseCFResult[Risk]=$E$61)
*(tblBaseCFResult[PremTermScenario]=$E$62)
*(tblBaseCFResult[IntRateScenario]=I$64),"")</f>
        <v>90523</v>
      </c>
      <c r="J90" s="157" cm="1">
        <f t="array" ref="J90">_xlfn._xlws.FILTER(ROUND(tblBaseCFResult[SV],-3)/1000,
(tblBaseCFResult[Year]=$A90)
*(tblBaseCFResult[Risk]=$E$61)
*(tblBaseCFResult[PremTermScenario]=$E$62)
*(tblBaseCFResult[IntRateScenario]=J$64),"")</f>
        <v>93177</v>
      </c>
      <c r="K90" s="157" cm="1">
        <f t="array" ref="K90">_xlfn._xlws.FILTER(tblBaseCFResult[Ben]/1000,
(tblBaseCFResult[Year]=$A90)
*(tblBaseCFResult[Risk]=$E$61)
*(tblBaseCFResult[PremTermScenario]=$E$62)
*(tblBaseCFResult[IntRateScenario]=K$64),"")</f>
        <v>149172.44107611201</v>
      </c>
      <c r="L90" s="157" cm="1">
        <f t="array" ref="L90">_xlfn._xlws.FILTER(ROUND(tblBaseCFResult[EndPAV],-3)/1000,
(tblBaseCFResult[Year]=$A90)
*(tblBaseCFResult[Risk]=$E$61)
*(tblBaseCFResult[PremTermScenario]=$E$62)
*(tblBaseCFResult[IntRateScenario]=L$64),"")</f>
        <v>151997</v>
      </c>
      <c r="M90" s="157" cm="1">
        <f t="array" ref="M90">_xlfn._xlws.FILTER(ROUND(tblBaseCFResult[SV],-3)/1000,
(tblBaseCFResult[Year]=$A90)
*(tblBaseCFResult[Risk]=$E$61)
*(tblBaseCFResult[PremTermScenario]=$E$62)
*(tblBaseCFResult[IntRateScenario]=M$64),"")</f>
        <v>149172</v>
      </c>
      <c r="N90" s="157" cm="1">
        <f t="array" ref="N90">_xlfn._xlws.FILTER(tblBaseCFResult[Ben]/1000,
(tblBaseCFResult[Year]=$A90)
*(tblBaseCFResult[Risk]=$E$61)
*(tblBaseCFResult[PremTermScenario]=$E$62)
*(tblBaseCFResult[IntRateScenario]=N$64),"")</f>
        <v>203800.774402996</v>
      </c>
      <c r="O90" s="157" cm="1">
        <f t="array" ref="O90">_xlfn._xlws.FILTER(ROUND(tblBaseCFResult[EndPAV],-3)/1000,
(tblBaseCFResult[Year]=$A90)
*(tblBaseCFResult[Risk]=$E$61)
*(tblBaseCFResult[PremTermScenario]=$E$62)
*(tblBaseCFResult[IntRateScenario]=O$64),"")</f>
        <v>213349</v>
      </c>
      <c r="P90" s="157" cm="1">
        <f t="array" ref="P90">_xlfn._xlws.FILTER(ROUND(tblBaseCFResult[SV],-3)/1000,
(tblBaseCFResult[Year]=$A90)
*(tblBaseCFResult[Risk]=$E$61)
*(tblBaseCFResult[PremTermScenario]=$E$62)
*(tblBaseCFResult[IntRateScenario]=P$64),"")</f>
        <v>203801</v>
      </c>
      <c r="Q90" s="154"/>
      <c r="R90" s="156"/>
      <c r="S90" s="154"/>
      <c r="T90" s="155">
        <v>23</v>
      </c>
      <c r="U90" s="155">
        <f t="shared" si="6"/>
        <v>22</v>
      </c>
      <c r="W90" s="154"/>
      <c r="X90" s="153" t="str">
        <f t="shared" si="7"/>
        <v>23/22</v>
      </c>
      <c r="Y90" s="152" cm="1">
        <f t="array" ref="Y90">_xlfn._xlws.FILTER(tblBaseCFResult[TP]/1000,
(tblBaseCFResult[Year]=$T90)
*(tblBaseCFResult[Risk]=$Y$61)
*(tblBaseCFResult[PremTermScenario]=$Y$62)
*(tblBaseCFResult[IntRateScenario]=Y$64),"")</f>
        <v>1072</v>
      </c>
      <c r="Z90" s="152" cm="1">
        <f t="array" ref="Z90">_xlfn._xlws.FILTER(tblBaseCFResult[EP]/1000,
(tblBaseCFResult[Year]=$T90)
*(tblBaseCFResult[Risk]=$Y$61)
*(tblBaseCFResult[PremTermScenario]=$Y$62)
*(tblBaseCFResult[IntRateScenario]=Z$64),"")</f>
        <v>5200</v>
      </c>
      <c r="AA90" s="152">
        <f t="shared" si="8"/>
        <v>6272</v>
      </c>
      <c r="AB90" s="152" cm="1">
        <f t="array" ref="AB90">_xlfn._xlws.FILTER(ROUND(tblBaseCFResult[AllocChrg],-3)/1000,
(tblBaseCFResult[Year]=$T90)
*(tblBaseCFResult[Risk]=$Y$61)
*(tblBaseCFResult[PremTermScenario]=$Y$62)
*(tblBaseCFResult[IntRateScenario]=AB$64),"")</f>
        <v>125</v>
      </c>
      <c r="AC90" s="152" cm="1">
        <f t="array" ref="AC90">_xlfn._xlws.FILTER(ROUND(tblBaseCFResult[EPAllocChrg],-3)/1000,
(tblBaseCFResult[Year]=$T90)
*(tblBaseCFResult[Risk]=$Y$61)
*(tblBaseCFResult[PremTermScenario]=$Y$62)
*(tblBaseCFResult[IntRateScenario]=AC$64),"")</f>
        <v>104</v>
      </c>
      <c r="AD90" s="152">
        <f t="shared" si="9"/>
        <v>229</v>
      </c>
      <c r="AE90" s="152">
        <f t="shared" si="10"/>
        <v>947</v>
      </c>
      <c r="AF90" s="152">
        <f t="shared" si="11"/>
        <v>5096</v>
      </c>
      <c r="AG90" s="152">
        <f t="shared" si="12"/>
        <v>6043</v>
      </c>
      <c r="AH90" s="152" cm="1">
        <f t="array" ref="AH90">_xlfn._xlws.FILTER(ROUND(tblBaseCFResult[AdminChrg],-3)/1000,
(tblBaseCFResult[Year]=$T90)
*(tblBaseCFResult[Risk]=$Y$61)
*(tblBaseCFResult[PremTermScenario]=$Y$62)
*(tblBaseCFResult[IntRateScenario]=AH$64),"")</f>
        <v>300</v>
      </c>
      <c r="AI90" s="152" cm="1">
        <f t="array" ref="AI90">_xlfn._xlws.FILTER(ROUND(tblBaseCFResult[COI],-3)/1000,
(tblBaseCFResult[Year]=$T90)
*(tblBaseCFResult[Risk]=$Y$61)
*(tblBaseCFResult[PremTermScenario]=$Y$62)
*(tblBaseCFResult[IntRateScenario]=AI$64),"")</f>
        <v>281</v>
      </c>
      <c r="AJ90" s="152" cm="1">
        <f t="array" ref="AJ90">_xlfn._xlws.FILTER(ROUND(tblBaseCFResult[AdminChrg],-3)/1000,
(tblBaseCFResult[Year]=$T90)
*(tblBaseCFResult[Risk]=$Y$61)
*(tblBaseCFResult[PremTermScenario]=$Y$62)
*(tblBaseCFResult[IntRateScenario]=AJ$64),"")</f>
        <v>300</v>
      </c>
      <c r="AK90" s="152" cm="1">
        <f t="array" ref="AK90">_xlfn._xlws.FILTER(ROUND(tblBaseCFResult[COI],-3)/1000,
(tblBaseCFResult[Year]=$T90)
*(tblBaseCFResult[Risk]=$Y$61)
*(tblBaseCFResult[PremTermScenario]=$Y$62)
*(tblBaseCFResult[IntRateScenario]=AK$64),"")</f>
        <v>273</v>
      </c>
    </row>
    <row r="91" spans="1:37" ht="15" customHeight="1" x14ac:dyDescent="0.25">
      <c r="A91" s="155">
        <v>24</v>
      </c>
      <c r="B91" s="155">
        <f t="shared" si="4"/>
        <v>23</v>
      </c>
      <c r="C91" s="154"/>
      <c r="D91" s="153" t="str">
        <f t="shared" si="5"/>
        <v>24/23</v>
      </c>
      <c r="E91" s="157" cm="1">
        <f t="array" ref="E91">_xlfn._xlws.FILTER(tblBaseCFResult[TotalPrem]/1000,
(tblBaseCFResult[Year]=$A91)
*(tblBaseCFResult[Risk]=$E$61)
*(tblBaseCFResult[PremTermScenario]=$E$62)
*(tblBaseCFResult[IntRateScenario]=E$64),"")</f>
        <v>6272</v>
      </c>
      <c r="F91" s="157" cm="1">
        <f t="array" ref="F91">_xlfn._xlws.FILTER(tblBaseCFResult[AccumTotalPrem]/1000,
(tblBaseCFResult[Year]=$A91)
*(tblBaseCFResult[Risk]=$E$61)
*(tblBaseCFResult[PremTermScenario]=$E$62)
*(tblBaseCFResult[IntRateScenario]=F$64),"")</f>
        <v>150528</v>
      </c>
      <c r="G91" s="157" cm="1">
        <f t="array" ref="G91">_xlfn._xlws.FILTER(ROUND(tblBaseCFResult[SemiAnnualTotalPrem],-3)/1000,
(tblBaseCFResult[Year]=$A91)
*(tblBaseCFResult[Risk]=$E$61)
*(tblBaseCFResult[PremTermScenario]=$E$62)
*(tblBaseCFResult[IntRateScenario]=G$64),"")</f>
        <v>3136</v>
      </c>
      <c r="H91" s="157" cm="1">
        <f t="array" ref="H91">_xlfn._xlws.FILTER(tblBaseCFResult[Ben]/1000,
(tblBaseCFResult[Year]=$A91)
*(tblBaseCFResult[Risk]=$E$61)
*(tblBaseCFResult[PremTermScenario]=$E$62)
*(tblBaseCFResult[IntRateScenario]=H$64),"")</f>
        <v>101000</v>
      </c>
      <c r="I91" s="157" cm="1">
        <f t="array" ref="I91">_xlfn._xlws.FILTER(ROUND(tblBaseCFResult[EndPAV],-3)/1000,
(tblBaseCFResult[Year]=$A91)
*(tblBaseCFResult[Risk]=$E$61)
*(tblBaseCFResult[PremTermScenario]=$E$62)
*(tblBaseCFResult[IntRateScenario]=I$64),"")</f>
        <v>98012</v>
      </c>
      <c r="J91" s="157" cm="1">
        <f t="array" ref="J91">_xlfn._xlws.FILTER(ROUND(tblBaseCFResult[SV],-3)/1000,
(tblBaseCFResult[Year]=$A91)
*(tblBaseCFResult[Risk]=$E$61)
*(tblBaseCFResult[PremTermScenario]=$E$62)
*(tblBaseCFResult[IntRateScenario]=J$64),"")</f>
        <v>90523</v>
      </c>
      <c r="K91" s="157" cm="1">
        <f t="array" ref="K91">_xlfn._xlws.FILTER(tblBaseCFResult[Ben]/1000,
(tblBaseCFResult[Year]=$A91)
*(tblBaseCFResult[Risk]=$E$61)
*(tblBaseCFResult[PremTermScenario]=$E$62)
*(tblBaseCFResult[IntRateScenario]=K$64),"")</f>
        <v>151996.85611731801</v>
      </c>
      <c r="L91" s="157" cm="1">
        <f t="array" ref="L91">_xlfn._xlws.FILTER(ROUND(tblBaseCFResult[EndPAV],-3)/1000,
(tblBaseCFResult[Year]=$A91)
*(tblBaseCFResult[Risk]=$E$61)
*(tblBaseCFResult[PremTermScenario]=$E$62)
*(tblBaseCFResult[IntRateScenario]=L$64),"")</f>
        <v>165462</v>
      </c>
      <c r="M91" s="157" cm="1">
        <f t="array" ref="M91">_xlfn._xlws.FILTER(ROUND(tblBaseCFResult[SV],-3)/1000,
(tblBaseCFResult[Year]=$A91)
*(tblBaseCFResult[Risk]=$E$61)
*(tblBaseCFResult[PremTermScenario]=$E$62)
*(tblBaseCFResult[IntRateScenario]=M$64),"")</f>
        <v>151997</v>
      </c>
      <c r="N91" s="157" cm="1">
        <f t="array" ref="N91">_xlfn._xlws.FILTER(tblBaseCFResult[Ben]/1000,
(tblBaseCFResult[Year]=$A91)
*(tblBaseCFResult[Risk]=$E$61)
*(tblBaseCFResult[PremTermScenario]=$E$62)
*(tblBaseCFResult[IntRateScenario]=N$64),"")</f>
        <v>213349.45737993601</v>
      </c>
      <c r="O91" s="157" cm="1">
        <f t="array" ref="O91">_xlfn._xlws.FILTER(ROUND(tblBaseCFResult[EndPAV],-3)/1000,
(tblBaseCFResult[Year]=$A91)
*(tblBaseCFResult[Risk]=$E$61)
*(tblBaseCFResult[PremTermScenario]=$E$62)
*(tblBaseCFResult[IntRateScenario]=O$64),"")</f>
        <v>234267</v>
      </c>
      <c r="P91" s="157" cm="1">
        <f t="array" ref="P91">_xlfn._xlws.FILTER(ROUND(tblBaseCFResult[SV],-3)/1000,
(tblBaseCFResult[Year]=$A91)
*(tblBaseCFResult[Risk]=$E$61)
*(tblBaseCFResult[PremTermScenario]=$E$62)
*(tblBaseCFResult[IntRateScenario]=P$64),"")</f>
        <v>213349</v>
      </c>
      <c r="Q91" s="154"/>
      <c r="R91" s="156"/>
      <c r="S91" s="154"/>
      <c r="T91" s="155">
        <v>24</v>
      </c>
      <c r="U91" s="155">
        <f t="shared" si="6"/>
        <v>23</v>
      </c>
      <c r="W91" s="154"/>
      <c r="X91" s="153" t="str">
        <f t="shared" si="7"/>
        <v>24/23</v>
      </c>
      <c r="Y91" s="152" cm="1">
        <f t="array" ref="Y91">_xlfn._xlws.FILTER(tblBaseCFResult[TP]/1000,
(tblBaseCFResult[Year]=$T91)
*(tblBaseCFResult[Risk]=$Y$61)
*(tblBaseCFResult[PremTermScenario]=$Y$62)
*(tblBaseCFResult[IntRateScenario]=Y$64),"")</f>
        <v>1072</v>
      </c>
      <c r="Z91" s="152" cm="1">
        <f t="array" ref="Z91">_xlfn._xlws.FILTER(tblBaseCFResult[EP]/1000,
(tblBaseCFResult[Year]=$T91)
*(tblBaseCFResult[Risk]=$Y$61)
*(tblBaseCFResult[PremTermScenario]=$Y$62)
*(tblBaseCFResult[IntRateScenario]=Z$64),"")</f>
        <v>5200</v>
      </c>
      <c r="AA91" s="152">
        <f t="shared" si="8"/>
        <v>6272</v>
      </c>
      <c r="AB91" s="152" cm="1">
        <f t="array" ref="AB91">_xlfn._xlws.FILTER(ROUND(tblBaseCFResult[AllocChrg],-3)/1000,
(tblBaseCFResult[Year]=$T91)
*(tblBaseCFResult[Risk]=$Y$61)
*(tblBaseCFResult[PremTermScenario]=$Y$62)
*(tblBaseCFResult[IntRateScenario]=AB$64),"")</f>
        <v>125</v>
      </c>
      <c r="AC91" s="152" cm="1">
        <f t="array" ref="AC91">_xlfn._xlws.FILTER(ROUND(tblBaseCFResult[EPAllocChrg],-3)/1000,
(tblBaseCFResult[Year]=$T91)
*(tblBaseCFResult[Risk]=$Y$61)
*(tblBaseCFResult[PremTermScenario]=$Y$62)
*(tblBaseCFResult[IntRateScenario]=AC$64),"")</f>
        <v>104</v>
      </c>
      <c r="AD91" s="152">
        <f t="shared" si="9"/>
        <v>229</v>
      </c>
      <c r="AE91" s="152">
        <f t="shared" si="10"/>
        <v>947</v>
      </c>
      <c r="AF91" s="152">
        <f t="shared" si="11"/>
        <v>5096</v>
      </c>
      <c r="AG91" s="152">
        <f t="shared" si="12"/>
        <v>6043</v>
      </c>
      <c r="AH91" s="152" cm="1">
        <f t="array" ref="AH91">_xlfn._xlws.FILTER(ROUND(tblBaseCFResult[AdminChrg],-3)/1000,
(tblBaseCFResult[Year]=$T91)
*(tblBaseCFResult[Risk]=$Y$61)
*(tblBaseCFResult[PremTermScenario]=$Y$62)
*(tblBaseCFResult[IntRateScenario]=AH$64),"")</f>
        <v>300</v>
      </c>
      <c r="AI91" s="152" cm="1">
        <f t="array" ref="AI91">_xlfn._xlws.FILTER(ROUND(tblBaseCFResult[COI],-3)/1000,
(tblBaseCFResult[Year]=$T91)
*(tblBaseCFResult[Risk]=$Y$61)
*(tblBaseCFResult[PremTermScenario]=$Y$62)
*(tblBaseCFResult[IntRateScenario]=AI$64),"")</f>
        <v>284</v>
      </c>
      <c r="AJ91" s="152" cm="1">
        <f t="array" ref="AJ91">_xlfn._xlws.FILTER(ROUND(tblBaseCFResult[AdminChrg],-3)/1000,
(tblBaseCFResult[Year]=$T91)
*(tblBaseCFResult[Risk]=$Y$61)
*(tblBaseCFResult[PremTermScenario]=$Y$62)
*(tblBaseCFResult[IntRateScenario]=AJ$64),"")</f>
        <v>300</v>
      </c>
      <c r="AK91" s="152" cm="1">
        <f t="array" ref="AK91">_xlfn._xlws.FILTER(ROUND(tblBaseCFResult[COI],-3)/1000,
(tblBaseCFResult[Year]=$T91)
*(tblBaseCFResult[Risk]=$Y$61)
*(tblBaseCFResult[PremTermScenario]=$Y$62)
*(tblBaseCFResult[IntRateScenario]=AK$64),"")</f>
        <v>273</v>
      </c>
    </row>
    <row r="92" spans="1:37" ht="15" customHeight="1" x14ac:dyDescent="0.25">
      <c r="A92" s="155">
        <v>25</v>
      </c>
      <c r="B92" s="155">
        <f t="shared" si="4"/>
        <v>24</v>
      </c>
      <c r="C92" s="154"/>
      <c r="D92" s="153" t="str">
        <f t="shared" si="5"/>
        <v>25/24</v>
      </c>
      <c r="E92" s="157" cm="1">
        <f t="array" ref="E92">_xlfn._xlws.FILTER(tblBaseCFResult[TotalPrem]/1000,
(tblBaseCFResult[Year]=$A92)
*(tblBaseCFResult[Risk]=$E$61)
*(tblBaseCFResult[PremTermScenario]=$E$62)
*(tblBaseCFResult[IntRateScenario]=E$64),"")</f>
        <v>1072</v>
      </c>
      <c r="F92" s="157" cm="1">
        <f t="array" ref="F92">_xlfn._xlws.FILTER(tblBaseCFResult[AccumTotalPrem]/1000,
(tblBaseCFResult[Year]=$A92)
*(tblBaseCFResult[Risk]=$E$61)
*(tblBaseCFResult[PremTermScenario]=$E$62)
*(tblBaseCFResult[IntRateScenario]=F$64),"")</f>
        <v>151600</v>
      </c>
      <c r="G92" s="157" cm="1">
        <f t="array" ref="G92">_xlfn._xlws.FILTER(ROUND(tblBaseCFResult[SemiAnnualTotalPrem],-3)/1000,
(tblBaseCFResult[Year]=$A92)
*(tblBaseCFResult[Risk]=$E$61)
*(tblBaseCFResult[PremTermScenario]=$E$62)
*(tblBaseCFResult[IntRateScenario]=G$64),"")</f>
        <v>3136</v>
      </c>
      <c r="H92" s="157" cm="1">
        <f t="array" ref="H92">_xlfn._xlws.FILTER(tblBaseCFResult[Ben]/1000,
(tblBaseCFResult[Year]=$A92)
*(tblBaseCFResult[Risk]=$E$61)
*(tblBaseCFResult[PremTermScenario]=$E$62)
*(tblBaseCFResult[IntRateScenario]=H$64),"")</f>
        <v>101000</v>
      </c>
      <c r="I92" s="157" cm="1">
        <f t="array" ref="I92">_xlfn._xlws.FILTER(ROUND(tblBaseCFResult[EndPAV],-3)/1000,
(tblBaseCFResult[Year]=$A92)
*(tblBaseCFResult[Risk]=$E$61)
*(tblBaseCFResult[PremTermScenario]=$E$62)
*(tblBaseCFResult[IntRateScenario]=I$64),"")</f>
        <v>100461</v>
      </c>
      <c r="J92" s="157" cm="1">
        <f t="array" ref="J92">_xlfn._xlws.FILTER(ROUND(tblBaseCFResult[SV],-3)/1000,
(tblBaseCFResult[Year]=$A92)
*(tblBaseCFResult[Risk]=$E$61)
*(tblBaseCFResult[PremTermScenario]=$E$62)
*(tblBaseCFResult[IntRateScenario]=J$64),"")</f>
        <v>98012</v>
      </c>
      <c r="K92" s="157" cm="1">
        <f t="array" ref="K92">_xlfn._xlws.FILTER(tblBaseCFResult[Ben]/1000,
(tblBaseCFResult[Year]=$A92)
*(tblBaseCFResult[Risk]=$E$61)
*(tblBaseCFResult[PremTermScenario]=$E$62)
*(tblBaseCFResult[IntRateScenario]=K$64),"")</f>
        <v>165462.49191058401</v>
      </c>
      <c r="L92" s="157" cm="1">
        <f t="array" ref="L92">_xlfn._xlws.FILTER(ROUND(tblBaseCFResult[EndPAV],-3)/1000,
(tblBaseCFResult[Year]=$A92)
*(tblBaseCFResult[Risk]=$E$61)
*(tblBaseCFResult[PremTermScenario]=$E$62)
*(tblBaseCFResult[IntRateScenario]=L$64),"")</f>
        <v>174251</v>
      </c>
      <c r="M92" s="157" cm="1">
        <f t="array" ref="M92">_xlfn._xlws.FILTER(ROUND(tblBaseCFResult[SV],-3)/1000,
(tblBaseCFResult[Year]=$A92)
*(tblBaseCFResult[Risk]=$E$61)
*(tblBaseCFResult[PremTermScenario]=$E$62)
*(tblBaseCFResult[IntRateScenario]=M$64),"")</f>
        <v>165462</v>
      </c>
      <c r="N92" s="157" cm="1">
        <f t="array" ref="N92">_xlfn._xlws.FILTER(tblBaseCFResult[Ben]/1000,
(tblBaseCFResult[Year]=$A92)
*(tblBaseCFResult[Risk]=$E$61)
*(tblBaseCFResult[PremTermScenario]=$E$62)
*(tblBaseCFResult[IntRateScenario]=N$64),"")</f>
        <v>234266.54816526201</v>
      </c>
      <c r="O92" s="157" cm="1">
        <f t="array" ref="O92">_xlfn._xlws.FILTER(ROUND(tblBaseCFResult[EndPAV],-3)/1000,
(tblBaseCFResult[Year]=$A92)
*(tblBaseCFResult[Risk]=$E$61)
*(tblBaseCFResult[PremTermScenario]=$E$62)
*(tblBaseCFResult[IntRateScenario]=O$64),"")</f>
        <v>251195</v>
      </c>
      <c r="P92" s="157" cm="1">
        <f t="array" ref="P92">_xlfn._xlws.FILTER(ROUND(tblBaseCFResult[SV],-3)/1000,
(tblBaseCFResult[Year]=$A92)
*(tblBaseCFResult[Risk]=$E$61)
*(tblBaseCFResult[PremTermScenario]=$E$62)
*(tblBaseCFResult[IntRateScenario]=P$64),"")</f>
        <v>234267</v>
      </c>
      <c r="Q92" s="154"/>
      <c r="R92" s="156"/>
      <c r="S92" s="154"/>
      <c r="T92" s="155">
        <v>25</v>
      </c>
      <c r="U92" s="155">
        <f t="shared" si="6"/>
        <v>24</v>
      </c>
      <c r="W92" s="154"/>
      <c r="X92" s="153" t="str">
        <f t="shared" si="7"/>
        <v>25/24</v>
      </c>
      <c r="Y92" s="152" cm="1">
        <f t="array" ref="Y92">_xlfn._xlws.FILTER(tblBaseCFResult[TP]/1000,
(tblBaseCFResult[Year]=$T92)
*(tblBaseCFResult[Risk]=$Y$61)
*(tblBaseCFResult[PremTermScenario]=$Y$62)
*(tblBaseCFResult[IntRateScenario]=Y$64),"")</f>
        <v>1072</v>
      </c>
      <c r="Z92" s="152" cm="1">
        <f t="array" ref="Z92">_xlfn._xlws.FILTER(tblBaseCFResult[EP]/1000,
(tblBaseCFResult[Year]=$T92)
*(tblBaseCFResult[Risk]=$Y$61)
*(tblBaseCFResult[PremTermScenario]=$Y$62)
*(tblBaseCFResult[IntRateScenario]=Z$64),"")</f>
        <v>0</v>
      </c>
      <c r="AA92" s="152">
        <f t="shared" si="8"/>
        <v>1072</v>
      </c>
      <c r="AB92" s="152" cm="1">
        <f t="array" ref="AB92">_xlfn._xlws.FILTER(ROUND(tblBaseCFResult[AllocChrg],-3)/1000,
(tblBaseCFResult[Year]=$T92)
*(tblBaseCFResult[Risk]=$Y$61)
*(tblBaseCFResult[PremTermScenario]=$Y$62)
*(tblBaseCFResult[IntRateScenario]=AB$64),"")</f>
        <v>21</v>
      </c>
      <c r="AC92" s="152" cm="1">
        <f t="array" ref="AC92">_xlfn._xlws.FILTER(ROUND(tblBaseCFResult[EPAllocChrg],-3)/1000,
(tblBaseCFResult[Year]=$T92)
*(tblBaseCFResult[Risk]=$Y$61)
*(tblBaseCFResult[PremTermScenario]=$Y$62)
*(tblBaseCFResult[IntRateScenario]=AC$64),"")</f>
        <v>0</v>
      </c>
      <c r="AD92" s="152">
        <f t="shared" si="9"/>
        <v>21</v>
      </c>
      <c r="AE92" s="152">
        <f t="shared" si="10"/>
        <v>1051</v>
      </c>
      <c r="AF92" s="152">
        <f t="shared" si="11"/>
        <v>0</v>
      </c>
      <c r="AG92" s="152">
        <f t="shared" si="12"/>
        <v>1051</v>
      </c>
      <c r="AH92" s="152" cm="1">
        <f t="array" ref="AH92">_xlfn._xlws.FILTER(ROUND(tblBaseCFResult[AdminChrg],-3)/1000,
(tblBaseCFResult[Year]=$T92)
*(tblBaseCFResult[Risk]=$Y$61)
*(tblBaseCFResult[PremTermScenario]=$Y$62)
*(tblBaseCFResult[IntRateScenario]=AH$64),"")</f>
        <v>300</v>
      </c>
      <c r="AI92" s="152" cm="1">
        <f t="array" ref="AI92">_xlfn._xlws.FILTER(ROUND(tblBaseCFResult[COI],-3)/1000,
(tblBaseCFResult[Year]=$T92)
*(tblBaseCFResult[Risk]=$Y$61)
*(tblBaseCFResult[PremTermScenario]=$Y$62)
*(tblBaseCFResult[IntRateScenario]=AI$64),"")</f>
        <v>276</v>
      </c>
      <c r="AJ92" s="152" cm="1">
        <f t="array" ref="AJ92">_xlfn._xlws.FILTER(ROUND(tblBaseCFResult[AdminChrg],-3)/1000,
(tblBaseCFResult[Year]=$T92)
*(tblBaseCFResult[Risk]=$Y$61)
*(tblBaseCFResult[PremTermScenario]=$Y$62)
*(tblBaseCFResult[IntRateScenario]=AJ$64),"")</f>
        <v>300</v>
      </c>
      <c r="AK92" s="152" cm="1">
        <f t="array" ref="AK92">_xlfn._xlws.FILTER(ROUND(tblBaseCFResult[COI],-3)/1000,
(tblBaseCFResult[Year]=$T92)
*(tblBaseCFResult[Risk]=$Y$61)
*(tblBaseCFResult[PremTermScenario]=$Y$62)
*(tblBaseCFResult[IntRateScenario]=AK$64),"")</f>
        <v>273</v>
      </c>
    </row>
    <row r="93" spans="1:37" ht="15" customHeight="1" x14ac:dyDescent="0.25">
      <c r="A93" s="155">
        <v>26</v>
      </c>
      <c r="B93" s="155">
        <f t="shared" si="4"/>
        <v>25</v>
      </c>
      <c r="C93" s="154"/>
      <c r="D93" s="153" t="str">
        <f t="shared" si="5"/>
        <v>26/25</v>
      </c>
      <c r="E93" s="157" cm="1">
        <f t="array" ref="E93">_xlfn._xlws.FILTER(tblBaseCFResult[TotalPrem]/1000,
(tblBaseCFResult[Year]=$A93)
*(tblBaseCFResult[Risk]=$E$61)
*(tblBaseCFResult[PremTermScenario]=$E$62)
*(tblBaseCFResult[IntRateScenario]=E$64),"")</f>
        <v>1072</v>
      </c>
      <c r="F93" s="157" cm="1">
        <f t="array" ref="F93">_xlfn._xlws.FILTER(tblBaseCFResult[AccumTotalPrem]/1000,
(tblBaseCFResult[Year]=$A93)
*(tblBaseCFResult[Risk]=$E$61)
*(tblBaseCFResult[PremTermScenario]=$E$62)
*(tblBaseCFResult[IntRateScenario]=F$64),"")</f>
        <v>152672</v>
      </c>
      <c r="G93" s="157" cm="1">
        <f t="array" ref="G93">_xlfn._xlws.FILTER(ROUND(tblBaseCFResult[SemiAnnualTotalPrem],-3)/1000,
(tblBaseCFResult[Year]=$A93)
*(tblBaseCFResult[Risk]=$E$61)
*(tblBaseCFResult[PremTermScenario]=$E$62)
*(tblBaseCFResult[IntRateScenario]=G$64),"")</f>
        <v>3136</v>
      </c>
      <c r="H93" s="157" cm="1">
        <f t="array" ref="H93">_xlfn._xlws.FILTER(tblBaseCFResult[Ben]/1000,
(tblBaseCFResult[Year]=$A93)
*(tblBaseCFResult[Risk]=$E$61)
*(tblBaseCFResult[PremTermScenario]=$E$62)
*(tblBaseCFResult[IntRateScenario]=H$64),"")</f>
        <v>101000</v>
      </c>
      <c r="I93" s="157" cm="1">
        <f t="array" ref="I93">_xlfn._xlws.FILTER(ROUND(tblBaseCFResult[EndPAV],-3)/1000,
(tblBaseCFResult[Year]=$A93)
*(tblBaseCFResult[Risk]=$E$61)
*(tblBaseCFResult[PremTermScenario]=$E$62)
*(tblBaseCFResult[IntRateScenario]=I$64),"")</f>
        <v>102963</v>
      </c>
      <c r="J93" s="157" cm="1">
        <f t="array" ref="J93">_xlfn._xlws.FILTER(ROUND(tblBaseCFResult[SV],-3)/1000,
(tblBaseCFResult[Year]=$A93)
*(tblBaseCFResult[Risk]=$E$61)
*(tblBaseCFResult[PremTermScenario]=$E$62)
*(tblBaseCFResult[IntRateScenario]=J$64),"")</f>
        <v>100461</v>
      </c>
      <c r="K93" s="157" cm="1">
        <f t="array" ref="K93">_xlfn._xlws.FILTER(tblBaseCFResult[Ben]/1000,
(tblBaseCFResult[Year]=$A93)
*(tblBaseCFResult[Risk]=$E$61)
*(tblBaseCFResult[PremTermScenario]=$E$62)
*(tblBaseCFResult[IntRateScenario]=K$64),"")</f>
        <v>174250.60949351298</v>
      </c>
      <c r="L93" s="157" cm="1">
        <f t="array" ref="L93">_xlfn._xlws.FILTER(ROUND(tblBaseCFResult[EndPAV],-3)/1000,
(tblBaseCFResult[Year]=$A93)
*(tblBaseCFResult[Risk]=$E$61)
*(tblBaseCFResult[PremTermScenario]=$E$62)
*(tblBaseCFResult[IntRateScenario]=L$64),"")</f>
        <v>183478</v>
      </c>
      <c r="M93" s="157" cm="1">
        <f t="array" ref="M93">_xlfn._xlws.FILTER(ROUND(tblBaseCFResult[SV],-3)/1000,
(tblBaseCFResult[Year]=$A93)
*(tblBaseCFResult[Risk]=$E$61)
*(tblBaseCFResult[PremTermScenario]=$E$62)
*(tblBaseCFResult[IntRateScenario]=M$64),"")</f>
        <v>174251</v>
      </c>
      <c r="N93" s="157" cm="1">
        <f t="array" ref="N93">_xlfn._xlws.FILTER(tblBaseCFResult[Ben]/1000,
(tblBaseCFResult[Year]=$A93)
*(tblBaseCFResult[Risk]=$E$61)
*(tblBaseCFResult[PremTermScenario]=$E$62)
*(tblBaseCFResult[IntRateScenario]=N$64),"")</f>
        <v>251195.11530556102</v>
      </c>
      <c r="O93" s="157" cm="1">
        <f t="array" ref="O93">_xlfn._xlws.FILTER(ROUND(tblBaseCFResult[EndPAV],-3)/1000,
(tblBaseCFResult[Year]=$A93)
*(tblBaseCFResult[Risk]=$E$61)
*(tblBaseCFResult[PremTermScenario]=$E$62)
*(tblBaseCFResult[IntRateScenario]=O$64),"")</f>
        <v>269309</v>
      </c>
      <c r="P93" s="157" cm="1">
        <f t="array" ref="P93">_xlfn._xlws.FILTER(ROUND(tblBaseCFResult[SV],-3)/1000,
(tblBaseCFResult[Year]=$A93)
*(tblBaseCFResult[Risk]=$E$61)
*(tblBaseCFResult[PremTermScenario]=$E$62)
*(tblBaseCFResult[IntRateScenario]=P$64),"")</f>
        <v>251195</v>
      </c>
      <c r="Q93" s="154"/>
      <c r="R93" s="156"/>
      <c r="S93" s="154"/>
      <c r="T93" s="155">
        <v>26</v>
      </c>
      <c r="U93" s="155">
        <f t="shared" si="6"/>
        <v>25</v>
      </c>
      <c r="W93" s="154"/>
      <c r="X93" s="153" t="str">
        <f t="shared" si="7"/>
        <v>26/25</v>
      </c>
      <c r="Y93" s="152" cm="1">
        <f t="array" ref="Y93">_xlfn._xlws.FILTER(tblBaseCFResult[TP]/1000,
(tblBaseCFResult[Year]=$T93)
*(tblBaseCFResult[Risk]=$Y$61)
*(tblBaseCFResult[PremTermScenario]=$Y$62)
*(tblBaseCFResult[IntRateScenario]=Y$64),"")</f>
        <v>1072</v>
      </c>
      <c r="Z93" s="152" cm="1">
        <f t="array" ref="Z93">_xlfn._xlws.FILTER(tblBaseCFResult[EP]/1000,
(tblBaseCFResult[Year]=$T93)
*(tblBaseCFResult[Risk]=$Y$61)
*(tblBaseCFResult[PremTermScenario]=$Y$62)
*(tblBaseCFResult[IntRateScenario]=Z$64),"")</f>
        <v>0</v>
      </c>
      <c r="AA93" s="152">
        <f t="shared" si="8"/>
        <v>1072</v>
      </c>
      <c r="AB93" s="152" cm="1">
        <f t="array" ref="AB93">_xlfn._xlws.FILTER(ROUND(tblBaseCFResult[AllocChrg],-3)/1000,
(tblBaseCFResult[Year]=$T93)
*(tblBaseCFResult[Risk]=$Y$61)
*(tblBaseCFResult[PremTermScenario]=$Y$62)
*(tblBaseCFResult[IntRateScenario]=AB$64),"")</f>
        <v>21</v>
      </c>
      <c r="AC93" s="152" cm="1">
        <f t="array" ref="AC93">_xlfn._xlws.FILTER(ROUND(tblBaseCFResult[EPAllocChrg],-3)/1000,
(tblBaseCFResult[Year]=$T93)
*(tblBaseCFResult[Risk]=$Y$61)
*(tblBaseCFResult[PremTermScenario]=$Y$62)
*(tblBaseCFResult[IntRateScenario]=AC$64),"")</f>
        <v>0</v>
      </c>
      <c r="AD93" s="152">
        <f t="shared" si="9"/>
        <v>21</v>
      </c>
      <c r="AE93" s="152">
        <f t="shared" si="10"/>
        <v>1051</v>
      </c>
      <c r="AF93" s="152">
        <f t="shared" si="11"/>
        <v>0</v>
      </c>
      <c r="AG93" s="152">
        <f t="shared" si="12"/>
        <v>1051</v>
      </c>
      <c r="AH93" s="152" cm="1">
        <f t="array" ref="AH93">_xlfn._xlws.FILTER(ROUND(tblBaseCFResult[AdminChrg],-3)/1000,
(tblBaseCFResult[Year]=$T93)
*(tblBaseCFResult[Risk]=$Y$61)
*(tblBaseCFResult[PremTermScenario]=$Y$62)
*(tblBaseCFResult[IntRateScenario]=AH$64),"")</f>
        <v>300</v>
      </c>
      <c r="AI93" s="152" cm="1">
        <f t="array" ref="AI93">_xlfn._xlws.FILTER(ROUND(tblBaseCFResult[COI],-3)/1000,
(tblBaseCFResult[Year]=$T93)
*(tblBaseCFResult[Risk]=$Y$61)
*(tblBaseCFResult[PremTermScenario]=$Y$62)
*(tblBaseCFResult[IntRateScenario]=AI$64),"")</f>
        <v>273</v>
      </c>
      <c r="AJ93" s="152" cm="1">
        <f t="array" ref="AJ93">_xlfn._xlws.FILTER(ROUND(tblBaseCFResult[AdminChrg],-3)/1000,
(tblBaseCFResult[Year]=$T93)
*(tblBaseCFResult[Risk]=$Y$61)
*(tblBaseCFResult[PremTermScenario]=$Y$62)
*(tblBaseCFResult[IntRateScenario]=AJ$64),"")</f>
        <v>300</v>
      </c>
      <c r="AK93" s="152" cm="1">
        <f t="array" ref="AK93">_xlfn._xlws.FILTER(ROUND(tblBaseCFResult[COI],-3)/1000,
(tblBaseCFResult[Year]=$T93)
*(tblBaseCFResult[Risk]=$Y$61)
*(tblBaseCFResult[PremTermScenario]=$Y$62)
*(tblBaseCFResult[IntRateScenario]=AK$64),"")</f>
        <v>273</v>
      </c>
    </row>
    <row r="94" spans="1:37" ht="15" customHeight="1" x14ac:dyDescent="0.25">
      <c r="A94" s="155">
        <v>27</v>
      </c>
      <c r="B94" s="155">
        <f t="shared" si="4"/>
        <v>26</v>
      </c>
      <c r="C94" s="154"/>
      <c r="D94" s="153" t="str">
        <f t="shared" si="5"/>
        <v>27/26</v>
      </c>
      <c r="E94" s="157" cm="1">
        <f t="array" ref="E94">_xlfn._xlws.FILTER(tblBaseCFResult[TotalPrem]/1000,
(tblBaseCFResult[Year]=$A94)
*(tblBaseCFResult[Risk]=$E$61)
*(tblBaseCFResult[PremTermScenario]=$E$62)
*(tblBaseCFResult[IntRateScenario]=E$64),"")</f>
        <v>1072</v>
      </c>
      <c r="F94" s="157" cm="1">
        <f t="array" ref="F94">_xlfn._xlws.FILTER(tblBaseCFResult[AccumTotalPrem]/1000,
(tblBaseCFResult[Year]=$A94)
*(tblBaseCFResult[Risk]=$E$61)
*(tblBaseCFResult[PremTermScenario]=$E$62)
*(tblBaseCFResult[IntRateScenario]=F$64),"")</f>
        <v>153744</v>
      </c>
      <c r="G94" s="157" cm="1">
        <f t="array" ref="G94">_xlfn._xlws.FILTER(ROUND(tblBaseCFResult[SemiAnnualTotalPrem],-3)/1000,
(tblBaseCFResult[Year]=$A94)
*(tblBaseCFResult[Risk]=$E$61)
*(tblBaseCFResult[PremTermScenario]=$E$62)
*(tblBaseCFResult[IntRateScenario]=G$64),"")</f>
        <v>3136</v>
      </c>
      <c r="H94" s="157" cm="1">
        <f t="array" ref="H94">_xlfn._xlws.FILTER(tblBaseCFResult[Ben]/1000,
(tblBaseCFResult[Year]=$A94)
*(tblBaseCFResult[Risk]=$E$61)
*(tblBaseCFResult[PremTermScenario]=$E$62)
*(tblBaseCFResult[IntRateScenario]=H$64),"")</f>
        <v>102962.564496331</v>
      </c>
      <c r="I94" s="157" cm="1">
        <f t="array" ref="I94">_xlfn._xlws.FILTER(ROUND(tblBaseCFResult[EndPAV],-3)/1000,
(tblBaseCFResult[Year]=$A94)
*(tblBaseCFResult[Risk]=$E$61)
*(tblBaseCFResult[PremTermScenario]=$E$62)
*(tblBaseCFResult[IntRateScenario]=I$64),"")</f>
        <v>105515</v>
      </c>
      <c r="J94" s="157" cm="1">
        <f t="array" ref="J94">_xlfn._xlws.FILTER(ROUND(tblBaseCFResult[SV],-3)/1000,
(tblBaseCFResult[Year]=$A94)
*(tblBaseCFResult[Risk]=$E$61)
*(tblBaseCFResult[PremTermScenario]=$E$62)
*(tblBaseCFResult[IntRateScenario]=J$64),"")</f>
        <v>102963</v>
      </c>
      <c r="K94" s="157" cm="1">
        <f t="array" ref="K94">_xlfn._xlws.FILTER(tblBaseCFResult[Ben]/1000,
(tblBaseCFResult[Year]=$A94)
*(tblBaseCFResult[Risk]=$E$61)
*(tblBaseCFResult[PremTermScenario]=$E$62)
*(tblBaseCFResult[IntRateScenario]=K$64),"")</f>
        <v>183478.13295558802</v>
      </c>
      <c r="L94" s="157" cm="1">
        <f t="array" ref="L94">_xlfn._xlws.FILTER(ROUND(tblBaseCFResult[EndPAV],-3)/1000,
(tblBaseCFResult[Year]=$A94)
*(tblBaseCFResult[Risk]=$E$61)
*(tblBaseCFResult[PremTermScenario]=$E$62)
*(tblBaseCFResult[IntRateScenario]=L$64),"")</f>
        <v>193167</v>
      </c>
      <c r="M94" s="157" cm="1">
        <f t="array" ref="M94">_xlfn._xlws.FILTER(ROUND(tblBaseCFResult[SV],-3)/1000,
(tblBaseCFResult[Year]=$A94)
*(tblBaseCFResult[Risk]=$E$61)
*(tblBaseCFResult[PremTermScenario]=$E$62)
*(tblBaseCFResult[IntRateScenario]=M$64),"")</f>
        <v>183478</v>
      </c>
      <c r="N94" s="157" cm="1">
        <f t="array" ref="N94">_xlfn._xlws.FILTER(tblBaseCFResult[Ben]/1000,
(tblBaseCFResult[Year]=$A94)
*(tblBaseCFResult[Risk]=$E$61)
*(tblBaseCFResult[PremTermScenario]=$E$62)
*(tblBaseCFResult[IntRateScenario]=N$64),"")</f>
        <v>269308.682145681</v>
      </c>
      <c r="O94" s="157" cm="1">
        <f t="array" ref="O94">_xlfn._xlws.FILTER(ROUND(tblBaseCFResult[EndPAV],-3)/1000,
(tblBaseCFResult[Year]=$A94)
*(tblBaseCFResult[Risk]=$E$61)
*(tblBaseCFResult[PremTermScenario]=$E$62)
*(tblBaseCFResult[IntRateScenario]=O$64),"")</f>
        <v>288690</v>
      </c>
      <c r="P94" s="157" cm="1">
        <f t="array" ref="P94">_xlfn._xlws.FILTER(ROUND(tblBaseCFResult[SV],-3)/1000,
(tblBaseCFResult[Year]=$A94)
*(tblBaseCFResult[Risk]=$E$61)
*(tblBaseCFResult[PremTermScenario]=$E$62)
*(tblBaseCFResult[IntRateScenario]=P$64),"")</f>
        <v>269309</v>
      </c>
      <c r="Q94" s="154"/>
      <c r="R94" s="156"/>
      <c r="S94" s="154"/>
      <c r="T94" s="155">
        <v>27</v>
      </c>
      <c r="U94" s="155">
        <f t="shared" si="6"/>
        <v>26</v>
      </c>
      <c r="W94" s="154"/>
      <c r="X94" s="153" t="str">
        <f t="shared" si="7"/>
        <v>27/26</v>
      </c>
      <c r="Y94" s="152" cm="1">
        <f t="array" ref="Y94">_xlfn._xlws.FILTER(tblBaseCFResult[TP]/1000,
(tblBaseCFResult[Year]=$T94)
*(tblBaseCFResult[Risk]=$Y$61)
*(tblBaseCFResult[PremTermScenario]=$Y$62)
*(tblBaseCFResult[IntRateScenario]=Y$64),"")</f>
        <v>1072</v>
      </c>
      <c r="Z94" s="152" cm="1">
        <f t="array" ref="Z94">_xlfn._xlws.FILTER(tblBaseCFResult[EP]/1000,
(tblBaseCFResult[Year]=$T94)
*(tblBaseCFResult[Risk]=$Y$61)
*(tblBaseCFResult[PremTermScenario]=$Y$62)
*(tblBaseCFResult[IntRateScenario]=Z$64),"")</f>
        <v>0</v>
      </c>
      <c r="AA94" s="152">
        <f t="shared" si="8"/>
        <v>1072</v>
      </c>
      <c r="AB94" s="152" cm="1">
        <f t="array" ref="AB94">_xlfn._xlws.FILTER(ROUND(tblBaseCFResult[AllocChrg],-3)/1000,
(tblBaseCFResult[Year]=$T94)
*(tblBaseCFResult[Risk]=$Y$61)
*(tblBaseCFResult[PremTermScenario]=$Y$62)
*(tblBaseCFResult[IntRateScenario]=AB$64),"")</f>
        <v>21</v>
      </c>
      <c r="AC94" s="152" cm="1">
        <f t="array" ref="AC94">_xlfn._xlws.FILTER(ROUND(tblBaseCFResult[EPAllocChrg],-3)/1000,
(tblBaseCFResult[Year]=$T94)
*(tblBaseCFResult[Risk]=$Y$61)
*(tblBaseCFResult[PremTermScenario]=$Y$62)
*(tblBaseCFResult[IntRateScenario]=AC$64),"")</f>
        <v>0</v>
      </c>
      <c r="AD94" s="152">
        <f t="shared" si="9"/>
        <v>21</v>
      </c>
      <c r="AE94" s="152">
        <f t="shared" si="10"/>
        <v>1051</v>
      </c>
      <c r="AF94" s="152">
        <f t="shared" si="11"/>
        <v>0</v>
      </c>
      <c r="AG94" s="152">
        <f t="shared" si="12"/>
        <v>1051</v>
      </c>
      <c r="AH94" s="152" cm="1">
        <f t="array" ref="AH94">_xlfn._xlws.FILTER(ROUND(tblBaseCFResult[AdminChrg],-3)/1000,
(tblBaseCFResult[Year]=$T94)
*(tblBaseCFResult[Risk]=$Y$61)
*(tblBaseCFResult[PremTermScenario]=$Y$62)
*(tblBaseCFResult[IntRateScenario]=AH$64),"")</f>
        <v>300</v>
      </c>
      <c r="AI94" s="152" cm="1">
        <f t="array" ref="AI94">_xlfn._xlws.FILTER(ROUND(tblBaseCFResult[COI],-3)/1000,
(tblBaseCFResult[Year]=$T94)
*(tblBaseCFResult[Risk]=$Y$61)
*(tblBaseCFResult[PremTermScenario]=$Y$62)
*(tblBaseCFResult[IntRateScenario]=AI$64),"")</f>
        <v>273</v>
      </c>
      <c r="AJ94" s="152" cm="1">
        <f t="array" ref="AJ94">_xlfn._xlws.FILTER(ROUND(tblBaseCFResult[AdminChrg],-3)/1000,
(tblBaseCFResult[Year]=$T94)
*(tblBaseCFResult[Risk]=$Y$61)
*(tblBaseCFResult[PremTermScenario]=$Y$62)
*(tblBaseCFResult[IntRateScenario]=AJ$64),"")</f>
        <v>300</v>
      </c>
      <c r="AK94" s="152" cm="1">
        <f t="array" ref="AK94">_xlfn._xlws.FILTER(ROUND(tblBaseCFResult[COI],-3)/1000,
(tblBaseCFResult[Year]=$T94)
*(tblBaseCFResult[Risk]=$Y$61)
*(tblBaseCFResult[PremTermScenario]=$Y$62)
*(tblBaseCFResult[IntRateScenario]=AK$64),"")</f>
        <v>273</v>
      </c>
    </row>
    <row r="95" spans="1:37" ht="15" customHeight="1" x14ac:dyDescent="0.25">
      <c r="A95" s="155">
        <v>28</v>
      </c>
      <c r="B95" s="155">
        <f t="shared" si="4"/>
        <v>27</v>
      </c>
      <c r="C95" s="154"/>
      <c r="D95" s="153" t="str">
        <f t="shared" si="5"/>
        <v>28/27</v>
      </c>
      <c r="E95" s="157" cm="1">
        <f t="array" ref="E95">_xlfn._xlws.FILTER(tblBaseCFResult[TotalPrem]/1000,
(tblBaseCFResult[Year]=$A95)
*(tblBaseCFResult[Risk]=$E$61)
*(tblBaseCFResult[PremTermScenario]=$E$62)
*(tblBaseCFResult[IntRateScenario]=E$64),"")</f>
        <v>1072</v>
      </c>
      <c r="F95" s="157" cm="1">
        <f t="array" ref="F95">_xlfn._xlws.FILTER(tblBaseCFResult[AccumTotalPrem]/1000,
(tblBaseCFResult[Year]=$A95)
*(tblBaseCFResult[Risk]=$E$61)
*(tblBaseCFResult[PremTermScenario]=$E$62)
*(tblBaseCFResult[IntRateScenario]=F$64),"")</f>
        <v>154816</v>
      </c>
      <c r="G95" s="157" cm="1">
        <f t="array" ref="G95">_xlfn._xlws.FILTER(ROUND(tblBaseCFResult[SemiAnnualTotalPrem],-3)/1000,
(tblBaseCFResult[Year]=$A95)
*(tblBaseCFResult[Risk]=$E$61)
*(tblBaseCFResult[PremTermScenario]=$E$62)
*(tblBaseCFResult[IntRateScenario]=G$64),"")</f>
        <v>3136</v>
      </c>
      <c r="H95" s="157" cm="1">
        <f t="array" ref="H95">_xlfn._xlws.FILTER(tblBaseCFResult[Ben]/1000,
(tblBaseCFResult[Year]=$A95)
*(tblBaseCFResult[Risk]=$E$61)
*(tblBaseCFResult[PremTermScenario]=$E$62)
*(tblBaseCFResult[IntRateScenario]=H$64),"")</f>
        <v>105514.50150648</v>
      </c>
      <c r="I95" s="157" cm="1">
        <f t="array" ref="I95">_xlfn._xlws.FILTER(ROUND(tblBaseCFResult[EndPAV],-3)/1000,
(tblBaseCFResult[Year]=$A95)
*(tblBaseCFResult[Risk]=$E$61)
*(tblBaseCFResult[PremTermScenario]=$E$62)
*(tblBaseCFResult[IntRateScenario]=I$64),"")</f>
        <v>108117</v>
      </c>
      <c r="J95" s="157" cm="1">
        <f t="array" ref="J95">_xlfn._xlws.FILTER(ROUND(tblBaseCFResult[SV],-3)/1000,
(tblBaseCFResult[Year]=$A95)
*(tblBaseCFResult[Risk]=$E$61)
*(tblBaseCFResult[PremTermScenario]=$E$62)
*(tblBaseCFResult[IntRateScenario]=J$64),"")</f>
        <v>105515</v>
      </c>
      <c r="K95" s="157" cm="1">
        <f t="array" ref="K95">_xlfn._xlws.FILTER(tblBaseCFResult[Ben]/1000,
(tblBaseCFResult[Year]=$A95)
*(tblBaseCFResult[Risk]=$E$61)
*(tblBaseCFResult[PremTermScenario]=$E$62)
*(tblBaseCFResult[IntRateScenario]=K$64),"")</f>
        <v>193167.03259076801</v>
      </c>
      <c r="L95" s="157" cm="1">
        <f t="array" ref="L95">_xlfn._xlws.FILTER(ROUND(tblBaseCFResult[EndPAV],-3)/1000,
(tblBaseCFResult[Year]=$A95)
*(tblBaseCFResult[Risk]=$E$61)
*(tblBaseCFResult[PremTermScenario]=$E$62)
*(tblBaseCFResult[IntRateScenario]=L$64),"")</f>
        <v>203340</v>
      </c>
      <c r="M95" s="157" cm="1">
        <f t="array" ref="M95">_xlfn._xlws.FILTER(ROUND(tblBaseCFResult[SV],-3)/1000,
(tblBaseCFResult[Year]=$A95)
*(tblBaseCFResult[Risk]=$E$61)
*(tblBaseCFResult[PremTermScenario]=$E$62)
*(tblBaseCFResult[IntRateScenario]=M$64),"")</f>
        <v>193167</v>
      </c>
      <c r="N95" s="157" cm="1">
        <f t="array" ref="N95">_xlfn._xlws.FILTER(tblBaseCFResult[Ben]/1000,
(tblBaseCFResult[Year]=$A95)
*(tblBaseCFResult[Risk]=$E$61)
*(tblBaseCFResult[PremTermScenario]=$E$62)
*(tblBaseCFResult[IntRateScenario]=N$64),"")</f>
        <v>288690.19866460899</v>
      </c>
      <c r="O95" s="157" cm="1">
        <f t="array" ref="O95">_xlfn._xlws.FILTER(ROUND(tblBaseCFResult[EndPAV],-3)/1000,
(tblBaseCFResult[Year]=$A95)
*(tblBaseCFResult[Risk]=$E$61)
*(tblBaseCFResult[PremTermScenario]=$E$62)
*(tblBaseCFResult[IntRateScenario]=O$64),"")</f>
        <v>309428</v>
      </c>
      <c r="P95" s="157" cm="1">
        <f t="array" ref="P95">_xlfn._xlws.FILTER(ROUND(tblBaseCFResult[SV],-3)/1000,
(tblBaseCFResult[Year]=$A95)
*(tblBaseCFResult[Risk]=$E$61)
*(tblBaseCFResult[PremTermScenario]=$E$62)
*(tblBaseCFResult[IntRateScenario]=P$64),"")</f>
        <v>288690</v>
      </c>
      <c r="Q95" s="154"/>
      <c r="R95" s="156"/>
      <c r="S95" s="154"/>
      <c r="T95" s="155">
        <v>28</v>
      </c>
      <c r="U95" s="155">
        <f t="shared" si="6"/>
        <v>27</v>
      </c>
      <c r="W95" s="154"/>
      <c r="X95" s="153" t="str">
        <f t="shared" si="7"/>
        <v>28/27</v>
      </c>
      <c r="Y95" s="152" cm="1">
        <f t="array" ref="Y95">_xlfn._xlws.FILTER(tblBaseCFResult[TP]/1000,
(tblBaseCFResult[Year]=$T95)
*(tblBaseCFResult[Risk]=$Y$61)
*(tblBaseCFResult[PremTermScenario]=$Y$62)
*(tblBaseCFResult[IntRateScenario]=Y$64),"")</f>
        <v>1072</v>
      </c>
      <c r="Z95" s="152" cm="1">
        <f t="array" ref="Z95">_xlfn._xlws.FILTER(tblBaseCFResult[EP]/1000,
(tblBaseCFResult[Year]=$T95)
*(tblBaseCFResult[Risk]=$Y$61)
*(tblBaseCFResult[PremTermScenario]=$Y$62)
*(tblBaseCFResult[IntRateScenario]=Z$64),"")</f>
        <v>0</v>
      </c>
      <c r="AA95" s="152">
        <f t="shared" si="8"/>
        <v>1072</v>
      </c>
      <c r="AB95" s="152" cm="1">
        <f t="array" ref="AB95">_xlfn._xlws.FILTER(ROUND(tblBaseCFResult[AllocChrg],-3)/1000,
(tblBaseCFResult[Year]=$T95)
*(tblBaseCFResult[Risk]=$Y$61)
*(tblBaseCFResult[PremTermScenario]=$Y$62)
*(tblBaseCFResult[IntRateScenario]=AB$64),"")</f>
        <v>21</v>
      </c>
      <c r="AC95" s="152" cm="1">
        <f t="array" ref="AC95">_xlfn._xlws.FILTER(ROUND(tblBaseCFResult[EPAllocChrg],-3)/1000,
(tblBaseCFResult[Year]=$T95)
*(tblBaseCFResult[Risk]=$Y$61)
*(tblBaseCFResult[PremTermScenario]=$Y$62)
*(tblBaseCFResult[IntRateScenario]=AC$64),"")</f>
        <v>0</v>
      </c>
      <c r="AD95" s="152">
        <f t="shared" si="9"/>
        <v>21</v>
      </c>
      <c r="AE95" s="152">
        <f t="shared" si="10"/>
        <v>1051</v>
      </c>
      <c r="AF95" s="152">
        <f t="shared" si="11"/>
        <v>0</v>
      </c>
      <c r="AG95" s="152">
        <f t="shared" si="12"/>
        <v>1051</v>
      </c>
      <c r="AH95" s="152" cm="1">
        <f t="array" ref="AH95">_xlfn._xlws.FILTER(ROUND(tblBaseCFResult[AdminChrg],-3)/1000,
(tblBaseCFResult[Year]=$T95)
*(tblBaseCFResult[Risk]=$Y$61)
*(tblBaseCFResult[PremTermScenario]=$Y$62)
*(tblBaseCFResult[IntRateScenario]=AH$64),"")</f>
        <v>300</v>
      </c>
      <c r="AI95" s="152" cm="1">
        <f t="array" ref="AI95">_xlfn._xlws.FILTER(ROUND(tblBaseCFResult[COI],-3)/1000,
(tblBaseCFResult[Year]=$T95)
*(tblBaseCFResult[Risk]=$Y$61)
*(tblBaseCFResult[PremTermScenario]=$Y$62)
*(tblBaseCFResult[IntRateScenario]=AI$64),"")</f>
        <v>273</v>
      </c>
      <c r="AJ95" s="152" cm="1">
        <f t="array" ref="AJ95">_xlfn._xlws.FILTER(ROUND(tblBaseCFResult[AdminChrg],-3)/1000,
(tblBaseCFResult[Year]=$T95)
*(tblBaseCFResult[Risk]=$Y$61)
*(tblBaseCFResult[PremTermScenario]=$Y$62)
*(tblBaseCFResult[IntRateScenario]=AJ$64),"")</f>
        <v>300</v>
      </c>
      <c r="AK95" s="152" cm="1">
        <f t="array" ref="AK95">_xlfn._xlws.FILTER(ROUND(tblBaseCFResult[COI],-3)/1000,
(tblBaseCFResult[Year]=$T95)
*(tblBaseCFResult[Risk]=$Y$61)
*(tblBaseCFResult[PremTermScenario]=$Y$62)
*(tblBaseCFResult[IntRateScenario]=AK$64),"")</f>
        <v>273</v>
      </c>
    </row>
    <row r="96" spans="1:37" ht="15" customHeight="1" x14ac:dyDescent="0.25">
      <c r="A96" s="155">
        <v>29</v>
      </c>
      <c r="B96" s="155">
        <f t="shared" si="4"/>
        <v>28</v>
      </c>
      <c r="C96" s="154"/>
      <c r="D96" s="153" t="str">
        <f t="shared" si="5"/>
        <v>29/28</v>
      </c>
      <c r="E96" s="157" cm="1">
        <f t="array" ref="E96">_xlfn._xlws.FILTER(tblBaseCFResult[TotalPrem]/1000,
(tblBaseCFResult[Year]=$A96)
*(tblBaseCFResult[Risk]=$E$61)
*(tblBaseCFResult[PremTermScenario]=$E$62)
*(tblBaseCFResult[IntRateScenario]=E$64),"")</f>
        <v>1072</v>
      </c>
      <c r="F96" s="157" cm="1">
        <f t="array" ref="F96">_xlfn._xlws.FILTER(tblBaseCFResult[AccumTotalPrem]/1000,
(tblBaseCFResult[Year]=$A96)
*(tblBaseCFResult[Risk]=$E$61)
*(tblBaseCFResult[PremTermScenario]=$E$62)
*(tblBaseCFResult[IntRateScenario]=F$64),"")</f>
        <v>155888</v>
      </c>
      <c r="G96" s="157" cm="1">
        <f t="array" ref="G96">_xlfn._xlws.FILTER(ROUND(tblBaseCFResult[SemiAnnualTotalPrem],-3)/1000,
(tblBaseCFResult[Year]=$A96)
*(tblBaseCFResult[Risk]=$E$61)
*(tblBaseCFResult[PremTermScenario]=$E$62)
*(tblBaseCFResult[IntRateScenario]=G$64),"")</f>
        <v>3136</v>
      </c>
      <c r="H96" s="157" cm="1">
        <f t="array" ref="H96">_xlfn._xlws.FILTER(tblBaseCFResult[Ben]/1000,
(tblBaseCFResult[Year]=$A96)
*(tblBaseCFResult[Risk]=$E$61)
*(tblBaseCFResult[PremTermScenario]=$E$62)
*(tblBaseCFResult[IntRateScenario]=H$64),"")</f>
        <v>108117.47725683301</v>
      </c>
      <c r="I96" s="157" cm="1">
        <f t="array" ref="I96">_xlfn._xlws.FILTER(ROUND(tblBaseCFResult[EndPAV],-3)/1000,
(tblBaseCFResult[Year]=$A96)
*(tblBaseCFResult[Risk]=$E$61)
*(tblBaseCFResult[PremTermScenario]=$E$62)
*(tblBaseCFResult[IntRateScenario]=I$64),"")</f>
        <v>110773</v>
      </c>
      <c r="J96" s="157" cm="1">
        <f t="array" ref="J96">_xlfn._xlws.FILTER(ROUND(tblBaseCFResult[SV],-3)/1000,
(tblBaseCFResult[Year]=$A96)
*(tblBaseCFResult[Risk]=$E$61)
*(tblBaseCFResult[PremTermScenario]=$E$62)
*(tblBaseCFResult[IntRateScenario]=J$64),"")</f>
        <v>108117</v>
      </c>
      <c r="K96" s="157" cm="1">
        <f t="array" ref="K96">_xlfn._xlws.FILTER(tblBaseCFResult[Ben]/1000,
(tblBaseCFResult[Year]=$A96)
*(tblBaseCFResult[Risk]=$E$61)
*(tblBaseCFResult[PremTermScenario]=$E$62)
*(tblBaseCFResult[IntRateScenario]=K$64),"")</f>
        <v>203340.37720770601</v>
      </c>
      <c r="L96" s="157" cm="1">
        <f t="array" ref="L96">_xlfn._xlws.FILTER(ROUND(tblBaseCFResult[EndPAV],-3)/1000,
(tblBaseCFResult[Year]=$A96)
*(tblBaseCFResult[Risk]=$E$61)
*(tblBaseCFResult[PremTermScenario]=$E$62)
*(tblBaseCFResult[IntRateScenario]=L$64),"")</f>
        <v>214022</v>
      </c>
      <c r="M96" s="157" cm="1">
        <f t="array" ref="M96">_xlfn._xlws.FILTER(ROUND(tblBaseCFResult[SV],-3)/1000,
(tblBaseCFResult[Year]=$A96)
*(tblBaseCFResult[Risk]=$E$61)
*(tblBaseCFResult[PremTermScenario]=$E$62)
*(tblBaseCFResult[IntRateScenario]=M$64),"")</f>
        <v>203340</v>
      </c>
      <c r="N96" s="157" cm="1">
        <f t="array" ref="N96">_xlfn._xlws.FILTER(tblBaseCFResult[Ben]/1000,
(tblBaseCFResult[Year]=$A96)
*(tblBaseCFResult[Risk]=$E$61)
*(tblBaseCFResult[PremTermScenario]=$E$62)
*(tblBaseCFResult[IntRateScenario]=N$64),"")</f>
        <v>309428.42133986199</v>
      </c>
      <c r="O96" s="157" cm="1">
        <f t="array" ref="O96">_xlfn._xlws.FILTER(ROUND(tblBaseCFResult[EndPAV],-3)/1000,
(tblBaseCFResult[Year]=$A96)
*(tblBaseCFResult[Risk]=$E$61)
*(tblBaseCFResult[PremTermScenario]=$E$62)
*(tblBaseCFResult[IntRateScenario]=O$64),"")</f>
        <v>331618</v>
      </c>
      <c r="P96" s="157" cm="1">
        <f t="array" ref="P96">_xlfn._xlws.FILTER(ROUND(tblBaseCFResult[SV],-3)/1000,
(tblBaseCFResult[Year]=$A96)
*(tblBaseCFResult[Risk]=$E$61)
*(tblBaseCFResult[PremTermScenario]=$E$62)
*(tblBaseCFResult[IntRateScenario]=P$64),"")</f>
        <v>309428</v>
      </c>
      <c r="Q96" s="154"/>
      <c r="R96" s="156"/>
      <c r="S96" s="154"/>
      <c r="T96" s="155">
        <v>29</v>
      </c>
      <c r="U96" s="155">
        <f t="shared" si="6"/>
        <v>28</v>
      </c>
      <c r="W96" s="154"/>
      <c r="X96" s="153" t="str">
        <f t="shared" si="7"/>
        <v>29/28</v>
      </c>
      <c r="Y96" s="152" cm="1">
        <f t="array" ref="Y96">_xlfn._xlws.FILTER(tblBaseCFResult[TP]/1000,
(tblBaseCFResult[Year]=$T96)
*(tblBaseCFResult[Risk]=$Y$61)
*(tblBaseCFResult[PremTermScenario]=$Y$62)
*(tblBaseCFResult[IntRateScenario]=Y$64),"")</f>
        <v>1072</v>
      </c>
      <c r="Z96" s="152" cm="1">
        <f t="array" ref="Z96">_xlfn._xlws.FILTER(tblBaseCFResult[EP]/1000,
(tblBaseCFResult[Year]=$T96)
*(tblBaseCFResult[Risk]=$Y$61)
*(tblBaseCFResult[PremTermScenario]=$Y$62)
*(tblBaseCFResult[IntRateScenario]=Z$64),"")</f>
        <v>0</v>
      </c>
      <c r="AA96" s="152">
        <f t="shared" si="8"/>
        <v>1072</v>
      </c>
      <c r="AB96" s="152" cm="1">
        <f t="array" ref="AB96">_xlfn._xlws.FILTER(ROUND(tblBaseCFResult[AllocChrg],-3)/1000,
(tblBaseCFResult[Year]=$T96)
*(tblBaseCFResult[Risk]=$Y$61)
*(tblBaseCFResult[PremTermScenario]=$Y$62)
*(tblBaseCFResult[IntRateScenario]=AB$64),"")</f>
        <v>21</v>
      </c>
      <c r="AC96" s="152" cm="1">
        <f t="array" ref="AC96">_xlfn._xlws.FILTER(ROUND(tblBaseCFResult[EPAllocChrg],-3)/1000,
(tblBaseCFResult[Year]=$T96)
*(tblBaseCFResult[Risk]=$Y$61)
*(tblBaseCFResult[PremTermScenario]=$Y$62)
*(tblBaseCFResult[IntRateScenario]=AC$64),"")</f>
        <v>0</v>
      </c>
      <c r="AD96" s="152">
        <f t="shared" si="9"/>
        <v>21</v>
      </c>
      <c r="AE96" s="152">
        <f t="shared" si="10"/>
        <v>1051</v>
      </c>
      <c r="AF96" s="152">
        <f t="shared" si="11"/>
        <v>0</v>
      </c>
      <c r="AG96" s="152">
        <f t="shared" si="12"/>
        <v>1051</v>
      </c>
      <c r="AH96" s="152" cm="1">
        <f t="array" ref="AH96">_xlfn._xlws.FILTER(ROUND(tblBaseCFResult[AdminChrg],-3)/1000,
(tblBaseCFResult[Year]=$T96)
*(tblBaseCFResult[Risk]=$Y$61)
*(tblBaseCFResult[PremTermScenario]=$Y$62)
*(tblBaseCFResult[IntRateScenario]=AH$64),"")</f>
        <v>300</v>
      </c>
      <c r="AI96" s="152" cm="1">
        <f t="array" ref="AI96">_xlfn._xlws.FILTER(ROUND(tblBaseCFResult[COI],-3)/1000,
(tblBaseCFResult[Year]=$T96)
*(tblBaseCFResult[Risk]=$Y$61)
*(tblBaseCFResult[PremTermScenario]=$Y$62)
*(tblBaseCFResult[IntRateScenario]=AI$64),"")</f>
        <v>273</v>
      </c>
      <c r="AJ96" s="152" cm="1">
        <f t="array" ref="AJ96">_xlfn._xlws.FILTER(ROUND(tblBaseCFResult[AdminChrg],-3)/1000,
(tblBaseCFResult[Year]=$T96)
*(tblBaseCFResult[Risk]=$Y$61)
*(tblBaseCFResult[PremTermScenario]=$Y$62)
*(tblBaseCFResult[IntRateScenario]=AJ$64),"")</f>
        <v>300</v>
      </c>
      <c r="AK96" s="152" cm="1">
        <f t="array" ref="AK96">_xlfn._xlws.FILTER(ROUND(tblBaseCFResult[COI],-3)/1000,
(tblBaseCFResult[Year]=$T96)
*(tblBaseCFResult[Risk]=$Y$61)
*(tblBaseCFResult[PremTermScenario]=$Y$62)
*(tblBaseCFResult[IntRateScenario]=AK$64),"")</f>
        <v>273</v>
      </c>
    </row>
    <row r="97" spans="1:37" ht="15" customHeight="1" x14ac:dyDescent="0.25">
      <c r="A97" s="155">
        <v>30</v>
      </c>
      <c r="B97" s="155">
        <f t="shared" si="4"/>
        <v>29</v>
      </c>
      <c r="C97" s="154"/>
      <c r="D97" s="153" t="str">
        <f t="shared" si="5"/>
        <v>30/29</v>
      </c>
      <c r="E97" s="157" cm="1">
        <f t="array" ref="E97">_xlfn._xlws.FILTER(tblBaseCFResult[TotalPrem]/1000,
(tblBaseCFResult[Year]=$A97)
*(tblBaseCFResult[Risk]=$E$61)
*(tblBaseCFResult[PremTermScenario]=$E$62)
*(tblBaseCFResult[IntRateScenario]=E$64),"")</f>
        <v>1072</v>
      </c>
      <c r="F97" s="157" cm="1">
        <f t="array" ref="F97">_xlfn._xlws.FILTER(tblBaseCFResult[AccumTotalPrem]/1000,
(tblBaseCFResult[Year]=$A97)
*(tblBaseCFResult[Risk]=$E$61)
*(tblBaseCFResult[PremTermScenario]=$E$62)
*(tblBaseCFResult[IntRateScenario]=F$64),"")</f>
        <v>156960</v>
      </c>
      <c r="G97" s="157" cm="1">
        <f t="array" ref="G97">_xlfn._xlws.FILTER(ROUND(tblBaseCFResult[SemiAnnualTotalPrem],-3)/1000,
(tblBaseCFResult[Year]=$A97)
*(tblBaseCFResult[Risk]=$E$61)
*(tblBaseCFResult[PremTermScenario]=$E$62)
*(tblBaseCFResult[IntRateScenario]=G$64),"")</f>
        <v>3136</v>
      </c>
      <c r="H97" s="157" cm="1">
        <f t="array" ref="H97">_xlfn._xlws.FILTER(tblBaseCFResult[Ben]/1000,
(tblBaseCFResult[Year]=$A97)
*(tblBaseCFResult[Risk]=$E$61)
*(tblBaseCFResult[PremTermScenario]=$E$62)
*(tblBaseCFResult[IntRateScenario]=H$64),"")</f>
        <v>110772.51252219301</v>
      </c>
      <c r="I97" s="157" cm="1">
        <f t="array" ref="I97">_xlfn._xlws.FILTER(ROUND(tblBaseCFResult[EndPAV],-3)/1000,
(tblBaseCFResult[Year]=$A97)
*(tblBaseCFResult[Risk]=$E$61)
*(tblBaseCFResult[PremTermScenario]=$E$62)
*(tblBaseCFResult[IntRateScenario]=I$64),"")</f>
        <v>113481</v>
      </c>
      <c r="J97" s="157" cm="1">
        <f t="array" ref="J97">_xlfn._xlws.FILTER(ROUND(tblBaseCFResult[SV],-3)/1000,
(tblBaseCFResult[Year]=$A97)
*(tblBaseCFResult[Risk]=$E$61)
*(tblBaseCFResult[PremTermScenario]=$E$62)
*(tblBaseCFResult[IntRateScenario]=J$64),"")</f>
        <v>110773</v>
      </c>
      <c r="K97" s="157" cm="1">
        <f t="array" ref="K97">_xlfn._xlws.FILTER(tblBaseCFResult[Ben]/1000,
(tblBaseCFResult[Year]=$A97)
*(tblBaseCFResult[Risk]=$E$61)
*(tblBaseCFResult[PremTermScenario]=$E$62)
*(tblBaseCFResult[IntRateScenario]=K$64),"")</f>
        <v>214022.38905549099</v>
      </c>
      <c r="L97" s="157" cm="1">
        <f t="array" ref="L97">_xlfn._xlws.FILTER(ROUND(tblBaseCFResult[EndPAV],-3)/1000,
(tblBaseCFResult[Year]=$A97)
*(tblBaseCFResult[Risk]=$E$61)
*(tblBaseCFResult[PremTermScenario]=$E$62)
*(tblBaseCFResult[IntRateScenario]=L$64),"")</f>
        <v>225239</v>
      </c>
      <c r="M97" s="157" cm="1">
        <f t="array" ref="M97">_xlfn._xlws.FILTER(ROUND(tblBaseCFResult[SV],-3)/1000,
(tblBaseCFResult[Year]=$A97)
*(tblBaseCFResult[Risk]=$E$61)
*(tblBaseCFResult[PremTermScenario]=$E$62)
*(tblBaseCFResult[IntRateScenario]=M$64),"")</f>
        <v>214022</v>
      </c>
      <c r="N97" s="157" cm="1">
        <f t="array" ref="N97">_xlfn._xlws.FILTER(tblBaseCFResult[Ben]/1000,
(tblBaseCFResult[Year]=$A97)
*(tblBaseCFResult[Risk]=$E$61)
*(tblBaseCFResult[PremTermScenario]=$E$62)
*(tblBaseCFResult[IntRateScenario]=N$64),"")</f>
        <v>331618.31960238301</v>
      </c>
      <c r="O97" s="157" cm="1">
        <f t="array" ref="O97">_xlfn._xlws.FILTER(ROUND(tblBaseCFResult[EndPAV],-3)/1000,
(tblBaseCFResult[Year]=$A97)
*(tblBaseCFResult[Risk]=$E$61)
*(tblBaseCFResult[PremTermScenario]=$E$62)
*(tblBaseCFResult[IntRateScenario]=O$64),"")</f>
        <v>355362</v>
      </c>
      <c r="P97" s="157" cm="1">
        <f t="array" ref="P97">_xlfn._xlws.FILTER(ROUND(tblBaseCFResult[SV],-3)/1000,
(tblBaseCFResult[Year]=$A97)
*(tblBaseCFResult[Risk]=$E$61)
*(tblBaseCFResult[PremTermScenario]=$E$62)
*(tblBaseCFResult[IntRateScenario]=P$64),"")</f>
        <v>331618</v>
      </c>
      <c r="Q97" s="154"/>
      <c r="R97" s="156"/>
      <c r="S97" s="154"/>
      <c r="T97" s="155">
        <v>30</v>
      </c>
      <c r="U97" s="155">
        <f t="shared" si="6"/>
        <v>29</v>
      </c>
      <c r="W97" s="154"/>
      <c r="X97" s="153" t="str">
        <f t="shared" si="7"/>
        <v>30/29</v>
      </c>
      <c r="Y97" s="152" cm="1">
        <f t="array" ref="Y97">_xlfn._xlws.FILTER(tblBaseCFResult[TP]/1000,
(tblBaseCFResult[Year]=$T97)
*(tblBaseCFResult[Risk]=$Y$61)
*(tblBaseCFResult[PremTermScenario]=$Y$62)
*(tblBaseCFResult[IntRateScenario]=Y$64),"")</f>
        <v>1072</v>
      </c>
      <c r="Z97" s="152" cm="1">
        <f t="array" ref="Z97">_xlfn._xlws.FILTER(tblBaseCFResult[EP]/1000,
(tblBaseCFResult[Year]=$T97)
*(tblBaseCFResult[Risk]=$Y$61)
*(tblBaseCFResult[PremTermScenario]=$Y$62)
*(tblBaseCFResult[IntRateScenario]=Z$64),"")</f>
        <v>0</v>
      </c>
      <c r="AA97" s="152">
        <f t="shared" si="8"/>
        <v>1072</v>
      </c>
      <c r="AB97" s="152" cm="1">
        <f t="array" ref="AB97">_xlfn._xlws.FILTER(ROUND(tblBaseCFResult[AllocChrg],-3)/1000,
(tblBaseCFResult[Year]=$T97)
*(tblBaseCFResult[Risk]=$Y$61)
*(tblBaseCFResult[PremTermScenario]=$Y$62)
*(tblBaseCFResult[IntRateScenario]=AB$64),"")</f>
        <v>21</v>
      </c>
      <c r="AC97" s="152" cm="1">
        <f t="array" ref="AC97">_xlfn._xlws.FILTER(ROUND(tblBaseCFResult[EPAllocChrg],-3)/1000,
(tblBaseCFResult[Year]=$T97)
*(tblBaseCFResult[Risk]=$Y$61)
*(tblBaseCFResult[PremTermScenario]=$Y$62)
*(tblBaseCFResult[IntRateScenario]=AC$64),"")</f>
        <v>0</v>
      </c>
      <c r="AD97" s="152">
        <f t="shared" si="9"/>
        <v>21</v>
      </c>
      <c r="AE97" s="152">
        <f t="shared" si="10"/>
        <v>1051</v>
      </c>
      <c r="AF97" s="152">
        <f t="shared" si="11"/>
        <v>0</v>
      </c>
      <c r="AG97" s="152">
        <f t="shared" si="12"/>
        <v>1051</v>
      </c>
      <c r="AH97" s="152" cm="1">
        <f t="array" ref="AH97">_xlfn._xlws.FILTER(ROUND(tblBaseCFResult[AdminChrg],-3)/1000,
(tblBaseCFResult[Year]=$T97)
*(tblBaseCFResult[Risk]=$Y$61)
*(tblBaseCFResult[PremTermScenario]=$Y$62)
*(tblBaseCFResult[IntRateScenario]=AH$64),"")</f>
        <v>300</v>
      </c>
      <c r="AI97" s="152" cm="1">
        <f t="array" ref="AI97">_xlfn._xlws.FILTER(ROUND(tblBaseCFResult[COI],-3)/1000,
(tblBaseCFResult[Year]=$T97)
*(tblBaseCFResult[Risk]=$Y$61)
*(tblBaseCFResult[PremTermScenario]=$Y$62)
*(tblBaseCFResult[IntRateScenario]=AI$64),"")</f>
        <v>273</v>
      </c>
      <c r="AJ97" s="152" cm="1">
        <f t="array" ref="AJ97">_xlfn._xlws.FILTER(ROUND(tblBaseCFResult[AdminChrg],-3)/1000,
(tblBaseCFResult[Year]=$T97)
*(tblBaseCFResult[Risk]=$Y$61)
*(tblBaseCFResult[PremTermScenario]=$Y$62)
*(tblBaseCFResult[IntRateScenario]=AJ$64),"")</f>
        <v>300</v>
      </c>
      <c r="AK97" s="152" cm="1">
        <f t="array" ref="AK97">_xlfn._xlws.FILTER(ROUND(tblBaseCFResult[COI],-3)/1000,
(tblBaseCFResult[Year]=$T97)
*(tblBaseCFResult[Risk]=$Y$61)
*(tblBaseCFResult[PremTermScenario]=$Y$62)
*(tblBaseCFResult[IntRateScenario]=AK$64),"")</f>
        <v>273</v>
      </c>
    </row>
    <row r="98" spans="1:37" ht="15" customHeight="1" x14ac:dyDescent="0.25">
      <c r="A98" s="155">
        <v>31</v>
      </c>
      <c r="B98" s="155">
        <f t="shared" si="4"/>
        <v>30</v>
      </c>
      <c r="C98" s="154"/>
      <c r="D98" s="153" t="str">
        <f t="shared" si="5"/>
        <v>31/30</v>
      </c>
      <c r="E98" s="157" cm="1">
        <f t="array" ref="E98">_xlfn._xlws.FILTER(tblBaseCFResult[TotalPrem]/1000,
(tblBaseCFResult[Year]=$A98)
*(tblBaseCFResult[Risk]=$E$61)
*(tblBaseCFResult[PremTermScenario]=$E$62)
*(tblBaseCFResult[IntRateScenario]=E$64),"")</f>
        <v>1072</v>
      </c>
      <c r="F98" s="157" cm="1">
        <f t="array" ref="F98">_xlfn._xlws.FILTER(tblBaseCFResult[AccumTotalPrem]/1000,
(tblBaseCFResult[Year]=$A98)
*(tblBaseCFResult[Risk]=$E$61)
*(tblBaseCFResult[PremTermScenario]=$E$62)
*(tblBaseCFResult[IntRateScenario]=F$64),"")</f>
        <v>158032</v>
      </c>
      <c r="G98" s="157" cm="1">
        <f t="array" ref="G98">_xlfn._xlws.FILTER(ROUND(tblBaseCFResult[SemiAnnualTotalPrem],-3)/1000,
(tblBaseCFResult[Year]=$A98)
*(tblBaseCFResult[Risk]=$E$61)
*(tblBaseCFResult[PremTermScenario]=$E$62)
*(tblBaseCFResult[IntRateScenario]=G$64),"")</f>
        <v>3136</v>
      </c>
      <c r="H98" s="157" cm="1">
        <f t="array" ref="H98">_xlfn._xlws.FILTER(tblBaseCFResult[Ben]/1000,
(tblBaseCFResult[Year]=$A98)
*(tblBaseCFResult[Risk]=$E$61)
*(tblBaseCFResult[PremTermScenario]=$E$62)
*(tblBaseCFResult[IntRateScenario]=H$64),"")</f>
        <v>113480.64849286001</v>
      </c>
      <c r="I98" s="157" cm="1">
        <f t="array" ref="I98">_xlfn._xlws.FILTER(ROUND(tblBaseCFResult[EndPAV],-3)/1000,
(tblBaseCFResult[Year]=$A98)
*(tblBaseCFResult[Risk]=$E$61)
*(tblBaseCFResult[PremTermScenario]=$E$62)
*(tblBaseCFResult[IntRateScenario]=I$64),"")</f>
        <v>116243</v>
      </c>
      <c r="J98" s="157" cm="1">
        <f t="array" ref="J98">_xlfn._xlws.FILTER(ROUND(tblBaseCFResult[SV],-3)/1000,
(tblBaseCFResult[Year]=$A98)
*(tblBaseCFResult[Risk]=$E$61)
*(tblBaseCFResult[PremTermScenario]=$E$62)
*(tblBaseCFResult[IntRateScenario]=J$64),"")</f>
        <v>113481</v>
      </c>
      <c r="K98" s="157" cm="1">
        <f t="array" ref="K98">_xlfn._xlws.FILTER(tblBaseCFResult[Ben]/1000,
(tblBaseCFResult[Year]=$A98)
*(tblBaseCFResult[Risk]=$E$61)
*(tblBaseCFResult[PremTermScenario]=$E$62)
*(tblBaseCFResult[IntRateScenario]=K$64),"")</f>
        <v>225238.50149566599</v>
      </c>
      <c r="L98" s="157" cm="1">
        <f t="array" ref="L98">_xlfn._xlws.FILTER(ROUND(tblBaseCFResult[EndPAV],-3)/1000,
(tblBaseCFResult[Year]=$A98)
*(tblBaseCFResult[Risk]=$E$61)
*(tblBaseCFResult[PremTermScenario]=$E$62)
*(tblBaseCFResult[IntRateScenario]=L$64),"")</f>
        <v>237015</v>
      </c>
      <c r="M98" s="157" cm="1">
        <f t="array" ref="M98">_xlfn._xlws.FILTER(ROUND(tblBaseCFResult[SV],-3)/1000,
(tblBaseCFResult[Year]=$A98)
*(tblBaseCFResult[Risk]=$E$61)
*(tblBaseCFResult[PremTermScenario]=$E$62)
*(tblBaseCFResult[IntRateScenario]=M$64),"")</f>
        <v>225239</v>
      </c>
      <c r="N98" s="157" cm="1">
        <f t="array" ref="N98">_xlfn._xlws.FILTER(tblBaseCFResult[Ben]/1000,
(tblBaseCFResult[Year]=$A98)
*(tblBaseCFResult[Risk]=$E$61)
*(tblBaseCFResult[PremTermScenario]=$E$62)
*(tblBaseCFResult[IntRateScenario]=N$64),"")</f>
        <v>355361.51074328</v>
      </c>
      <c r="O98" s="157" cm="1">
        <f t="array" ref="O98">_xlfn._xlws.FILTER(ROUND(tblBaseCFResult[EndPAV],-3)/1000,
(tblBaseCFResult[Year]=$A98)
*(tblBaseCFResult[Risk]=$E$61)
*(tblBaseCFResult[PremTermScenario]=$E$62)
*(tblBaseCFResult[IntRateScenario]=O$64),"")</f>
        <v>380767</v>
      </c>
      <c r="P98" s="157" cm="1">
        <f t="array" ref="P98">_xlfn._xlws.FILTER(ROUND(tblBaseCFResult[SV],-3)/1000,
(tblBaseCFResult[Year]=$A98)
*(tblBaseCFResult[Risk]=$E$61)
*(tblBaseCFResult[PremTermScenario]=$E$62)
*(tblBaseCFResult[IntRateScenario]=P$64),"")</f>
        <v>355362</v>
      </c>
      <c r="Q98" s="154"/>
      <c r="R98" s="156"/>
      <c r="S98" s="154"/>
      <c r="T98" s="155">
        <v>31</v>
      </c>
      <c r="U98" s="155">
        <f t="shared" si="6"/>
        <v>30</v>
      </c>
      <c r="W98" s="154"/>
      <c r="X98" s="153" t="str">
        <f t="shared" si="7"/>
        <v>31/30</v>
      </c>
      <c r="Y98" s="152" cm="1">
        <f t="array" ref="Y98">_xlfn._xlws.FILTER(tblBaseCFResult[TP]/1000,
(tblBaseCFResult[Year]=$T98)
*(tblBaseCFResult[Risk]=$Y$61)
*(tblBaseCFResult[PremTermScenario]=$Y$62)
*(tblBaseCFResult[IntRateScenario]=Y$64),"")</f>
        <v>1072</v>
      </c>
      <c r="Z98" s="152" cm="1">
        <f t="array" ref="Z98">_xlfn._xlws.FILTER(tblBaseCFResult[EP]/1000,
(tblBaseCFResult[Year]=$T98)
*(tblBaseCFResult[Risk]=$Y$61)
*(tblBaseCFResult[PremTermScenario]=$Y$62)
*(tblBaseCFResult[IntRateScenario]=Z$64),"")</f>
        <v>0</v>
      </c>
      <c r="AA98" s="152">
        <f t="shared" si="8"/>
        <v>1072</v>
      </c>
      <c r="AB98" s="152" cm="1">
        <f t="array" ref="AB98">_xlfn._xlws.FILTER(ROUND(tblBaseCFResult[AllocChrg],-3)/1000,
(tblBaseCFResult[Year]=$T98)
*(tblBaseCFResult[Risk]=$Y$61)
*(tblBaseCFResult[PremTermScenario]=$Y$62)
*(tblBaseCFResult[IntRateScenario]=AB$64),"")</f>
        <v>21</v>
      </c>
      <c r="AC98" s="152" cm="1">
        <f t="array" ref="AC98">_xlfn._xlws.FILTER(ROUND(tblBaseCFResult[EPAllocChrg],-3)/1000,
(tblBaseCFResult[Year]=$T98)
*(tblBaseCFResult[Risk]=$Y$61)
*(tblBaseCFResult[PremTermScenario]=$Y$62)
*(tblBaseCFResult[IntRateScenario]=AC$64),"")</f>
        <v>0</v>
      </c>
      <c r="AD98" s="152">
        <f t="shared" si="9"/>
        <v>21</v>
      </c>
      <c r="AE98" s="152">
        <f t="shared" si="10"/>
        <v>1051</v>
      </c>
      <c r="AF98" s="152">
        <f t="shared" si="11"/>
        <v>0</v>
      </c>
      <c r="AG98" s="152">
        <f t="shared" si="12"/>
        <v>1051</v>
      </c>
      <c r="AH98" s="152" cm="1">
        <f t="array" ref="AH98">_xlfn._xlws.FILTER(ROUND(tblBaseCFResult[AdminChrg],-3)/1000,
(tblBaseCFResult[Year]=$T98)
*(tblBaseCFResult[Risk]=$Y$61)
*(tblBaseCFResult[PremTermScenario]=$Y$62)
*(tblBaseCFResult[IntRateScenario]=AH$64),"")</f>
        <v>300</v>
      </c>
      <c r="AI98" s="152" cm="1">
        <f t="array" ref="AI98">_xlfn._xlws.FILTER(ROUND(tblBaseCFResult[COI],-3)/1000,
(tblBaseCFResult[Year]=$T98)
*(tblBaseCFResult[Risk]=$Y$61)
*(tblBaseCFResult[PremTermScenario]=$Y$62)
*(tblBaseCFResult[IntRateScenario]=AI$64),"")</f>
        <v>273</v>
      </c>
      <c r="AJ98" s="152" cm="1">
        <f t="array" ref="AJ98">_xlfn._xlws.FILTER(ROUND(tblBaseCFResult[AdminChrg],-3)/1000,
(tblBaseCFResult[Year]=$T98)
*(tblBaseCFResult[Risk]=$Y$61)
*(tblBaseCFResult[PremTermScenario]=$Y$62)
*(tblBaseCFResult[IntRateScenario]=AJ$64),"")</f>
        <v>300</v>
      </c>
      <c r="AK98" s="152" cm="1">
        <f t="array" ref="AK98">_xlfn._xlws.FILTER(ROUND(tblBaseCFResult[COI],-3)/1000,
(tblBaseCFResult[Year]=$T98)
*(tblBaseCFResult[Risk]=$Y$61)
*(tblBaseCFResult[PremTermScenario]=$Y$62)
*(tblBaseCFResult[IntRateScenario]=AK$64),"")</f>
        <v>273</v>
      </c>
    </row>
    <row r="99" spans="1:37" ht="15" customHeight="1" x14ac:dyDescent="0.25">
      <c r="A99" s="155">
        <v>32</v>
      </c>
      <c r="B99" s="155">
        <f t="shared" si="4"/>
        <v>31</v>
      </c>
      <c r="C99" s="154"/>
      <c r="D99" s="153" t="str">
        <f t="shared" si="5"/>
        <v>32/31</v>
      </c>
      <c r="E99" s="157" cm="1">
        <f t="array" ref="E99">_xlfn._xlws.FILTER(tblBaseCFResult[TotalPrem]/1000,
(tblBaseCFResult[Year]=$A99)
*(tblBaseCFResult[Risk]=$E$61)
*(tblBaseCFResult[PremTermScenario]=$E$62)
*(tblBaseCFResult[IntRateScenario]=E$64),"")</f>
        <v>1072</v>
      </c>
      <c r="F99" s="157" cm="1">
        <f t="array" ref="F99">_xlfn._xlws.FILTER(tblBaseCFResult[AccumTotalPrem]/1000,
(tblBaseCFResult[Year]=$A99)
*(tblBaseCFResult[Risk]=$E$61)
*(tblBaseCFResult[PremTermScenario]=$E$62)
*(tblBaseCFResult[IntRateScenario]=F$64),"")</f>
        <v>159104</v>
      </c>
      <c r="G99" s="157" cm="1">
        <f t="array" ref="G99">_xlfn._xlws.FILTER(ROUND(tblBaseCFResult[SemiAnnualTotalPrem],-3)/1000,
(tblBaseCFResult[Year]=$A99)
*(tblBaseCFResult[Risk]=$E$61)
*(tblBaseCFResult[PremTermScenario]=$E$62)
*(tblBaseCFResult[IntRateScenario]=G$64),"")</f>
        <v>3136</v>
      </c>
      <c r="H99" s="157" cm="1">
        <f t="array" ref="H99">_xlfn._xlws.FILTER(tblBaseCFResult[Ben]/1000,
(tblBaseCFResult[Year]=$A99)
*(tblBaseCFResult[Risk]=$E$61)
*(tblBaseCFResult[PremTermScenario]=$E$62)
*(tblBaseCFResult[IntRateScenario]=H$64),"")</f>
        <v>116242.94718294</v>
      </c>
      <c r="I99" s="157" cm="1">
        <f t="array" ref="I99">_xlfn._xlws.FILTER(ROUND(tblBaseCFResult[EndPAV],-3)/1000,
(tblBaseCFResult[Year]=$A99)
*(tblBaseCFResult[Risk]=$E$61)
*(tblBaseCFResult[PremTermScenario]=$E$62)
*(tblBaseCFResult[IntRateScenario]=I$64),"")</f>
        <v>119060</v>
      </c>
      <c r="J99" s="157" cm="1">
        <f t="array" ref="J99">_xlfn._xlws.FILTER(ROUND(tblBaseCFResult[SV],-3)/1000,
(tblBaseCFResult[Year]=$A99)
*(tblBaseCFResult[Risk]=$E$61)
*(tblBaseCFResult[PremTermScenario]=$E$62)
*(tblBaseCFResult[IntRateScenario]=J$64),"")</f>
        <v>116243</v>
      </c>
      <c r="K99" s="157" cm="1">
        <f t="array" ref="K99">_xlfn._xlws.FILTER(tblBaseCFResult[Ben]/1000,
(tblBaseCFResult[Year]=$A99)
*(tblBaseCFResult[Risk]=$E$61)
*(tblBaseCFResult[PremTermScenario]=$E$62)
*(tblBaseCFResult[IntRateScenario]=K$64),"")</f>
        <v>237015.419557849</v>
      </c>
      <c r="L99" s="157" cm="1">
        <f t="array" ref="L99">_xlfn._xlws.FILTER(ROUND(tblBaseCFResult[EndPAV],-3)/1000,
(tblBaseCFResult[Year]=$A99)
*(tblBaseCFResult[Risk]=$E$61)
*(tblBaseCFResult[PremTermScenario]=$E$62)
*(tblBaseCFResult[IntRateScenario]=L$64),"")</f>
        <v>249381</v>
      </c>
      <c r="M99" s="157" cm="1">
        <f t="array" ref="M99">_xlfn._xlws.FILTER(ROUND(tblBaseCFResult[SV],-3)/1000,
(tblBaseCFResult[Year]=$A99)
*(tblBaseCFResult[Risk]=$E$61)
*(tblBaseCFResult[PremTermScenario]=$E$62)
*(tblBaseCFResult[IntRateScenario]=M$64),"")</f>
        <v>237015</v>
      </c>
      <c r="N99" s="157" cm="1">
        <f t="array" ref="N99">_xlfn._xlws.FILTER(tblBaseCFResult[Ben]/1000,
(tblBaseCFResult[Year]=$A99)
*(tblBaseCFResult[Risk]=$E$61)
*(tblBaseCFResult[PremTermScenario]=$E$62)
*(tblBaseCFResult[IntRateScenario]=N$64),"")</f>
        <v>380766.72526404</v>
      </c>
      <c r="O99" s="157" cm="1">
        <f t="array" ref="O99">_xlfn._xlws.FILTER(ROUND(tblBaseCFResult[EndPAV],-3)/1000,
(tblBaseCFResult[Year]=$A99)
*(tblBaseCFResult[Risk]=$E$61)
*(tblBaseCFResult[PremTermScenario]=$E$62)
*(tblBaseCFResult[IntRateScenario]=O$64),"")</f>
        <v>407950</v>
      </c>
      <c r="P99" s="157" cm="1">
        <f t="array" ref="P99">_xlfn._xlws.FILTER(ROUND(tblBaseCFResult[SV],-3)/1000,
(tblBaseCFResult[Year]=$A99)
*(tblBaseCFResult[Risk]=$E$61)
*(tblBaseCFResult[PremTermScenario]=$E$62)
*(tblBaseCFResult[IntRateScenario]=P$64),"")</f>
        <v>380767</v>
      </c>
      <c r="Q99" s="154"/>
      <c r="R99" s="156"/>
      <c r="S99" s="154"/>
      <c r="T99" s="155">
        <v>32</v>
      </c>
      <c r="U99" s="155">
        <f t="shared" si="6"/>
        <v>31</v>
      </c>
      <c r="W99" s="154"/>
      <c r="X99" s="153" t="str">
        <f t="shared" si="7"/>
        <v>32/31</v>
      </c>
      <c r="Y99" s="152" cm="1">
        <f t="array" ref="Y99">_xlfn._xlws.FILTER(tblBaseCFResult[TP]/1000,
(tblBaseCFResult[Year]=$T99)
*(tblBaseCFResult[Risk]=$Y$61)
*(tblBaseCFResult[PremTermScenario]=$Y$62)
*(tblBaseCFResult[IntRateScenario]=Y$64),"")</f>
        <v>1072</v>
      </c>
      <c r="Z99" s="152" cm="1">
        <f t="array" ref="Z99">_xlfn._xlws.FILTER(tblBaseCFResult[EP]/1000,
(tblBaseCFResult[Year]=$T99)
*(tblBaseCFResult[Risk]=$Y$61)
*(tblBaseCFResult[PremTermScenario]=$Y$62)
*(tblBaseCFResult[IntRateScenario]=Z$64),"")</f>
        <v>0</v>
      </c>
      <c r="AA99" s="152">
        <f t="shared" si="8"/>
        <v>1072</v>
      </c>
      <c r="AB99" s="152" cm="1">
        <f t="array" ref="AB99">_xlfn._xlws.FILTER(ROUND(tblBaseCFResult[AllocChrg],-3)/1000,
(tblBaseCFResult[Year]=$T99)
*(tblBaseCFResult[Risk]=$Y$61)
*(tblBaseCFResult[PremTermScenario]=$Y$62)
*(tblBaseCFResult[IntRateScenario]=AB$64),"")</f>
        <v>21</v>
      </c>
      <c r="AC99" s="152" cm="1">
        <f t="array" ref="AC99">_xlfn._xlws.FILTER(ROUND(tblBaseCFResult[EPAllocChrg],-3)/1000,
(tblBaseCFResult[Year]=$T99)
*(tblBaseCFResult[Risk]=$Y$61)
*(tblBaseCFResult[PremTermScenario]=$Y$62)
*(tblBaseCFResult[IntRateScenario]=AC$64),"")</f>
        <v>0</v>
      </c>
      <c r="AD99" s="152">
        <f t="shared" si="9"/>
        <v>21</v>
      </c>
      <c r="AE99" s="152">
        <f t="shared" si="10"/>
        <v>1051</v>
      </c>
      <c r="AF99" s="152">
        <f t="shared" si="11"/>
        <v>0</v>
      </c>
      <c r="AG99" s="152">
        <f t="shared" si="12"/>
        <v>1051</v>
      </c>
      <c r="AH99" s="152" cm="1">
        <f t="array" ref="AH99">_xlfn._xlws.FILTER(ROUND(tblBaseCFResult[AdminChrg],-3)/1000,
(tblBaseCFResult[Year]=$T99)
*(tblBaseCFResult[Risk]=$Y$61)
*(tblBaseCFResult[PremTermScenario]=$Y$62)
*(tblBaseCFResult[IntRateScenario]=AH$64),"")</f>
        <v>300</v>
      </c>
      <c r="AI99" s="152" cm="1">
        <f t="array" ref="AI99">_xlfn._xlws.FILTER(ROUND(tblBaseCFResult[COI],-3)/1000,
(tblBaseCFResult[Year]=$T99)
*(tblBaseCFResult[Risk]=$Y$61)
*(tblBaseCFResult[PremTermScenario]=$Y$62)
*(tblBaseCFResult[IntRateScenario]=AI$64),"")</f>
        <v>273</v>
      </c>
      <c r="AJ99" s="152" cm="1">
        <f t="array" ref="AJ99">_xlfn._xlws.FILTER(ROUND(tblBaseCFResult[AdminChrg],-3)/1000,
(tblBaseCFResult[Year]=$T99)
*(tblBaseCFResult[Risk]=$Y$61)
*(tblBaseCFResult[PremTermScenario]=$Y$62)
*(tblBaseCFResult[IntRateScenario]=AJ$64),"")</f>
        <v>300</v>
      </c>
      <c r="AK99" s="152" cm="1">
        <f t="array" ref="AK99">_xlfn._xlws.FILTER(ROUND(tblBaseCFResult[COI],-3)/1000,
(tblBaseCFResult[Year]=$T99)
*(tblBaseCFResult[Risk]=$Y$61)
*(tblBaseCFResult[PremTermScenario]=$Y$62)
*(tblBaseCFResult[IntRateScenario]=AK$64),"")</f>
        <v>273</v>
      </c>
    </row>
    <row r="100" spans="1:37" ht="15" customHeight="1" x14ac:dyDescent="0.25">
      <c r="A100" s="155">
        <v>33</v>
      </c>
      <c r="B100" s="155">
        <f t="shared" ref="B100:B131" si="13">mainLI_entry_age+A100-1</f>
        <v>32</v>
      </c>
      <c r="C100" s="154"/>
      <c r="D100" s="153" t="str">
        <f t="shared" ref="D100:D131" si="14">$A100&amp;"/"&amp;$B100</f>
        <v>33/32</v>
      </c>
      <c r="E100" s="157" cm="1">
        <f t="array" ref="E100">_xlfn._xlws.FILTER(tblBaseCFResult[TotalPrem]/1000,
(tblBaseCFResult[Year]=$A100)
*(tblBaseCFResult[Risk]=$E$61)
*(tblBaseCFResult[PremTermScenario]=$E$62)
*(tblBaseCFResult[IntRateScenario]=E$64),"")</f>
        <v>1072</v>
      </c>
      <c r="F100" s="157" cm="1">
        <f t="array" ref="F100">_xlfn._xlws.FILTER(tblBaseCFResult[AccumTotalPrem]/1000,
(tblBaseCFResult[Year]=$A100)
*(tblBaseCFResult[Risk]=$E$61)
*(tblBaseCFResult[PremTermScenario]=$E$62)
*(tblBaseCFResult[IntRateScenario]=F$64),"")</f>
        <v>160176</v>
      </c>
      <c r="G100" s="157" cm="1">
        <f t="array" ref="G100">_xlfn._xlws.FILTER(ROUND(tblBaseCFResult[SemiAnnualTotalPrem],-3)/1000,
(tblBaseCFResult[Year]=$A100)
*(tblBaseCFResult[Risk]=$E$61)
*(tblBaseCFResult[PremTermScenario]=$E$62)
*(tblBaseCFResult[IntRateScenario]=G$64),"")</f>
        <v>3136</v>
      </c>
      <c r="H100" s="157" cm="1">
        <f t="array" ref="H100">_xlfn._xlws.FILTER(tblBaseCFResult[Ben]/1000,
(tblBaseCFResult[Year]=$A100)
*(tblBaseCFResult[Risk]=$E$61)
*(tblBaseCFResult[PremTermScenario]=$E$62)
*(tblBaseCFResult[IntRateScenario]=H$64),"")</f>
        <v>119060.491846822</v>
      </c>
      <c r="I100" s="157" cm="1">
        <f t="array" ref="I100">_xlfn._xlws.FILTER(ROUND(tblBaseCFResult[EndPAV],-3)/1000,
(tblBaseCFResult[Year]=$A100)
*(tblBaseCFResult[Risk]=$E$61)
*(tblBaseCFResult[PremTermScenario]=$E$62)
*(tblBaseCFResult[IntRateScenario]=I$64),"")</f>
        <v>121934</v>
      </c>
      <c r="J100" s="157" cm="1">
        <f t="array" ref="J100">_xlfn._xlws.FILTER(ROUND(tblBaseCFResult[SV],-3)/1000,
(tblBaseCFResult[Year]=$A100)
*(tblBaseCFResult[Risk]=$E$61)
*(tblBaseCFResult[PremTermScenario]=$E$62)
*(tblBaseCFResult[IntRateScenario]=J$64),"")</f>
        <v>119060</v>
      </c>
      <c r="K100" s="157" cm="1">
        <f t="array" ref="K100">_xlfn._xlws.FILTER(tblBaseCFResult[Ben]/1000,
(tblBaseCFResult[Year]=$A100)
*(tblBaseCFResult[Risk]=$E$61)
*(tblBaseCFResult[PremTermScenario]=$E$62)
*(tblBaseCFResult[IntRateScenario]=K$64),"")</f>
        <v>249381.18352314201</v>
      </c>
      <c r="L100" s="157" cm="1">
        <f t="array" ref="L100">_xlfn._xlws.FILTER(ROUND(tblBaseCFResult[EndPAV],-3)/1000,
(tblBaseCFResult[Year]=$A100)
*(tblBaseCFResult[Risk]=$E$61)
*(tblBaseCFResult[PremTermScenario]=$E$62)
*(tblBaseCFResult[IntRateScenario]=L$64),"")</f>
        <v>262365</v>
      </c>
      <c r="M100" s="157" cm="1">
        <f t="array" ref="M100">_xlfn._xlws.FILTER(ROUND(tblBaseCFResult[SV],-3)/1000,
(tblBaseCFResult[Year]=$A100)
*(tblBaseCFResult[Risk]=$E$61)
*(tblBaseCFResult[PremTermScenario]=$E$62)
*(tblBaseCFResult[IntRateScenario]=M$64),"")</f>
        <v>249381</v>
      </c>
      <c r="N100" s="157" cm="1">
        <f t="array" ref="N100">_xlfn._xlws.FILTER(tblBaseCFResult[Ben]/1000,
(tblBaseCFResult[Year]=$A100)
*(tblBaseCFResult[Risk]=$E$61)
*(tblBaseCFResult[PremTermScenario]=$E$62)
*(tblBaseCFResult[IntRateScenario]=N$64),"")</f>
        <v>407950.30480125395</v>
      </c>
      <c r="O100" s="157" cm="1">
        <f t="array" ref="O100">_xlfn._xlws.FILTER(ROUND(tblBaseCFResult[EndPAV],-3)/1000,
(tblBaseCFResult[Year]=$A100)
*(tblBaseCFResult[Risk]=$E$61)
*(tblBaseCFResult[PremTermScenario]=$E$62)
*(tblBaseCFResult[IntRateScenario]=O$64),"")</f>
        <v>437037</v>
      </c>
      <c r="P100" s="157" cm="1">
        <f t="array" ref="P100">_xlfn._xlws.FILTER(ROUND(tblBaseCFResult[SV],-3)/1000,
(tblBaseCFResult[Year]=$A100)
*(tblBaseCFResult[Risk]=$E$61)
*(tblBaseCFResult[PremTermScenario]=$E$62)
*(tblBaseCFResult[IntRateScenario]=P$64),"")</f>
        <v>407950</v>
      </c>
      <c r="Q100" s="154"/>
      <c r="R100" s="156"/>
      <c r="S100" s="154"/>
      <c r="T100" s="155">
        <v>33</v>
      </c>
      <c r="U100" s="155">
        <f t="shared" ref="U100:U131" si="15">mainLI_entry_age+T100-1</f>
        <v>32</v>
      </c>
      <c r="W100" s="154"/>
      <c r="X100" s="153" t="str">
        <f t="shared" ref="X100:X131" si="16">$T100&amp;"/"&amp;$U100</f>
        <v>33/32</v>
      </c>
      <c r="Y100" s="152" cm="1">
        <f t="array" ref="Y100">_xlfn._xlws.FILTER(tblBaseCFResult[TP]/1000,
(tblBaseCFResult[Year]=$T100)
*(tblBaseCFResult[Risk]=$Y$61)
*(tblBaseCFResult[PremTermScenario]=$Y$62)
*(tblBaseCFResult[IntRateScenario]=Y$64),"")</f>
        <v>1072</v>
      </c>
      <c r="Z100" s="152" cm="1">
        <f t="array" ref="Z100">_xlfn._xlws.FILTER(tblBaseCFResult[EP]/1000,
(tblBaseCFResult[Year]=$T100)
*(tblBaseCFResult[Risk]=$Y$61)
*(tblBaseCFResult[PremTermScenario]=$Y$62)
*(tblBaseCFResult[IntRateScenario]=Z$64),"")</f>
        <v>0</v>
      </c>
      <c r="AA100" s="152">
        <f t="shared" ref="AA100:AA131" si="17">IFERROR(Y100+Z100,"")</f>
        <v>1072</v>
      </c>
      <c r="AB100" s="152" cm="1">
        <f t="array" ref="AB100">_xlfn._xlws.FILTER(ROUND(tblBaseCFResult[AllocChrg],-3)/1000,
(tblBaseCFResult[Year]=$T100)
*(tblBaseCFResult[Risk]=$Y$61)
*(tblBaseCFResult[PremTermScenario]=$Y$62)
*(tblBaseCFResult[IntRateScenario]=AB$64),"")</f>
        <v>21</v>
      </c>
      <c r="AC100" s="152" cm="1">
        <f t="array" ref="AC100">_xlfn._xlws.FILTER(ROUND(tblBaseCFResult[EPAllocChrg],-3)/1000,
(tblBaseCFResult[Year]=$T100)
*(tblBaseCFResult[Risk]=$Y$61)
*(tblBaseCFResult[PremTermScenario]=$Y$62)
*(tblBaseCFResult[IntRateScenario]=AC$64),"")</f>
        <v>0</v>
      </c>
      <c r="AD100" s="152">
        <f t="shared" ref="AD100:AD131" si="18">IFERROR(AB100+AC100,"")</f>
        <v>21</v>
      </c>
      <c r="AE100" s="152">
        <f t="shared" ref="AE100:AE131" si="19">IFERROR(Y100-AB100,"")</f>
        <v>1051</v>
      </c>
      <c r="AF100" s="152">
        <f t="shared" ref="AF100:AF131" si="20">IFERROR(Z100-AC100,"")</f>
        <v>0</v>
      </c>
      <c r="AG100" s="152">
        <f t="shared" ref="AG100:AG131" si="21">IFERROR(AA100-AD100,"")</f>
        <v>1051</v>
      </c>
      <c r="AH100" s="152" cm="1">
        <f t="array" ref="AH100">_xlfn._xlws.FILTER(ROUND(tblBaseCFResult[AdminChrg],-3)/1000,
(tblBaseCFResult[Year]=$T100)
*(tblBaseCFResult[Risk]=$Y$61)
*(tblBaseCFResult[PremTermScenario]=$Y$62)
*(tblBaseCFResult[IntRateScenario]=AH$64),"")</f>
        <v>300</v>
      </c>
      <c r="AI100" s="152" cm="1">
        <f t="array" ref="AI100">_xlfn._xlws.FILTER(ROUND(tblBaseCFResult[COI],-3)/1000,
(tblBaseCFResult[Year]=$T100)
*(tblBaseCFResult[Risk]=$Y$61)
*(tblBaseCFResult[PremTermScenario]=$Y$62)
*(tblBaseCFResult[IntRateScenario]=AI$64),"")</f>
        <v>273</v>
      </c>
      <c r="AJ100" s="152" cm="1">
        <f t="array" ref="AJ100">_xlfn._xlws.FILTER(ROUND(tblBaseCFResult[AdminChrg],-3)/1000,
(tblBaseCFResult[Year]=$T100)
*(tblBaseCFResult[Risk]=$Y$61)
*(tblBaseCFResult[PremTermScenario]=$Y$62)
*(tblBaseCFResult[IntRateScenario]=AJ$64),"")</f>
        <v>300</v>
      </c>
      <c r="AK100" s="152" cm="1">
        <f t="array" ref="AK100">_xlfn._xlws.FILTER(ROUND(tblBaseCFResult[COI],-3)/1000,
(tblBaseCFResult[Year]=$T100)
*(tblBaseCFResult[Risk]=$Y$61)
*(tblBaseCFResult[PremTermScenario]=$Y$62)
*(tblBaseCFResult[IntRateScenario]=AK$64),"")</f>
        <v>273</v>
      </c>
    </row>
    <row r="101" spans="1:37" ht="15" customHeight="1" x14ac:dyDescent="0.25">
      <c r="A101" s="155">
        <v>34</v>
      </c>
      <c r="B101" s="155">
        <f t="shared" si="13"/>
        <v>33</v>
      </c>
      <c r="C101" s="154"/>
      <c r="D101" s="153" t="str">
        <f t="shared" si="14"/>
        <v>34/33</v>
      </c>
      <c r="E101" s="157" cm="1">
        <f t="array" ref="E101">_xlfn._xlws.FILTER(tblBaseCFResult[TotalPrem]/1000,
(tblBaseCFResult[Year]=$A101)
*(tblBaseCFResult[Risk]=$E$61)
*(tblBaseCFResult[PremTermScenario]=$E$62)
*(tblBaseCFResult[IntRateScenario]=E$64),"")</f>
        <v>1072</v>
      </c>
      <c r="F101" s="157" cm="1">
        <f t="array" ref="F101">_xlfn._xlws.FILTER(tblBaseCFResult[AccumTotalPrem]/1000,
(tblBaseCFResult[Year]=$A101)
*(tblBaseCFResult[Risk]=$E$61)
*(tblBaseCFResult[PremTermScenario]=$E$62)
*(tblBaseCFResult[IntRateScenario]=F$64),"")</f>
        <v>161248</v>
      </c>
      <c r="G101" s="157" cm="1">
        <f t="array" ref="G101">_xlfn._xlws.FILTER(ROUND(tblBaseCFResult[SemiAnnualTotalPrem],-3)/1000,
(tblBaseCFResult[Year]=$A101)
*(tblBaseCFResult[Risk]=$E$61)
*(tblBaseCFResult[PremTermScenario]=$E$62)
*(tblBaseCFResult[IntRateScenario]=G$64),"")</f>
        <v>3136</v>
      </c>
      <c r="H101" s="157" cm="1">
        <f t="array" ref="H101">_xlfn._xlws.FILTER(tblBaseCFResult[Ben]/1000,
(tblBaseCFResult[Year]=$A101)
*(tblBaseCFResult[Risk]=$E$61)
*(tblBaseCFResult[PremTermScenario]=$E$62)
*(tblBaseCFResult[IntRateScenario]=H$64),"")</f>
        <v>121934.387403981</v>
      </c>
      <c r="I101" s="157" cm="1">
        <f t="array" ref="I101">_xlfn._xlws.FILTER(ROUND(tblBaseCFResult[EndPAV],-3)/1000,
(tblBaseCFResult[Year]=$A101)
*(tblBaseCFResult[Risk]=$E$61)
*(tblBaseCFResult[PremTermScenario]=$E$62)
*(tblBaseCFResult[IntRateScenario]=I$64),"")</f>
        <v>124866</v>
      </c>
      <c r="J101" s="157" cm="1">
        <f t="array" ref="J101">_xlfn._xlws.FILTER(ROUND(tblBaseCFResult[SV],-3)/1000,
(tblBaseCFResult[Year]=$A101)
*(tblBaseCFResult[Risk]=$E$61)
*(tblBaseCFResult[PremTermScenario]=$E$62)
*(tblBaseCFResult[IntRateScenario]=J$64),"")</f>
        <v>121934</v>
      </c>
      <c r="K101" s="157" cm="1">
        <f t="array" ref="K101">_xlfn._xlws.FILTER(tblBaseCFResult[Ben]/1000,
(tblBaseCFResult[Year]=$A101)
*(tblBaseCFResult[Risk]=$E$61)
*(tblBaseCFResult[PremTermScenario]=$E$62)
*(tblBaseCFResult[IntRateScenario]=K$64),"")</f>
        <v>262365.23568669899</v>
      </c>
      <c r="L101" s="157" cm="1">
        <f t="array" ref="L101">_xlfn._xlws.FILTER(ROUND(tblBaseCFResult[EndPAV],-3)/1000,
(tblBaseCFResult[Year]=$A101)
*(tblBaseCFResult[Risk]=$E$61)
*(tblBaseCFResult[PremTermScenario]=$E$62)
*(tblBaseCFResult[IntRateScenario]=L$64),"")</f>
        <v>275998</v>
      </c>
      <c r="M101" s="157" cm="1">
        <f t="array" ref="M101">_xlfn._xlws.FILTER(ROUND(tblBaseCFResult[SV],-3)/1000,
(tblBaseCFResult[Year]=$A101)
*(tblBaseCFResult[Risk]=$E$61)
*(tblBaseCFResult[PremTermScenario]=$E$62)
*(tblBaseCFResult[IntRateScenario]=M$64),"")</f>
        <v>262365</v>
      </c>
      <c r="N101" s="157" cm="1">
        <f t="array" ref="N101">_xlfn._xlws.FILTER(tblBaseCFResult[Ben]/1000,
(tblBaseCFResult[Year]=$A101)
*(tblBaseCFResult[Risk]=$E$61)
*(tblBaseCFResult[PremTermScenario]=$E$62)
*(tblBaseCFResult[IntRateScenario]=N$64),"")</f>
        <v>437036.73490607203</v>
      </c>
      <c r="O101" s="157" cm="1">
        <f t="array" ref="O101">_xlfn._xlws.FILTER(ROUND(tblBaseCFResult[EndPAV],-3)/1000,
(tblBaseCFResult[Year]=$A101)
*(tblBaseCFResult[Risk]=$E$61)
*(tblBaseCFResult[PremTermScenario]=$E$62)
*(tblBaseCFResult[IntRateScenario]=O$64),"")</f>
        <v>468159</v>
      </c>
      <c r="P101" s="157" cm="1">
        <f t="array" ref="P101">_xlfn._xlws.FILTER(ROUND(tblBaseCFResult[SV],-3)/1000,
(tblBaseCFResult[Year]=$A101)
*(tblBaseCFResult[Risk]=$E$61)
*(tblBaseCFResult[PremTermScenario]=$E$62)
*(tblBaseCFResult[IntRateScenario]=P$64),"")</f>
        <v>437037</v>
      </c>
      <c r="Q101" s="154"/>
      <c r="R101" s="156"/>
      <c r="S101" s="154"/>
      <c r="T101" s="155">
        <v>34</v>
      </c>
      <c r="U101" s="155">
        <f t="shared" si="15"/>
        <v>33</v>
      </c>
      <c r="W101" s="154"/>
      <c r="X101" s="153" t="str">
        <f t="shared" si="16"/>
        <v>34/33</v>
      </c>
      <c r="Y101" s="152" cm="1">
        <f t="array" ref="Y101">_xlfn._xlws.FILTER(tblBaseCFResult[TP]/1000,
(tblBaseCFResult[Year]=$T101)
*(tblBaseCFResult[Risk]=$Y$61)
*(tblBaseCFResult[PremTermScenario]=$Y$62)
*(tblBaseCFResult[IntRateScenario]=Y$64),"")</f>
        <v>1072</v>
      </c>
      <c r="Z101" s="152" cm="1">
        <f t="array" ref="Z101">_xlfn._xlws.FILTER(tblBaseCFResult[EP]/1000,
(tblBaseCFResult[Year]=$T101)
*(tblBaseCFResult[Risk]=$Y$61)
*(tblBaseCFResult[PremTermScenario]=$Y$62)
*(tblBaseCFResult[IntRateScenario]=Z$64),"")</f>
        <v>0</v>
      </c>
      <c r="AA101" s="152">
        <f t="shared" si="17"/>
        <v>1072</v>
      </c>
      <c r="AB101" s="152" cm="1">
        <f t="array" ref="AB101">_xlfn._xlws.FILTER(ROUND(tblBaseCFResult[AllocChrg],-3)/1000,
(tblBaseCFResult[Year]=$T101)
*(tblBaseCFResult[Risk]=$Y$61)
*(tblBaseCFResult[PremTermScenario]=$Y$62)
*(tblBaseCFResult[IntRateScenario]=AB$64),"")</f>
        <v>21</v>
      </c>
      <c r="AC101" s="152" cm="1">
        <f t="array" ref="AC101">_xlfn._xlws.FILTER(ROUND(tblBaseCFResult[EPAllocChrg],-3)/1000,
(tblBaseCFResult[Year]=$T101)
*(tblBaseCFResult[Risk]=$Y$61)
*(tblBaseCFResult[PremTermScenario]=$Y$62)
*(tblBaseCFResult[IntRateScenario]=AC$64),"")</f>
        <v>0</v>
      </c>
      <c r="AD101" s="152">
        <f t="shared" si="18"/>
        <v>21</v>
      </c>
      <c r="AE101" s="152">
        <f t="shared" si="19"/>
        <v>1051</v>
      </c>
      <c r="AF101" s="152">
        <f t="shared" si="20"/>
        <v>0</v>
      </c>
      <c r="AG101" s="152">
        <f t="shared" si="21"/>
        <v>1051</v>
      </c>
      <c r="AH101" s="152" cm="1">
        <f t="array" ref="AH101">_xlfn._xlws.FILTER(ROUND(tblBaseCFResult[AdminChrg],-3)/1000,
(tblBaseCFResult[Year]=$T101)
*(tblBaseCFResult[Risk]=$Y$61)
*(tblBaseCFResult[PremTermScenario]=$Y$62)
*(tblBaseCFResult[IntRateScenario]=AH$64),"")</f>
        <v>300</v>
      </c>
      <c r="AI101" s="152" cm="1">
        <f t="array" ref="AI101">_xlfn._xlws.FILTER(ROUND(tblBaseCFResult[COI],-3)/1000,
(tblBaseCFResult[Year]=$T101)
*(tblBaseCFResult[Risk]=$Y$61)
*(tblBaseCFResult[PremTermScenario]=$Y$62)
*(tblBaseCFResult[IntRateScenario]=AI$64),"")</f>
        <v>273</v>
      </c>
      <c r="AJ101" s="152" cm="1">
        <f t="array" ref="AJ101">_xlfn._xlws.FILTER(ROUND(tblBaseCFResult[AdminChrg],-3)/1000,
(tblBaseCFResult[Year]=$T101)
*(tblBaseCFResult[Risk]=$Y$61)
*(tblBaseCFResult[PremTermScenario]=$Y$62)
*(tblBaseCFResult[IntRateScenario]=AJ$64),"")</f>
        <v>300</v>
      </c>
      <c r="AK101" s="152" cm="1">
        <f t="array" ref="AK101">_xlfn._xlws.FILTER(ROUND(tblBaseCFResult[COI],-3)/1000,
(tblBaseCFResult[Year]=$T101)
*(tblBaseCFResult[Risk]=$Y$61)
*(tblBaseCFResult[PremTermScenario]=$Y$62)
*(tblBaseCFResult[IntRateScenario]=AK$64),"")</f>
        <v>273</v>
      </c>
    </row>
    <row r="102" spans="1:37" ht="15" customHeight="1" x14ac:dyDescent="0.25">
      <c r="A102" s="155">
        <v>35</v>
      </c>
      <c r="B102" s="155">
        <f t="shared" si="13"/>
        <v>34</v>
      </c>
      <c r="C102" s="154"/>
      <c r="D102" s="153" t="str">
        <f t="shared" si="14"/>
        <v>35/34</v>
      </c>
      <c r="E102" s="157" cm="1">
        <f t="array" ref="E102">_xlfn._xlws.FILTER(tblBaseCFResult[TotalPrem]/1000,
(tblBaseCFResult[Year]=$A102)
*(tblBaseCFResult[Risk]=$E$61)
*(tblBaseCFResult[PremTermScenario]=$E$62)
*(tblBaseCFResult[IntRateScenario]=E$64),"")</f>
        <v>1072</v>
      </c>
      <c r="F102" s="157" cm="1">
        <f t="array" ref="F102">_xlfn._xlws.FILTER(tblBaseCFResult[AccumTotalPrem]/1000,
(tblBaseCFResult[Year]=$A102)
*(tblBaseCFResult[Risk]=$E$61)
*(tblBaseCFResult[PremTermScenario]=$E$62)
*(tblBaseCFResult[IntRateScenario]=F$64),"")</f>
        <v>162320</v>
      </c>
      <c r="G102" s="157" cm="1">
        <f t="array" ref="G102">_xlfn._xlws.FILTER(ROUND(tblBaseCFResult[SemiAnnualTotalPrem],-3)/1000,
(tblBaseCFResult[Year]=$A102)
*(tblBaseCFResult[Risk]=$E$61)
*(tblBaseCFResult[PremTermScenario]=$E$62)
*(tblBaseCFResult[IntRateScenario]=G$64),"")</f>
        <v>3136</v>
      </c>
      <c r="H102" s="157" cm="1">
        <f t="array" ref="H102">_xlfn._xlws.FILTER(tblBaseCFResult[Ben]/1000,
(tblBaseCFResult[Year]=$A102)
*(tblBaseCFResult[Risk]=$E$61)
*(tblBaseCFResult[PremTermScenario]=$E$62)
*(tblBaseCFResult[IntRateScenario]=H$64),"")</f>
        <v>124865.76087228399</v>
      </c>
      <c r="I102" s="157" cm="1">
        <f t="array" ref="I102">_xlfn._xlws.FILTER(ROUND(tblBaseCFResult[EndPAV],-3)/1000,
(tblBaseCFResult[Year]=$A102)
*(tblBaseCFResult[Risk]=$E$61)
*(tblBaseCFResult[PremTermScenario]=$E$62)
*(tblBaseCFResult[IntRateScenario]=I$64),"")</f>
        <v>127856</v>
      </c>
      <c r="J102" s="157" cm="1">
        <f t="array" ref="J102">_xlfn._xlws.FILTER(ROUND(tblBaseCFResult[SV],-3)/1000,
(tblBaseCFResult[Year]=$A102)
*(tblBaseCFResult[Risk]=$E$61)
*(tblBaseCFResult[PremTermScenario]=$E$62)
*(tblBaseCFResult[IntRateScenario]=J$64),"")</f>
        <v>124866</v>
      </c>
      <c r="K102" s="157" cm="1">
        <f t="array" ref="K102">_xlfn._xlws.FILTER(tblBaseCFResult[Ben]/1000,
(tblBaseCFResult[Year]=$A102)
*(tblBaseCFResult[Risk]=$E$61)
*(tblBaseCFResult[PremTermScenario]=$E$62)
*(tblBaseCFResult[IntRateScenario]=K$64),"")</f>
        <v>275998.49045843398</v>
      </c>
      <c r="L102" s="157" cm="1">
        <f t="array" ref="L102">_xlfn._xlws.FILTER(ROUND(tblBaseCFResult[EndPAV],-3)/1000,
(tblBaseCFResult[Year]=$A102)
*(tblBaseCFResult[Risk]=$E$61)
*(tblBaseCFResult[PremTermScenario]=$E$62)
*(tblBaseCFResult[IntRateScenario]=L$64),"")</f>
        <v>290313</v>
      </c>
      <c r="M102" s="157" cm="1">
        <f t="array" ref="M102">_xlfn._xlws.FILTER(ROUND(tblBaseCFResult[SV],-3)/1000,
(tblBaseCFResult[Year]=$A102)
*(tblBaseCFResult[Risk]=$E$61)
*(tblBaseCFResult[PremTermScenario]=$E$62)
*(tblBaseCFResult[IntRateScenario]=M$64),"")</f>
        <v>275998</v>
      </c>
      <c r="N102" s="157" cm="1">
        <f t="array" ref="N102">_xlfn._xlws.FILTER(tblBaseCFResult[Ben]/1000,
(tblBaseCFResult[Year]=$A102)
*(tblBaseCFResult[Risk]=$E$61)
*(tblBaseCFResult[PremTermScenario]=$E$62)
*(tblBaseCFResult[IntRateScenario]=N$64),"")</f>
        <v>468159.215118227</v>
      </c>
      <c r="O102" s="157" cm="1">
        <f t="array" ref="O102">_xlfn._xlws.FILTER(ROUND(tblBaseCFResult[EndPAV],-3)/1000,
(tblBaseCFResult[Year]=$A102)
*(tblBaseCFResult[Risk]=$E$61)
*(tblBaseCFResult[PremTermScenario]=$E$62)
*(tblBaseCFResult[IntRateScenario]=O$64),"")</f>
        <v>501460</v>
      </c>
      <c r="P102" s="157" cm="1">
        <f t="array" ref="P102">_xlfn._xlws.FILTER(ROUND(tblBaseCFResult[SV],-3)/1000,
(tblBaseCFResult[Year]=$A102)
*(tblBaseCFResult[Risk]=$E$61)
*(tblBaseCFResult[PremTermScenario]=$E$62)
*(tblBaseCFResult[IntRateScenario]=P$64),"")</f>
        <v>468159</v>
      </c>
      <c r="Q102" s="154"/>
      <c r="R102" s="156"/>
      <c r="S102" s="154"/>
      <c r="T102" s="155">
        <v>35</v>
      </c>
      <c r="U102" s="155">
        <f t="shared" si="15"/>
        <v>34</v>
      </c>
      <c r="W102" s="154"/>
      <c r="X102" s="153" t="str">
        <f t="shared" si="16"/>
        <v>35/34</v>
      </c>
      <c r="Y102" s="152" cm="1">
        <f t="array" ref="Y102">_xlfn._xlws.FILTER(tblBaseCFResult[TP]/1000,
(tblBaseCFResult[Year]=$T102)
*(tblBaseCFResult[Risk]=$Y$61)
*(tblBaseCFResult[PremTermScenario]=$Y$62)
*(tblBaseCFResult[IntRateScenario]=Y$64),"")</f>
        <v>1072</v>
      </c>
      <c r="Z102" s="152" cm="1">
        <f t="array" ref="Z102">_xlfn._xlws.FILTER(tblBaseCFResult[EP]/1000,
(tblBaseCFResult[Year]=$T102)
*(tblBaseCFResult[Risk]=$Y$61)
*(tblBaseCFResult[PremTermScenario]=$Y$62)
*(tblBaseCFResult[IntRateScenario]=Z$64),"")</f>
        <v>0</v>
      </c>
      <c r="AA102" s="152">
        <f t="shared" si="17"/>
        <v>1072</v>
      </c>
      <c r="AB102" s="152" cm="1">
        <f t="array" ref="AB102">_xlfn._xlws.FILTER(ROUND(tblBaseCFResult[AllocChrg],-3)/1000,
(tblBaseCFResult[Year]=$T102)
*(tblBaseCFResult[Risk]=$Y$61)
*(tblBaseCFResult[PremTermScenario]=$Y$62)
*(tblBaseCFResult[IntRateScenario]=AB$64),"")</f>
        <v>21</v>
      </c>
      <c r="AC102" s="152" cm="1">
        <f t="array" ref="AC102">_xlfn._xlws.FILTER(ROUND(tblBaseCFResult[EPAllocChrg],-3)/1000,
(tblBaseCFResult[Year]=$T102)
*(tblBaseCFResult[Risk]=$Y$61)
*(tblBaseCFResult[PremTermScenario]=$Y$62)
*(tblBaseCFResult[IntRateScenario]=AC$64),"")</f>
        <v>0</v>
      </c>
      <c r="AD102" s="152">
        <f t="shared" si="18"/>
        <v>21</v>
      </c>
      <c r="AE102" s="152">
        <f t="shared" si="19"/>
        <v>1051</v>
      </c>
      <c r="AF102" s="152">
        <f t="shared" si="20"/>
        <v>0</v>
      </c>
      <c r="AG102" s="152">
        <f t="shared" si="21"/>
        <v>1051</v>
      </c>
      <c r="AH102" s="152" cm="1">
        <f t="array" ref="AH102">_xlfn._xlws.FILTER(ROUND(tblBaseCFResult[AdminChrg],-3)/1000,
(tblBaseCFResult[Year]=$T102)
*(tblBaseCFResult[Risk]=$Y$61)
*(tblBaseCFResult[PremTermScenario]=$Y$62)
*(tblBaseCFResult[IntRateScenario]=AH$64),"")</f>
        <v>300</v>
      </c>
      <c r="AI102" s="152" cm="1">
        <f t="array" ref="AI102">_xlfn._xlws.FILTER(ROUND(tblBaseCFResult[COI],-3)/1000,
(tblBaseCFResult[Year]=$T102)
*(tblBaseCFResult[Risk]=$Y$61)
*(tblBaseCFResult[PremTermScenario]=$Y$62)
*(tblBaseCFResult[IntRateScenario]=AI$64),"")</f>
        <v>273</v>
      </c>
      <c r="AJ102" s="152" cm="1">
        <f t="array" ref="AJ102">_xlfn._xlws.FILTER(ROUND(tblBaseCFResult[AdminChrg],-3)/1000,
(tblBaseCFResult[Year]=$T102)
*(tblBaseCFResult[Risk]=$Y$61)
*(tblBaseCFResult[PremTermScenario]=$Y$62)
*(tblBaseCFResult[IntRateScenario]=AJ$64),"")</f>
        <v>300</v>
      </c>
      <c r="AK102" s="152" cm="1">
        <f t="array" ref="AK102">_xlfn._xlws.FILTER(ROUND(tblBaseCFResult[COI],-3)/1000,
(tblBaseCFResult[Year]=$T102)
*(tblBaseCFResult[Risk]=$Y$61)
*(tblBaseCFResult[PremTermScenario]=$Y$62)
*(tblBaseCFResult[IntRateScenario]=AK$64),"")</f>
        <v>273</v>
      </c>
    </row>
    <row r="103" spans="1:37" ht="15" customHeight="1" x14ac:dyDescent="0.25">
      <c r="A103" s="155">
        <v>36</v>
      </c>
      <c r="B103" s="155">
        <f t="shared" si="13"/>
        <v>35</v>
      </c>
      <c r="C103" s="154"/>
      <c r="D103" s="153" t="str">
        <f t="shared" si="14"/>
        <v>36/35</v>
      </c>
      <c r="E103" s="157" cm="1">
        <f t="array" ref="E103">_xlfn._xlws.FILTER(tblBaseCFResult[TotalPrem]/1000,
(tblBaseCFResult[Year]=$A103)
*(tblBaseCFResult[Risk]=$E$61)
*(tblBaseCFResult[PremTermScenario]=$E$62)
*(tblBaseCFResult[IntRateScenario]=E$64),"")</f>
        <v>0</v>
      </c>
      <c r="F103" s="157" cm="1">
        <f t="array" ref="F103">_xlfn._xlws.FILTER(tblBaseCFResult[AccumTotalPrem]/1000,
(tblBaseCFResult[Year]=$A103)
*(tblBaseCFResult[Risk]=$E$61)
*(tblBaseCFResult[PremTermScenario]=$E$62)
*(tblBaseCFResult[IntRateScenario]=F$64),"")</f>
        <v>0</v>
      </c>
      <c r="G103" s="157" cm="1">
        <f t="array" ref="G103">_xlfn._xlws.FILTER(ROUND(tblBaseCFResult[SemiAnnualTotalPrem],-3)/1000,
(tblBaseCFResult[Year]=$A103)
*(tblBaseCFResult[Risk]=$E$61)
*(tblBaseCFResult[PremTermScenario]=$E$62)
*(tblBaseCFResult[IntRateScenario]=G$64),"")</f>
        <v>0</v>
      </c>
      <c r="H103" s="157" cm="1">
        <f t="array" ref="H103">_xlfn._xlws.FILTER(tblBaseCFResult[Ben]/1000,
(tblBaseCFResult[Year]=$A103)
*(tblBaseCFResult[Risk]=$E$61)
*(tblBaseCFResult[PremTermScenario]=$E$62)
*(tblBaseCFResult[IntRateScenario]=H$64),"")</f>
        <v>127855.76180995301</v>
      </c>
      <c r="I103" s="157" cm="1">
        <f t="array" ref="I103">_xlfn._xlws.FILTER(ROUND(tblBaseCFResult[EndPAV],-3)/1000,
(tblBaseCFResult[Year]=$A103)
*(tblBaseCFResult[Risk]=$E$61)
*(tblBaseCFResult[PremTermScenario]=$E$62)
*(tblBaseCFResult[IntRateScenario]=I$64),"")</f>
        <v>129834</v>
      </c>
      <c r="J103" s="157" cm="1">
        <f t="array" ref="J103">_xlfn._xlws.FILTER(ROUND(tblBaseCFResult[SV],-3)/1000,
(tblBaseCFResult[Year]=$A103)
*(tblBaseCFResult[Risk]=$E$61)
*(tblBaseCFResult[PremTermScenario]=$E$62)
*(tblBaseCFResult[IntRateScenario]=J$64),"")</f>
        <v>127856</v>
      </c>
      <c r="K103" s="157" cm="1">
        <f t="array" ref="K103">_xlfn._xlws.FILTER(tblBaseCFResult[Ben]/1000,
(tblBaseCFResult[Year]=$A103)
*(tblBaseCFResult[Risk]=$E$61)
*(tblBaseCFResult[PremTermScenario]=$E$62)
*(tblBaseCFResult[IntRateScenario]=K$64),"")</f>
        <v>290313.407968755</v>
      </c>
      <c r="L103" s="157" cm="1">
        <f t="array" ref="L103">_xlfn._xlws.FILTER(ROUND(tblBaseCFResult[EndPAV],-3)/1000,
(tblBaseCFResult[Year]=$A103)
*(tblBaseCFResult[Risk]=$E$61)
*(tblBaseCFResult[PremTermScenario]=$E$62)
*(tblBaseCFResult[IntRateScenario]=L$64),"")</f>
        <v>304241</v>
      </c>
      <c r="M103" s="157" cm="1">
        <f t="array" ref="M103">_xlfn._xlws.FILTER(ROUND(tblBaseCFResult[SV],-3)/1000,
(tblBaseCFResult[Year]=$A103)
*(tblBaseCFResult[Risk]=$E$61)
*(tblBaseCFResult[PremTermScenario]=$E$62)
*(tblBaseCFResult[IntRateScenario]=M$64),"")</f>
        <v>290313</v>
      </c>
      <c r="N103" s="157" cm="1">
        <f t="array" ref="N103">_xlfn._xlws.FILTER(tblBaseCFResult[Ben]/1000,
(tblBaseCFResult[Year]=$A103)
*(tblBaseCFResult[Risk]=$E$61)
*(tblBaseCFResult[PremTermScenario]=$E$62)
*(tblBaseCFResult[IntRateScenario]=N$64),"")</f>
        <v>501460.26894523401</v>
      </c>
      <c r="O103" s="157" cm="1">
        <f t="array" ref="O103">_xlfn._xlws.FILTER(ROUND(tblBaseCFResult[EndPAV],-3)/1000,
(tblBaseCFResult[Year]=$A103)
*(tblBaseCFResult[Risk]=$E$61)
*(tblBaseCFResult[PremTermScenario]=$E$62)
*(tblBaseCFResult[IntRateScenario]=O$64),"")</f>
        <v>535968</v>
      </c>
      <c r="P103" s="157" cm="1">
        <f t="array" ref="P103">_xlfn._xlws.FILTER(ROUND(tblBaseCFResult[SV],-3)/1000,
(tblBaseCFResult[Year]=$A103)
*(tblBaseCFResult[Risk]=$E$61)
*(tblBaseCFResult[PremTermScenario]=$E$62)
*(tblBaseCFResult[IntRateScenario]=P$64),"")</f>
        <v>501460</v>
      </c>
      <c r="Q103" s="154"/>
      <c r="R103" s="156"/>
      <c r="S103" s="154"/>
      <c r="T103" s="155">
        <v>36</v>
      </c>
      <c r="U103" s="155">
        <f t="shared" si="15"/>
        <v>35</v>
      </c>
      <c r="W103" s="154"/>
      <c r="X103" s="153" t="str">
        <f t="shared" si="16"/>
        <v>36/35</v>
      </c>
      <c r="Y103" s="152" cm="1">
        <f t="array" ref="Y103">_xlfn._xlws.FILTER(tblBaseCFResult[TP]/1000,
(tblBaseCFResult[Year]=$T103)
*(tblBaseCFResult[Risk]=$Y$61)
*(tblBaseCFResult[PremTermScenario]=$Y$62)
*(tblBaseCFResult[IntRateScenario]=Y$64),"")</f>
        <v>0</v>
      </c>
      <c r="Z103" s="152" cm="1">
        <f t="array" ref="Z103">_xlfn._xlws.FILTER(tblBaseCFResult[EP]/1000,
(tblBaseCFResult[Year]=$T103)
*(tblBaseCFResult[Risk]=$Y$61)
*(tblBaseCFResult[PremTermScenario]=$Y$62)
*(tblBaseCFResult[IntRateScenario]=Z$64),"")</f>
        <v>0</v>
      </c>
      <c r="AA103" s="152">
        <f t="shared" si="17"/>
        <v>0</v>
      </c>
      <c r="AB103" s="152" cm="1">
        <f t="array" ref="AB103">_xlfn._xlws.FILTER(ROUND(tblBaseCFResult[AllocChrg],-3)/1000,
(tblBaseCFResult[Year]=$T103)
*(tblBaseCFResult[Risk]=$Y$61)
*(tblBaseCFResult[PremTermScenario]=$Y$62)
*(tblBaseCFResult[IntRateScenario]=AB$64),"")</f>
        <v>0</v>
      </c>
      <c r="AC103" s="152" cm="1">
        <f t="array" ref="AC103">_xlfn._xlws.FILTER(ROUND(tblBaseCFResult[EPAllocChrg],-3)/1000,
(tblBaseCFResult[Year]=$T103)
*(tblBaseCFResult[Risk]=$Y$61)
*(tblBaseCFResult[PremTermScenario]=$Y$62)
*(tblBaseCFResult[IntRateScenario]=AC$64),"")</f>
        <v>0</v>
      </c>
      <c r="AD103" s="152">
        <f t="shared" si="18"/>
        <v>0</v>
      </c>
      <c r="AE103" s="152">
        <f t="shared" si="19"/>
        <v>0</v>
      </c>
      <c r="AF103" s="152">
        <f t="shared" si="20"/>
        <v>0</v>
      </c>
      <c r="AG103" s="152">
        <f t="shared" si="21"/>
        <v>0</v>
      </c>
      <c r="AH103" s="152" cm="1">
        <f t="array" ref="AH103">_xlfn._xlws.FILTER(ROUND(tblBaseCFResult[AdminChrg],-3)/1000,
(tblBaseCFResult[Year]=$T103)
*(tblBaseCFResult[Risk]=$Y$61)
*(tblBaseCFResult[PremTermScenario]=$Y$62)
*(tblBaseCFResult[IntRateScenario]=AH$64),"")</f>
        <v>300</v>
      </c>
      <c r="AI103" s="152" cm="1">
        <f t="array" ref="AI103">_xlfn._xlws.FILTER(ROUND(tblBaseCFResult[COI],-3)/1000,
(tblBaseCFResult[Year]=$T103)
*(tblBaseCFResult[Risk]=$Y$61)
*(tblBaseCFResult[PremTermScenario]=$Y$62)
*(tblBaseCFResult[IntRateScenario]=AI$64),"")</f>
        <v>273</v>
      </c>
      <c r="AJ103" s="152" cm="1">
        <f t="array" ref="AJ103">_xlfn._xlws.FILTER(ROUND(tblBaseCFResult[AdminChrg],-3)/1000,
(tblBaseCFResult[Year]=$T103)
*(tblBaseCFResult[Risk]=$Y$61)
*(tblBaseCFResult[PremTermScenario]=$Y$62)
*(tblBaseCFResult[IntRateScenario]=AJ$64),"")</f>
        <v>300</v>
      </c>
      <c r="AK103" s="152" cm="1">
        <f t="array" ref="AK103">_xlfn._xlws.FILTER(ROUND(tblBaseCFResult[COI],-3)/1000,
(tblBaseCFResult[Year]=$T103)
*(tblBaseCFResult[Risk]=$Y$61)
*(tblBaseCFResult[PremTermScenario]=$Y$62)
*(tblBaseCFResult[IntRateScenario]=AK$64),"")</f>
        <v>273</v>
      </c>
    </row>
    <row r="104" spans="1:37" ht="15" customHeight="1" x14ac:dyDescent="0.25">
      <c r="A104" s="155">
        <v>37</v>
      </c>
      <c r="B104" s="155">
        <f t="shared" si="13"/>
        <v>36</v>
      </c>
      <c r="C104" s="154"/>
      <c r="D104" s="153" t="str">
        <f t="shared" si="14"/>
        <v>37/36</v>
      </c>
      <c r="E104" s="157" cm="1">
        <f t="array" ref="E104">_xlfn._xlws.FILTER(tblBaseCFResult[TotalPrem]/1000,
(tblBaseCFResult[Year]=$A104)
*(tblBaseCFResult[Risk]=$E$61)
*(tblBaseCFResult[PremTermScenario]=$E$62)
*(tblBaseCFResult[IntRateScenario]=E$64),"")</f>
        <v>0</v>
      </c>
      <c r="F104" s="157" cm="1">
        <f t="array" ref="F104">_xlfn._xlws.FILTER(tblBaseCFResult[AccumTotalPrem]/1000,
(tblBaseCFResult[Year]=$A104)
*(tblBaseCFResult[Risk]=$E$61)
*(tblBaseCFResult[PremTermScenario]=$E$62)
*(tblBaseCFResult[IntRateScenario]=F$64),"")</f>
        <v>0</v>
      </c>
      <c r="G104" s="157" cm="1">
        <f t="array" ref="G104">_xlfn._xlws.FILTER(ROUND(tblBaseCFResult[SemiAnnualTotalPrem],-3)/1000,
(tblBaseCFResult[Year]=$A104)
*(tblBaseCFResult[Risk]=$E$61)
*(tblBaseCFResult[PremTermScenario]=$E$62)
*(tblBaseCFResult[IntRateScenario]=G$64),"")</f>
        <v>0</v>
      </c>
      <c r="H104" s="157" cm="1">
        <f t="array" ref="H104">_xlfn._xlws.FILTER(tblBaseCFResult[Ben]/1000,
(tblBaseCFResult[Year]=$A104)
*(tblBaseCFResult[Risk]=$E$61)
*(tblBaseCFResult[PremTermScenario]=$E$62)
*(tblBaseCFResult[IntRateScenario]=H$64),"")</f>
        <v>129833.991566375</v>
      </c>
      <c r="I104" s="157" cm="1">
        <f t="array" ref="I104">_xlfn._xlws.FILTER(ROUND(tblBaseCFResult[EndPAV],-3)/1000,
(tblBaseCFResult[Year]=$A104)
*(tblBaseCFResult[Risk]=$E$61)
*(tblBaseCFResult[PremTermScenario]=$E$62)
*(tblBaseCFResult[IntRateScenario]=I$64),"")</f>
        <v>131852</v>
      </c>
      <c r="J104" s="157" cm="1">
        <f t="array" ref="J104">_xlfn._xlws.FILTER(ROUND(tblBaseCFResult[SV],-3)/1000,
(tblBaseCFResult[Year]=$A104)
*(tblBaseCFResult[Risk]=$E$61)
*(tblBaseCFResult[PremTermScenario]=$E$62)
*(tblBaseCFResult[IntRateScenario]=J$64),"")</f>
        <v>129834</v>
      </c>
      <c r="K104" s="157" cm="1">
        <f t="array" ref="K104">_xlfn._xlws.FILTER(tblBaseCFResult[Ben]/1000,
(tblBaseCFResult[Year]=$A104)
*(tblBaseCFResult[Risk]=$E$61)
*(tblBaseCFResult[PremTermScenario]=$E$62)
*(tblBaseCFResult[IntRateScenario]=K$64),"")</f>
        <v>304240.98335459299</v>
      </c>
      <c r="L104" s="157" cm="1">
        <f t="array" ref="L104">_xlfn._xlws.FILTER(ROUND(tblBaseCFResult[EndPAV],-3)/1000,
(tblBaseCFResult[Year]=$A104)
*(tblBaseCFResult[Risk]=$E$61)
*(tblBaseCFResult[PremTermScenario]=$E$62)
*(tblBaseCFResult[IntRateScenario]=L$64),"")</f>
        <v>318865</v>
      </c>
      <c r="M104" s="157" cm="1">
        <f t="array" ref="M104">_xlfn._xlws.FILTER(ROUND(tblBaseCFResult[SV],-3)/1000,
(tblBaseCFResult[Year]=$A104)
*(tblBaseCFResult[Risk]=$E$61)
*(tblBaseCFResult[PremTermScenario]=$E$62)
*(tblBaseCFResult[IntRateScenario]=M$64),"")</f>
        <v>304241</v>
      </c>
      <c r="N104" s="157" cm="1">
        <f t="array" ref="N104">_xlfn._xlws.FILTER(tblBaseCFResult[Ben]/1000,
(tblBaseCFResult[Year]=$A104)
*(tblBaseCFResult[Risk]=$E$61)
*(tblBaseCFResult[PremTermScenario]=$E$62)
*(tblBaseCFResult[IntRateScenario]=N$64),"")</f>
        <v>535968.29734013102</v>
      </c>
      <c r="O104" s="157" cm="1">
        <f t="array" ref="O104">_xlfn._xlws.FILTER(ROUND(tblBaseCFResult[EndPAV],-3)/1000,
(tblBaseCFResult[Year]=$A104)
*(tblBaseCFResult[Risk]=$E$61)
*(tblBaseCFResult[PremTermScenario]=$E$62)
*(tblBaseCFResult[IntRateScenario]=O$64),"")</f>
        <v>572892</v>
      </c>
      <c r="P104" s="157" cm="1">
        <f t="array" ref="P104">_xlfn._xlws.FILTER(ROUND(tblBaseCFResult[SV],-3)/1000,
(tblBaseCFResult[Year]=$A104)
*(tblBaseCFResult[Risk]=$E$61)
*(tblBaseCFResult[PremTermScenario]=$E$62)
*(tblBaseCFResult[IntRateScenario]=P$64),"")</f>
        <v>535968</v>
      </c>
      <c r="Q104" s="154"/>
      <c r="R104" s="156"/>
      <c r="S104" s="154"/>
      <c r="T104" s="155">
        <v>37</v>
      </c>
      <c r="U104" s="155">
        <f t="shared" si="15"/>
        <v>36</v>
      </c>
      <c r="W104" s="154"/>
      <c r="X104" s="153" t="str">
        <f t="shared" si="16"/>
        <v>37/36</v>
      </c>
      <c r="Y104" s="152" cm="1">
        <f t="array" ref="Y104">_xlfn._xlws.FILTER(tblBaseCFResult[TP]/1000,
(tblBaseCFResult[Year]=$T104)
*(tblBaseCFResult[Risk]=$Y$61)
*(tblBaseCFResult[PremTermScenario]=$Y$62)
*(tblBaseCFResult[IntRateScenario]=Y$64),"")</f>
        <v>0</v>
      </c>
      <c r="Z104" s="152" cm="1">
        <f t="array" ref="Z104">_xlfn._xlws.FILTER(tblBaseCFResult[EP]/1000,
(tblBaseCFResult[Year]=$T104)
*(tblBaseCFResult[Risk]=$Y$61)
*(tblBaseCFResult[PremTermScenario]=$Y$62)
*(tblBaseCFResult[IntRateScenario]=Z$64),"")</f>
        <v>0</v>
      </c>
      <c r="AA104" s="152">
        <f t="shared" si="17"/>
        <v>0</v>
      </c>
      <c r="AB104" s="152" cm="1">
        <f t="array" ref="AB104">_xlfn._xlws.FILTER(ROUND(tblBaseCFResult[AllocChrg],-3)/1000,
(tblBaseCFResult[Year]=$T104)
*(tblBaseCFResult[Risk]=$Y$61)
*(tblBaseCFResult[PremTermScenario]=$Y$62)
*(tblBaseCFResult[IntRateScenario]=AB$64),"")</f>
        <v>0</v>
      </c>
      <c r="AC104" s="152" cm="1">
        <f t="array" ref="AC104">_xlfn._xlws.FILTER(ROUND(tblBaseCFResult[EPAllocChrg],-3)/1000,
(tblBaseCFResult[Year]=$T104)
*(tblBaseCFResult[Risk]=$Y$61)
*(tblBaseCFResult[PremTermScenario]=$Y$62)
*(tblBaseCFResult[IntRateScenario]=AC$64),"")</f>
        <v>0</v>
      </c>
      <c r="AD104" s="152">
        <f t="shared" si="18"/>
        <v>0</v>
      </c>
      <c r="AE104" s="152">
        <f t="shared" si="19"/>
        <v>0</v>
      </c>
      <c r="AF104" s="152">
        <f t="shared" si="20"/>
        <v>0</v>
      </c>
      <c r="AG104" s="152">
        <f t="shared" si="21"/>
        <v>0</v>
      </c>
      <c r="AH104" s="152" cm="1">
        <f t="array" ref="AH104">_xlfn._xlws.FILTER(ROUND(tblBaseCFResult[AdminChrg],-3)/1000,
(tblBaseCFResult[Year]=$T104)
*(tblBaseCFResult[Risk]=$Y$61)
*(tblBaseCFResult[PremTermScenario]=$Y$62)
*(tblBaseCFResult[IntRateScenario]=AH$64),"")</f>
        <v>300</v>
      </c>
      <c r="AI104" s="152" cm="1">
        <f t="array" ref="AI104">_xlfn._xlws.FILTER(ROUND(tblBaseCFResult[COI],-3)/1000,
(tblBaseCFResult[Year]=$T104)
*(tblBaseCFResult[Risk]=$Y$61)
*(tblBaseCFResult[PremTermScenario]=$Y$62)
*(tblBaseCFResult[IntRateScenario]=AI$64),"")</f>
        <v>273</v>
      </c>
      <c r="AJ104" s="152" cm="1">
        <f t="array" ref="AJ104">_xlfn._xlws.FILTER(ROUND(tblBaseCFResult[AdminChrg],-3)/1000,
(tblBaseCFResult[Year]=$T104)
*(tblBaseCFResult[Risk]=$Y$61)
*(tblBaseCFResult[PremTermScenario]=$Y$62)
*(tblBaseCFResult[IntRateScenario]=AJ$64),"")</f>
        <v>300</v>
      </c>
      <c r="AK104" s="152" cm="1">
        <f t="array" ref="AK104">_xlfn._xlws.FILTER(ROUND(tblBaseCFResult[COI],-3)/1000,
(tblBaseCFResult[Year]=$T104)
*(tblBaseCFResult[Risk]=$Y$61)
*(tblBaseCFResult[PremTermScenario]=$Y$62)
*(tblBaseCFResult[IntRateScenario]=AK$64),"")</f>
        <v>273</v>
      </c>
    </row>
    <row r="105" spans="1:37" ht="15" customHeight="1" x14ac:dyDescent="0.25">
      <c r="A105" s="155">
        <v>38</v>
      </c>
      <c r="B105" s="155">
        <f t="shared" si="13"/>
        <v>37</v>
      </c>
      <c r="C105" s="154"/>
      <c r="D105" s="153" t="str">
        <f t="shared" si="14"/>
        <v>38/37</v>
      </c>
      <c r="E105" s="157" cm="1">
        <f t="array" ref="E105">_xlfn._xlws.FILTER(tblBaseCFResult[TotalPrem]/1000,
(tblBaseCFResult[Year]=$A105)
*(tblBaseCFResult[Risk]=$E$61)
*(tblBaseCFResult[PremTermScenario]=$E$62)
*(tblBaseCFResult[IntRateScenario]=E$64),"")</f>
        <v>0</v>
      </c>
      <c r="F105" s="157" cm="1">
        <f t="array" ref="F105">_xlfn._xlws.FILTER(tblBaseCFResult[AccumTotalPrem]/1000,
(tblBaseCFResult[Year]=$A105)
*(tblBaseCFResult[Risk]=$E$61)
*(tblBaseCFResult[PremTermScenario]=$E$62)
*(tblBaseCFResult[IntRateScenario]=F$64),"")</f>
        <v>0</v>
      </c>
      <c r="G105" s="157" cm="1">
        <f t="array" ref="G105">_xlfn._xlws.FILTER(ROUND(tblBaseCFResult[SemiAnnualTotalPrem],-3)/1000,
(tblBaseCFResult[Year]=$A105)
*(tblBaseCFResult[Risk]=$E$61)
*(tblBaseCFResult[PremTermScenario]=$E$62)
*(tblBaseCFResult[IntRateScenario]=G$64),"")</f>
        <v>0</v>
      </c>
      <c r="H105" s="157" cm="1">
        <f t="array" ref="H105">_xlfn._xlws.FILTER(tblBaseCFResult[Ben]/1000,
(tblBaseCFResult[Year]=$A105)
*(tblBaseCFResult[Risk]=$E$61)
*(tblBaseCFResult[PremTermScenario]=$E$62)
*(tblBaseCFResult[IntRateScenario]=H$64),"")</f>
        <v>131851.78591792501</v>
      </c>
      <c r="I105" s="157" cm="1">
        <f t="array" ref="I105">_xlfn._xlws.FILTER(ROUND(tblBaseCFResult[EndPAV],-3)/1000,
(tblBaseCFResult[Year]=$A105)
*(tblBaseCFResult[Risk]=$E$61)
*(tblBaseCFResult[PremTermScenario]=$E$62)
*(tblBaseCFResult[IntRateScenario]=I$64),"")</f>
        <v>133910</v>
      </c>
      <c r="J105" s="157" cm="1">
        <f t="array" ref="J105">_xlfn._xlws.FILTER(ROUND(tblBaseCFResult[SV],-3)/1000,
(tblBaseCFResult[Year]=$A105)
*(tblBaseCFResult[Risk]=$E$61)
*(tblBaseCFResult[PremTermScenario]=$E$62)
*(tblBaseCFResult[IntRateScenario]=J$64),"")</f>
        <v>131852</v>
      </c>
      <c r="K105" s="157" cm="1">
        <f t="array" ref="K105">_xlfn._xlws.FILTER(tblBaseCFResult[Ben]/1000,
(tblBaseCFResult[Year]=$A105)
*(tblBaseCFResult[Risk]=$E$61)
*(tblBaseCFResult[PremTermScenario]=$E$62)
*(tblBaseCFResult[IntRateScenario]=K$64),"")</f>
        <v>318864.93750972301</v>
      </c>
      <c r="L105" s="157" cm="1">
        <f t="array" ref="L105">_xlfn._xlws.FILTER(ROUND(tblBaseCFResult[EndPAV],-3)/1000,
(tblBaseCFResult[Year]=$A105)
*(tblBaseCFResult[Risk]=$E$61)
*(tblBaseCFResult[PremTermScenario]=$E$62)
*(tblBaseCFResult[IntRateScenario]=L$64),"")</f>
        <v>334220</v>
      </c>
      <c r="M105" s="157" cm="1">
        <f t="array" ref="M105">_xlfn._xlws.FILTER(ROUND(tblBaseCFResult[SV],-3)/1000,
(tblBaseCFResult[Year]=$A105)
*(tblBaseCFResult[Risk]=$E$61)
*(tblBaseCFResult[PremTermScenario]=$E$62)
*(tblBaseCFResult[IntRateScenario]=M$64),"")</f>
        <v>318865</v>
      </c>
      <c r="N105" s="157" cm="1">
        <f t="array" ref="N105">_xlfn._xlws.FILTER(tblBaseCFResult[Ben]/1000,
(tblBaseCFResult[Year]=$A105)
*(tblBaseCFResult[Risk]=$E$61)
*(tblBaseCFResult[PremTermScenario]=$E$62)
*(tblBaseCFResult[IntRateScenario]=N$64),"")</f>
        <v>572891.88772266998</v>
      </c>
      <c r="O105" s="157" cm="1">
        <f t="array" ref="O105">_xlfn._xlws.FILTER(ROUND(tblBaseCFResult[EndPAV],-3)/1000,
(tblBaseCFResult[Year]=$A105)
*(tblBaseCFResult[Risk]=$E$61)
*(tblBaseCFResult[PremTermScenario]=$E$62)
*(tblBaseCFResult[IntRateScenario]=O$64),"")</f>
        <v>612400</v>
      </c>
      <c r="P105" s="157" cm="1">
        <f t="array" ref="P105">_xlfn._xlws.FILTER(ROUND(tblBaseCFResult[SV],-3)/1000,
(tblBaseCFResult[Year]=$A105)
*(tblBaseCFResult[Risk]=$E$61)
*(tblBaseCFResult[PremTermScenario]=$E$62)
*(tblBaseCFResult[IntRateScenario]=P$64),"")</f>
        <v>572892</v>
      </c>
      <c r="Q105" s="154"/>
      <c r="R105" s="156"/>
      <c r="S105" s="154"/>
      <c r="T105" s="155">
        <v>38</v>
      </c>
      <c r="U105" s="155">
        <f t="shared" si="15"/>
        <v>37</v>
      </c>
      <c r="W105" s="154"/>
      <c r="X105" s="153" t="str">
        <f t="shared" si="16"/>
        <v>38/37</v>
      </c>
      <c r="Y105" s="152" cm="1">
        <f t="array" ref="Y105">_xlfn._xlws.FILTER(tblBaseCFResult[TP]/1000,
(tblBaseCFResult[Year]=$T105)
*(tblBaseCFResult[Risk]=$Y$61)
*(tblBaseCFResult[PremTermScenario]=$Y$62)
*(tblBaseCFResult[IntRateScenario]=Y$64),"")</f>
        <v>0</v>
      </c>
      <c r="Z105" s="152" cm="1">
        <f t="array" ref="Z105">_xlfn._xlws.FILTER(tblBaseCFResult[EP]/1000,
(tblBaseCFResult[Year]=$T105)
*(tblBaseCFResult[Risk]=$Y$61)
*(tblBaseCFResult[PremTermScenario]=$Y$62)
*(tblBaseCFResult[IntRateScenario]=Z$64),"")</f>
        <v>0</v>
      </c>
      <c r="AA105" s="152">
        <f t="shared" si="17"/>
        <v>0</v>
      </c>
      <c r="AB105" s="152" cm="1">
        <f t="array" ref="AB105">_xlfn._xlws.FILTER(ROUND(tblBaseCFResult[AllocChrg],-3)/1000,
(tblBaseCFResult[Year]=$T105)
*(tblBaseCFResult[Risk]=$Y$61)
*(tblBaseCFResult[PremTermScenario]=$Y$62)
*(tblBaseCFResult[IntRateScenario]=AB$64),"")</f>
        <v>0</v>
      </c>
      <c r="AC105" s="152" cm="1">
        <f t="array" ref="AC105">_xlfn._xlws.FILTER(ROUND(tblBaseCFResult[EPAllocChrg],-3)/1000,
(tblBaseCFResult[Year]=$T105)
*(tblBaseCFResult[Risk]=$Y$61)
*(tblBaseCFResult[PremTermScenario]=$Y$62)
*(tblBaseCFResult[IntRateScenario]=AC$64),"")</f>
        <v>0</v>
      </c>
      <c r="AD105" s="152">
        <f t="shared" si="18"/>
        <v>0</v>
      </c>
      <c r="AE105" s="152">
        <f t="shared" si="19"/>
        <v>0</v>
      </c>
      <c r="AF105" s="152">
        <f t="shared" si="20"/>
        <v>0</v>
      </c>
      <c r="AG105" s="152">
        <f t="shared" si="21"/>
        <v>0</v>
      </c>
      <c r="AH105" s="152" cm="1">
        <f t="array" ref="AH105">_xlfn._xlws.FILTER(ROUND(tblBaseCFResult[AdminChrg],-3)/1000,
(tblBaseCFResult[Year]=$T105)
*(tblBaseCFResult[Risk]=$Y$61)
*(tblBaseCFResult[PremTermScenario]=$Y$62)
*(tblBaseCFResult[IntRateScenario]=AH$64),"")</f>
        <v>300</v>
      </c>
      <c r="AI105" s="152" cm="1">
        <f t="array" ref="AI105">_xlfn._xlws.FILTER(ROUND(tblBaseCFResult[COI],-3)/1000,
(tblBaseCFResult[Year]=$T105)
*(tblBaseCFResult[Risk]=$Y$61)
*(tblBaseCFResult[PremTermScenario]=$Y$62)
*(tblBaseCFResult[IntRateScenario]=AI$64),"")</f>
        <v>273</v>
      </c>
      <c r="AJ105" s="152" cm="1">
        <f t="array" ref="AJ105">_xlfn._xlws.FILTER(ROUND(tblBaseCFResult[AdminChrg],-3)/1000,
(tblBaseCFResult[Year]=$T105)
*(tblBaseCFResult[Risk]=$Y$61)
*(tblBaseCFResult[PremTermScenario]=$Y$62)
*(tblBaseCFResult[IntRateScenario]=AJ$64),"")</f>
        <v>300</v>
      </c>
      <c r="AK105" s="152" cm="1">
        <f t="array" ref="AK105">_xlfn._xlws.FILTER(ROUND(tblBaseCFResult[COI],-3)/1000,
(tblBaseCFResult[Year]=$T105)
*(tblBaseCFResult[Risk]=$Y$61)
*(tblBaseCFResult[PremTermScenario]=$Y$62)
*(tblBaseCFResult[IntRateScenario]=AK$64),"")</f>
        <v>273</v>
      </c>
    </row>
    <row r="106" spans="1:37" ht="15" customHeight="1" x14ac:dyDescent="0.25">
      <c r="A106" s="155">
        <v>39</v>
      </c>
      <c r="B106" s="155">
        <f t="shared" si="13"/>
        <v>38</v>
      </c>
      <c r="C106" s="154"/>
      <c r="D106" s="153" t="str">
        <f t="shared" si="14"/>
        <v>39/38</v>
      </c>
      <c r="E106" s="157" cm="1">
        <f t="array" ref="E106">_xlfn._xlws.FILTER(tblBaseCFResult[TotalPrem]/1000,
(tblBaseCFResult[Year]=$A106)
*(tblBaseCFResult[Risk]=$E$61)
*(tblBaseCFResult[PremTermScenario]=$E$62)
*(tblBaseCFResult[IntRateScenario]=E$64),"")</f>
        <v>0</v>
      </c>
      <c r="F106" s="157" cm="1">
        <f t="array" ref="F106">_xlfn._xlws.FILTER(tblBaseCFResult[AccumTotalPrem]/1000,
(tblBaseCFResult[Year]=$A106)
*(tblBaseCFResult[Risk]=$E$61)
*(tblBaseCFResult[PremTermScenario]=$E$62)
*(tblBaseCFResult[IntRateScenario]=F$64),"")</f>
        <v>0</v>
      </c>
      <c r="G106" s="157" cm="1">
        <f t="array" ref="G106">_xlfn._xlws.FILTER(ROUND(tblBaseCFResult[SemiAnnualTotalPrem],-3)/1000,
(tblBaseCFResult[Year]=$A106)
*(tblBaseCFResult[Risk]=$E$61)
*(tblBaseCFResult[PremTermScenario]=$E$62)
*(tblBaseCFResult[IntRateScenario]=G$64),"")</f>
        <v>0</v>
      </c>
      <c r="H106" s="157" cm="1">
        <f t="array" ref="H106">_xlfn._xlws.FILTER(tblBaseCFResult[Ben]/1000,
(tblBaseCFResult[Year]=$A106)
*(tblBaseCFResult[Risk]=$E$61)
*(tblBaseCFResult[PremTermScenario]=$E$62)
*(tblBaseCFResult[IntRateScenario]=H$64),"")</f>
        <v>133909.936156507</v>
      </c>
      <c r="I106" s="157" cm="1">
        <f t="array" ref="I106">_xlfn._xlws.FILTER(ROUND(tblBaseCFResult[EndPAV],-3)/1000,
(tblBaseCFResult[Year]=$A106)
*(tblBaseCFResult[Risk]=$E$61)
*(tblBaseCFResult[PremTermScenario]=$E$62)
*(tblBaseCFResult[IntRateScenario]=I$64),"")</f>
        <v>136009</v>
      </c>
      <c r="J106" s="157" cm="1">
        <f t="array" ref="J106">_xlfn._xlws.FILTER(ROUND(tblBaseCFResult[SV],-3)/1000,
(tblBaseCFResult[Year]=$A106)
*(tblBaseCFResult[Risk]=$E$61)
*(tblBaseCFResult[PremTermScenario]=$E$62)
*(tblBaseCFResult[IntRateScenario]=J$64),"")</f>
        <v>133910</v>
      </c>
      <c r="K106" s="157" cm="1">
        <f t="array" ref="K106">_xlfn._xlws.FILTER(tblBaseCFResult[Ben]/1000,
(tblBaseCFResult[Year]=$A106)
*(tblBaseCFResult[Risk]=$E$61)
*(tblBaseCFResult[PremTermScenario]=$E$62)
*(tblBaseCFResult[IntRateScenario]=K$64),"")</f>
        <v>334220.08937260904</v>
      </c>
      <c r="L106" s="157" cm="1">
        <f t="array" ref="L106">_xlfn._xlws.FILTER(ROUND(tblBaseCFResult[EndPAV],-3)/1000,
(tblBaseCFResult[Year]=$A106)
*(tblBaseCFResult[Risk]=$E$61)
*(tblBaseCFResult[PremTermScenario]=$E$62)
*(tblBaseCFResult[IntRateScenario]=L$64),"")</f>
        <v>350343</v>
      </c>
      <c r="M106" s="157" cm="1">
        <f t="array" ref="M106">_xlfn._xlws.FILTER(ROUND(tblBaseCFResult[SV],-3)/1000,
(tblBaseCFResult[Year]=$A106)
*(tblBaseCFResult[Risk]=$E$61)
*(tblBaseCFResult[PremTermScenario]=$E$62)
*(tblBaseCFResult[IntRateScenario]=M$64),"")</f>
        <v>334220</v>
      </c>
      <c r="N106" s="157" cm="1">
        <f t="array" ref="N106">_xlfn._xlws.FILTER(tblBaseCFResult[Ben]/1000,
(tblBaseCFResult[Year]=$A106)
*(tblBaseCFResult[Risk]=$E$61)
*(tblBaseCFResult[PremTermScenario]=$E$62)
*(tblBaseCFResult[IntRateScenario]=N$64),"")</f>
        <v>612400.129431988</v>
      </c>
      <c r="O106" s="157" cm="1">
        <f t="array" ref="O106">_xlfn._xlws.FILTER(ROUND(tblBaseCFResult[EndPAV],-3)/1000,
(tblBaseCFResult[Year]=$A106)
*(tblBaseCFResult[Risk]=$E$61)
*(tblBaseCFResult[PremTermScenario]=$E$62)
*(tblBaseCFResult[IntRateScenario]=O$64),"")</f>
        <v>654674</v>
      </c>
      <c r="P106" s="157" cm="1">
        <f t="array" ref="P106">_xlfn._xlws.FILTER(ROUND(tblBaseCFResult[SV],-3)/1000,
(tblBaseCFResult[Year]=$A106)
*(tblBaseCFResult[Risk]=$E$61)
*(tblBaseCFResult[PremTermScenario]=$E$62)
*(tblBaseCFResult[IntRateScenario]=P$64),"")</f>
        <v>612400</v>
      </c>
      <c r="Q106" s="154"/>
      <c r="R106" s="156"/>
      <c r="S106" s="154"/>
      <c r="T106" s="155">
        <v>39</v>
      </c>
      <c r="U106" s="155">
        <f t="shared" si="15"/>
        <v>38</v>
      </c>
      <c r="W106" s="154"/>
      <c r="X106" s="153" t="str">
        <f t="shared" si="16"/>
        <v>39/38</v>
      </c>
      <c r="Y106" s="152" cm="1">
        <f t="array" ref="Y106">_xlfn._xlws.FILTER(tblBaseCFResult[TP]/1000,
(tblBaseCFResult[Year]=$T106)
*(tblBaseCFResult[Risk]=$Y$61)
*(tblBaseCFResult[PremTermScenario]=$Y$62)
*(tblBaseCFResult[IntRateScenario]=Y$64),"")</f>
        <v>0</v>
      </c>
      <c r="Z106" s="152" cm="1">
        <f t="array" ref="Z106">_xlfn._xlws.FILTER(tblBaseCFResult[EP]/1000,
(tblBaseCFResult[Year]=$T106)
*(tblBaseCFResult[Risk]=$Y$61)
*(tblBaseCFResult[PremTermScenario]=$Y$62)
*(tblBaseCFResult[IntRateScenario]=Z$64),"")</f>
        <v>0</v>
      </c>
      <c r="AA106" s="152">
        <f t="shared" si="17"/>
        <v>0</v>
      </c>
      <c r="AB106" s="152" cm="1">
        <f t="array" ref="AB106">_xlfn._xlws.FILTER(ROUND(tblBaseCFResult[AllocChrg],-3)/1000,
(tblBaseCFResult[Year]=$T106)
*(tblBaseCFResult[Risk]=$Y$61)
*(tblBaseCFResult[PremTermScenario]=$Y$62)
*(tblBaseCFResult[IntRateScenario]=AB$64),"")</f>
        <v>0</v>
      </c>
      <c r="AC106" s="152" cm="1">
        <f t="array" ref="AC106">_xlfn._xlws.FILTER(ROUND(tblBaseCFResult[EPAllocChrg],-3)/1000,
(tblBaseCFResult[Year]=$T106)
*(tblBaseCFResult[Risk]=$Y$61)
*(tblBaseCFResult[PremTermScenario]=$Y$62)
*(tblBaseCFResult[IntRateScenario]=AC$64),"")</f>
        <v>0</v>
      </c>
      <c r="AD106" s="152">
        <f t="shared" si="18"/>
        <v>0</v>
      </c>
      <c r="AE106" s="152">
        <f t="shared" si="19"/>
        <v>0</v>
      </c>
      <c r="AF106" s="152">
        <f t="shared" si="20"/>
        <v>0</v>
      </c>
      <c r="AG106" s="152">
        <f t="shared" si="21"/>
        <v>0</v>
      </c>
      <c r="AH106" s="152" cm="1">
        <f t="array" ref="AH106">_xlfn._xlws.FILTER(ROUND(tblBaseCFResult[AdminChrg],-3)/1000,
(tblBaseCFResult[Year]=$T106)
*(tblBaseCFResult[Risk]=$Y$61)
*(tblBaseCFResult[PremTermScenario]=$Y$62)
*(tblBaseCFResult[IntRateScenario]=AH$64),"")</f>
        <v>300</v>
      </c>
      <c r="AI106" s="152" cm="1">
        <f t="array" ref="AI106">_xlfn._xlws.FILTER(ROUND(tblBaseCFResult[COI],-3)/1000,
(tblBaseCFResult[Year]=$T106)
*(tblBaseCFResult[Risk]=$Y$61)
*(tblBaseCFResult[PremTermScenario]=$Y$62)
*(tblBaseCFResult[IntRateScenario]=AI$64),"")</f>
        <v>273</v>
      </c>
      <c r="AJ106" s="152" cm="1">
        <f t="array" ref="AJ106">_xlfn._xlws.FILTER(ROUND(tblBaseCFResult[AdminChrg],-3)/1000,
(tblBaseCFResult[Year]=$T106)
*(tblBaseCFResult[Risk]=$Y$61)
*(tblBaseCFResult[PremTermScenario]=$Y$62)
*(tblBaseCFResult[IntRateScenario]=AJ$64),"")</f>
        <v>300</v>
      </c>
      <c r="AK106" s="152" cm="1">
        <f t="array" ref="AK106">_xlfn._xlws.FILTER(ROUND(tblBaseCFResult[COI],-3)/1000,
(tblBaseCFResult[Year]=$T106)
*(tblBaseCFResult[Risk]=$Y$61)
*(tblBaseCFResult[PremTermScenario]=$Y$62)
*(tblBaseCFResult[IntRateScenario]=AK$64),"")</f>
        <v>273</v>
      </c>
    </row>
    <row r="107" spans="1:37" ht="15" customHeight="1" x14ac:dyDescent="0.25">
      <c r="A107" s="155">
        <v>40</v>
      </c>
      <c r="B107" s="155">
        <f t="shared" si="13"/>
        <v>39</v>
      </c>
      <c r="C107" s="154"/>
      <c r="D107" s="153" t="str">
        <f t="shared" si="14"/>
        <v>40/39</v>
      </c>
      <c r="E107" s="157" cm="1">
        <f t="array" ref="E107">_xlfn._xlws.FILTER(tblBaseCFResult[TotalPrem]/1000,
(tblBaseCFResult[Year]=$A107)
*(tblBaseCFResult[Risk]=$E$61)
*(tblBaseCFResult[PremTermScenario]=$E$62)
*(tblBaseCFResult[IntRateScenario]=E$64),"")</f>
        <v>0</v>
      </c>
      <c r="F107" s="157" cm="1">
        <f t="array" ref="F107">_xlfn._xlws.FILTER(tblBaseCFResult[AccumTotalPrem]/1000,
(tblBaseCFResult[Year]=$A107)
*(tblBaseCFResult[Risk]=$E$61)
*(tblBaseCFResult[PremTermScenario]=$E$62)
*(tblBaseCFResult[IntRateScenario]=F$64),"")</f>
        <v>0</v>
      </c>
      <c r="G107" s="157" cm="1">
        <f t="array" ref="G107">_xlfn._xlws.FILTER(ROUND(tblBaseCFResult[SemiAnnualTotalPrem],-3)/1000,
(tblBaseCFResult[Year]=$A107)
*(tblBaseCFResult[Risk]=$E$61)
*(tblBaseCFResult[PremTermScenario]=$E$62)
*(tblBaseCFResult[IntRateScenario]=G$64),"")</f>
        <v>0</v>
      </c>
      <c r="H107" s="157" cm="1">
        <f t="array" ref="H107">_xlfn._xlws.FILTER(tblBaseCFResult[Ben]/1000,
(tblBaseCFResult[Year]=$A107)
*(tblBaseCFResult[Risk]=$E$61)
*(tblBaseCFResult[PremTermScenario]=$E$62)
*(tblBaseCFResult[IntRateScenario]=H$64),"")</f>
        <v>136009.24939985998</v>
      </c>
      <c r="I107" s="157" cm="1">
        <f t="array" ref="I107">_xlfn._xlws.FILTER(ROUND(tblBaseCFResult[EndPAV],-3)/1000,
(tblBaseCFResult[Year]=$A107)
*(tblBaseCFResult[Risk]=$E$61)
*(tblBaseCFResult[PremTermScenario]=$E$62)
*(tblBaseCFResult[IntRateScenario]=I$64),"")</f>
        <v>138151</v>
      </c>
      <c r="J107" s="157" cm="1">
        <f t="array" ref="J107">_xlfn._xlws.FILTER(ROUND(tblBaseCFResult[SV],-3)/1000,
(tblBaseCFResult[Year]=$A107)
*(tblBaseCFResult[Risk]=$E$61)
*(tblBaseCFResult[PremTermScenario]=$E$62)
*(tblBaseCFResult[IntRateScenario]=J$64),"")</f>
        <v>136009</v>
      </c>
      <c r="K107" s="157" cm="1">
        <f t="array" ref="K107">_xlfn._xlws.FILTER(tblBaseCFResult[Ben]/1000,
(tblBaseCFResult[Year]=$A107)
*(tblBaseCFResult[Risk]=$E$61)
*(tblBaseCFResult[PremTermScenario]=$E$62)
*(tblBaseCFResult[IntRateScenario]=K$64),"")</f>
        <v>350342.99882863899</v>
      </c>
      <c r="L107" s="157" cm="1">
        <f t="array" ref="L107">_xlfn._xlws.FILTER(ROUND(tblBaseCFResult[EndPAV],-3)/1000,
(tblBaseCFResult[Year]=$A107)
*(tblBaseCFResult[Risk]=$E$61)
*(tblBaseCFResult[PremTermScenario]=$E$62)
*(tblBaseCFResult[IntRateScenario]=L$64),"")</f>
        <v>367272</v>
      </c>
      <c r="M107" s="157" cm="1">
        <f t="array" ref="M107">_xlfn._xlws.FILTER(ROUND(tblBaseCFResult[SV],-3)/1000,
(tblBaseCFResult[Year]=$A107)
*(tblBaseCFResult[Risk]=$E$61)
*(tblBaseCFResult[PremTermScenario]=$E$62)
*(tblBaseCFResult[IntRateScenario]=M$64),"")</f>
        <v>350343</v>
      </c>
      <c r="N107" s="157" cm="1">
        <f t="array" ref="N107">_xlfn._xlws.FILTER(tblBaseCFResult[Ben]/1000,
(tblBaseCFResult[Year]=$A107)
*(tblBaseCFResult[Risk]=$E$61)
*(tblBaseCFResult[PremTermScenario]=$E$62)
*(tblBaseCFResult[IntRateScenario]=N$64),"")</f>
        <v>654673.9480609569</v>
      </c>
      <c r="O107" s="157" cm="1">
        <f t="array" ref="O107">_xlfn._xlws.FILTER(ROUND(tblBaseCFResult[EndPAV],-3)/1000,
(tblBaseCFResult[Year]=$A107)
*(tblBaseCFResult[Risk]=$E$61)
*(tblBaseCFResult[PremTermScenario]=$E$62)
*(tblBaseCFResult[IntRateScenario]=O$64),"")</f>
        <v>699907</v>
      </c>
      <c r="P107" s="157" cm="1">
        <f t="array" ref="P107">_xlfn._xlws.FILTER(ROUND(tblBaseCFResult[SV],-3)/1000,
(tblBaseCFResult[Year]=$A107)
*(tblBaseCFResult[Risk]=$E$61)
*(tblBaseCFResult[PremTermScenario]=$E$62)
*(tblBaseCFResult[IntRateScenario]=P$64),"")</f>
        <v>654674</v>
      </c>
      <c r="Q107" s="154"/>
      <c r="R107" s="156"/>
      <c r="S107" s="154"/>
      <c r="T107" s="155">
        <v>40</v>
      </c>
      <c r="U107" s="155">
        <f t="shared" si="15"/>
        <v>39</v>
      </c>
      <c r="W107" s="154"/>
      <c r="X107" s="153" t="str">
        <f t="shared" si="16"/>
        <v>40/39</v>
      </c>
      <c r="Y107" s="152" cm="1">
        <f t="array" ref="Y107">_xlfn._xlws.FILTER(tblBaseCFResult[TP]/1000,
(tblBaseCFResult[Year]=$T107)
*(tblBaseCFResult[Risk]=$Y$61)
*(tblBaseCFResult[PremTermScenario]=$Y$62)
*(tblBaseCFResult[IntRateScenario]=Y$64),"")</f>
        <v>0</v>
      </c>
      <c r="Z107" s="152" cm="1">
        <f t="array" ref="Z107">_xlfn._xlws.FILTER(tblBaseCFResult[EP]/1000,
(tblBaseCFResult[Year]=$T107)
*(tblBaseCFResult[Risk]=$Y$61)
*(tblBaseCFResult[PremTermScenario]=$Y$62)
*(tblBaseCFResult[IntRateScenario]=Z$64),"")</f>
        <v>0</v>
      </c>
      <c r="AA107" s="152">
        <f t="shared" si="17"/>
        <v>0</v>
      </c>
      <c r="AB107" s="152" cm="1">
        <f t="array" ref="AB107">_xlfn._xlws.FILTER(ROUND(tblBaseCFResult[AllocChrg],-3)/1000,
(tblBaseCFResult[Year]=$T107)
*(tblBaseCFResult[Risk]=$Y$61)
*(tblBaseCFResult[PremTermScenario]=$Y$62)
*(tblBaseCFResult[IntRateScenario]=AB$64),"")</f>
        <v>0</v>
      </c>
      <c r="AC107" s="152" cm="1">
        <f t="array" ref="AC107">_xlfn._xlws.FILTER(ROUND(tblBaseCFResult[EPAllocChrg],-3)/1000,
(tblBaseCFResult[Year]=$T107)
*(tblBaseCFResult[Risk]=$Y$61)
*(tblBaseCFResult[PremTermScenario]=$Y$62)
*(tblBaseCFResult[IntRateScenario]=AC$64),"")</f>
        <v>0</v>
      </c>
      <c r="AD107" s="152">
        <f t="shared" si="18"/>
        <v>0</v>
      </c>
      <c r="AE107" s="152">
        <f t="shared" si="19"/>
        <v>0</v>
      </c>
      <c r="AF107" s="152">
        <f t="shared" si="20"/>
        <v>0</v>
      </c>
      <c r="AG107" s="152">
        <f t="shared" si="21"/>
        <v>0</v>
      </c>
      <c r="AH107" s="152" cm="1">
        <f t="array" ref="AH107">_xlfn._xlws.FILTER(ROUND(tblBaseCFResult[AdminChrg],-3)/1000,
(tblBaseCFResult[Year]=$T107)
*(tblBaseCFResult[Risk]=$Y$61)
*(tblBaseCFResult[PremTermScenario]=$Y$62)
*(tblBaseCFResult[IntRateScenario]=AH$64),"")</f>
        <v>300</v>
      </c>
      <c r="AI107" s="152" cm="1">
        <f t="array" ref="AI107">_xlfn._xlws.FILTER(ROUND(tblBaseCFResult[COI],-3)/1000,
(tblBaseCFResult[Year]=$T107)
*(tblBaseCFResult[Risk]=$Y$61)
*(tblBaseCFResult[PremTermScenario]=$Y$62)
*(tblBaseCFResult[IntRateScenario]=AI$64),"")</f>
        <v>273</v>
      </c>
      <c r="AJ107" s="152" cm="1">
        <f t="array" ref="AJ107">_xlfn._xlws.FILTER(ROUND(tblBaseCFResult[AdminChrg],-3)/1000,
(tblBaseCFResult[Year]=$T107)
*(tblBaseCFResult[Risk]=$Y$61)
*(tblBaseCFResult[PremTermScenario]=$Y$62)
*(tblBaseCFResult[IntRateScenario]=AJ$64),"")</f>
        <v>300</v>
      </c>
      <c r="AK107" s="152" cm="1">
        <f t="array" ref="AK107">_xlfn._xlws.FILTER(ROUND(tblBaseCFResult[COI],-3)/1000,
(tblBaseCFResult[Year]=$T107)
*(tblBaseCFResult[Risk]=$Y$61)
*(tblBaseCFResult[PremTermScenario]=$Y$62)
*(tblBaseCFResult[IntRateScenario]=AK$64),"")</f>
        <v>273</v>
      </c>
    </row>
    <row r="108" spans="1:37" ht="15" customHeight="1" x14ac:dyDescent="0.25">
      <c r="A108" s="155">
        <v>41</v>
      </c>
      <c r="B108" s="155">
        <f t="shared" si="13"/>
        <v>40</v>
      </c>
      <c r="C108" s="154"/>
      <c r="D108" s="153" t="str">
        <f t="shared" si="14"/>
        <v>41/40</v>
      </c>
      <c r="E108" s="157" cm="1">
        <f t="array" ref="E108">_xlfn._xlws.FILTER(tblBaseCFResult[TotalPrem]/1000,
(tblBaseCFResult[Year]=$A108)
*(tblBaseCFResult[Risk]=$E$61)
*(tblBaseCFResult[PremTermScenario]=$E$62)
*(tblBaseCFResult[IntRateScenario]=E$64),"")</f>
        <v>0</v>
      </c>
      <c r="F108" s="157" cm="1">
        <f t="array" ref="F108">_xlfn._xlws.FILTER(tblBaseCFResult[AccumTotalPrem]/1000,
(tblBaseCFResult[Year]=$A108)
*(tblBaseCFResult[Risk]=$E$61)
*(tblBaseCFResult[PremTermScenario]=$E$62)
*(tblBaseCFResult[IntRateScenario]=F$64),"")</f>
        <v>0</v>
      </c>
      <c r="G108" s="157" cm="1">
        <f t="array" ref="G108">_xlfn._xlws.FILTER(ROUND(tblBaseCFResult[SemiAnnualTotalPrem],-3)/1000,
(tblBaseCFResult[Year]=$A108)
*(tblBaseCFResult[Risk]=$E$61)
*(tblBaseCFResult[PremTermScenario]=$E$62)
*(tblBaseCFResult[IntRateScenario]=G$64),"")</f>
        <v>0</v>
      </c>
      <c r="H108" s="157" cm="1">
        <f t="array" ref="H108">_xlfn._xlws.FILTER(tblBaseCFResult[Ben]/1000,
(tblBaseCFResult[Year]=$A108)
*(tblBaseCFResult[Risk]=$E$61)
*(tblBaseCFResult[PremTermScenario]=$E$62)
*(tblBaseCFResult[IntRateScenario]=H$64),"")</f>
        <v>138150.54890808</v>
      </c>
      <c r="I108" s="157" cm="1">
        <f t="array" ref="I108">_xlfn._xlws.FILTER(ROUND(tblBaseCFResult[EndPAV],-3)/1000,
(tblBaseCFResult[Year]=$A108)
*(tblBaseCFResult[Risk]=$E$61)
*(tblBaseCFResult[PremTermScenario]=$E$62)
*(tblBaseCFResult[IntRateScenario]=I$64),"")</f>
        <v>140335</v>
      </c>
      <c r="J108" s="157" cm="1">
        <f t="array" ref="J108">_xlfn._xlws.FILTER(ROUND(tblBaseCFResult[SV],-3)/1000,
(tblBaseCFResult[Year]=$A108)
*(tblBaseCFResult[Risk]=$E$61)
*(tblBaseCFResult[PremTermScenario]=$E$62)
*(tblBaseCFResult[IntRateScenario]=J$64),"")</f>
        <v>138151</v>
      </c>
      <c r="K108" s="157" cm="1">
        <f t="array" ref="K108">_xlfn._xlws.FILTER(tblBaseCFResult[Ben]/1000,
(tblBaseCFResult[Year]=$A108)
*(tblBaseCFResult[Risk]=$E$61)
*(tblBaseCFResult[PremTermScenario]=$E$62)
*(tblBaseCFResult[IntRateScenario]=K$64),"")</f>
        <v>367272.05375747103</v>
      </c>
      <c r="L108" s="157" cm="1">
        <f t="array" ref="L108">_xlfn._xlws.FILTER(ROUND(tblBaseCFResult[EndPAV],-3)/1000,
(tblBaseCFResult[Year]=$A108)
*(tblBaseCFResult[Risk]=$E$61)
*(tblBaseCFResult[PremTermScenario]=$E$62)
*(tblBaseCFResult[IntRateScenario]=L$64),"")</f>
        <v>385048</v>
      </c>
      <c r="M108" s="157" cm="1">
        <f t="array" ref="M108">_xlfn._xlws.FILTER(ROUND(tblBaseCFResult[SV],-3)/1000,
(tblBaseCFResult[Year]=$A108)
*(tblBaseCFResult[Risk]=$E$61)
*(tblBaseCFResult[PremTermScenario]=$E$62)
*(tblBaseCFResult[IntRateScenario]=M$64),"")</f>
        <v>367272</v>
      </c>
      <c r="N108" s="157" cm="1">
        <f t="array" ref="N108">_xlfn._xlws.FILTER(tblBaseCFResult[Ben]/1000,
(tblBaseCFResult[Year]=$A108)
*(tblBaseCFResult[Risk]=$E$61)
*(tblBaseCFResult[PremTermScenario]=$E$62)
*(tblBaseCFResult[IntRateScenario]=N$64),"")</f>
        <v>699906.93399395503</v>
      </c>
      <c r="O108" s="157" cm="1">
        <f t="array" ref="O108">_xlfn._xlws.FILTER(ROUND(tblBaseCFResult[EndPAV],-3)/1000,
(tblBaseCFResult[Year]=$A108)
*(tblBaseCFResult[Risk]=$E$61)
*(tblBaseCFResult[PremTermScenario]=$E$62)
*(tblBaseCFResult[IntRateScenario]=O$64),"")</f>
        <v>748306</v>
      </c>
      <c r="P108" s="157" cm="1">
        <f t="array" ref="P108">_xlfn._xlws.FILTER(ROUND(tblBaseCFResult[SV],-3)/1000,
(tblBaseCFResult[Year]=$A108)
*(tblBaseCFResult[Risk]=$E$61)
*(tblBaseCFResult[PremTermScenario]=$E$62)
*(tblBaseCFResult[IntRateScenario]=P$64),"")</f>
        <v>699907</v>
      </c>
      <c r="Q108" s="154"/>
      <c r="R108" s="156"/>
      <c r="S108" s="154"/>
      <c r="T108" s="155">
        <v>41</v>
      </c>
      <c r="U108" s="155">
        <f t="shared" si="15"/>
        <v>40</v>
      </c>
      <c r="W108" s="154"/>
      <c r="X108" s="153" t="str">
        <f t="shared" si="16"/>
        <v>41/40</v>
      </c>
      <c r="Y108" s="152" cm="1">
        <f t="array" ref="Y108">_xlfn._xlws.FILTER(tblBaseCFResult[TP]/1000,
(tblBaseCFResult[Year]=$T108)
*(tblBaseCFResult[Risk]=$Y$61)
*(tblBaseCFResult[PremTermScenario]=$Y$62)
*(tblBaseCFResult[IntRateScenario]=Y$64),"")</f>
        <v>0</v>
      </c>
      <c r="Z108" s="152" cm="1">
        <f t="array" ref="Z108">_xlfn._xlws.FILTER(tblBaseCFResult[EP]/1000,
(tblBaseCFResult[Year]=$T108)
*(tblBaseCFResult[Risk]=$Y$61)
*(tblBaseCFResult[PremTermScenario]=$Y$62)
*(tblBaseCFResult[IntRateScenario]=Z$64),"")</f>
        <v>0</v>
      </c>
      <c r="AA108" s="152">
        <f t="shared" si="17"/>
        <v>0</v>
      </c>
      <c r="AB108" s="152" cm="1">
        <f t="array" ref="AB108">_xlfn._xlws.FILTER(ROUND(tblBaseCFResult[AllocChrg],-3)/1000,
(tblBaseCFResult[Year]=$T108)
*(tblBaseCFResult[Risk]=$Y$61)
*(tblBaseCFResult[PremTermScenario]=$Y$62)
*(tblBaseCFResult[IntRateScenario]=AB$64),"")</f>
        <v>0</v>
      </c>
      <c r="AC108" s="152" cm="1">
        <f t="array" ref="AC108">_xlfn._xlws.FILTER(ROUND(tblBaseCFResult[EPAllocChrg],-3)/1000,
(tblBaseCFResult[Year]=$T108)
*(tblBaseCFResult[Risk]=$Y$61)
*(tblBaseCFResult[PremTermScenario]=$Y$62)
*(tblBaseCFResult[IntRateScenario]=AC$64),"")</f>
        <v>0</v>
      </c>
      <c r="AD108" s="152">
        <f t="shared" si="18"/>
        <v>0</v>
      </c>
      <c r="AE108" s="152">
        <f t="shared" si="19"/>
        <v>0</v>
      </c>
      <c r="AF108" s="152">
        <f t="shared" si="20"/>
        <v>0</v>
      </c>
      <c r="AG108" s="152">
        <f t="shared" si="21"/>
        <v>0</v>
      </c>
      <c r="AH108" s="152" cm="1">
        <f t="array" ref="AH108">_xlfn._xlws.FILTER(ROUND(tblBaseCFResult[AdminChrg],-3)/1000,
(tblBaseCFResult[Year]=$T108)
*(tblBaseCFResult[Risk]=$Y$61)
*(tblBaseCFResult[PremTermScenario]=$Y$62)
*(tblBaseCFResult[IntRateScenario]=AH$64),"")</f>
        <v>300</v>
      </c>
      <c r="AI108" s="152" cm="1">
        <f t="array" ref="AI108">_xlfn._xlws.FILTER(ROUND(tblBaseCFResult[COI],-3)/1000,
(tblBaseCFResult[Year]=$T108)
*(tblBaseCFResult[Risk]=$Y$61)
*(tblBaseCFResult[PremTermScenario]=$Y$62)
*(tblBaseCFResult[IntRateScenario]=AI$64),"")</f>
        <v>273</v>
      </c>
      <c r="AJ108" s="152" cm="1">
        <f t="array" ref="AJ108">_xlfn._xlws.FILTER(ROUND(tblBaseCFResult[AdminChrg],-3)/1000,
(tblBaseCFResult[Year]=$T108)
*(tblBaseCFResult[Risk]=$Y$61)
*(tblBaseCFResult[PremTermScenario]=$Y$62)
*(tblBaseCFResult[IntRateScenario]=AJ$64),"")</f>
        <v>300</v>
      </c>
      <c r="AK108" s="152" cm="1">
        <f t="array" ref="AK108">_xlfn._xlws.FILTER(ROUND(tblBaseCFResult[COI],-3)/1000,
(tblBaseCFResult[Year]=$T108)
*(tblBaseCFResult[Risk]=$Y$61)
*(tblBaseCFResult[PremTermScenario]=$Y$62)
*(tblBaseCFResult[IntRateScenario]=AK$64),"")</f>
        <v>273</v>
      </c>
    </row>
    <row r="109" spans="1:37" ht="15" customHeight="1" x14ac:dyDescent="0.25">
      <c r="A109" s="155">
        <v>42</v>
      </c>
      <c r="B109" s="155">
        <f t="shared" si="13"/>
        <v>41</v>
      </c>
      <c r="C109" s="154"/>
      <c r="D109" s="153" t="str">
        <f t="shared" si="14"/>
        <v>42/41</v>
      </c>
      <c r="E109" s="157" cm="1">
        <f t="array" ref="E109">_xlfn._xlws.FILTER(tblBaseCFResult[TotalPrem]/1000,
(tblBaseCFResult[Year]=$A109)
*(tblBaseCFResult[Risk]=$E$61)
*(tblBaseCFResult[PremTermScenario]=$E$62)
*(tblBaseCFResult[IntRateScenario]=E$64),"")</f>
        <v>0</v>
      </c>
      <c r="F109" s="157" cm="1">
        <f t="array" ref="F109">_xlfn._xlws.FILTER(tblBaseCFResult[AccumTotalPrem]/1000,
(tblBaseCFResult[Year]=$A109)
*(tblBaseCFResult[Risk]=$E$61)
*(tblBaseCFResult[PremTermScenario]=$E$62)
*(tblBaseCFResult[IntRateScenario]=F$64),"")</f>
        <v>0</v>
      </c>
      <c r="G109" s="157" cm="1">
        <f t="array" ref="G109">_xlfn._xlws.FILTER(ROUND(tblBaseCFResult[SemiAnnualTotalPrem],-3)/1000,
(tblBaseCFResult[Year]=$A109)
*(tblBaseCFResult[Risk]=$E$61)
*(tblBaseCFResult[PremTermScenario]=$E$62)
*(tblBaseCFResult[IntRateScenario]=G$64),"")</f>
        <v>0</v>
      </c>
      <c r="H109" s="157" cm="1">
        <f t="array" ref="H109">_xlfn._xlws.FILTER(tblBaseCFResult[Ben]/1000,
(tblBaseCFResult[Year]=$A109)
*(tblBaseCFResult[Risk]=$E$61)
*(tblBaseCFResult[PremTermScenario]=$E$62)
*(tblBaseCFResult[IntRateScenario]=H$64),"")</f>
        <v>140334.674406465</v>
      </c>
      <c r="I109" s="157" cm="1">
        <f t="array" ref="I109">_xlfn._xlws.FILTER(ROUND(tblBaseCFResult[EndPAV],-3)/1000,
(tblBaseCFResult[Year]=$A109)
*(tblBaseCFResult[Risk]=$E$61)
*(tblBaseCFResult[PremTermScenario]=$E$62)
*(tblBaseCFResult[IntRateScenario]=I$64),"")</f>
        <v>142562</v>
      </c>
      <c r="J109" s="157" cm="1">
        <f t="array" ref="J109">_xlfn._xlws.FILTER(ROUND(tblBaseCFResult[SV],-3)/1000,
(tblBaseCFResult[Year]=$A109)
*(tblBaseCFResult[Risk]=$E$61)
*(tblBaseCFResult[PremTermScenario]=$E$62)
*(tblBaseCFResult[IntRateScenario]=J$64),"")</f>
        <v>140335</v>
      </c>
      <c r="K109" s="157" cm="1">
        <f t="array" ref="K109">_xlfn._xlws.FILTER(tblBaseCFResult[Ben]/1000,
(tblBaseCFResult[Year]=$A109)
*(tblBaseCFResult[Risk]=$E$61)
*(tblBaseCFResult[PremTermScenario]=$E$62)
*(tblBaseCFResult[IntRateScenario]=K$64),"")</f>
        <v>385047.56143274496</v>
      </c>
      <c r="L109" s="157" cm="1">
        <f t="array" ref="L109">_xlfn._xlws.FILTER(ROUND(tblBaseCFResult[EndPAV],-3)/1000,
(tblBaseCFResult[Year]=$A109)
*(tblBaseCFResult[Risk]=$E$61)
*(tblBaseCFResult[PremTermScenario]=$E$62)
*(tblBaseCFResult[IntRateScenario]=L$64),"")</f>
        <v>403712</v>
      </c>
      <c r="M109" s="157" cm="1">
        <f t="array" ref="M109">_xlfn._xlws.FILTER(ROUND(tblBaseCFResult[SV],-3)/1000,
(tblBaseCFResult[Year]=$A109)
*(tblBaseCFResult[Risk]=$E$61)
*(tblBaseCFResult[PremTermScenario]=$E$62)
*(tblBaseCFResult[IntRateScenario]=M$64),"")</f>
        <v>385048</v>
      </c>
      <c r="N109" s="157" cm="1">
        <f t="array" ref="N109">_xlfn._xlws.FILTER(tblBaseCFResult[Ben]/1000,
(tblBaseCFResult[Year]=$A109)
*(tblBaseCFResult[Risk]=$E$61)
*(tblBaseCFResult[PremTermScenario]=$E$62)
*(tblBaseCFResult[IntRateScenario]=N$64),"")</f>
        <v>748306.22894226201</v>
      </c>
      <c r="O109" s="157" cm="1">
        <f t="array" ref="O109">_xlfn._xlws.FILTER(ROUND(tblBaseCFResult[EndPAV],-3)/1000,
(tblBaseCFResult[Year]=$A109)
*(tblBaseCFResult[Risk]=$E$61)
*(tblBaseCFResult[PremTermScenario]=$E$62)
*(tblBaseCFResult[IntRateScenario]=O$64),"")</f>
        <v>800093</v>
      </c>
      <c r="P109" s="157" cm="1">
        <f t="array" ref="P109">_xlfn._xlws.FILTER(ROUND(tblBaseCFResult[SV],-3)/1000,
(tblBaseCFResult[Year]=$A109)
*(tblBaseCFResult[Risk]=$E$61)
*(tblBaseCFResult[PremTermScenario]=$E$62)
*(tblBaseCFResult[IntRateScenario]=P$64),"")</f>
        <v>748306</v>
      </c>
      <c r="Q109" s="154"/>
      <c r="R109" s="156"/>
      <c r="S109" s="154"/>
      <c r="T109" s="155">
        <v>42</v>
      </c>
      <c r="U109" s="155">
        <f t="shared" si="15"/>
        <v>41</v>
      </c>
      <c r="W109" s="154"/>
      <c r="X109" s="153" t="str">
        <f t="shared" si="16"/>
        <v>42/41</v>
      </c>
      <c r="Y109" s="152" cm="1">
        <f t="array" ref="Y109">_xlfn._xlws.FILTER(tblBaseCFResult[TP]/1000,
(tblBaseCFResult[Year]=$T109)
*(tblBaseCFResult[Risk]=$Y$61)
*(tblBaseCFResult[PremTermScenario]=$Y$62)
*(tblBaseCFResult[IntRateScenario]=Y$64),"")</f>
        <v>0</v>
      </c>
      <c r="Z109" s="152" cm="1">
        <f t="array" ref="Z109">_xlfn._xlws.FILTER(tblBaseCFResult[EP]/1000,
(tblBaseCFResult[Year]=$T109)
*(tblBaseCFResult[Risk]=$Y$61)
*(tblBaseCFResult[PremTermScenario]=$Y$62)
*(tblBaseCFResult[IntRateScenario]=Z$64),"")</f>
        <v>0</v>
      </c>
      <c r="AA109" s="152">
        <f t="shared" si="17"/>
        <v>0</v>
      </c>
      <c r="AB109" s="152" cm="1">
        <f t="array" ref="AB109">_xlfn._xlws.FILTER(ROUND(tblBaseCFResult[AllocChrg],-3)/1000,
(tblBaseCFResult[Year]=$T109)
*(tblBaseCFResult[Risk]=$Y$61)
*(tblBaseCFResult[PremTermScenario]=$Y$62)
*(tblBaseCFResult[IntRateScenario]=AB$64),"")</f>
        <v>0</v>
      </c>
      <c r="AC109" s="152" cm="1">
        <f t="array" ref="AC109">_xlfn._xlws.FILTER(ROUND(tblBaseCFResult[EPAllocChrg],-3)/1000,
(tblBaseCFResult[Year]=$T109)
*(tblBaseCFResult[Risk]=$Y$61)
*(tblBaseCFResult[PremTermScenario]=$Y$62)
*(tblBaseCFResult[IntRateScenario]=AC$64),"")</f>
        <v>0</v>
      </c>
      <c r="AD109" s="152">
        <f t="shared" si="18"/>
        <v>0</v>
      </c>
      <c r="AE109" s="152">
        <f t="shared" si="19"/>
        <v>0</v>
      </c>
      <c r="AF109" s="152">
        <f t="shared" si="20"/>
        <v>0</v>
      </c>
      <c r="AG109" s="152">
        <f t="shared" si="21"/>
        <v>0</v>
      </c>
      <c r="AH109" s="152" cm="1">
        <f t="array" ref="AH109">_xlfn._xlws.FILTER(ROUND(tblBaseCFResult[AdminChrg],-3)/1000,
(tblBaseCFResult[Year]=$T109)
*(tblBaseCFResult[Risk]=$Y$61)
*(tblBaseCFResult[PremTermScenario]=$Y$62)
*(tblBaseCFResult[IntRateScenario]=AH$64),"")</f>
        <v>300</v>
      </c>
      <c r="AI109" s="152" cm="1">
        <f t="array" ref="AI109">_xlfn._xlws.FILTER(ROUND(tblBaseCFResult[COI],-3)/1000,
(tblBaseCFResult[Year]=$T109)
*(tblBaseCFResult[Risk]=$Y$61)
*(tblBaseCFResult[PremTermScenario]=$Y$62)
*(tblBaseCFResult[IntRateScenario]=AI$64),"")</f>
        <v>273</v>
      </c>
      <c r="AJ109" s="152" cm="1">
        <f t="array" ref="AJ109">_xlfn._xlws.FILTER(ROUND(tblBaseCFResult[AdminChrg],-3)/1000,
(tblBaseCFResult[Year]=$T109)
*(tblBaseCFResult[Risk]=$Y$61)
*(tblBaseCFResult[PremTermScenario]=$Y$62)
*(tblBaseCFResult[IntRateScenario]=AJ$64),"")</f>
        <v>300</v>
      </c>
      <c r="AK109" s="152" cm="1">
        <f t="array" ref="AK109">_xlfn._xlws.FILTER(ROUND(tblBaseCFResult[COI],-3)/1000,
(tblBaseCFResult[Year]=$T109)
*(tblBaseCFResult[Risk]=$Y$61)
*(tblBaseCFResult[PremTermScenario]=$Y$62)
*(tblBaseCFResult[IntRateScenario]=AK$64),"")</f>
        <v>273</v>
      </c>
    </row>
    <row r="110" spans="1:37" ht="15" customHeight="1" x14ac:dyDescent="0.25">
      <c r="A110" s="155">
        <v>43</v>
      </c>
      <c r="B110" s="155">
        <f t="shared" si="13"/>
        <v>42</v>
      </c>
      <c r="C110" s="154"/>
      <c r="D110" s="153" t="str">
        <f t="shared" si="14"/>
        <v>43/42</v>
      </c>
      <c r="E110" s="157" cm="1">
        <f t="array" ref="E110">_xlfn._xlws.FILTER(tblBaseCFResult[TotalPrem]/1000,
(tblBaseCFResult[Year]=$A110)
*(tblBaseCFResult[Risk]=$E$61)
*(tblBaseCFResult[PremTermScenario]=$E$62)
*(tblBaseCFResult[IntRateScenario]=E$64),"")</f>
        <v>0</v>
      </c>
      <c r="F110" s="157" cm="1">
        <f t="array" ref="F110">_xlfn._xlws.FILTER(tblBaseCFResult[AccumTotalPrem]/1000,
(tblBaseCFResult[Year]=$A110)
*(tblBaseCFResult[Risk]=$E$61)
*(tblBaseCFResult[PremTermScenario]=$E$62)
*(tblBaseCFResult[IntRateScenario]=F$64),"")</f>
        <v>0</v>
      </c>
      <c r="G110" s="157" cm="1">
        <f t="array" ref="G110">_xlfn._xlws.FILTER(ROUND(tblBaseCFResult[SemiAnnualTotalPrem],-3)/1000,
(tblBaseCFResult[Year]=$A110)
*(tblBaseCFResult[Risk]=$E$61)
*(tblBaseCFResult[PremTermScenario]=$E$62)
*(tblBaseCFResult[IntRateScenario]=G$64),"")</f>
        <v>0</v>
      </c>
      <c r="H110" s="157" cm="1">
        <f t="array" ref="H110">_xlfn._xlws.FILTER(tblBaseCFResult[Ben]/1000,
(tblBaseCFResult[Year]=$A110)
*(tblBaseCFResult[Risk]=$E$61)
*(tblBaseCFResult[PremTermScenario]=$E$62)
*(tblBaseCFResult[IntRateScenario]=H$64),"")</f>
        <v>142562.482414817</v>
      </c>
      <c r="I110" s="157" cm="1">
        <f t="array" ref="I110">_xlfn._xlws.FILTER(ROUND(tblBaseCFResult[EndPAV],-3)/1000,
(tblBaseCFResult[Year]=$A110)
*(tblBaseCFResult[Risk]=$E$61)
*(tblBaseCFResult[PremTermScenario]=$E$62)
*(tblBaseCFResult[IntRateScenario]=I$64),"")</f>
        <v>144835</v>
      </c>
      <c r="J110" s="157" cm="1">
        <f t="array" ref="J110">_xlfn._xlws.FILTER(ROUND(tblBaseCFResult[SV],-3)/1000,
(tblBaseCFResult[Year]=$A110)
*(tblBaseCFResult[Risk]=$E$61)
*(tblBaseCFResult[PremTermScenario]=$E$62)
*(tblBaseCFResult[IntRateScenario]=J$64),"")</f>
        <v>142562</v>
      </c>
      <c r="K110" s="157" cm="1">
        <f t="array" ref="K110">_xlfn._xlws.FILTER(tblBaseCFResult[Ben]/1000,
(tblBaseCFResult[Year]=$A110)
*(tblBaseCFResult[Risk]=$E$61)
*(tblBaseCFResult[PremTermScenario]=$E$62)
*(tblBaseCFResult[IntRateScenario]=K$64),"")</f>
        <v>403711.84449178202</v>
      </c>
      <c r="L110" s="157" cm="1">
        <f t="array" ref="L110">_xlfn._xlws.FILTER(ROUND(tblBaseCFResult[EndPAV],-3)/1000,
(tblBaseCFResult[Year]=$A110)
*(tblBaseCFResult[Risk]=$E$61)
*(tblBaseCFResult[PremTermScenario]=$E$62)
*(tblBaseCFResult[IntRateScenario]=L$64),"")</f>
        <v>423309</v>
      </c>
      <c r="M110" s="157" cm="1">
        <f t="array" ref="M110">_xlfn._xlws.FILTER(ROUND(tblBaseCFResult[SV],-3)/1000,
(tblBaseCFResult[Year]=$A110)
*(tblBaseCFResult[Risk]=$E$61)
*(tblBaseCFResult[PremTermScenario]=$E$62)
*(tblBaseCFResult[IntRateScenario]=M$64),"")</f>
        <v>403712</v>
      </c>
      <c r="N110" s="157" cm="1">
        <f t="array" ref="N110">_xlfn._xlws.FILTER(tblBaseCFResult[Ben]/1000,
(tblBaseCFResult[Year]=$A110)
*(tblBaseCFResult[Risk]=$E$61)
*(tblBaseCFResult[PremTermScenario]=$E$62)
*(tblBaseCFResult[IntRateScenario]=N$64),"")</f>
        <v>800093.47453695093</v>
      </c>
      <c r="O110" s="157" cm="1">
        <f t="array" ref="O110">_xlfn._xlws.FILTER(ROUND(tblBaseCFResult[EndPAV],-3)/1000,
(tblBaseCFResult[Year]=$A110)
*(tblBaseCFResult[Risk]=$E$61)
*(tblBaseCFResult[PremTermScenario]=$E$62)
*(tblBaseCFResult[IntRateScenario]=O$64),"")</f>
        <v>855506</v>
      </c>
      <c r="P110" s="157" cm="1">
        <f t="array" ref="P110">_xlfn._xlws.FILTER(ROUND(tblBaseCFResult[SV],-3)/1000,
(tblBaseCFResult[Year]=$A110)
*(tblBaseCFResult[Risk]=$E$61)
*(tblBaseCFResult[PremTermScenario]=$E$62)
*(tblBaseCFResult[IntRateScenario]=P$64),"")</f>
        <v>800093</v>
      </c>
      <c r="Q110" s="154"/>
      <c r="R110" s="156"/>
      <c r="S110" s="154"/>
      <c r="T110" s="155">
        <v>43</v>
      </c>
      <c r="U110" s="155">
        <f t="shared" si="15"/>
        <v>42</v>
      </c>
      <c r="W110" s="154"/>
      <c r="X110" s="153" t="str">
        <f t="shared" si="16"/>
        <v>43/42</v>
      </c>
      <c r="Y110" s="152" cm="1">
        <f t="array" ref="Y110">_xlfn._xlws.FILTER(tblBaseCFResult[TP]/1000,
(tblBaseCFResult[Year]=$T110)
*(tblBaseCFResult[Risk]=$Y$61)
*(tblBaseCFResult[PremTermScenario]=$Y$62)
*(tblBaseCFResult[IntRateScenario]=Y$64),"")</f>
        <v>0</v>
      </c>
      <c r="Z110" s="152" cm="1">
        <f t="array" ref="Z110">_xlfn._xlws.FILTER(tblBaseCFResult[EP]/1000,
(tblBaseCFResult[Year]=$T110)
*(tblBaseCFResult[Risk]=$Y$61)
*(tblBaseCFResult[PremTermScenario]=$Y$62)
*(tblBaseCFResult[IntRateScenario]=Z$64),"")</f>
        <v>0</v>
      </c>
      <c r="AA110" s="152">
        <f t="shared" si="17"/>
        <v>0</v>
      </c>
      <c r="AB110" s="152" cm="1">
        <f t="array" ref="AB110">_xlfn._xlws.FILTER(ROUND(tblBaseCFResult[AllocChrg],-3)/1000,
(tblBaseCFResult[Year]=$T110)
*(tblBaseCFResult[Risk]=$Y$61)
*(tblBaseCFResult[PremTermScenario]=$Y$62)
*(tblBaseCFResult[IntRateScenario]=AB$64),"")</f>
        <v>0</v>
      </c>
      <c r="AC110" s="152" cm="1">
        <f t="array" ref="AC110">_xlfn._xlws.FILTER(ROUND(tblBaseCFResult[EPAllocChrg],-3)/1000,
(tblBaseCFResult[Year]=$T110)
*(tblBaseCFResult[Risk]=$Y$61)
*(tblBaseCFResult[PremTermScenario]=$Y$62)
*(tblBaseCFResult[IntRateScenario]=AC$64),"")</f>
        <v>0</v>
      </c>
      <c r="AD110" s="152">
        <f t="shared" si="18"/>
        <v>0</v>
      </c>
      <c r="AE110" s="152">
        <f t="shared" si="19"/>
        <v>0</v>
      </c>
      <c r="AF110" s="152">
        <f t="shared" si="20"/>
        <v>0</v>
      </c>
      <c r="AG110" s="152">
        <f t="shared" si="21"/>
        <v>0</v>
      </c>
      <c r="AH110" s="152" cm="1">
        <f t="array" ref="AH110">_xlfn._xlws.FILTER(ROUND(tblBaseCFResult[AdminChrg],-3)/1000,
(tblBaseCFResult[Year]=$T110)
*(tblBaseCFResult[Risk]=$Y$61)
*(tblBaseCFResult[PremTermScenario]=$Y$62)
*(tblBaseCFResult[IntRateScenario]=AH$64),"")</f>
        <v>300</v>
      </c>
      <c r="AI110" s="152" cm="1">
        <f t="array" ref="AI110">_xlfn._xlws.FILTER(ROUND(tblBaseCFResult[COI],-3)/1000,
(tblBaseCFResult[Year]=$T110)
*(tblBaseCFResult[Risk]=$Y$61)
*(tblBaseCFResult[PremTermScenario]=$Y$62)
*(tblBaseCFResult[IntRateScenario]=AI$64),"")</f>
        <v>273</v>
      </c>
      <c r="AJ110" s="152" cm="1">
        <f t="array" ref="AJ110">_xlfn._xlws.FILTER(ROUND(tblBaseCFResult[AdminChrg],-3)/1000,
(tblBaseCFResult[Year]=$T110)
*(tblBaseCFResult[Risk]=$Y$61)
*(tblBaseCFResult[PremTermScenario]=$Y$62)
*(tblBaseCFResult[IntRateScenario]=AJ$64),"")</f>
        <v>300</v>
      </c>
      <c r="AK110" s="152" cm="1">
        <f t="array" ref="AK110">_xlfn._xlws.FILTER(ROUND(tblBaseCFResult[COI],-3)/1000,
(tblBaseCFResult[Year]=$T110)
*(tblBaseCFResult[Risk]=$Y$61)
*(tblBaseCFResult[PremTermScenario]=$Y$62)
*(tblBaseCFResult[IntRateScenario]=AK$64),"")</f>
        <v>273</v>
      </c>
    </row>
    <row r="111" spans="1:37" ht="15" customHeight="1" x14ac:dyDescent="0.25">
      <c r="A111" s="155">
        <v>44</v>
      </c>
      <c r="B111" s="155">
        <f t="shared" si="13"/>
        <v>43</v>
      </c>
      <c r="C111" s="154"/>
      <c r="D111" s="153" t="str">
        <f t="shared" si="14"/>
        <v>44/43</v>
      </c>
      <c r="E111" s="157" cm="1">
        <f t="array" ref="E111">_xlfn._xlws.FILTER(tblBaseCFResult[TotalPrem]/1000,
(tblBaseCFResult[Year]=$A111)
*(tblBaseCFResult[Risk]=$E$61)
*(tblBaseCFResult[PremTermScenario]=$E$62)
*(tblBaseCFResult[IntRateScenario]=E$64),"")</f>
        <v>0</v>
      </c>
      <c r="F111" s="157" cm="1">
        <f t="array" ref="F111">_xlfn._xlws.FILTER(tblBaseCFResult[AccumTotalPrem]/1000,
(tblBaseCFResult[Year]=$A111)
*(tblBaseCFResult[Risk]=$E$61)
*(tblBaseCFResult[PremTermScenario]=$E$62)
*(tblBaseCFResult[IntRateScenario]=F$64),"")</f>
        <v>0</v>
      </c>
      <c r="G111" s="157" cm="1">
        <f t="array" ref="G111">_xlfn._xlws.FILTER(ROUND(tblBaseCFResult[SemiAnnualTotalPrem],-3)/1000,
(tblBaseCFResult[Year]=$A111)
*(tblBaseCFResult[Risk]=$E$61)
*(tblBaseCFResult[PremTermScenario]=$E$62)
*(tblBaseCFResult[IntRateScenario]=G$64),"")</f>
        <v>0</v>
      </c>
      <c r="H111" s="157" cm="1">
        <f t="array" ref="H111">_xlfn._xlws.FILTER(tblBaseCFResult[Ben]/1000,
(tblBaseCFResult[Year]=$A111)
*(tblBaseCFResult[Risk]=$E$61)
*(tblBaseCFResult[PremTermScenario]=$E$62)
*(tblBaseCFResult[IntRateScenario]=H$64),"")</f>
        <v>144834.846583337</v>
      </c>
      <c r="I111" s="157" cm="1">
        <f t="array" ref="I111">_xlfn._xlws.FILTER(ROUND(tblBaseCFResult[EndPAV],-3)/1000,
(tblBaseCFResult[Year]=$A111)
*(tblBaseCFResult[Risk]=$E$61)
*(tblBaseCFResult[PremTermScenario]=$E$62)
*(tblBaseCFResult[IntRateScenario]=I$64),"")</f>
        <v>147153</v>
      </c>
      <c r="J111" s="157" cm="1">
        <f t="array" ref="J111">_xlfn._xlws.FILTER(ROUND(tblBaseCFResult[SV],-3)/1000,
(tblBaseCFResult[Year]=$A111)
*(tblBaseCFResult[Risk]=$E$61)
*(tblBaseCFResult[PremTermScenario]=$E$62)
*(tblBaseCFResult[IntRateScenario]=J$64),"")</f>
        <v>144835</v>
      </c>
      <c r="K111" s="157" cm="1">
        <f t="array" ref="K111">_xlfn._xlws.FILTER(tblBaseCFResult[Ben]/1000,
(tblBaseCFResult[Year]=$A111)
*(tblBaseCFResult[Risk]=$E$61)
*(tblBaseCFResult[PremTermScenario]=$E$62)
*(tblBaseCFResult[IntRateScenario]=K$64),"")</f>
        <v>423309.34170377097</v>
      </c>
      <c r="L111" s="157" cm="1">
        <f t="array" ref="L111">_xlfn._xlws.FILTER(ROUND(tblBaseCFResult[EndPAV],-3)/1000,
(tblBaseCFResult[Year]=$A111)
*(tblBaseCFResult[Risk]=$E$61)
*(tblBaseCFResult[PremTermScenario]=$E$62)
*(tblBaseCFResult[IntRateScenario]=L$64),"")</f>
        <v>443887</v>
      </c>
      <c r="M111" s="157" cm="1">
        <f t="array" ref="M111">_xlfn._xlws.FILTER(ROUND(tblBaseCFResult[SV],-3)/1000,
(tblBaseCFResult[Year]=$A111)
*(tblBaseCFResult[Risk]=$E$61)
*(tblBaseCFResult[PremTermScenario]=$E$62)
*(tblBaseCFResult[IntRateScenario]=M$64),"")</f>
        <v>423309</v>
      </c>
      <c r="N111" s="157" cm="1">
        <f t="array" ref="N111">_xlfn._xlws.FILTER(tblBaseCFResult[Ben]/1000,
(tblBaseCFResult[Year]=$A111)
*(tblBaseCFResult[Risk]=$E$61)
*(tblBaseCFResult[PremTermScenario]=$E$62)
*(tblBaseCFResult[IntRateScenario]=N$64),"")</f>
        <v>855505.82732326805</v>
      </c>
      <c r="O111" s="157" cm="1">
        <f t="array" ref="O111">_xlfn._xlws.FILTER(ROUND(tblBaseCFResult[EndPAV],-3)/1000,
(tblBaseCFResult[Year]=$A111)
*(tblBaseCFResult[Risk]=$E$61)
*(tblBaseCFResult[PremTermScenario]=$E$62)
*(tblBaseCFResult[IntRateScenario]=O$64),"")</f>
        <v>914797</v>
      </c>
      <c r="P111" s="157" cm="1">
        <f t="array" ref="P111">_xlfn._xlws.FILTER(ROUND(tblBaseCFResult[SV],-3)/1000,
(tblBaseCFResult[Year]=$A111)
*(tblBaseCFResult[Risk]=$E$61)
*(tblBaseCFResult[PremTermScenario]=$E$62)
*(tblBaseCFResult[IntRateScenario]=P$64),"")</f>
        <v>855506</v>
      </c>
      <c r="Q111" s="154"/>
      <c r="R111" s="156"/>
      <c r="S111" s="154"/>
      <c r="T111" s="155">
        <v>44</v>
      </c>
      <c r="U111" s="155">
        <f t="shared" si="15"/>
        <v>43</v>
      </c>
      <c r="W111" s="154"/>
      <c r="X111" s="153" t="str">
        <f t="shared" si="16"/>
        <v>44/43</v>
      </c>
      <c r="Y111" s="152" cm="1">
        <f t="array" ref="Y111">_xlfn._xlws.FILTER(tblBaseCFResult[TP]/1000,
(tblBaseCFResult[Year]=$T111)
*(tblBaseCFResult[Risk]=$Y$61)
*(tblBaseCFResult[PremTermScenario]=$Y$62)
*(tblBaseCFResult[IntRateScenario]=Y$64),"")</f>
        <v>0</v>
      </c>
      <c r="Z111" s="152" cm="1">
        <f t="array" ref="Z111">_xlfn._xlws.FILTER(tblBaseCFResult[EP]/1000,
(tblBaseCFResult[Year]=$T111)
*(tblBaseCFResult[Risk]=$Y$61)
*(tblBaseCFResult[PremTermScenario]=$Y$62)
*(tblBaseCFResult[IntRateScenario]=Z$64),"")</f>
        <v>0</v>
      </c>
      <c r="AA111" s="152">
        <f t="shared" si="17"/>
        <v>0</v>
      </c>
      <c r="AB111" s="152" cm="1">
        <f t="array" ref="AB111">_xlfn._xlws.FILTER(ROUND(tblBaseCFResult[AllocChrg],-3)/1000,
(tblBaseCFResult[Year]=$T111)
*(tblBaseCFResult[Risk]=$Y$61)
*(tblBaseCFResult[PremTermScenario]=$Y$62)
*(tblBaseCFResult[IntRateScenario]=AB$64),"")</f>
        <v>0</v>
      </c>
      <c r="AC111" s="152" cm="1">
        <f t="array" ref="AC111">_xlfn._xlws.FILTER(ROUND(tblBaseCFResult[EPAllocChrg],-3)/1000,
(tblBaseCFResult[Year]=$T111)
*(tblBaseCFResult[Risk]=$Y$61)
*(tblBaseCFResult[PremTermScenario]=$Y$62)
*(tblBaseCFResult[IntRateScenario]=AC$64),"")</f>
        <v>0</v>
      </c>
      <c r="AD111" s="152">
        <f t="shared" si="18"/>
        <v>0</v>
      </c>
      <c r="AE111" s="152">
        <f t="shared" si="19"/>
        <v>0</v>
      </c>
      <c r="AF111" s="152">
        <f t="shared" si="20"/>
        <v>0</v>
      </c>
      <c r="AG111" s="152">
        <f t="shared" si="21"/>
        <v>0</v>
      </c>
      <c r="AH111" s="152" cm="1">
        <f t="array" ref="AH111">_xlfn._xlws.FILTER(ROUND(tblBaseCFResult[AdminChrg],-3)/1000,
(tblBaseCFResult[Year]=$T111)
*(tblBaseCFResult[Risk]=$Y$61)
*(tblBaseCFResult[PremTermScenario]=$Y$62)
*(tblBaseCFResult[IntRateScenario]=AH$64),"")</f>
        <v>300</v>
      </c>
      <c r="AI111" s="152" cm="1">
        <f t="array" ref="AI111">_xlfn._xlws.FILTER(ROUND(tblBaseCFResult[COI],-3)/1000,
(tblBaseCFResult[Year]=$T111)
*(tblBaseCFResult[Risk]=$Y$61)
*(tblBaseCFResult[PremTermScenario]=$Y$62)
*(tblBaseCFResult[IntRateScenario]=AI$64),"")</f>
        <v>273</v>
      </c>
      <c r="AJ111" s="152" cm="1">
        <f t="array" ref="AJ111">_xlfn._xlws.FILTER(ROUND(tblBaseCFResult[AdminChrg],-3)/1000,
(tblBaseCFResult[Year]=$T111)
*(tblBaseCFResult[Risk]=$Y$61)
*(tblBaseCFResult[PremTermScenario]=$Y$62)
*(tblBaseCFResult[IntRateScenario]=AJ$64),"")</f>
        <v>300</v>
      </c>
      <c r="AK111" s="152" cm="1">
        <f t="array" ref="AK111">_xlfn._xlws.FILTER(ROUND(tblBaseCFResult[COI],-3)/1000,
(tblBaseCFResult[Year]=$T111)
*(tblBaseCFResult[Risk]=$Y$61)
*(tblBaseCFResult[PremTermScenario]=$Y$62)
*(tblBaseCFResult[IntRateScenario]=AK$64),"")</f>
        <v>273</v>
      </c>
    </row>
    <row r="112" spans="1:37" ht="15" customHeight="1" x14ac:dyDescent="0.25">
      <c r="A112" s="155">
        <v>45</v>
      </c>
      <c r="B112" s="155">
        <f t="shared" si="13"/>
        <v>44</v>
      </c>
      <c r="C112" s="154"/>
      <c r="D112" s="153" t="str">
        <f t="shared" si="14"/>
        <v>45/44</v>
      </c>
      <c r="E112" s="157" cm="1">
        <f t="array" ref="E112">_xlfn._xlws.FILTER(tblBaseCFResult[TotalPrem]/1000,
(tblBaseCFResult[Year]=$A112)
*(tblBaseCFResult[Risk]=$E$61)
*(tblBaseCFResult[PremTermScenario]=$E$62)
*(tblBaseCFResult[IntRateScenario]=E$64),"")</f>
        <v>0</v>
      </c>
      <c r="F112" s="157" cm="1">
        <f t="array" ref="F112">_xlfn._xlws.FILTER(tblBaseCFResult[AccumTotalPrem]/1000,
(tblBaseCFResult[Year]=$A112)
*(tblBaseCFResult[Risk]=$E$61)
*(tblBaseCFResult[PremTermScenario]=$E$62)
*(tblBaseCFResult[IntRateScenario]=F$64),"")</f>
        <v>0</v>
      </c>
      <c r="G112" s="157" cm="1">
        <f t="array" ref="G112">_xlfn._xlws.FILTER(ROUND(tblBaseCFResult[SemiAnnualTotalPrem],-3)/1000,
(tblBaseCFResult[Year]=$A112)
*(tblBaseCFResult[Risk]=$E$61)
*(tblBaseCFResult[PremTermScenario]=$E$62)
*(tblBaseCFResult[IntRateScenario]=G$64),"")</f>
        <v>0</v>
      </c>
      <c r="H112" s="157" cm="1">
        <f t="array" ref="H112">_xlfn._xlws.FILTER(tblBaseCFResult[Ben]/1000,
(tblBaseCFResult[Year]=$A112)
*(tblBaseCFResult[Risk]=$E$61)
*(tblBaseCFResult[PremTermScenario]=$E$62)
*(tblBaseCFResult[IntRateScenario]=H$64),"")</f>
        <v>147152.65803522599</v>
      </c>
      <c r="I112" s="157" cm="1">
        <f t="array" ref="I112">_xlfn._xlws.FILTER(ROUND(tblBaseCFResult[EndPAV],-3)/1000,
(tblBaseCFResult[Year]=$A112)
*(tblBaseCFResult[Risk]=$E$61)
*(tblBaseCFResult[PremTermScenario]=$E$62)
*(tblBaseCFResult[IntRateScenario]=I$64),"")</f>
        <v>149517</v>
      </c>
      <c r="J112" s="157" cm="1">
        <f t="array" ref="J112">_xlfn._xlws.FILTER(ROUND(tblBaseCFResult[SV],-3)/1000,
(tblBaseCFResult[Year]=$A112)
*(tblBaseCFResult[Risk]=$E$61)
*(tblBaseCFResult[PremTermScenario]=$E$62)
*(tblBaseCFResult[IntRateScenario]=J$64),"")</f>
        <v>147153</v>
      </c>
      <c r="K112" s="157" cm="1">
        <f t="array" ref="K112">_xlfn._xlws.FILTER(tblBaseCFResult[Ben]/1000,
(tblBaseCFResult[Year]=$A112)
*(tblBaseCFResult[Risk]=$E$61)
*(tblBaseCFResult[PremTermScenario]=$E$62)
*(tblBaseCFResult[IntRateScenario]=K$64),"")</f>
        <v>443886.71377635904</v>
      </c>
      <c r="L112" s="157" cm="1">
        <f t="array" ref="L112">_xlfn._xlws.FILTER(ROUND(tblBaseCFResult[EndPAV],-3)/1000,
(tblBaseCFResult[Year]=$A112)
*(tblBaseCFResult[Risk]=$E$61)
*(tblBaseCFResult[PremTermScenario]=$E$62)
*(tblBaseCFResult[IntRateScenario]=L$64),"")</f>
        <v>465493</v>
      </c>
      <c r="M112" s="157" cm="1">
        <f t="array" ref="M112">_xlfn._xlws.FILTER(ROUND(tblBaseCFResult[SV],-3)/1000,
(tblBaseCFResult[Year]=$A112)
*(tblBaseCFResult[Risk]=$E$61)
*(tblBaseCFResult[PremTermScenario]=$E$62)
*(tblBaseCFResult[IntRateScenario]=M$64),"")</f>
        <v>443887</v>
      </c>
      <c r="N112" s="157" cm="1">
        <f t="array" ref="N112">_xlfn._xlws.FILTER(tblBaseCFResult[Ben]/1000,
(tblBaseCFResult[Year]=$A112)
*(tblBaseCFResult[Risk]=$E$61)
*(tblBaseCFResult[PremTermScenario]=$E$62)
*(tblBaseCFResult[IntRateScenario]=N$64),"")</f>
        <v>914797.04480462696</v>
      </c>
      <c r="O112" s="157" cm="1">
        <f t="array" ref="O112">_xlfn._xlws.FILTER(ROUND(tblBaseCFResult[EndPAV],-3)/1000,
(tblBaseCFResult[Year]=$A112)
*(tblBaseCFResult[Risk]=$E$61)
*(tblBaseCFResult[PremTermScenario]=$E$62)
*(tblBaseCFResult[IntRateScenario]=O$64),"")</f>
        <v>978239</v>
      </c>
      <c r="P112" s="157" cm="1">
        <f t="array" ref="P112">_xlfn._xlws.FILTER(ROUND(tblBaseCFResult[SV],-3)/1000,
(tblBaseCFResult[Year]=$A112)
*(tblBaseCFResult[Risk]=$E$61)
*(tblBaseCFResult[PremTermScenario]=$E$62)
*(tblBaseCFResult[IntRateScenario]=P$64),"")</f>
        <v>914797</v>
      </c>
      <c r="Q112" s="154"/>
      <c r="R112" s="156"/>
      <c r="S112" s="154"/>
      <c r="T112" s="155">
        <v>45</v>
      </c>
      <c r="U112" s="155">
        <f t="shared" si="15"/>
        <v>44</v>
      </c>
      <c r="W112" s="154"/>
      <c r="X112" s="153" t="str">
        <f t="shared" si="16"/>
        <v>45/44</v>
      </c>
      <c r="Y112" s="152" cm="1">
        <f t="array" ref="Y112">_xlfn._xlws.FILTER(tblBaseCFResult[TP]/1000,
(tblBaseCFResult[Year]=$T112)
*(tblBaseCFResult[Risk]=$Y$61)
*(tblBaseCFResult[PremTermScenario]=$Y$62)
*(tblBaseCFResult[IntRateScenario]=Y$64),"")</f>
        <v>0</v>
      </c>
      <c r="Z112" s="152" cm="1">
        <f t="array" ref="Z112">_xlfn._xlws.FILTER(tblBaseCFResult[EP]/1000,
(tblBaseCFResult[Year]=$T112)
*(tblBaseCFResult[Risk]=$Y$61)
*(tblBaseCFResult[PremTermScenario]=$Y$62)
*(tblBaseCFResult[IntRateScenario]=Z$64),"")</f>
        <v>0</v>
      </c>
      <c r="AA112" s="152">
        <f t="shared" si="17"/>
        <v>0</v>
      </c>
      <c r="AB112" s="152" cm="1">
        <f t="array" ref="AB112">_xlfn._xlws.FILTER(ROUND(tblBaseCFResult[AllocChrg],-3)/1000,
(tblBaseCFResult[Year]=$T112)
*(tblBaseCFResult[Risk]=$Y$61)
*(tblBaseCFResult[PremTermScenario]=$Y$62)
*(tblBaseCFResult[IntRateScenario]=AB$64),"")</f>
        <v>0</v>
      </c>
      <c r="AC112" s="152" cm="1">
        <f t="array" ref="AC112">_xlfn._xlws.FILTER(ROUND(tblBaseCFResult[EPAllocChrg],-3)/1000,
(tblBaseCFResult[Year]=$T112)
*(tblBaseCFResult[Risk]=$Y$61)
*(tblBaseCFResult[PremTermScenario]=$Y$62)
*(tblBaseCFResult[IntRateScenario]=AC$64),"")</f>
        <v>0</v>
      </c>
      <c r="AD112" s="152">
        <f t="shared" si="18"/>
        <v>0</v>
      </c>
      <c r="AE112" s="152">
        <f t="shared" si="19"/>
        <v>0</v>
      </c>
      <c r="AF112" s="152">
        <f t="shared" si="20"/>
        <v>0</v>
      </c>
      <c r="AG112" s="152">
        <f t="shared" si="21"/>
        <v>0</v>
      </c>
      <c r="AH112" s="152" cm="1">
        <f t="array" ref="AH112">_xlfn._xlws.FILTER(ROUND(tblBaseCFResult[AdminChrg],-3)/1000,
(tblBaseCFResult[Year]=$T112)
*(tblBaseCFResult[Risk]=$Y$61)
*(tblBaseCFResult[PremTermScenario]=$Y$62)
*(tblBaseCFResult[IntRateScenario]=AH$64),"")</f>
        <v>300</v>
      </c>
      <c r="AI112" s="152" cm="1">
        <f t="array" ref="AI112">_xlfn._xlws.FILTER(ROUND(tblBaseCFResult[COI],-3)/1000,
(tblBaseCFResult[Year]=$T112)
*(tblBaseCFResult[Risk]=$Y$61)
*(tblBaseCFResult[PremTermScenario]=$Y$62)
*(tblBaseCFResult[IntRateScenario]=AI$64),"")</f>
        <v>273</v>
      </c>
      <c r="AJ112" s="152" cm="1">
        <f t="array" ref="AJ112">_xlfn._xlws.FILTER(ROUND(tblBaseCFResult[AdminChrg],-3)/1000,
(tblBaseCFResult[Year]=$T112)
*(tblBaseCFResult[Risk]=$Y$61)
*(tblBaseCFResult[PremTermScenario]=$Y$62)
*(tblBaseCFResult[IntRateScenario]=AJ$64),"")</f>
        <v>300</v>
      </c>
      <c r="AK112" s="152" cm="1">
        <f t="array" ref="AK112">_xlfn._xlws.FILTER(ROUND(tblBaseCFResult[COI],-3)/1000,
(tblBaseCFResult[Year]=$T112)
*(tblBaseCFResult[Risk]=$Y$61)
*(tblBaseCFResult[PremTermScenario]=$Y$62)
*(tblBaseCFResult[IntRateScenario]=AK$64),"")</f>
        <v>273</v>
      </c>
    </row>
    <row r="113" spans="1:37" ht="15" customHeight="1" x14ac:dyDescent="0.25">
      <c r="A113" s="155">
        <v>46</v>
      </c>
      <c r="B113" s="155">
        <f t="shared" si="13"/>
        <v>45</v>
      </c>
      <c r="C113" s="154"/>
      <c r="D113" s="153" t="str">
        <f t="shared" si="14"/>
        <v>46/45</v>
      </c>
      <c r="E113" s="157" cm="1">
        <f t="array" ref="E113">_xlfn._xlws.FILTER(tblBaseCFResult[TotalPrem]/1000,
(tblBaseCFResult[Year]=$A113)
*(tblBaseCFResult[Risk]=$E$61)
*(tblBaseCFResult[PremTermScenario]=$E$62)
*(tblBaseCFResult[IntRateScenario]=E$64),"")</f>
        <v>0</v>
      </c>
      <c r="F113" s="157" cm="1">
        <f t="array" ref="F113">_xlfn._xlws.FILTER(tblBaseCFResult[AccumTotalPrem]/1000,
(tblBaseCFResult[Year]=$A113)
*(tblBaseCFResult[Risk]=$E$61)
*(tblBaseCFResult[PremTermScenario]=$E$62)
*(tblBaseCFResult[IntRateScenario]=F$64),"")</f>
        <v>0</v>
      </c>
      <c r="G113" s="157" cm="1">
        <f t="array" ref="G113">_xlfn._xlws.FILTER(ROUND(tblBaseCFResult[SemiAnnualTotalPrem],-3)/1000,
(tblBaseCFResult[Year]=$A113)
*(tblBaseCFResult[Risk]=$E$61)
*(tblBaseCFResult[PremTermScenario]=$E$62)
*(tblBaseCFResult[IntRateScenario]=G$64),"")</f>
        <v>0</v>
      </c>
      <c r="H113" s="157" cm="1">
        <f t="array" ref="H113">_xlfn._xlws.FILTER(tblBaseCFResult[Ben]/1000,
(tblBaseCFResult[Year]=$A113)
*(tblBaseCFResult[Risk]=$E$61)
*(tblBaseCFResult[PremTermScenario]=$E$62)
*(tblBaseCFResult[IntRateScenario]=H$64),"")</f>
        <v>149516.82571615401</v>
      </c>
      <c r="I113" s="157" cm="1">
        <f t="array" ref="I113">_xlfn._xlws.FILTER(ROUND(tblBaseCFResult[EndPAV],-3)/1000,
(tblBaseCFResult[Year]=$A113)
*(tblBaseCFResult[Risk]=$E$61)
*(tblBaseCFResult[PremTermScenario]=$E$62)
*(tblBaseCFResult[IntRateScenario]=I$64),"")</f>
        <v>151928</v>
      </c>
      <c r="J113" s="157" cm="1">
        <f t="array" ref="J113">_xlfn._xlws.FILTER(ROUND(tblBaseCFResult[SV],-3)/1000,
(tblBaseCFResult[Year]=$A113)
*(tblBaseCFResult[Risk]=$E$61)
*(tblBaseCFResult[PremTermScenario]=$E$62)
*(tblBaseCFResult[IntRateScenario]=J$64),"")</f>
        <v>149517</v>
      </c>
      <c r="K113" s="157" cm="1">
        <f t="array" ref="K113">_xlfn._xlws.FILTER(tblBaseCFResult[Ben]/1000,
(tblBaseCFResult[Year]=$A113)
*(tblBaseCFResult[Risk]=$E$61)
*(tblBaseCFResult[PremTermScenario]=$E$62)
*(tblBaseCFResult[IntRateScenario]=K$64),"")</f>
        <v>465492.95445257699</v>
      </c>
      <c r="L113" s="157" cm="1">
        <f t="array" ref="L113">_xlfn._xlws.FILTER(ROUND(tblBaseCFResult[EndPAV],-3)/1000,
(tblBaseCFResult[Year]=$A113)
*(tblBaseCFResult[Risk]=$E$61)
*(tblBaseCFResult[PremTermScenario]=$E$62)
*(tblBaseCFResult[IntRateScenario]=L$64),"")</f>
        <v>488180</v>
      </c>
      <c r="M113" s="157" cm="1">
        <f t="array" ref="M113">_xlfn._xlws.FILTER(ROUND(tblBaseCFResult[SV],-3)/1000,
(tblBaseCFResult[Year]=$A113)
*(tblBaseCFResult[Risk]=$E$61)
*(tblBaseCFResult[PremTermScenario]=$E$62)
*(tblBaseCFResult[IntRateScenario]=M$64),"")</f>
        <v>465493</v>
      </c>
      <c r="N113" s="157" cm="1">
        <f t="array" ref="N113">_xlfn._xlws.FILTER(tblBaseCFResult[Ben]/1000,
(tblBaseCFResult[Year]=$A113)
*(tblBaseCFResult[Risk]=$E$61)
*(tblBaseCFResult[PremTermScenario]=$E$62)
*(tblBaseCFResult[IntRateScenario]=N$64),"")</f>
        <v>978238.64750968094</v>
      </c>
      <c r="O113" s="157" cm="1">
        <f t="array" ref="O113">_xlfn._xlws.FILTER(ROUND(tblBaseCFResult[EndPAV],-3)/1000,
(tblBaseCFResult[Year]=$A113)
*(tblBaseCFResult[Risk]=$E$61)
*(tblBaseCFResult[PremTermScenario]=$E$62)
*(tblBaseCFResult[IntRateScenario]=O$64),"")</f>
        <v>1046121</v>
      </c>
      <c r="P113" s="157" cm="1">
        <f t="array" ref="P113">_xlfn._xlws.FILTER(ROUND(tblBaseCFResult[SV],-3)/1000,
(tblBaseCFResult[Year]=$A113)
*(tblBaseCFResult[Risk]=$E$61)
*(tblBaseCFResult[PremTermScenario]=$E$62)
*(tblBaseCFResult[IntRateScenario]=P$64),"")</f>
        <v>978239</v>
      </c>
      <c r="Q113" s="154"/>
      <c r="R113" s="156"/>
      <c r="S113" s="154"/>
      <c r="T113" s="155">
        <v>46</v>
      </c>
      <c r="U113" s="155">
        <f t="shared" si="15"/>
        <v>45</v>
      </c>
      <c r="W113" s="154"/>
      <c r="X113" s="153" t="str">
        <f t="shared" si="16"/>
        <v>46/45</v>
      </c>
      <c r="Y113" s="152" cm="1">
        <f t="array" ref="Y113">_xlfn._xlws.FILTER(tblBaseCFResult[TP]/1000,
(tblBaseCFResult[Year]=$T113)
*(tblBaseCFResult[Risk]=$Y$61)
*(tblBaseCFResult[PremTermScenario]=$Y$62)
*(tblBaseCFResult[IntRateScenario]=Y$64),"")</f>
        <v>0</v>
      </c>
      <c r="Z113" s="152" cm="1">
        <f t="array" ref="Z113">_xlfn._xlws.FILTER(tblBaseCFResult[EP]/1000,
(tblBaseCFResult[Year]=$T113)
*(tblBaseCFResult[Risk]=$Y$61)
*(tblBaseCFResult[PremTermScenario]=$Y$62)
*(tblBaseCFResult[IntRateScenario]=Z$64),"")</f>
        <v>0</v>
      </c>
      <c r="AA113" s="152">
        <f t="shared" si="17"/>
        <v>0</v>
      </c>
      <c r="AB113" s="152" cm="1">
        <f t="array" ref="AB113">_xlfn._xlws.FILTER(ROUND(tblBaseCFResult[AllocChrg],-3)/1000,
(tblBaseCFResult[Year]=$T113)
*(tblBaseCFResult[Risk]=$Y$61)
*(tblBaseCFResult[PremTermScenario]=$Y$62)
*(tblBaseCFResult[IntRateScenario]=AB$64),"")</f>
        <v>0</v>
      </c>
      <c r="AC113" s="152" cm="1">
        <f t="array" ref="AC113">_xlfn._xlws.FILTER(ROUND(tblBaseCFResult[EPAllocChrg],-3)/1000,
(tblBaseCFResult[Year]=$T113)
*(tblBaseCFResult[Risk]=$Y$61)
*(tblBaseCFResult[PremTermScenario]=$Y$62)
*(tblBaseCFResult[IntRateScenario]=AC$64),"")</f>
        <v>0</v>
      </c>
      <c r="AD113" s="152">
        <f t="shared" si="18"/>
        <v>0</v>
      </c>
      <c r="AE113" s="152">
        <f t="shared" si="19"/>
        <v>0</v>
      </c>
      <c r="AF113" s="152">
        <f t="shared" si="20"/>
        <v>0</v>
      </c>
      <c r="AG113" s="152">
        <f t="shared" si="21"/>
        <v>0</v>
      </c>
      <c r="AH113" s="152" cm="1">
        <f t="array" ref="AH113">_xlfn._xlws.FILTER(ROUND(tblBaseCFResult[AdminChrg],-3)/1000,
(tblBaseCFResult[Year]=$T113)
*(tblBaseCFResult[Risk]=$Y$61)
*(tblBaseCFResult[PremTermScenario]=$Y$62)
*(tblBaseCFResult[IntRateScenario]=AH$64),"")</f>
        <v>300</v>
      </c>
      <c r="AI113" s="152" cm="1">
        <f t="array" ref="AI113">_xlfn._xlws.FILTER(ROUND(tblBaseCFResult[COI],-3)/1000,
(tblBaseCFResult[Year]=$T113)
*(tblBaseCFResult[Risk]=$Y$61)
*(tblBaseCFResult[PremTermScenario]=$Y$62)
*(tblBaseCFResult[IntRateScenario]=AI$64),"")</f>
        <v>273</v>
      </c>
      <c r="AJ113" s="152" cm="1">
        <f t="array" ref="AJ113">_xlfn._xlws.FILTER(ROUND(tblBaseCFResult[AdminChrg],-3)/1000,
(tblBaseCFResult[Year]=$T113)
*(tblBaseCFResult[Risk]=$Y$61)
*(tblBaseCFResult[PremTermScenario]=$Y$62)
*(tblBaseCFResult[IntRateScenario]=AJ$64),"")</f>
        <v>300</v>
      </c>
      <c r="AK113" s="152" cm="1">
        <f t="array" ref="AK113">_xlfn._xlws.FILTER(ROUND(tblBaseCFResult[COI],-3)/1000,
(tblBaseCFResult[Year]=$T113)
*(tblBaseCFResult[Risk]=$Y$61)
*(tblBaseCFResult[PremTermScenario]=$Y$62)
*(tblBaseCFResult[IntRateScenario]=AK$64),"")</f>
        <v>273</v>
      </c>
    </row>
    <row r="114" spans="1:37" ht="15" customHeight="1" x14ac:dyDescent="0.25">
      <c r="A114" s="155">
        <v>47</v>
      </c>
      <c r="B114" s="155">
        <f t="shared" si="13"/>
        <v>46</v>
      </c>
      <c r="C114" s="154"/>
      <c r="D114" s="153" t="str">
        <f t="shared" si="14"/>
        <v>47/46</v>
      </c>
      <c r="E114" s="157" cm="1">
        <f t="array" ref="E114">_xlfn._xlws.FILTER(tblBaseCFResult[TotalPrem]/1000,
(tblBaseCFResult[Year]=$A114)
*(tblBaseCFResult[Risk]=$E$61)
*(tblBaseCFResult[PremTermScenario]=$E$62)
*(tblBaseCFResult[IntRateScenario]=E$64),"")</f>
        <v>0</v>
      </c>
      <c r="F114" s="157" cm="1">
        <f t="array" ref="F114">_xlfn._xlws.FILTER(tblBaseCFResult[AccumTotalPrem]/1000,
(tblBaseCFResult[Year]=$A114)
*(tblBaseCFResult[Risk]=$E$61)
*(tblBaseCFResult[PremTermScenario]=$E$62)
*(tblBaseCFResult[IntRateScenario]=F$64),"")</f>
        <v>0</v>
      </c>
      <c r="G114" s="157" cm="1">
        <f t="array" ref="G114">_xlfn._xlws.FILTER(ROUND(tblBaseCFResult[SemiAnnualTotalPrem],-3)/1000,
(tblBaseCFResult[Year]=$A114)
*(tblBaseCFResult[Risk]=$E$61)
*(tblBaseCFResult[PremTermScenario]=$E$62)
*(tblBaseCFResult[IntRateScenario]=G$64),"")</f>
        <v>0</v>
      </c>
      <c r="H114" s="157" cm="1">
        <f t="array" ref="H114">_xlfn._xlws.FILTER(tblBaseCFResult[Ben]/1000,
(tblBaseCFResult[Year]=$A114)
*(tblBaseCFResult[Risk]=$E$61)
*(tblBaseCFResult[PremTermScenario]=$E$62)
*(tblBaseCFResult[IntRateScenario]=H$64),"")</f>
        <v>151928.2767507</v>
      </c>
      <c r="I114" s="157" cm="1">
        <f t="array" ref="I114">_xlfn._xlws.FILTER(ROUND(tblBaseCFResult[EndPAV],-3)/1000,
(tblBaseCFResult[Year]=$A114)
*(tblBaseCFResult[Risk]=$E$61)
*(tblBaseCFResult[PremTermScenario]=$E$62)
*(tblBaseCFResult[IntRateScenario]=I$64),"")</f>
        <v>154388</v>
      </c>
      <c r="J114" s="157" cm="1">
        <f t="array" ref="J114">_xlfn._xlws.FILTER(ROUND(tblBaseCFResult[SV],-3)/1000,
(tblBaseCFResult[Year]=$A114)
*(tblBaseCFResult[Risk]=$E$61)
*(tblBaseCFResult[PremTermScenario]=$E$62)
*(tblBaseCFResult[IntRateScenario]=J$64),"")</f>
        <v>151928</v>
      </c>
      <c r="K114" s="157" cm="1">
        <f t="array" ref="K114">_xlfn._xlws.FILTER(tblBaseCFResult[Ben]/1000,
(tblBaseCFResult[Year]=$A114)
*(tblBaseCFResult[Risk]=$E$61)
*(tblBaseCFResult[PremTermScenario]=$E$62)
*(tblBaseCFResult[IntRateScenario]=K$64),"")</f>
        <v>488179.50716260599</v>
      </c>
      <c r="L114" s="157" cm="1">
        <f t="array" ref="L114">_xlfn._xlws.FILTER(ROUND(tblBaseCFResult[EndPAV],-3)/1000,
(tblBaseCFResult[Year]=$A114)
*(tblBaseCFResult[Risk]=$E$61)
*(tblBaseCFResult[PremTermScenario]=$E$62)
*(tblBaseCFResult[IntRateScenario]=L$64),"")</f>
        <v>512000</v>
      </c>
      <c r="M114" s="157" cm="1">
        <f t="array" ref="M114">_xlfn._xlws.FILTER(ROUND(tblBaseCFResult[SV],-3)/1000,
(tblBaseCFResult[Year]=$A114)
*(tblBaseCFResult[Risk]=$E$61)
*(tblBaseCFResult[PremTermScenario]=$E$62)
*(tblBaseCFResult[IntRateScenario]=M$64),"")</f>
        <v>488180</v>
      </c>
      <c r="N114" s="157" cm="1">
        <f t="array" ref="N114">_xlfn._xlws.FILTER(tblBaseCFResult[Ben]/1000,
(tblBaseCFResult[Year]=$A114)
*(tblBaseCFResult[Risk]=$E$61)
*(tblBaseCFResult[PremTermScenario]=$E$62)
*(tblBaseCFResult[IntRateScenario]=N$64),"")</f>
        <v>1046121.16240409</v>
      </c>
      <c r="O114" s="157" cm="1">
        <f t="array" ref="O114">_xlfn._xlws.FILTER(ROUND(tblBaseCFResult[EndPAV],-3)/1000,
(tblBaseCFResult[Year]=$A114)
*(tblBaseCFResult[Risk]=$E$61)
*(tblBaseCFResult[PremTermScenario]=$E$62)
*(tblBaseCFResult[IntRateScenario]=O$64),"")</f>
        <v>1118755</v>
      </c>
      <c r="P114" s="157" cm="1">
        <f t="array" ref="P114">_xlfn._xlws.FILTER(ROUND(tblBaseCFResult[SV],-3)/1000,
(tblBaseCFResult[Year]=$A114)
*(tblBaseCFResult[Risk]=$E$61)
*(tblBaseCFResult[PremTermScenario]=$E$62)
*(tblBaseCFResult[IntRateScenario]=P$64),"")</f>
        <v>1046121</v>
      </c>
      <c r="Q114" s="154"/>
      <c r="R114" s="156"/>
      <c r="S114" s="154"/>
      <c r="T114" s="155">
        <v>47</v>
      </c>
      <c r="U114" s="155">
        <f t="shared" si="15"/>
        <v>46</v>
      </c>
      <c r="W114" s="154"/>
      <c r="X114" s="153" t="str">
        <f t="shared" si="16"/>
        <v>47/46</v>
      </c>
      <c r="Y114" s="152" cm="1">
        <f t="array" ref="Y114">_xlfn._xlws.FILTER(tblBaseCFResult[TP]/1000,
(tblBaseCFResult[Year]=$T114)
*(tblBaseCFResult[Risk]=$Y$61)
*(tblBaseCFResult[PremTermScenario]=$Y$62)
*(tblBaseCFResult[IntRateScenario]=Y$64),"")</f>
        <v>0</v>
      </c>
      <c r="Z114" s="152" cm="1">
        <f t="array" ref="Z114">_xlfn._xlws.FILTER(tblBaseCFResult[EP]/1000,
(tblBaseCFResult[Year]=$T114)
*(tblBaseCFResult[Risk]=$Y$61)
*(tblBaseCFResult[PremTermScenario]=$Y$62)
*(tblBaseCFResult[IntRateScenario]=Z$64),"")</f>
        <v>0</v>
      </c>
      <c r="AA114" s="152">
        <f t="shared" si="17"/>
        <v>0</v>
      </c>
      <c r="AB114" s="152" cm="1">
        <f t="array" ref="AB114">_xlfn._xlws.FILTER(ROUND(tblBaseCFResult[AllocChrg],-3)/1000,
(tblBaseCFResult[Year]=$T114)
*(tblBaseCFResult[Risk]=$Y$61)
*(tblBaseCFResult[PremTermScenario]=$Y$62)
*(tblBaseCFResult[IntRateScenario]=AB$64),"")</f>
        <v>0</v>
      </c>
      <c r="AC114" s="152" cm="1">
        <f t="array" ref="AC114">_xlfn._xlws.FILTER(ROUND(tblBaseCFResult[EPAllocChrg],-3)/1000,
(tblBaseCFResult[Year]=$T114)
*(tblBaseCFResult[Risk]=$Y$61)
*(tblBaseCFResult[PremTermScenario]=$Y$62)
*(tblBaseCFResult[IntRateScenario]=AC$64),"")</f>
        <v>0</v>
      </c>
      <c r="AD114" s="152">
        <f t="shared" si="18"/>
        <v>0</v>
      </c>
      <c r="AE114" s="152">
        <f t="shared" si="19"/>
        <v>0</v>
      </c>
      <c r="AF114" s="152">
        <f t="shared" si="20"/>
        <v>0</v>
      </c>
      <c r="AG114" s="152">
        <f t="shared" si="21"/>
        <v>0</v>
      </c>
      <c r="AH114" s="152" cm="1">
        <f t="array" ref="AH114">_xlfn._xlws.FILTER(ROUND(tblBaseCFResult[AdminChrg],-3)/1000,
(tblBaseCFResult[Year]=$T114)
*(tblBaseCFResult[Risk]=$Y$61)
*(tblBaseCFResult[PremTermScenario]=$Y$62)
*(tblBaseCFResult[IntRateScenario]=AH$64),"")</f>
        <v>300</v>
      </c>
      <c r="AI114" s="152" cm="1">
        <f t="array" ref="AI114">_xlfn._xlws.FILTER(ROUND(tblBaseCFResult[COI],-3)/1000,
(tblBaseCFResult[Year]=$T114)
*(tblBaseCFResult[Risk]=$Y$61)
*(tblBaseCFResult[PremTermScenario]=$Y$62)
*(tblBaseCFResult[IntRateScenario]=AI$64),"")</f>
        <v>273</v>
      </c>
      <c r="AJ114" s="152" cm="1">
        <f t="array" ref="AJ114">_xlfn._xlws.FILTER(ROUND(tblBaseCFResult[AdminChrg],-3)/1000,
(tblBaseCFResult[Year]=$T114)
*(tblBaseCFResult[Risk]=$Y$61)
*(tblBaseCFResult[PremTermScenario]=$Y$62)
*(tblBaseCFResult[IntRateScenario]=AJ$64),"")</f>
        <v>300</v>
      </c>
      <c r="AK114" s="152" cm="1">
        <f t="array" ref="AK114">_xlfn._xlws.FILTER(ROUND(tblBaseCFResult[COI],-3)/1000,
(tblBaseCFResult[Year]=$T114)
*(tblBaseCFResult[Risk]=$Y$61)
*(tblBaseCFResult[PremTermScenario]=$Y$62)
*(tblBaseCFResult[IntRateScenario]=AK$64),"")</f>
        <v>273</v>
      </c>
    </row>
    <row r="115" spans="1:37" ht="15" customHeight="1" x14ac:dyDescent="0.25">
      <c r="A115" s="155">
        <v>48</v>
      </c>
      <c r="B115" s="155">
        <f t="shared" si="13"/>
        <v>47</v>
      </c>
      <c r="C115" s="154"/>
      <c r="D115" s="153" t="str">
        <f t="shared" si="14"/>
        <v>48/47</v>
      </c>
      <c r="E115" s="157" cm="1">
        <f t="array" ref="E115">_xlfn._xlws.FILTER(tblBaseCFResult[TotalPrem]/1000,
(tblBaseCFResult[Year]=$A115)
*(tblBaseCFResult[Risk]=$E$61)
*(tblBaseCFResult[PremTermScenario]=$E$62)
*(tblBaseCFResult[IntRateScenario]=E$64),"")</f>
        <v>0</v>
      </c>
      <c r="F115" s="157" cm="1">
        <f t="array" ref="F115">_xlfn._xlws.FILTER(tblBaseCFResult[AccumTotalPrem]/1000,
(tblBaseCFResult[Year]=$A115)
*(tblBaseCFResult[Risk]=$E$61)
*(tblBaseCFResult[PremTermScenario]=$E$62)
*(tblBaseCFResult[IntRateScenario]=F$64),"")</f>
        <v>0</v>
      </c>
      <c r="G115" s="157" cm="1">
        <f t="array" ref="G115">_xlfn._xlws.FILTER(ROUND(tblBaseCFResult[SemiAnnualTotalPrem],-3)/1000,
(tblBaseCFResult[Year]=$A115)
*(tblBaseCFResult[Risk]=$E$61)
*(tblBaseCFResult[PremTermScenario]=$E$62)
*(tblBaseCFResult[IntRateScenario]=G$64),"")</f>
        <v>0</v>
      </c>
      <c r="H115" s="157" cm="1">
        <f t="array" ref="H115">_xlfn._xlws.FILTER(tblBaseCFResult[Ben]/1000,
(tblBaseCFResult[Year]=$A115)
*(tblBaseCFResult[Risk]=$E$61)
*(tblBaseCFResult[PremTermScenario]=$E$62)
*(tblBaseCFResult[IntRateScenario]=H$64),"")</f>
        <v>154387.95680593699</v>
      </c>
      <c r="I115" s="157" cm="1">
        <f t="array" ref="I115">_xlfn._xlws.FILTER(ROUND(tblBaseCFResult[EndPAV],-3)/1000,
(tblBaseCFResult[Year]=$A115)
*(tblBaseCFResult[Risk]=$E$61)
*(tblBaseCFResult[PremTermScenario]=$E$62)
*(tblBaseCFResult[IntRateScenario]=I$64),"")</f>
        <v>156897</v>
      </c>
      <c r="J115" s="157" cm="1">
        <f t="array" ref="J115">_xlfn._xlws.FILTER(ROUND(tblBaseCFResult[SV],-3)/1000,
(tblBaseCFResult[Year]=$A115)
*(tblBaseCFResult[Risk]=$E$61)
*(tblBaseCFResult[PremTermScenario]=$E$62)
*(tblBaseCFResult[IntRateScenario]=J$64),"")</f>
        <v>154388</v>
      </c>
      <c r="K115" s="157" cm="1">
        <f t="array" ref="K115">_xlfn._xlws.FILTER(tblBaseCFResult[Ben]/1000,
(tblBaseCFResult[Year]=$A115)
*(tblBaseCFResult[Risk]=$E$61)
*(tblBaseCFResult[PremTermScenario]=$E$62)
*(tblBaseCFResult[IntRateScenario]=K$64),"")</f>
        <v>512000.38750813698</v>
      </c>
      <c r="L115" s="157" cm="1">
        <f t="array" ref="L115">_xlfn._xlws.FILTER(ROUND(tblBaseCFResult[EndPAV],-3)/1000,
(tblBaseCFResult[Year]=$A115)
*(tblBaseCFResult[Risk]=$E$61)
*(tblBaseCFResult[PremTermScenario]=$E$62)
*(tblBaseCFResult[IntRateScenario]=L$64),"")</f>
        <v>537012</v>
      </c>
      <c r="M115" s="157" cm="1">
        <f t="array" ref="M115">_xlfn._xlws.FILTER(ROUND(tblBaseCFResult[SV],-3)/1000,
(tblBaseCFResult[Year]=$A115)
*(tblBaseCFResult[Risk]=$E$61)
*(tblBaseCFResult[PremTermScenario]=$E$62)
*(tblBaseCFResult[IntRateScenario]=M$64),"")</f>
        <v>512000</v>
      </c>
      <c r="N115" s="157" cm="1">
        <f t="array" ref="N115">_xlfn._xlws.FILTER(tblBaseCFResult[Ben]/1000,
(tblBaseCFResult[Year]=$A115)
*(tblBaseCFResult[Risk]=$E$61)
*(tblBaseCFResult[PremTermScenario]=$E$62)
*(tblBaseCFResult[IntRateScenario]=N$64),"")</f>
        <v>1118755.4533411099</v>
      </c>
      <c r="O115" s="157" cm="1">
        <f t="array" ref="O115">_xlfn._xlws.FILTER(ROUND(tblBaseCFResult[EndPAV],-3)/1000,
(tblBaseCFResult[Year]=$A115)
*(tblBaseCFResult[Risk]=$E$61)
*(tblBaseCFResult[PremTermScenario]=$E$62)
*(tblBaseCFResult[IntRateScenario]=O$64),"")</f>
        <v>1196474</v>
      </c>
      <c r="P115" s="157" cm="1">
        <f t="array" ref="P115">_xlfn._xlws.FILTER(ROUND(tblBaseCFResult[SV],-3)/1000,
(tblBaseCFResult[Year]=$A115)
*(tblBaseCFResult[Risk]=$E$61)
*(tblBaseCFResult[PremTermScenario]=$E$62)
*(tblBaseCFResult[IntRateScenario]=P$64),"")</f>
        <v>1118755</v>
      </c>
      <c r="Q115" s="154"/>
      <c r="R115" s="156"/>
      <c r="S115" s="154"/>
      <c r="T115" s="155">
        <v>48</v>
      </c>
      <c r="U115" s="155">
        <f t="shared" si="15"/>
        <v>47</v>
      </c>
      <c r="W115" s="154"/>
      <c r="X115" s="153" t="str">
        <f t="shared" si="16"/>
        <v>48/47</v>
      </c>
      <c r="Y115" s="152" cm="1">
        <f t="array" ref="Y115">_xlfn._xlws.FILTER(tblBaseCFResult[TP]/1000,
(tblBaseCFResult[Year]=$T115)
*(tblBaseCFResult[Risk]=$Y$61)
*(tblBaseCFResult[PremTermScenario]=$Y$62)
*(tblBaseCFResult[IntRateScenario]=Y$64),"")</f>
        <v>0</v>
      </c>
      <c r="Z115" s="152" cm="1">
        <f t="array" ref="Z115">_xlfn._xlws.FILTER(tblBaseCFResult[EP]/1000,
(tblBaseCFResult[Year]=$T115)
*(tblBaseCFResult[Risk]=$Y$61)
*(tblBaseCFResult[PremTermScenario]=$Y$62)
*(tblBaseCFResult[IntRateScenario]=Z$64),"")</f>
        <v>0</v>
      </c>
      <c r="AA115" s="152">
        <f t="shared" si="17"/>
        <v>0</v>
      </c>
      <c r="AB115" s="152" cm="1">
        <f t="array" ref="AB115">_xlfn._xlws.FILTER(ROUND(tblBaseCFResult[AllocChrg],-3)/1000,
(tblBaseCFResult[Year]=$T115)
*(tblBaseCFResult[Risk]=$Y$61)
*(tblBaseCFResult[PremTermScenario]=$Y$62)
*(tblBaseCFResult[IntRateScenario]=AB$64),"")</f>
        <v>0</v>
      </c>
      <c r="AC115" s="152" cm="1">
        <f t="array" ref="AC115">_xlfn._xlws.FILTER(ROUND(tblBaseCFResult[EPAllocChrg],-3)/1000,
(tblBaseCFResult[Year]=$T115)
*(tblBaseCFResult[Risk]=$Y$61)
*(tblBaseCFResult[PremTermScenario]=$Y$62)
*(tblBaseCFResult[IntRateScenario]=AC$64),"")</f>
        <v>0</v>
      </c>
      <c r="AD115" s="152">
        <f t="shared" si="18"/>
        <v>0</v>
      </c>
      <c r="AE115" s="152">
        <f t="shared" si="19"/>
        <v>0</v>
      </c>
      <c r="AF115" s="152">
        <f t="shared" si="20"/>
        <v>0</v>
      </c>
      <c r="AG115" s="152">
        <f t="shared" si="21"/>
        <v>0</v>
      </c>
      <c r="AH115" s="152" cm="1">
        <f t="array" ref="AH115">_xlfn._xlws.FILTER(ROUND(tblBaseCFResult[AdminChrg],-3)/1000,
(tblBaseCFResult[Year]=$T115)
*(tblBaseCFResult[Risk]=$Y$61)
*(tblBaseCFResult[PremTermScenario]=$Y$62)
*(tblBaseCFResult[IntRateScenario]=AH$64),"")</f>
        <v>300</v>
      </c>
      <c r="AI115" s="152" cm="1">
        <f t="array" ref="AI115">_xlfn._xlws.FILTER(ROUND(tblBaseCFResult[COI],-3)/1000,
(tblBaseCFResult[Year]=$T115)
*(tblBaseCFResult[Risk]=$Y$61)
*(tblBaseCFResult[PremTermScenario]=$Y$62)
*(tblBaseCFResult[IntRateScenario]=AI$64),"")</f>
        <v>273</v>
      </c>
      <c r="AJ115" s="152" cm="1">
        <f t="array" ref="AJ115">_xlfn._xlws.FILTER(ROUND(tblBaseCFResult[AdminChrg],-3)/1000,
(tblBaseCFResult[Year]=$T115)
*(tblBaseCFResult[Risk]=$Y$61)
*(tblBaseCFResult[PremTermScenario]=$Y$62)
*(tblBaseCFResult[IntRateScenario]=AJ$64),"")</f>
        <v>300</v>
      </c>
      <c r="AK115" s="152" cm="1">
        <f t="array" ref="AK115">_xlfn._xlws.FILTER(ROUND(tblBaseCFResult[COI],-3)/1000,
(tblBaseCFResult[Year]=$T115)
*(tblBaseCFResult[Risk]=$Y$61)
*(tblBaseCFResult[PremTermScenario]=$Y$62)
*(tblBaseCFResult[IntRateScenario]=AK$64),"")</f>
        <v>273</v>
      </c>
    </row>
    <row r="116" spans="1:37" ht="15" customHeight="1" x14ac:dyDescent="0.25">
      <c r="A116" s="155">
        <v>49</v>
      </c>
      <c r="B116" s="155">
        <f t="shared" si="13"/>
        <v>48</v>
      </c>
      <c r="C116" s="154"/>
      <c r="D116" s="153" t="str">
        <f t="shared" si="14"/>
        <v>49/48</v>
      </c>
      <c r="E116" s="157" cm="1">
        <f t="array" ref="E116">_xlfn._xlws.FILTER(tblBaseCFResult[TotalPrem]/1000,
(tblBaseCFResult[Year]=$A116)
*(tblBaseCFResult[Risk]=$E$61)
*(tblBaseCFResult[PremTermScenario]=$E$62)
*(tblBaseCFResult[IntRateScenario]=E$64),"")</f>
        <v>0</v>
      </c>
      <c r="F116" s="157" cm="1">
        <f t="array" ref="F116">_xlfn._xlws.FILTER(tblBaseCFResult[AccumTotalPrem]/1000,
(tblBaseCFResult[Year]=$A116)
*(tblBaseCFResult[Risk]=$E$61)
*(tblBaseCFResult[PremTermScenario]=$E$62)
*(tblBaseCFResult[IntRateScenario]=F$64),"")</f>
        <v>0</v>
      </c>
      <c r="G116" s="157" cm="1">
        <f t="array" ref="G116">_xlfn._xlws.FILTER(ROUND(tblBaseCFResult[SemiAnnualTotalPrem],-3)/1000,
(tblBaseCFResult[Year]=$A116)
*(tblBaseCFResult[Risk]=$E$61)
*(tblBaseCFResult[PremTermScenario]=$E$62)
*(tblBaseCFResult[IntRateScenario]=G$64),"")</f>
        <v>0</v>
      </c>
      <c r="H116" s="157" cm="1">
        <f t="array" ref="H116">_xlfn._xlws.FILTER(tblBaseCFResult[Ben]/1000,
(tblBaseCFResult[Year]=$A116)
*(tblBaseCFResult[Risk]=$E$61)
*(tblBaseCFResult[PremTermScenario]=$E$62)
*(tblBaseCFResult[IntRateScenario]=H$64),"")</f>
        <v>156896.830462279</v>
      </c>
      <c r="I116" s="157" cm="1">
        <f t="array" ref="I116">_xlfn._xlws.FILTER(ROUND(tblBaseCFResult[EndPAV],-3)/1000,
(tblBaseCFResult[Year]=$A116)
*(tblBaseCFResult[Risk]=$E$61)
*(tblBaseCFResult[PremTermScenario]=$E$62)
*(tblBaseCFResult[IntRateScenario]=I$64),"")</f>
        <v>159456</v>
      </c>
      <c r="J116" s="157" cm="1">
        <f t="array" ref="J116">_xlfn._xlws.FILTER(ROUND(tblBaseCFResult[SV],-3)/1000,
(tblBaseCFResult[Year]=$A116)
*(tblBaseCFResult[Risk]=$E$61)
*(tblBaseCFResult[PremTermScenario]=$E$62)
*(tblBaseCFResult[IntRateScenario]=J$64),"")</f>
        <v>156897</v>
      </c>
      <c r="K116" s="157" cm="1">
        <f t="array" ref="K116">_xlfn._xlws.FILTER(tblBaseCFResult[Ben]/1000,
(tblBaseCFResult[Year]=$A116)
*(tblBaseCFResult[Risk]=$E$61)
*(tblBaseCFResult[PremTermScenario]=$E$62)
*(tblBaseCFResult[IntRateScenario]=K$64),"")</f>
        <v>537012.31187094294</v>
      </c>
      <c r="L116" s="157" cm="1">
        <f t="array" ref="L116">_xlfn._xlws.FILTER(ROUND(tblBaseCFResult[EndPAV],-3)/1000,
(tblBaseCFResult[Year]=$A116)
*(tblBaseCFResult[Risk]=$E$61)
*(tblBaseCFResult[PremTermScenario]=$E$62)
*(tblBaseCFResult[IntRateScenario]=L$64),"")</f>
        <v>563275</v>
      </c>
      <c r="M116" s="157" cm="1">
        <f t="array" ref="M116">_xlfn._xlws.FILTER(ROUND(tblBaseCFResult[SV],-3)/1000,
(tblBaseCFResult[Year]=$A116)
*(tblBaseCFResult[Risk]=$E$61)
*(tblBaseCFResult[PremTermScenario]=$E$62)
*(tblBaseCFResult[IntRateScenario]=M$64),"")</f>
        <v>537012</v>
      </c>
      <c r="N116" s="157" cm="1">
        <f t="array" ref="N116">_xlfn._xlws.FILTER(tblBaseCFResult[Ben]/1000,
(tblBaseCFResult[Year]=$A116)
*(tblBaseCFResult[Risk]=$E$61)
*(tblBaseCFResult[PremTermScenario]=$E$62)
*(tblBaseCFResult[IntRateScenario]=N$64),"")</f>
        <v>1196474.14464371</v>
      </c>
      <c r="O116" s="157" cm="1">
        <f t="array" ref="O116">_xlfn._xlws.FILTER(ROUND(tblBaseCFResult[EndPAV],-3)/1000,
(tblBaseCFResult[Year]=$A116)
*(tblBaseCFResult[Risk]=$E$61)
*(tblBaseCFResult[PremTermScenario]=$E$62)
*(tblBaseCFResult[IntRateScenario]=O$64),"")</f>
        <v>1279633</v>
      </c>
      <c r="P116" s="157" cm="1">
        <f t="array" ref="P116">_xlfn._xlws.FILTER(ROUND(tblBaseCFResult[SV],-3)/1000,
(tblBaseCFResult[Year]=$A116)
*(tblBaseCFResult[Risk]=$E$61)
*(tblBaseCFResult[PremTermScenario]=$E$62)
*(tblBaseCFResult[IntRateScenario]=P$64),"")</f>
        <v>1196474</v>
      </c>
      <c r="Q116" s="154"/>
      <c r="R116" s="156"/>
      <c r="S116" s="154"/>
      <c r="T116" s="155">
        <v>49</v>
      </c>
      <c r="U116" s="155">
        <f t="shared" si="15"/>
        <v>48</v>
      </c>
      <c r="W116" s="154"/>
      <c r="X116" s="153" t="str">
        <f t="shared" si="16"/>
        <v>49/48</v>
      </c>
      <c r="Y116" s="152" cm="1">
        <f t="array" ref="Y116">_xlfn._xlws.FILTER(tblBaseCFResult[TP]/1000,
(tblBaseCFResult[Year]=$T116)
*(tblBaseCFResult[Risk]=$Y$61)
*(tblBaseCFResult[PremTermScenario]=$Y$62)
*(tblBaseCFResult[IntRateScenario]=Y$64),"")</f>
        <v>0</v>
      </c>
      <c r="Z116" s="152" cm="1">
        <f t="array" ref="Z116">_xlfn._xlws.FILTER(tblBaseCFResult[EP]/1000,
(tblBaseCFResult[Year]=$T116)
*(tblBaseCFResult[Risk]=$Y$61)
*(tblBaseCFResult[PremTermScenario]=$Y$62)
*(tblBaseCFResult[IntRateScenario]=Z$64),"")</f>
        <v>0</v>
      </c>
      <c r="AA116" s="152">
        <f t="shared" si="17"/>
        <v>0</v>
      </c>
      <c r="AB116" s="152" cm="1">
        <f t="array" ref="AB116">_xlfn._xlws.FILTER(ROUND(tblBaseCFResult[AllocChrg],-3)/1000,
(tblBaseCFResult[Year]=$T116)
*(tblBaseCFResult[Risk]=$Y$61)
*(tblBaseCFResult[PremTermScenario]=$Y$62)
*(tblBaseCFResult[IntRateScenario]=AB$64),"")</f>
        <v>0</v>
      </c>
      <c r="AC116" s="152" cm="1">
        <f t="array" ref="AC116">_xlfn._xlws.FILTER(ROUND(tblBaseCFResult[EPAllocChrg],-3)/1000,
(tblBaseCFResult[Year]=$T116)
*(tblBaseCFResult[Risk]=$Y$61)
*(tblBaseCFResult[PremTermScenario]=$Y$62)
*(tblBaseCFResult[IntRateScenario]=AC$64),"")</f>
        <v>0</v>
      </c>
      <c r="AD116" s="152">
        <f t="shared" si="18"/>
        <v>0</v>
      </c>
      <c r="AE116" s="152">
        <f t="shared" si="19"/>
        <v>0</v>
      </c>
      <c r="AF116" s="152">
        <f t="shared" si="20"/>
        <v>0</v>
      </c>
      <c r="AG116" s="152">
        <f t="shared" si="21"/>
        <v>0</v>
      </c>
      <c r="AH116" s="152" cm="1">
        <f t="array" ref="AH116">_xlfn._xlws.FILTER(ROUND(tblBaseCFResult[AdminChrg],-3)/1000,
(tblBaseCFResult[Year]=$T116)
*(tblBaseCFResult[Risk]=$Y$61)
*(tblBaseCFResult[PremTermScenario]=$Y$62)
*(tblBaseCFResult[IntRateScenario]=AH$64),"")</f>
        <v>300</v>
      </c>
      <c r="AI116" s="152" cm="1">
        <f t="array" ref="AI116">_xlfn._xlws.FILTER(ROUND(tblBaseCFResult[COI],-3)/1000,
(tblBaseCFResult[Year]=$T116)
*(tblBaseCFResult[Risk]=$Y$61)
*(tblBaseCFResult[PremTermScenario]=$Y$62)
*(tblBaseCFResult[IntRateScenario]=AI$64),"")</f>
        <v>273</v>
      </c>
      <c r="AJ116" s="152" cm="1">
        <f t="array" ref="AJ116">_xlfn._xlws.FILTER(ROUND(tblBaseCFResult[AdminChrg],-3)/1000,
(tblBaseCFResult[Year]=$T116)
*(tblBaseCFResult[Risk]=$Y$61)
*(tblBaseCFResult[PremTermScenario]=$Y$62)
*(tblBaseCFResult[IntRateScenario]=AJ$64),"")</f>
        <v>300</v>
      </c>
      <c r="AK116" s="152" cm="1">
        <f t="array" ref="AK116">_xlfn._xlws.FILTER(ROUND(tblBaseCFResult[COI],-3)/1000,
(tblBaseCFResult[Year]=$T116)
*(tblBaseCFResult[Risk]=$Y$61)
*(tblBaseCFResult[PremTermScenario]=$Y$62)
*(tblBaseCFResult[IntRateScenario]=AK$64),"")</f>
        <v>273</v>
      </c>
    </row>
    <row r="117" spans="1:37" ht="15" customHeight="1" x14ac:dyDescent="0.25">
      <c r="A117" s="155">
        <v>50</v>
      </c>
      <c r="B117" s="155">
        <f t="shared" si="13"/>
        <v>49</v>
      </c>
      <c r="C117" s="154"/>
      <c r="D117" s="153" t="str">
        <f t="shared" si="14"/>
        <v>50/49</v>
      </c>
      <c r="E117" s="157" cm="1">
        <f t="array" ref="E117">_xlfn._xlws.FILTER(tblBaseCFResult[TotalPrem]/1000,
(tblBaseCFResult[Year]=$A117)
*(tblBaseCFResult[Risk]=$E$61)
*(tblBaseCFResult[PremTermScenario]=$E$62)
*(tblBaseCFResult[IntRateScenario]=E$64),"")</f>
        <v>0</v>
      </c>
      <c r="F117" s="157" cm="1">
        <f t="array" ref="F117">_xlfn._xlws.FILTER(tblBaseCFResult[AccumTotalPrem]/1000,
(tblBaseCFResult[Year]=$A117)
*(tblBaseCFResult[Risk]=$E$61)
*(tblBaseCFResult[PremTermScenario]=$E$62)
*(tblBaseCFResult[IntRateScenario]=F$64),"")</f>
        <v>0</v>
      </c>
      <c r="G117" s="157" cm="1">
        <f t="array" ref="G117">_xlfn._xlws.FILTER(ROUND(tblBaseCFResult[SemiAnnualTotalPrem],-3)/1000,
(tblBaseCFResult[Year]=$A117)
*(tblBaseCFResult[Risk]=$E$61)
*(tblBaseCFResult[PremTermScenario]=$E$62)
*(tblBaseCFResult[IntRateScenario]=G$64),"")</f>
        <v>0</v>
      </c>
      <c r="H117" s="157" cm="1">
        <f t="array" ref="H117">_xlfn._xlws.FILTER(tblBaseCFResult[Ben]/1000,
(tblBaseCFResult[Year]=$A117)
*(tblBaseCFResult[Risk]=$E$61)
*(tblBaseCFResult[PremTermScenario]=$E$62)
*(tblBaseCFResult[IntRateScenario]=H$64),"")</f>
        <v>159455.88159174801</v>
      </c>
      <c r="I117" s="157" cm="1">
        <f t="array" ref="I117">_xlfn._xlws.FILTER(ROUND(tblBaseCFResult[EndPAV],-3)/1000,
(tblBaseCFResult[Year]=$A117)
*(tblBaseCFResult[Risk]=$E$61)
*(tblBaseCFResult[PremTermScenario]=$E$62)
*(tblBaseCFResult[IntRateScenario]=I$64),"")</f>
        <v>162066</v>
      </c>
      <c r="J117" s="157" cm="1">
        <f t="array" ref="J117">_xlfn._xlws.FILTER(ROUND(tblBaseCFResult[SV],-3)/1000,
(tblBaseCFResult[Year]=$A117)
*(tblBaseCFResult[Risk]=$E$61)
*(tblBaseCFResult[PremTermScenario]=$E$62)
*(tblBaseCFResult[IntRateScenario]=J$64),"")</f>
        <v>159456</v>
      </c>
      <c r="K117" s="157" cm="1">
        <f t="array" ref="K117">_xlfn._xlws.FILTER(tblBaseCFResult[Ben]/1000,
(tblBaseCFResult[Year]=$A117)
*(tblBaseCFResult[Risk]=$E$61)
*(tblBaseCFResult[PremTermScenario]=$E$62)
*(tblBaseCFResult[IntRateScenario]=K$64),"")</f>
        <v>563274.83245188999</v>
      </c>
      <c r="L117" s="157" cm="1">
        <f t="array" ref="L117">_xlfn._xlws.FILTER(ROUND(tblBaseCFResult[EndPAV],-3)/1000,
(tblBaseCFResult[Year]=$A117)
*(tblBaseCFResult[Risk]=$E$61)
*(tblBaseCFResult[PremTermScenario]=$E$62)
*(tblBaseCFResult[IntRateScenario]=L$64),"")</f>
        <v>590850</v>
      </c>
      <c r="M117" s="157" cm="1">
        <f t="array" ref="M117">_xlfn._xlws.FILTER(ROUND(tblBaseCFResult[SV],-3)/1000,
(tblBaseCFResult[Year]=$A117)
*(tblBaseCFResult[Risk]=$E$61)
*(tblBaseCFResult[PremTermScenario]=$E$62)
*(tblBaseCFResult[IntRateScenario]=M$64),"")</f>
        <v>563275</v>
      </c>
      <c r="N117" s="157" cm="1">
        <f t="array" ref="N117">_xlfn._xlws.FILTER(tblBaseCFResult[Ben]/1000,
(tblBaseCFResult[Year]=$A117)
*(tblBaseCFResult[Risk]=$E$61)
*(tblBaseCFResult[PremTermScenario]=$E$62)
*(tblBaseCFResult[IntRateScenario]=N$64),"")</f>
        <v>1279633.1443375</v>
      </c>
      <c r="O117" s="157" cm="1">
        <f t="array" ref="O117">_xlfn._xlws.FILTER(ROUND(tblBaseCFResult[EndPAV],-3)/1000,
(tblBaseCFResult[Year]=$A117)
*(tblBaseCFResult[Risk]=$E$61)
*(tblBaseCFResult[PremTermScenario]=$E$62)
*(tblBaseCFResult[IntRateScenario]=O$64),"")</f>
        <v>1368613</v>
      </c>
      <c r="P117" s="157" cm="1">
        <f t="array" ref="P117">_xlfn._xlws.FILTER(ROUND(tblBaseCFResult[SV],-3)/1000,
(tblBaseCFResult[Year]=$A117)
*(tblBaseCFResult[Risk]=$E$61)
*(tblBaseCFResult[PremTermScenario]=$E$62)
*(tblBaseCFResult[IntRateScenario]=P$64),"")</f>
        <v>1279633</v>
      </c>
      <c r="Q117" s="154"/>
      <c r="R117" s="156"/>
      <c r="S117" s="154"/>
      <c r="T117" s="155">
        <v>50</v>
      </c>
      <c r="U117" s="155">
        <f t="shared" si="15"/>
        <v>49</v>
      </c>
      <c r="W117" s="154"/>
      <c r="X117" s="153" t="str">
        <f t="shared" si="16"/>
        <v>50/49</v>
      </c>
      <c r="Y117" s="152" cm="1">
        <f t="array" ref="Y117">_xlfn._xlws.FILTER(tblBaseCFResult[TP]/1000,
(tblBaseCFResult[Year]=$T117)
*(tblBaseCFResult[Risk]=$Y$61)
*(tblBaseCFResult[PremTermScenario]=$Y$62)
*(tblBaseCFResult[IntRateScenario]=Y$64),"")</f>
        <v>0</v>
      </c>
      <c r="Z117" s="152" cm="1">
        <f t="array" ref="Z117">_xlfn._xlws.FILTER(tblBaseCFResult[EP]/1000,
(tblBaseCFResult[Year]=$T117)
*(tblBaseCFResult[Risk]=$Y$61)
*(tblBaseCFResult[PremTermScenario]=$Y$62)
*(tblBaseCFResult[IntRateScenario]=Z$64),"")</f>
        <v>0</v>
      </c>
      <c r="AA117" s="152">
        <f t="shared" si="17"/>
        <v>0</v>
      </c>
      <c r="AB117" s="152" cm="1">
        <f t="array" ref="AB117">_xlfn._xlws.FILTER(ROUND(tblBaseCFResult[AllocChrg],-3)/1000,
(tblBaseCFResult[Year]=$T117)
*(tblBaseCFResult[Risk]=$Y$61)
*(tblBaseCFResult[PremTermScenario]=$Y$62)
*(tblBaseCFResult[IntRateScenario]=AB$64),"")</f>
        <v>0</v>
      </c>
      <c r="AC117" s="152" cm="1">
        <f t="array" ref="AC117">_xlfn._xlws.FILTER(ROUND(tblBaseCFResult[EPAllocChrg],-3)/1000,
(tblBaseCFResult[Year]=$T117)
*(tblBaseCFResult[Risk]=$Y$61)
*(tblBaseCFResult[PremTermScenario]=$Y$62)
*(tblBaseCFResult[IntRateScenario]=AC$64),"")</f>
        <v>0</v>
      </c>
      <c r="AD117" s="152">
        <f t="shared" si="18"/>
        <v>0</v>
      </c>
      <c r="AE117" s="152">
        <f t="shared" si="19"/>
        <v>0</v>
      </c>
      <c r="AF117" s="152">
        <f t="shared" si="20"/>
        <v>0</v>
      </c>
      <c r="AG117" s="152">
        <f t="shared" si="21"/>
        <v>0</v>
      </c>
      <c r="AH117" s="152" cm="1">
        <f t="array" ref="AH117">_xlfn._xlws.FILTER(ROUND(tblBaseCFResult[AdminChrg],-3)/1000,
(tblBaseCFResult[Year]=$T117)
*(tblBaseCFResult[Risk]=$Y$61)
*(tblBaseCFResult[PremTermScenario]=$Y$62)
*(tblBaseCFResult[IntRateScenario]=AH$64),"")</f>
        <v>300</v>
      </c>
      <c r="AI117" s="152" cm="1">
        <f t="array" ref="AI117">_xlfn._xlws.FILTER(ROUND(tblBaseCFResult[COI],-3)/1000,
(tblBaseCFResult[Year]=$T117)
*(tblBaseCFResult[Risk]=$Y$61)
*(tblBaseCFResult[PremTermScenario]=$Y$62)
*(tblBaseCFResult[IntRateScenario]=AI$64),"")</f>
        <v>273</v>
      </c>
      <c r="AJ117" s="152" cm="1">
        <f t="array" ref="AJ117">_xlfn._xlws.FILTER(ROUND(tblBaseCFResult[AdminChrg],-3)/1000,
(tblBaseCFResult[Year]=$T117)
*(tblBaseCFResult[Risk]=$Y$61)
*(tblBaseCFResult[PremTermScenario]=$Y$62)
*(tblBaseCFResult[IntRateScenario]=AJ$64),"")</f>
        <v>300</v>
      </c>
      <c r="AK117" s="152" cm="1">
        <f t="array" ref="AK117">_xlfn._xlws.FILTER(ROUND(tblBaseCFResult[COI],-3)/1000,
(tblBaseCFResult[Year]=$T117)
*(tblBaseCFResult[Risk]=$Y$61)
*(tblBaseCFResult[PremTermScenario]=$Y$62)
*(tblBaseCFResult[IntRateScenario]=AK$64),"")</f>
        <v>273</v>
      </c>
    </row>
    <row r="118" spans="1:37" ht="15" customHeight="1" x14ac:dyDescent="0.25">
      <c r="A118" s="155">
        <v>51</v>
      </c>
      <c r="B118" s="155">
        <f t="shared" si="13"/>
        <v>50</v>
      </c>
      <c r="C118" s="154"/>
      <c r="D118" s="153" t="str">
        <f t="shared" si="14"/>
        <v>51/50</v>
      </c>
      <c r="E118" s="157" cm="1">
        <f t="array" ref="E118">_xlfn._xlws.FILTER(tblBaseCFResult[TotalPrem]/1000,
(tblBaseCFResult[Year]=$A118)
*(tblBaseCFResult[Risk]=$E$61)
*(tblBaseCFResult[PremTermScenario]=$E$62)
*(tblBaseCFResult[IntRateScenario]=E$64),"")</f>
        <v>0</v>
      </c>
      <c r="F118" s="157" cm="1">
        <f t="array" ref="F118">_xlfn._xlws.FILTER(tblBaseCFResult[AccumTotalPrem]/1000,
(tblBaseCFResult[Year]=$A118)
*(tblBaseCFResult[Risk]=$E$61)
*(tblBaseCFResult[PremTermScenario]=$E$62)
*(tblBaseCFResult[IntRateScenario]=F$64),"")</f>
        <v>0</v>
      </c>
      <c r="G118" s="157" cm="1">
        <f t="array" ref="G118">_xlfn._xlws.FILTER(ROUND(tblBaseCFResult[SemiAnnualTotalPrem],-3)/1000,
(tblBaseCFResult[Year]=$A118)
*(tblBaseCFResult[Risk]=$E$61)
*(tblBaseCFResult[PremTermScenario]=$E$62)
*(tblBaseCFResult[IntRateScenario]=G$64),"")</f>
        <v>0</v>
      </c>
      <c r="H118" s="157" cm="1">
        <f t="array" ref="H118">_xlfn._xlws.FILTER(tblBaseCFResult[Ben]/1000,
(tblBaseCFResult[Year]=$A118)
*(tblBaseCFResult[Risk]=$E$61)
*(tblBaseCFResult[PremTermScenario]=$E$62)
*(tblBaseCFResult[IntRateScenario]=H$64),"")</f>
        <v>162066.113743806</v>
      </c>
      <c r="I118" s="157" cm="1">
        <f t="array" ref="I118">_xlfn._xlws.FILTER(ROUND(tblBaseCFResult[EndPAV],-3)/1000,
(tblBaseCFResult[Year]=$A118)
*(tblBaseCFResult[Risk]=$E$61)
*(tblBaseCFResult[PremTermScenario]=$E$62)
*(tblBaseCFResult[IntRateScenario]=I$64),"")</f>
        <v>164729</v>
      </c>
      <c r="J118" s="157" cm="1">
        <f t="array" ref="J118">_xlfn._xlws.FILTER(ROUND(tblBaseCFResult[SV],-3)/1000,
(tblBaseCFResult[Year]=$A118)
*(tblBaseCFResult[Risk]=$E$61)
*(tblBaseCFResult[PremTermScenario]=$E$62)
*(tblBaseCFResult[IntRateScenario]=J$64),"")</f>
        <v>162066</v>
      </c>
      <c r="K118" s="157" cm="1">
        <f t="array" ref="K118">_xlfn._xlws.FILTER(tblBaseCFResult[Ben]/1000,
(tblBaseCFResult[Year]=$A118)
*(tblBaseCFResult[Risk]=$E$61)
*(tblBaseCFResult[PremTermScenario]=$E$62)
*(tblBaseCFResult[IntRateScenario]=K$64),"")</f>
        <v>590850.47906188504</v>
      </c>
      <c r="L118" s="157" cm="1">
        <f t="array" ref="L118">_xlfn._xlws.FILTER(ROUND(tblBaseCFResult[EndPAV],-3)/1000,
(tblBaseCFResult[Year]=$A118)
*(tblBaseCFResult[Risk]=$E$61)
*(tblBaseCFResult[PremTermScenario]=$E$62)
*(tblBaseCFResult[IntRateScenario]=L$64),"")</f>
        <v>619805</v>
      </c>
      <c r="M118" s="157" cm="1">
        <f t="array" ref="M118">_xlfn._xlws.FILTER(ROUND(tblBaseCFResult[SV],-3)/1000,
(tblBaseCFResult[Year]=$A118)
*(tblBaseCFResult[Risk]=$E$61)
*(tblBaseCFResult[PremTermScenario]=$E$62)
*(tblBaseCFResult[IntRateScenario]=M$64),"")</f>
        <v>590850</v>
      </c>
      <c r="N118" s="157" cm="1">
        <f t="array" ref="N118">_xlfn._xlws.FILTER(tblBaseCFResult[Ben]/1000,
(tblBaseCFResult[Year]=$A118)
*(tblBaseCFResult[Risk]=$E$61)
*(tblBaseCFResult[PremTermScenario]=$E$62)
*(tblBaseCFResult[IntRateScenario]=N$64),"")</f>
        <v>1368613.2740098601</v>
      </c>
      <c r="O118" s="157" cm="1">
        <f t="array" ref="O118">_xlfn._xlws.FILTER(ROUND(tblBaseCFResult[EndPAV],-3)/1000,
(tblBaseCFResult[Year]=$A118)
*(tblBaseCFResult[Risk]=$E$61)
*(tblBaseCFResult[PremTermScenario]=$E$62)
*(tblBaseCFResult[IntRateScenario]=O$64),"")</f>
        <v>1463822</v>
      </c>
      <c r="P118" s="157" cm="1">
        <f t="array" ref="P118">_xlfn._xlws.FILTER(ROUND(tblBaseCFResult[SV],-3)/1000,
(tblBaseCFResult[Year]=$A118)
*(tblBaseCFResult[Risk]=$E$61)
*(tblBaseCFResult[PremTermScenario]=$E$62)
*(tblBaseCFResult[IntRateScenario]=P$64),"")</f>
        <v>1368613</v>
      </c>
      <c r="Q118" s="154"/>
      <c r="R118" s="156"/>
      <c r="S118" s="154"/>
      <c r="T118" s="155">
        <v>51</v>
      </c>
      <c r="U118" s="155">
        <f t="shared" si="15"/>
        <v>50</v>
      </c>
      <c r="W118" s="154"/>
      <c r="X118" s="153" t="str">
        <f t="shared" si="16"/>
        <v>51/50</v>
      </c>
      <c r="Y118" s="152" cm="1">
        <f t="array" ref="Y118">_xlfn._xlws.FILTER(tblBaseCFResult[TP]/1000,
(tblBaseCFResult[Year]=$T118)
*(tblBaseCFResult[Risk]=$Y$61)
*(tblBaseCFResult[PremTermScenario]=$Y$62)
*(tblBaseCFResult[IntRateScenario]=Y$64),"")</f>
        <v>0</v>
      </c>
      <c r="Z118" s="152" cm="1">
        <f t="array" ref="Z118">_xlfn._xlws.FILTER(tblBaseCFResult[EP]/1000,
(tblBaseCFResult[Year]=$T118)
*(tblBaseCFResult[Risk]=$Y$61)
*(tblBaseCFResult[PremTermScenario]=$Y$62)
*(tblBaseCFResult[IntRateScenario]=Z$64),"")</f>
        <v>0</v>
      </c>
      <c r="AA118" s="152">
        <f t="shared" si="17"/>
        <v>0</v>
      </c>
      <c r="AB118" s="152" cm="1">
        <f t="array" ref="AB118">_xlfn._xlws.FILTER(ROUND(tblBaseCFResult[AllocChrg],-3)/1000,
(tblBaseCFResult[Year]=$T118)
*(tblBaseCFResult[Risk]=$Y$61)
*(tblBaseCFResult[PremTermScenario]=$Y$62)
*(tblBaseCFResult[IntRateScenario]=AB$64),"")</f>
        <v>0</v>
      </c>
      <c r="AC118" s="152" cm="1">
        <f t="array" ref="AC118">_xlfn._xlws.FILTER(ROUND(tblBaseCFResult[EPAllocChrg],-3)/1000,
(tblBaseCFResult[Year]=$T118)
*(tblBaseCFResult[Risk]=$Y$61)
*(tblBaseCFResult[PremTermScenario]=$Y$62)
*(tblBaseCFResult[IntRateScenario]=AC$64),"")</f>
        <v>0</v>
      </c>
      <c r="AD118" s="152">
        <f t="shared" si="18"/>
        <v>0</v>
      </c>
      <c r="AE118" s="152">
        <f t="shared" si="19"/>
        <v>0</v>
      </c>
      <c r="AF118" s="152">
        <f t="shared" si="20"/>
        <v>0</v>
      </c>
      <c r="AG118" s="152">
        <f t="shared" si="21"/>
        <v>0</v>
      </c>
      <c r="AH118" s="152" cm="1">
        <f t="array" ref="AH118">_xlfn._xlws.FILTER(ROUND(tblBaseCFResult[AdminChrg],-3)/1000,
(tblBaseCFResult[Year]=$T118)
*(tblBaseCFResult[Risk]=$Y$61)
*(tblBaseCFResult[PremTermScenario]=$Y$62)
*(tblBaseCFResult[IntRateScenario]=AH$64),"")</f>
        <v>300</v>
      </c>
      <c r="AI118" s="152" cm="1">
        <f t="array" ref="AI118">_xlfn._xlws.FILTER(ROUND(tblBaseCFResult[COI],-3)/1000,
(tblBaseCFResult[Year]=$T118)
*(tblBaseCFResult[Risk]=$Y$61)
*(tblBaseCFResult[PremTermScenario]=$Y$62)
*(tblBaseCFResult[IntRateScenario]=AI$64),"")</f>
        <v>273</v>
      </c>
      <c r="AJ118" s="152" cm="1">
        <f t="array" ref="AJ118">_xlfn._xlws.FILTER(ROUND(tblBaseCFResult[AdminChrg],-3)/1000,
(tblBaseCFResult[Year]=$T118)
*(tblBaseCFResult[Risk]=$Y$61)
*(tblBaseCFResult[PremTermScenario]=$Y$62)
*(tblBaseCFResult[IntRateScenario]=AJ$64),"")</f>
        <v>300</v>
      </c>
      <c r="AK118" s="152" cm="1">
        <f t="array" ref="AK118">_xlfn._xlws.FILTER(ROUND(tblBaseCFResult[COI],-3)/1000,
(tblBaseCFResult[Year]=$T118)
*(tblBaseCFResult[Risk]=$Y$61)
*(tblBaseCFResult[PremTermScenario]=$Y$62)
*(tblBaseCFResult[IntRateScenario]=AK$64),"")</f>
        <v>273</v>
      </c>
    </row>
    <row r="119" spans="1:37" ht="15" customHeight="1" x14ac:dyDescent="0.25">
      <c r="A119" s="155">
        <v>52</v>
      </c>
      <c r="B119" s="155">
        <f t="shared" si="13"/>
        <v>51</v>
      </c>
      <c r="C119" s="154"/>
      <c r="D119" s="153" t="str">
        <f t="shared" si="14"/>
        <v>52/51</v>
      </c>
      <c r="E119" s="157" cm="1">
        <f t="array" ref="E119">_xlfn._xlws.FILTER(tblBaseCFResult[TotalPrem]/1000,
(tblBaseCFResult[Year]=$A119)
*(tblBaseCFResult[Risk]=$E$61)
*(tblBaseCFResult[PremTermScenario]=$E$62)
*(tblBaseCFResult[IntRateScenario]=E$64),"")</f>
        <v>0</v>
      </c>
      <c r="F119" s="157" cm="1">
        <f t="array" ref="F119">_xlfn._xlws.FILTER(tblBaseCFResult[AccumTotalPrem]/1000,
(tblBaseCFResult[Year]=$A119)
*(tblBaseCFResult[Risk]=$E$61)
*(tblBaseCFResult[PremTermScenario]=$E$62)
*(tblBaseCFResult[IntRateScenario]=F$64),"")</f>
        <v>0</v>
      </c>
      <c r="G119" s="157" cm="1">
        <f t="array" ref="G119">_xlfn._xlws.FILTER(ROUND(tblBaseCFResult[SemiAnnualTotalPrem],-3)/1000,
(tblBaseCFResult[Year]=$A119)
*(tblBaseCFResult[Risk]=$E$61)
*(tblBaseCFResult[PremTermScenario]=$E$62)
*(tblBaseCFResult[IntRateScenario]=G$64),"")</f>
        <v>0</v>
      </c>
      <c r="H119" s="157" cm="1">
        <f t="array" ref="H119">_xlfn._xlws.FILTER(tblBaseCFResult[Ben]/1000,
(tblBaseCFResult[Year]=$A119)
*(tblBaseCFResult[Risk]=$E$61)
*(tblBaseCFResult[PremTermScenario]=$E$62)
*(tblBaseCFResult[IntRateScenario]=H$64),"")</f>
        <v>164728.55053890499</v>
      </c>
      <c r="I119" s="157" cm="1">
        <f t="array" ref="I119">_xlfn._xlws.FILTER(ROUND(tblBaseCFResult[EndPAV],-3)/1000,
(tblBaseCFResult[Year]=$A119)
*(tblBaseCFResult[Risk]=$E$61)
*(tblBaseCFResult[PremTermScenario]=$E$62)
*(tblBaseCFResult[IntRateScenario]=I$64),"")</f>
        <v>167444</v>
      </c>
      <c r="J119" s="157" cm="1">
        <f t="array" ref="J119">_xlfn._xlws.FILTER(ROUND(tblBaseCFResult[SV],-3)/1000,
(tblBaseCFResult[Year]=$A119)
*(tblBaseCFResult[Risk]=$E$61)
*(tblBaseCFResult[PremTermScenario]=$E$62)
*(tblBaseCFResult[IntRateScenario]=J$64),"")</f>
        <v>164729</v>
      </c>
      <c r="K119" s="157" cm="1">
        <f t="array" ref="K119">_xlfn._xlws.FILTER(tblBaseCFResult[Ben]/1000,
(tblBaseCFResult[Year]=$A119)
*(tblBaseCFResult[Risk]=$E$61)
*(tblBaseCFResult[PremTermScenario]=$E$62)
*(tblBaseCFResult[IntRateScenario]=K$64),"")</f>
        <v>619804.90800237888</v>
      </c>
      <c r="L119" s="157" cm="1">
        <f t="array" ref="L119">_xlfn._xlws.FILTER(ROUND(tblBaseCFResult[EndPAV],-3)/1000,
(tblBaseCFResult[Year]=$A119)
*(tblBaseCFResult[Risk]=$E$61)
*(tblBaseCFResult[PremTermScenario]=$E$62)
*(tblBaseCFResult[IntRateScenario]=L$64),"")</f>
        <v>650207</v>
      </c>
      <c r="M119" s="157" cm="1">
        <f t="array" ref="M119">_xlfn._xlws.FILTER(ROUND(tblBaseCFResult[SV],-3)/1000,
(tblBaseCFResult[Year]=$A119)
*(tblBaseCFResult[Risk]=$E$61)
*(tblBaseCFResult[PremTermScenario]=$E$62)
*(tblBaseCFResult[IntRateScenario]=M$64),"")</f>
        <v>619805</v>
      </c>
      <c r="N119" s="157" cm="1">
        <f t="array" ref="N119">_xlfn._xlws.FILTER(tblBaseCFResult[Ben]/1000,
(tblBaseCFResult[Year]=$A119)
*(tblBaseCFResult[Risk]=$E$61)
*(tblBaseCFResult[PremTermScenario]=$E$62)
*(tblBaseCFResult[IntRateScenario]=N$64),"")</f>
        <v>1463822.0127592799</v>
      </c>
      <c r="O119" s="157" cm="1">
        <f t="array" ref="O119">_xlfn._xlws.FILTER(ROUND(tblBaseCFResult[EndPAV],-3)/1000,
(tblBaseCFResult[Year]=$A119)
*(tblBaseCFResult[Risk]=$E$61)
*(tblBaseCFResult[PremTermScenario]=$E$62)
*(tblBaseCFResult[IntRateScenario]=O$64),"")</f>
        <v>1565695</v>
      </c>
      <c r="P119" s="157" cm="1">
        <f t="array" ref="P119">_xlfn._xlws.FILTER(ROUND(tblBaseCFResult[SV],-3)/1000,
(tblBaseCFResult[Year]=$A119)
*(tblBaseCFResult[Risk]=$E$61)
*(tblBaseCFResult[PremTermScenario]=$E$62)
*(tblBaseCFResult[IntRateScenario]=P$64),"")</f>
        <v>1463822</v>
      </c>
      <c r="Q119" s="154"/>
      <c r="R119" s="156"/>
      <c r="S119" s="154"/>
      <c r="T119" s="155">
        <v>52</v>
      </c>
      <c r="U119" s="155">
        <f t="shared" si="15"/>
        <v>51</v>
      </c>
      <c r="W119" s="154"/>
      <c r="X119" s="153" t="str">
        <f t="shared" si="16"/>
        <v>52/51</v>
      </c>
      <c r="Y119" s="152" cm="1">
        <f t="array" ref="Y119">_xlfn._xlws.FILTER(tblBaseCFResult[TP]/1000,
(tblBaseCFResult[Year]=$T119)
*(tblBaseCFResult[Risk]=$Y$61)
*(tblBaseCFResult[PremTermScenario]=$Y$62)
*(tblBaseCFResult[IntRateScenario]=Y$64),"")</f>
        <v>0</v>
      </c>
      <c r="Z119" s="152" cm="1">
        <f t="array" ref="Z119">_xlfn._xlws.FILTER(tblBaseCFResult[EP]/1000,
(tblBaseCFResult[Year]=$T119)
*(tblBaseCFResult[Risk]=$Y$61)
*(tblBaseCFResult[PremTermScenario]=$Y$62)
*(tblBaseCFResult[IntRateScenario]=Z$64),"")</f>
        <v>0</v>
      </c>
      <c r="AA119" s="152">
        <f t="shared" si="17"/>
        <v>0</v>
      </c>
      <c r="AB119" s="152" cm="1">
        <f t="array" ref="AB119">_xlfn._xlws.FILTER(ROUND(tblBaseCFResult[AllocChrg],-3)/1000,
(tblBaseCFResult[Year]=$T119)
*(tblBaseCFResult[Risk]=$Y$61)
*(tblBaseCFResult[PremTermScenario]=$Y$62)
*(tblBaseCFResult[IntRateScenario]=AB$64),"")</f>
        <v>0</v>
      </c>
      <c r="AC119" s="152" cm="1">
        <f t="array" ref="AC119">_xlfn._xlws.FILTER(ROUND(tblBaseCFResult[EPAllocChrg],-3)/1000,
(tblBaseCFResult[Year]=$T119)
*(tblBaseCFResult[Risk]=$Y$61)
*(tblBaseCFResult[PremTermScenario]=$Y$62)
*(tblBaseCFResult[IntRateScenario]=AC$64),"")</f>
        <v>0</v>
      </c>
      <c r="AD119" s="152">
        <f t="shared" si="18"/>
        <v>0</v>
      </c>
      <c r="AE119" s="152">
        <f t="shared" si="19"/>
        <v>0</v>
      </c>
      <c r="AF119" s="152">
        <f t="shared" si="20"/>
        <v>0</v>
      </c>
      <c r="AG119" s="152">
        <f t="shared" si="21"/>
        <v>0</v>
      </c>
      <c r="AH119" s="152" cm="1">
        <f t="array" ref="AH119">_xlfn._xlws.FILTER(ROUND(tblBaseCFResult[AdminChrg],-3)/1000,
(tblBaseCFResult[Year]=$T119)
*(tblBaseCFResult[Risk]=$Y$61)
*(tblBaseCFResult[PremTermScenario]=$Y$62)
*(tblBaseCFResult[IntRateScenario]=AH$64),"")</f>
        <v>300</v>
      </c>
      <c r="AI119" s="152" cm="1">
        <f t="array" ref="AI119">_xlfn._xlws.FILTER(ROUND(tblBaseCFResult[COI],-3)/1000,
(tblBaseCFResult[Year]=$T119)
*(tblBaseCFResult[Risk]=$Y$61)
*(tblBaseCFResult[PremTermScenario]=$Y$62)
*(tblBaseCFResult[IntRateScenario]=AI$64),"")</f>
        <v>273</v>
      </c>
      <c r="AJ119" s="152" cm="1">
        <f t="array" ref="AJ119">_xlfn._xlws.FILTER(ROUND(tblBaseCFResult[AdminChrg],-3)/1000,
(tblBaseCFResult[Year]=$T119)
*(tblBaseCFResult[Risk]=$Y$61)
*(tblBaseCFResult[PremTermScenario]=$Y$62)
*(tblBaseCFResult[IntRateScenario]=AJ$64),"")</f>
        <v>300</v>
      </c>
      <c r="AK119" s="152" cm="1">
        <f t="array" ref="AK119">_xlfn._xlws.FILTER(ROUND(tblBaseCFResult[COI],-3)/1000,
(tblBaseCFResult[Year]=$T119)
*(tblBaseCFResult[Risk]=$Y$61)
*(tblBaseCFResult[PremTermScenario]=$Y$62)
*(tblBaseCFResult[IntRateScenario]=AK$64),"")</f>
        <v>273</v>
      </c>
    </row>
    <row r="120" spans="1:37" ht="15" customHeight="1" x14ac:dyDescent="0.25">
      <c r="A120" s="155">
        <v>53</v>
      </c>
      <c r="B120" s="155">
        <f t="shared" si="13"/>
        <v>52</v>
      </c>
      <c r="C120" s="154"/>
      <c r="D120" s="153" t="str">
        <f t="shared" si="14"/>
        <v>53/52</v>
      </c>
      <c r="E120" s="157" cm="1">
        <f t="array" ref="E120">_xlfn._xlws.FILTER(tblBaseCFResult[TotalPrem]/1000,
(tblBaseCFResult[Year]=$A120)
*(tblBaseCFResult[Risk]=$E$61)
*(tblBaseCFResult[PremTermScenario]=$E$62)
*(tblBaseCFResult[IntRateScenario]=E$64),"")</f>
        <v>0</v>
      </c>
      <c r="F120" s="157" cm="1">
        <f t="array" ref="F120">_xlfn._xlws.FILTER(tblBaseCFResult[AccumTotalPrem]/1000,
(tblBaseCFResult[Year]=$A120)
*(tblBaseCFResult[Risk]=$E$61)
*(tblBaseCFResult[PremTermScenario]=$E$62)
*(tblBaseCFResult[IntRateScenario]=F$64),"")</f>
        <v>0</v>
      </c>
      <c r="G120" s="157" cm="1">
        <f t="array" ref="G120">_xlfn._xlws.FILTER(ROUND(tblBaseCFResult[SemiAnnualTotalPrem],-3)/1000,
(tblBaseCFResult[Year]=$A120)
*(tblBaseCFResult[Risk]=$E$61)
*(tblBaseCFResult[PremTermScenario]=$E$62)
*(tblBaseCFResult[IntRateScenario]=G$64),"")</f>
        <v>0</v>
      </c>
      <c r="H120" s="157" cm="1">
        <f t="array" ref="H120">_xlfn._xlws.FILTER(tblBaseCFResult[Ben]/1000,
(tblBaseCFResult[Year]=$A120)
*(tblBaseCFResult[Risk]=$E$61)
*(tblBaseCFResult[PremTermScenario]=$E$62)
*(tblBaseCFResult[IntRateScenario]=H$64),"")</f>
        <v>167444.23606990601</v>
      </c>
      <c r="I120" s="157" cm="1">
        <f t="array" ref="I120">_xlfn._xlws.FILTER(ROUND(tblBaseCFResult[EndPAV],-3)/1000,
(tblBaseCFResult[Year]=$A120)
*(tblBaseCFResult[Risk]=$E$61)
*(tblBaseCFResult[PremTermScenario]=$E$62)
*(tblBaseCFResult[IntRateScenario]=I$64),"")</f>
        <v>170214</v>
      </c>
      <c r="J120" s="157" cm="1">
        <f t="array" ref="J120">_xlfn._xlws.FILTER(ROUND(tblBaseCFResult[SV],-3)/1000,
(tblBaseCFResult[Year]=$A120)
*(tblBaseCFResult[Risk]=$E$61)
*(tblBaseCFResult[PremTermScenario]=$E$62)
*(tblBaseCFResult[IntRateScenario]=J$64),"")</f>
        <v>167444</v>
      </c>
      <c r="K120" s="157" cm="1">
        <f t="array" ref="K120">_xlfn._xlws.FILTER(tblBaseCFResult[Ben]/1000,
(tblBaseCFResult[Year]=$A120)
*(tblBaseCFResult[Risk]=$E$61)
*(tblBaseCFResult[PremTermScenario]=$E$62)
*(tblBaseCFResult[IntRateScenario]=K$64),"")</f>
        <v>650207.05838989792</v>
      </c>
      <c r="L120" s="157" cm="1">
        <f t="array" ref="L120">_xlfn._xlws.FILTER(ROUND(tblBaseCFResult[EndPAV],-3)/1000,
(tblBaseCFResult[Year]=$A120)
*(tblBaseCFResult[Risk]=$E$61)
*(tblBaseCFResult[PremTermScenario]=$E$62)
*(tblBaseCFResult[IntRateScenario]=L$64),"")</f>
        <v>682129</v>
      </c>
      <c r="M120" s="157" cm="1">
        <f t="array" ref="M120">_xlfn._xlws.FILTER(ROUND(tblBaseCFResult[SV],-3)/1000,
(tblBaseCFResult[Year]=$A120)
*(tblBaseCFResult[Risk]=$E$61)
*(tblBaseCFResult[PremTermScenario]=$E$62)
*(tblBaseCFResult[IntRateScenario]=M$64),"")</f>
        <v>650207</v>
      </c>
      <c r="N120" s="157" cm="1">
        <f t="array" ref="N120">_xlfn._xlws.FILTER(tblBaseCFResult[Ben]/1000,
(tblBaseCFResult[Year]=$A120)
*(tblBaseCFResult[Risk]=$E$61)
*(tblBaseCFResult[PremTermScenario]=$E$62)
*(tblBaseCFResult[IntRateScenario]=N$64),"")</f>
        <v>1565695.3632211599</v>
      </c>
      <c r="O120" s="157" cm="1">
        <f t="array" ref="O120">_xlfn._xlws.FILTER(ROUND(tblBaseCFResult[EndPAV],-3)/1000,
(tblBaseCFResult[Year]=$A120)
*(tblBaseCFResult[Risk]=$E$61)
*(tblBaseCFResult[PremTermScenario]=$E$62)
*(tblBaseCFResult[IntRateScenario]=O$64),"")</f>
        <v>1674700</v>
      </c>
      <c r="P120" s="157" cm="1">
        <f t="array" ref="P120">_xlfn._xlws.FILTER(ROUND(tblBaseCFResult[SV],-3)/1000,
(tblBaseCFResult[Year]=$A120)
*(tblBaseCFResult[Risk]=$E$61)
*(tblBaseCFResult[PremTermScenario]=$E$62)
*(tblBaseCFResult[IntRateScenario]=P$64),"")</f>
        <v>1565695</v>
      </c>
      <c r="Q120" s="154"/>
      <c r="R120" s="156"/>
      <c r="S120" s="154"/>
      <c r="T120" s="155">
        <v>53</v>
      </c>
      <c r="U120" s="155">
        <f t="shared" si="15"/>
        <v>52</v>
      </c>
      <c r="W120" s="154"/>
      <c r="X120" s="153" t="str">
        <f t="shared" si="16"/>
        <v>53/52</v>
      </c>
      <c r="Y120" s="152" cm="1">
        <f t="array" ref="Y120">_xlfn._xlws.FILTER(tblBaseCFResult[TP]/1000,
(tblBaseCFResult[Year]=$T120)
*(tblBaseCFResult[Risk]=$Y$61)
*(tblBaseCFResult[PremTermScenario]=$Y$62)
*(tblBaseCFResult[IntRateScenario]=Y$64),"")</f>
        <v>0</v>
      </c>
      <c r="Z120" s="152" cm="1">
        <f t="array" ref="Z120">_xlfn._xlws.FILTER(tblBaseCFResult[EP]/1000,
(tblBaseCFResult[Year]=$T120)
*(tblBaseCFResult[Risk]=$Y$61)
*(tblBaseCFResult[PremTermScenario]=$Y$62)
*(tblBaseCFResult[IntRateScenario]=Z$64),"")</f>
        <v>0</v>
      </c>
      <c r="AA120" s="152">
        <f t="shared" si="17"/>
        <v>0</v>
      </c>
      <c r="AB120" s="152" cm="1">
        <f t="array" ref="AB120">_xlfn._xlws.FILTER(ROUND(tblBaseCFResult[AllocChrg],-3)/1000,
(tblBaseCFResult[Year]=$T120)
*(tblBaseCFResult[Risk]=$Y$61)
*(tblBaseCFResult[PremTermScenario]=$Y$62)
*(tblBaseCFResult[IntRateScenario]=AB$64),"")</f>
        <v>0</v>
      </c>
      <c r="AC120" s="152" cm="1">
        <f t="array" ref="AC120">_xlfn._xlws.FILTER(ROUND(tblBaseCFResult[EPAllocChrg],-3)/1000,
(tblBaseCFResult[Year]=$T120)
*(tblBaseCFResult[Risk]=$Y$61)
*(tblBaseCFResult[PremTermScenario]=$Y$62)
*(tblBaseCFResult[IntRateScenario]=AC$64),"")</f>
        <v>0</v>
      </c>
      <c r="AD120" s="152">
        <f t="shared" si="18"/>
        <v>0</v>
      </c>
      <c r="AE120" s="152">
        <f t="shared" si="19"/>
        <v>0</v>
      </c>
      <c r="AF120" s="152">
        <f t="shared" si="20"/>
        <v>0</v>
      </c>
      <c r="AG120" s="152">
        <f t="shared" si="21"/>
        <v>0</v>
      </c>
      <c r="AH120" s="152" cm="1">
        <f t="array" ref="AH120">_xlfn._xlws.FILTER(ROUND(tblBaseCFResult[AdminChrg],-3)/1000,
(tblBaseCFResult[Year]=$T120)
*(tblBaseCFResult[Risk]=$Y$61)
*(tblBaseCFResult[PremTermScenario]=$Y$62)
*(tblBaseCFResult[IntRateScenario]=AH$64),"")</f>
        <v>300</v>
      </c>
      <c r="AI120" s="152" cm="1">
        <f t="array" ref="AI120">_xlfn._xlws.FILTER(ROUND(tblBaseCFResult[COI],-3)/1000,
(tblBaseCFResult[Year]=$T120)
*(tblBaseCFResult[Risk]=$Y$61)
*(tblBaseCFResult[PremTermScenario]=$Y$62)
*(tblBaseCFResult[IntRateScenario]=AI$64),"")</f>
        <v>273</v>
      </c>
      <c r="AJ120" s="152" cm="1">
        <f t="array" ref="AJ120">_xlfn._xlws.FILTER(ROUND(tblBaseCFResult[AdminChrg],-3)/1000,
(tblBaseCFResult[Year]=$T120)
*(tblBaseCFResult[Risk]=$Y$61)
*(tblBaseCFResult[PremTermScenario]=$Y$62)
*(tblBaseCFResult[IntRateScenario]=AJ$64),"")</f>
        <v>300</v>
      </c>
      <c r="AK120" s="152" cm="1">
        <f t="array" ref="AK120">_xlfn._xlws.FILTER(ROUND(tblBaseCFResult[COI],-3)/1000,
(tblBaseCFResult[Year]=$T120)
*(tblBaseCFResult[Risk]=$Y$61)
*(tblBaseCFResult[PremTermScenario]=$Y$62)
*(tblBaseCFResult[IntRateScenario]=AK$64),"")</f>
        <v>273</v>
      </c>
    </row>
    <row r="121" spans="1:37" ht="15" customHeight="1" x14ac:dyDescent="0.25">
      <c r="A121" s="155">
        <v>54</v>
      </c>
      <c r="B121" s="155">
        <f t="shared" si="13"/>
        <v>53</v>
      </c>
      <c r="C121" s="154"/>
      <c r="D121" s="153" t="str">
        <f t="shared" si="14"/>
        <v>54/53</v>
      </c>
      <c r="E121" s="157" cm="1">
        <f t="array" ref="E121">_xlfn._xlws.FILTER(tblBaseCFResult[TotalPrem]/1000,
(tblBaseCFResult[Year]=$A121)
*(tblBaseCFResult[Risk]=$E$61)
*(tblBaseCFResult[PremTermScenario]=$E$62)
*(tblBaseCFResult[IntRateScenario]=E$64),"")</f>
        <v>0</v>
      </c>
      <c r="F121" s="157" cm="1">
        <f t="array" ref="F121">_xlfn._xlws.FILTER(tblBaseCFResult[AccumTotalPrem]/1000,
(tblBaseCFResult[Year]=$A121)
*(tblBaseCFResult[Risk]=$E$61)
*(tblBaseCFResult[PremTermScenario]=$E$62)
*(tblBaseCFResult[IntRateScenario]=F$64),"")</f>
        <v>0</v>
      </c>
      <c r="G121" s="157" cm="1">
        <f t="array" ref="G121">_xlfn._xlws.FILTER(ROUND(tblBaseCFResult[SemiAnnualTotalPrem],-3)/1000,
(tblBaseCFResult[Year]=$A121)
*(tblBaseCFResult[Risk]=$E$61)
*(tblBaseCFResult[PremTermScenario]=$E$62)
*(tblBaseCFResult[IntRateScenario]=G$64),"")</f>
        <v>0</v>
      </c>
      <c r="H121" s="157" cm="1">
        <f t="array" ref="H121">_xlfn._xlws.FILTER(tblBaseCFResult[Ben]/1000,
(tblBaseCFResult[Year]=$A121)
*(tblBaseCFResult[Risk]=$E$61)
*(tblBaseCFResult[PremTermScenario]=$E$62)
*(tblBaseCFResult[IntRateScenario]=H$64),"")</f>
        <v>170214.23531152701</v>
      </c>
      <c r="I121" s="157" cm="1">
        <f t="array" ref="I121">_xlfn._xlws.FILTER(ROUND(tblBaseCFResult[EndPAV],-3)/1000,
(tblBaseCFResult[Year]=$A121)
*(tblBaseCFResult[Risk]=$E$61)
*(tblBaseCFResult[PremTermScenario]=$E$62)
*(tblBaseCFResult[IntRateScenario]=I$64),"")</f>
        <v>173040</v>
      </c>
      <c r="J121" s="157" cm="1">
        <f t="array" ref="J121">_xlfn._xlws.FILTER(ROUND(tblBaseCFResult[SV],-3)/1000,
(tblBaseCFResult[Year]=$A121)
*(tblBaseCFResult[Risk]=$E$61)
*(tblBaseCFResult[PremTermScenario]=$E$62)
*(tblBaseCFResult[IntRateScenario]=J$64),"")</f>
        <v>170214</v>
      </c>
      <c r="K121" s="157" cm="1">
        <f t="array" ref="K121">_xlfn._xlws.FILTER(tblBaseCFResult[Ben]/1000,
(tblBaseCFResult[Year]=$A121)
*(tblBaseCFResult[Risk]=$E$61)
*(tblBaseCFResult[PremTermScenario]=$E$62)
*(tblBaseCFResult[IntRateScenario]=K$64),"")</f>
        <v>682129.31629679294</v>
      </c>
      <c r="L121" s="157" cm="1">
        <f t="array" ref="L121">_xlfn._xlws.FILTER(ROUND(tblBaseCFResult[EndPAV],-3)/1000,
(tblBaseCFResult[Year]=$A121)
*(tblBaseCFResult[Risk]=$E$61)
*(tblBaseCFResult[PremTermScenario]=$E$62)
*(tblBaseCFResult[IntRateScenario]=L$64),"")</f>
        <v>715648</v>
      </c>
      <c r="M121" s="157" cm="1">
        <f t="array" ref="M121">_xlfn._xlws.FILTER(ROUND(tblBaseCFResult[SV],-3)/1000,
(tblBaseCFResult[Year]=$A121)
*(tblBaseCFResult[Risk]=$E$61)
*(tblBaseCFResult[PremTermScenario]=$E$62)
*(tblBaseCFResult[IntRateScenario]=M$64),"")</f>
        <v>682129</v>
      </c>
      <c r="N121" s="157" cm="1">
        <f t="array" ref="N121">_xlfn._xlws.FILTER(tblBaseCFResult[Ben]/1000,
(tblBaseCFResult[Year]=$A121)
*(tblBaseCFResult[Risk]=$E$61)
*(tblBaseCFResult[PremTermScenario]=$E$62)
*(tblBaseCFResult[IntRateScenario]=N$64),"")</f>
        <v>1674699.84821537</v>
      </c>
      <c r="O121" s="157" cm="1">
        <f t="array" ref="O121">_xlfn._xlws.FILTER(ROUND(tblBaseCFResult[EndPAV],-3)/1000,
(tblBaseCFResult[Year]=$A121)
*(tblBaseCFResult[Risk]=$E$61)
*(tblBaseCFResult[PremTermScenario]=$E$62)
*(tblBaseCFResult[IntRateScenario]=O$64),"")</f>
        <v>1791335</v>
      </c>
      <c r="P121" s="157" cm="1">
        <f t="array" ref="P121">_xlfn._xlws.FILTER(ROUND(tblBaseCFResult[SV],-3)/1000,
(tblBaseCFResult[Year]=$A121)
*(tblBaseCFResult[Risk]=$E$61)
*(tblBaseCFResult[PremTermScenario]=$E$62)
*(tblBaseCFResult[IntRateScenario]=P$64),"")</f>
        <v>1674700</v>
      </c>
      <c r="Q121" s="154"/>
      <c r="R121" s="156"/>
      <c r="S121" s="154"/>
      <c r="T121" s="155">
        <v>54</v>
      </c>
      <c r="U121" s="155">
        <f t="shared" si="15"/>
        <v>53</v>
      </c>
      <c r="W121" s="154"/>
      <c r="X121" s="153" t="str">
        <f t="shared" si="16"/>
        <v>54/53</v>
      </c>
      <c r="Y121" s="152" cm="1">
        <f t="array" ref="Y121">_xlfn._xlws.FILTER(tblBaseCFResult[TP]/1000,
(tblBaseCFResult[Year]=$T121)
*(tblBaseCFResult[Risk]=$Y$61)
*(tblBaseCFResult[PremTermScenario]=$Y$62)
*(tblBaseCFResult[IntRateScenario]=Y$64),"")</f>
        <v>0</v>
      </c>
      <c r="Z121" s="152" cm="1">
        <f t="array" ref="Z121">_xlfn._xlws.FILTER(tblBaseCFResult[EP]/1000,
(tblBaseCFResult[Year]=$T121)
*(tblBaseCFResult[Risk]=$Y$61)
*(tblBaseCFResult[PremTermScenario]=$Y$62)
*(tblBaseCFResult[IntRateScenario]=Z$64),"")</f>
        <v>0</v>
      </c>
      <c r="AA121" s="152">
        <f t="shared" si="17"/>
        <v>0</v>
      </c>
      <c r="AB121" s="152" cm="1">
        <f t="array" ref="AB121">_xlfn._xlws.FILTER(ROUND(tblBaseCFResult[AllocChrg],-3)/1000,
(tblBaseCFResult[Year]=$T121)
*(tblBaseCFResult[Risk]=$Y$61)
*(tblBaseCFResult[PremTermScenario]=$Y$62)
*(tblBaseCFResult[IntRateScenario]=AB$64),"")</f>
        <v>0</v>
      </c>
      <c r="AC121" s="152" cm="1">
        <f t="array" ref="AC121">_xlfn._xlws.FILTER(ROUND(tblBaseCFResult[EPAllocChrg],-3)/1000,
(tblBaseCFResult[Year]=$T121)
*(tblBaseCFResult[Risk]=$Y$61)
*(tblBaseCFResult[PremTermScenario]=$Y$62)
*(tblBaseCFResult[IntRateScenario]=AC$64),"")</f>
        <v>0</v>
      </c>
      <c r="AD121" s="152">
        <f t="shared" si="18"/>
        <v>0</v>
      </c>
      <c r="AE121" s="152">
        <f t="shared" si="19"/>
        <v>0</v>
      </c>
      <c r="AF121" s="152">
        <f t="shared" si="20"/>
        <v>0</v>
      </c>
      <c r="AG121" s="152">
        <f t="shared" si="21"/>
        <v>0</v>
      </c>
      <c r="AH121" s="152" cm="1">
        <f t="array" ref="AH121">_xlfn._xlws.FILTER(ROUND(tblBaseCFResult[AdminChrg],-3)/1000,
(tblBaseCFResult[Year]=$T121)
*(tblBaseCFResult[Risk]=$Y$61)
*(tblBaseCFResult[PremTermScenario]=$Y$62)
*(tblBaseCFResult[IntRateScenario]=AH$64),"")</f>
        <v>300</v>
      </c>
      <c r="AI121" s="152" cm="1">
        <f t="array" ref="AI121">_xlfn._xlws.FILTER(ROUND(tblBaseCFResult[COI],-3)/1000,
(tblBaseCFResult[Year]=$T121)
*(tblBaseCFResult[Risk]=$Y$61)
*(tblBaseCFResult[PremTermScenario]=$Y$62)
*(tblBaseCFResult[IntRateScenario]=AI$64),"")</f>
        <v>273</v>
      </c>
      <c r="AJ121" s="152" cm="1">
        <f t="array" ref="AJ121">_xlfn._xlws.FILTER(ROUND(tblBaseCFResult[AdminChrg],-3)/1000,
(tblBaseCFResult[Year]=$T121)
*(tblBaseCFResult[Risk]=$Y$61)
*(tblBaseCFResult[PremTermScenario]=$Y$62)
*(tblBaseCFResult[IntRateScenario]=AJ$64),"")</f>
        <v>300</v>
      </c>
      <c r="AK121" s="152" cm="1">
        <f t="array" ref="AK121">_xlfn._xlws.FILTER(ROUND(tblBaseCFResult[COI],-3)/1000,
(tblBaseCFResult[Year]=$T121)
*(tblBaseCFResult[Risk]=$Y$61)
*(tblBaseCFResult[PremTermScenario]=$Y$62)
*(tblBaseCFResult[IntRateScenario]=AK$64),"")</f>
        <v>273</v>
      </c>
    </row>
    <row r="122" spans="1:37" ht="15" customHeight="1" x14ac:dyDescent="0.25">
      <c r="A122" s="155">
        <v>55</v>
      </c>
      <c r="B122" s="155">
        <f t="shared" si="13"/>
        <v>54</v>
      </c>
      <c r="C122" s="154"/>
      <c r="D122" s="153" t="str">
        <f t="shared" si="14"/>
        <v>55/54</v>
      </c>
      <c r="E122" s="157" cm="1">
        <f t="array" ref="E122">_xlfn._xlws.FILTER(tblBaseCFResult[TotalPrem]/1000,
(tblBaseCFResult[Year]=$A122)
*(tblBaseCFResult[Risk]=$E$61)
*(tblBaseCFResult[PremTermScenario]=$E$62)
*(tblBaseCFResult[IntRateScenario]=E$64),"")</f>
        <v>0</v>
      </c>
      <c r="F122" s="157" cm="1">
        <f t="array" ref="F122">_xlfn._xlws.FILTER(tblBaseCFResult[AccumTotalPrem]/1000,
(tblBaseCFResult[Year]=$A122)
*(tblBaseCFResult[Risk]=$E$61)
*(tblBaseCFResult[PremTermScenario]=$E$62)
*(tblBaseCFResult[IntRateScenario]=F$64),"")</f>
        <v>0</v>
      </c>
      <c r="G122" s="157" cm="1">
        <f t="array" ref="G122">_xlfn._xlws.FILTER(ROUND(tblBaseCFResult[SemiAnnualTotalPrem],-3)/1000,
(tblBaseCFResult[Year]=$A122)
*(tblBaseCFResult[Risk]=$E$61)
*(tblBaseCFResult[PremTermScenario]=$E$62)
*(tblBaseCFResult[IntRateScenario]=G$64),"")</f>
        <v>0</v>
      </c>
      <c r="H122" s="157" cm="1">
        <f t="array" ref="H122">_xlfn._xlws.FILTER(tblBaseCFResult[Ben]/1000,
(tblBaseCFResult[Year]=$A122)
*(tblBaseCFResult[Risk]=$E$61)
*(tblBaseCFResult[PremTermScenario]=$E$62)
*(tblBaseCFResult[IntRateScenario]=H$64),"")</f>
        <v>173039.63453798101</v>
      </c>
      <c r="I122" s="157" cm="1">
        <f t="array" ref="I122">_xlfn._xlws.FILTER(ROUND(tblBaseCFResult[EndPAV],-3)/1000,
(tblBaseCFResult[Year]=$A122)
*(tblBaseCFResult[Risk]=$E$61)
*(tblBaseCFResult[PremTermScenario]=$E$62)
*(tblBaseCFResult[IntRateScenario]=I$64),"")</f>
        <v>175922</v>
      </c>
      <c r="J122" s="157" cm="1">
        <f t="array" ref="J122">_xlfn._xlws.FILTER(ROUND(tblBaseCFResult[SV],-3)/1000,
(tblBaseCFResult[Year]=$A122)
*(tblBaseCFResult[Risk]=$E$61)
*(tblBaseCFResult[PremTermScenario]=$E$62)
*(tblBaseCFResult[IntRateScenario]=J$64),"")</f>
        <v>173040</v>
      </c>
      <c r="K122" s="157" cm="1">
        <f t="array" ref="K122">_xlfn._xlws.FILTER(tblBaseCFResult[Ben]/1000,
(tblBaseCFResult[Year]=$A122)
*(tblBaseCFResult[Risk]=$E$61)
*(tblBaseCFResult[PremTermScenario]=$E$62)
*(tblBaseCFResult[IntRateScenario]=K$64),"")</f>
        <v>715647.68709903304</v>
      </c>
      <c r="L122" s="157" cm="1">
        <f t="array" ref="L122">_xlfn._xlws.FILTER(ROUND(tblBaseCFResult[EndPAV],-3)/1000,
(tblBaseCFResult[Year]=$A122)
*(tblBaseCFResult[Risk]=$E$61)
*(tblBaseCFResult[PremTermScenario]=$E$62)
*(tblBaseCFResult[IntRateScenario]=L$64),"")</f>
        <v>750842</v>
      </c>
      <c r="M122" s="157" cm="1">
        <f t="array" ref="M122">_xlfn._xlws.FILTER(ROUND(tblBaseCFResult[SV],-3)/1000,
(tblBaseCFResult[Year]=$A122)
*(tblBaseCFResult[Risk]=$E$61)
*(tblBaseCFResult[PremTermScenario]=$E$62)
*(tblBaseCFResult[IntRateScenario]=M$64),"")</f>
        <v>715648</v>
      </c>
      <c r="N122" s="157" cm="1">
        <f t="array" ref="N122">_xlfn._xlws.FILTER(tblBaseCFResult[Ben]/1000,
(tblBaseCFResult[Year]=$A122)
*(tblBaseCFResult[Risk]=$E$61)
*(tblBaseCFResult[PremTermScenario]=$E$62)
*(tblBaseCFResult[IntRateScenario]=N$64),"")</f>
        <v>1791334.6471591799</v>
      </c>
      <c r="O122" s="157" cm="1">
        <f t="array" ref="O122">_xlfn._xlws.FILTER(ROUND(tblBaseCFResult[EndPAV],-3)/1000,
(tblBaseCFResult[Year]=$A122)
*(tblBaseCFResult[Risk]=$E$61)
*(tblBaseCFResult[PremTermScenario]=$E$62)
*(tblBaseCFResult[IntRateScenario]=O$64),"")</f>
        <v>1916134</v>
      </c>
      <c r="P122" s="157" cm="1">
        <f t="array" ref="P122">_xlfn._xlws.FILTER(ROUND(tblBaseCFResult[SV],-3)/1000,
(tblBaseCFResult[Year]=$A122)
*(tblBaseCFResult[Risk]=$E$61)
*(tblBaseCFResult[PremTermScenario]=$E$62)
*(tblBaseCFResult[IntRateScenario]=P$64),"")</f>
        <v>1791335</v>
      </c>
      <c r="Q122" s="154"/>
      <c r="R122" s="156"/>
      <c r="S122" s="154"/>
      <c r="T122" s="155">
        <v>55</v>
      </c>
      <c r="U122" s="155">
        <f t="shared" si="15"/>
        <v>54</v>
      </c>
      <c r="W122" s="154"/>
      <c r="X122" s="153" t="str">
        <f t="shared" si="16"/>
        <v>55/54</v>
      </c>
      <c r="Y122" s="152" cm="1">
        <f t="array" ref="Y122">_xlfn._xlws.FILTER(tblBaseCFResult[TP]/1000,
(tblBaseCFResult[Year]=$T122)
*(tblBaseCFResult[Risk]=$Y$61)
*(tblBaseCFResult[PremTermScenario]=$Y$62)
*(tblBaseCFResult[IntRateScenario]=Y$64),"")</f>
        <v>0</v>
      </c>
      <c r="Z122" s="152" cm="1">
        <f t="array" ref="Z122">_xlfn._xlws.FILTER(tblBaseCFResult[EP]/1000,
(tblBaseCFResult[Year]=$T122)
*(tblBaseCFResult[Risk]=$Y$61)
*(tblBaseCFResult[PremTermScenario]=$Y$62)
*(tblBaseCFResult[IntRateScenario]=Z$64),"")</f>
        <v>0</v>
      </c>
      <c r="AA122" s="152">
        <f t="shared" si="17"/>
        <v>0</v>
      </c>
      <c r="AB122" s="152" cm="1">
        <f t="array" ref="AB122">_xlfn._xlws.FILTER(ROUND(tblBaseCFResult[AllocChrg],-3)/1000,
(tblBaseCFResult[Year]=$T122)
*(tblBaseCFResult[Risk]=$Y$61)
*(tblBaseCFResult[PremTermScenario]=$Y$62)
*(tblBaseCFResult[IntRateScenario]=AB$64),"")</f>
        <v>0</v>
      </c>
      <c r="AC122" s="152" cm="1">
        <f t="array" ref="AC122">_xlfn._xlws.FILTER(ROUND(tblBaseCFResult[EPAllocChrg],-3)/1000,
(tblBaseCFResult[Year]=$T122)
*(tblBaseCFResult[Risk]=$Y$61)
*(tblBaseCFResult[PremTermScenario]=$Y$62)
*(tblBaseCFResult[IntRateScenario]=AC$64),"")</f>
        <v>0</v>
      </c>
      <c r="AD122" s="152">
        <f t="shared" si="18"/>
        <v>0</v>
      </c>
      <c r="AE122" s="152">
        <f t="shared" si="19"/>
        <v>0</v>
      </c>
      <c r="AF122" s="152">
        <f t="shared" si="20"/>
        <v>0</v>
      </c>
      <c r="AG122" s="152">
        <f t="shared" si="21"/>
        <v>0</v>
      </c>
      <c r="AH122" s="152" cm="1">
        <f t="array" ref="AH122">_xlfn._xlws.FILTER(ROUND(tblBaseCFResult[AdminChrg],-3)/1000,
(tblBaseCFResult[Year]=$T122)
*(tblBaseCFResult[Risk]=$Y$61)
*(tblBaseCFResult[PremTermScenario]=$Y$62)
*(tblBaseCFResult[IntRateScenario]=AH$64),"")</f>
        <v>300</v>
      </c>
      <c r="AI122" s="152" cm="1">
        <f t="array" ref="AI122">_xlfn._xlws.FILTER(ROUND(tblBaseCFResult[COI],-3)/1000,
(tblBaseCFResult[Year]=$T122)
*(tblBaseCFResult[Risk]=$Y$61)
*(tblBaseCFResult[PremTermScenario]=$Y$62)
*(tblBaseCFResult[IntRateScenario]=AI$64),"")</f>
        <v>273</v>
      </c>
      <c r="AJ122" s="152" cm="1">
        <f t="array" ref="AJ122">_xlfn._xlws.FILTER(ROUND(tblBaseCFResult[AdminChrg],-3)/1000,
(tblBaseCFResult[Year]=$T122)
*(tblBaseCFResult[Risk]=$Y$61)
*(tblBaseCFResult[PremTermScenario]=$Y$62)
*(tblBaseCFResult[IntRateScenario]=AJ$64),"")</f>
        <v>300</v>
      </c>
      <c r="AK122" s="152" cm="1">
        <f t="array" ref="AK122">_xlfn._xlws.FILTER(ROUND(tblBaseCFResult[COI],-3)/1000,
(tblBaseCFResult[Year]=$T122)
*(tblBaseCFResult[Risk]=$Y$61)
*(tblBaseCFResult[PremTermScenario]=$Y$62)
*(tblBaseCFResult[IntRateScenario]=AK$64),"")</f>
        <v>273</v>
      </c>
    </row>
    <row r="123" spans="1:37" ht="15" customHeight="1" x14ac:dyDescent="0.25">
      <c r="A123" s="155">
        <v>56</v>
      </c>
      <c r="B123" s="155">
        <f t="shared" si="13"/>
        <v>55</v>
      </c>
      <c r="C123" s="154"/>
      <c r="D123" s="153" t="str">
        <f t="shared" si="14"/>
        <v>56/55</v>
      </c>
      <c r="E123" s="157" cm="1">
        <f t="array" ref="E123">_xlfn._xlws.FILTER(tblBaseCFResult[TotalPrem]/1000,
(tblBaseCFResult[Year]=$A123)
*(tblBaseCFResult[Risk]=$E$61)
*(tblBaseCFResult[PremTermScenario]=$E$62)
*(tblBaseCFResult[IntRateScenario]=E$64),"")</f>
        <v>0</v>
      </c>
      <c r="F123" s="157" cm="1">
        <f t="array" ref="F123">_xlfn._xlws.FILTER(tblBaseCFResult[AccumTotalPrem]/1000,
(tblBaseCFResult[Year]=$A123)
*(tblBaseCFResult[Risk]=$E$61)
*(tblBaseCFResult[PremTermScenario]=$E$62)
*(tblBaseCFResult[IntRateScenario]=F$64),"")</f>
        <v>0</v>
      </c>
      <c r="G123" s="157" cm="1">
        <f t="array" ref="G123">_xlfn._xlws.FILTER(ROUND(tblBaseCFResult[SemiAnnualTotalPrem],-3)/1000,
(tblBaseCFResult[Year]=$A123)
*(tblBaseCFResult[Risk]=$E$61)
*(tblBaseCFResult[PremTermScenario]=$E$62)
*(tblBaseCFResult[IntRateScenario]=G$64),"")</f>
        <v>0</v>
      </c>
      <c r="H123" s="157" cm="1">
        <f t="array" ref="H123">_xlfn._xlws.FILTER(tblBaseCFResult[Ben]/1000,
(tblBaseCFResult[Year]=$A123)
*(tblBaseCFResult[Risk]=$E$61)
*(tblBaseCFResult[PremTermScenario]=$E$62)
*(tblBaseCFResult[IntRateScenario]=H$64),"")</f>
        <v>175921.54174896402</v>
      </c>
      <c r="I123" s="157" cm="1">
        <f t="array" ref="I123">_xlfn._xlws.FILTER(ROUND(tblBaseCFResult[EndPAV],-3)/1000,
(tblBaseCFResult[Year]=$A123)
*(tblBaseCFResult[Risk]=$E$61)
*(tblBaseCFResult[PremTermScenario]=$E$62)
*(tblBaseCFResult[IntRateScenario]=I$64),"")</f>
        <v>178861</v>
      </c>
      <c r="J123" s="157" cm="1">
        <f t="array" ref="J123">_xlfn._xlws.FILTER(ROUND(tblBaseCFResult[SV],-3)/1000,
(tblBaseCFResult[Year]=$A123)
*(tblBaseCFResult[Risk]=$E$61)
*(tblBaseCFResult[PremTermScenario]=$E$62)
*(tblBaseCFResult[IntRateScenario]=J$64),"")</f>
        <v>175922</v>
      </c>
      <c r="K123" s="157" cm="1">
        <f t="array" ref="K123">_xlfn._xlws.FILTER(tblBaseCFResult[Ben]/1000,
(tblBaseCFResult[Year]=$A123)
*(tblBaseCFResult[Risk]=$E$61)
*(tblBaseCFResult[PremTermScenario]=$E$62)
*(tblBaseCFResult[IntRateScenario]=K$64),"")</f>
        <v>750841.97644138394</v>
      </c>
      <c r="L123" s="157" cm="1">
        <f t="array" ref="L123">_xlfn._xlws.FILTER(ROUND(tblBaseCFResult[EndPAV],-3)/1000,
(tblBaseCFResult[Year]=$A123)
*(tblBaseCFResult[Risk]=$E$61)
*(tblBaseCFResult[PremTermScenario]=$E$62)
*(tblBaseCFResult[IntRateScenario]=L$64),"")</f>
        <v>787796</v>
      </c>
      <c r="M123" s="157" cm="1">
        <f t="array" ref="M123">_xlfn._xlws.FILTER(ROUND(tblBaseCFResult[SV],-3)/1000,
(tblBaseCFResult[Year]=$A123)
*(tblBaseCFResult[Risk]=$E$61)
*(tblBaseCFResult[PremTermScenario]=$E$62)
*(tblBaseCFResult[IntRateScenario]=M$64),"")</f>
        <v>750842</v>
      </c>
      <c r="N123" s="157" cm="1">
        <f t="array" ref="N123">_xlfn._xlws.FILTER(tblBaseCFResult[Ben]/1000,
(tblBaseCFResult[Year]=$A123)
*(tblBaseCFResult[Risk]=$E$61)
*(tblBaseCFResult[PremTermScenario]=$E$62)
*(tblBaseCFResult[IntRateScenario]=N$64),"")</f>
        <v>1916133.88202905</v>
      </c>
      <c r="O123" s="157" cm="1">
        <f t="array" ref="O123">_xlfn._xlws.FILTER(ROUND(tblBaseCFResult[EndPAV],-3)/1000,
(tblBaseCFResult[Year]=$A123)
*(tblBaseCFResult[Risk]=$E$61)
*(tblBaseCFResult[PremTermScenario]=$E$62)
*(tblBaseCFResult[IntRateScenario]=O$64),"")</f>
        <v>2049669</v>
      </c>
      <c r="P123" s="157" cm="1">
        <f t="array" ref="P123">_xlfn._xlws.FILTER(ROUND(tblBaseCFResult[SV],-3)/1000,
(tblBaseCFResult[Year]=$A123)
*(tblBaseCFResult[Risk]=$E$61)
*(tblBaseCFResult[PremTermScenario]=$E$62)
*(tblBaseCFResult[IntRateScenario]=P$64),"")</f>
        <v>1916134</v>
      </c>
      <c r="Q123" s="154"/>
      <c r="R123" s="156"/>
      <c r="S123" s="154"/>
      <c r="T123" s="155">
        <v>56</v>
      </c>
      <c r="U123" s="155">
        <f t="shared" si="15"/>
        <v>55</v>
      </c>
      <c r="W123" s="154"/>
      <c r="X123" s="153" t="str">
        <f t="shared" si="16"/>
        <v>56/55</v>
      </c>
      <c r="Y123" s="152" cm="1">
        <f t="array" ref="Y123">_xlfn._xlws.FILTER(tblBaseCFResult[TP]/1000,
(tblBaseCFResult[Year]=$T123)
*(tblBaseCFResult[Risk]=$Y$61)
*(tblBaseCFResult[PremTermScenario]=$Y$62)
*(tblBaseCFResult[IntRateScenario]=Y$64),"")</f>
        <v>0</v>
      </c>
      <c r="Z123" s="152" cm="1">
        <f t="array" ref="Z123">_xlfn._xlws.FILTER(tblBaseCFResult[EP]/1000,
(tblBaseCFResult[Year]=$T123)
*(tblBaseCFResult[Risk]=$Y$61)
*(tblBaseCFResult[PremTermScenario]=$Y$62)
*(tblBaseCFResult[IntRateScenario]=Z$64),"")</f>
        <v>0</v>
      </c>
      <c r="AA123" s="152">
        <f t="shared" si="17"/>
        <v>0</v>
      </c>
      <c r="AB123" s="152" cm="1">
        <f t="array" ref="AB123">_xlfn._xlws.FILTER(ROUND(tblBaseCFResult[AllocChrg],-3)/1000,
(tblBaseCFResult[Year]=$T123)
*(tblBaseCFResult[Risk]=$Y$61)
*(tblBaseCFResult[PremTermScenario]=$Y$62)
*(tblBaseCFResult[IntRateScenario]=AB$64),"")</f>
        <v>0</v>
      </c>
      <c r="AC123" s="152" cm="1">
        <f t="array" ref="AC123">_xlfn._xlws.FILTER(ROUND(tblBaseCFResult[EPAllocChrg],-3)/1000,
(tblBaseCFResult[Year]=$T123)
*(tblBaseCFResult[Risk]=$Y$61)
*(tblBaseCFResult[PremTermScenario]=$Y$62)
*(tblBaseCFResult[IntRateScenario]=AC$64),"")</f>
        <v>0</v>
      </c>
      <c r="AD123" s="152">
        <f t="shared" si="18"/>
        <v>0</v>
      </c>
      <c r="AE123" s="152">
        <f t="shared" si="19"/>
        <v>0</v>
      </c>
      <c r="AF123" s="152">
        <f t="shared" si="20"/>
        <v>0</v>
      </c>
      <c r="AG123" s="152">
        <f t="shared" si="21"/>
        <v>0</v>
      </c>
      <c r="AH123" s="152" cm="1">
        <f t="array" ref="AH123">_xlfn._xlws.FILTER(ROUND(tblBaseCFResult[AdminChrg],-3)/1000,
(tblBaseCFResult[Year]=$T123)
*(tblBaseCFResult[Risk]=$Y$61)
*(tblBaseCFResult[PremTermScenario]=$Y$62)
*(tblBaseCFResult[IntRateScenario]=AH$64),"")</f>
        <v>300</v>
      </c>
      <c r="AI123" s="152" cm="1">
        <f t="array" ref="AI123">_xlfn._xlws.FILTER(ROUND(tblBaseCFResult[COI],-3)/1000,
(tblBaseCFResult[Year]=$T123)
*(tblBaseCFResult[Risk]=$Y$61)
*(tblBaseCFResult[PremTermScenario]=$Y$62)
*(tblBaseCFResult[IntRateScenario]=AI$64),"")</f>
        <v>273</v>
      </c>
      <c r="AJ123" s="152" cm="1">
        <f t="array" ref="AJ123">_xlfn._xlws.FILTER(ROUND(tblBaseCFResult[AdminChrg],-3)/1000,
(tblBaseCFResult[Year]=$T123)
*(tblBaseCFResult[Risk]=$Y$61)
*(tblBaseCFResult[PremTermScenario]=$Y$62)
*(tblBaseCFResult[IntRateScenario]=AJ$64),"")</f>
        <v>300</v>
      </c>
      <c r="AK123" s="152" cm="1">
        <f t="array" ref="AK123">_xlfn._xlws.FILTER(ROUND(tblBaseCFResult[COI],-3)/1000,
(tblBaseCFResult[Year]=$T123)
*(tblBaseCFResult[Risk]=$Y$61)
*(tblBaseCFResult[PremTermScenario]=$Y$62)
*(tblBaseCFResult[IntRateScenario]=AK$64),"")</f>
        <v>273</v>
      </c>
    </row>
    <row r="124" spans="1:37" ht="15" customHeight="1" x14ac:dyDescent="0.25">
      <c r="A124" s="155">
        <v>57</v>
      </c>
      <c r="B124" s="155">
        <f t="shared" si="13"/>
        <v>56</v>
      </c>
      <c r="C124" s="154"/>
      <c r="D124" s="153" t="str">
        <f t="shared" si="14"/>
        <v>57/56</v>
      </c>
      <c r="E124" s="157" cm="1">
        <f t="array" ref="E124">_xlfn._xlws.FILTER(tblBaseCFResult[TotalPrem]/1000,
(tblBaseCFResult[Year]=$A124)
*(tblBaseCFResult[Risk]=$E$61)
*(tblBaseCFResult[PremTermScenario]=$E$62)
*(tblBaseCFResult[IntRateScenario]=E$64),"")</f>
        <v>0</v>
      </c>
      <c r="F124" s="157" cm="1">
        <f t="array" ref="F124">_xlfn._xlws.FILTER(tblBaseCFResult[AccumTotalPrem]/1000,
(tblBaseCFResult[Year]=$A124)
*(tblBaseCFResult[Risk]=$E$61)
*(tblBaseCFResult[PremTermScenario]=$E$62)
*(tblBaseCFResult[IntRateScenario]=F$64),"")</f>
        <v>0</v>
      </c>
      <c r="G124" s="157" cm="1">
        <f t="array" ref="G124">_xlfn._xlws.FILTER(ROUND(tblBaseCFResult[SemiAnnualTotalPrem],-3)/1000,
(tblBaseCFResult[Year]=$A124)
*(tblBaseCFResult[Risk]=$E$61)
*(tblBaseCFResult[PremTermScenario]=$E$62)
*(tblBaseCFResult[IntRateScenario]=G$64),"")</f>
        <v>0</v>
      </c>
      <c r="H124" s="157" cm="1">
        <f t="array" ref="H124">_xlfn._xlws.FILTER(tblBaseCFResult[Ben]/1000,
(tblBaseCFResult[Year]=$A124)
*(tblBaseCFResult[Risk]=$E$61)
*(tblBaseCFResult[PremTermScenario]=$E$62)
*(tblBaseCFResult[IntRateScenario]=H$64),"")</f>
        <v>178861.08710416601</v>
      </c>
      <c r="I124" s="157" cm="1">
        <f t="array" ref="I124">_xlfn._xlws.FILTER(ROUND(tblBaseCFResult[EndPAV],-3)/1000,
(tblBaseCFResult[Year]=$A124)
*(tblBaseCFResult[Risk]=$E$61)
*(tblBaseCFResult[PremTermScenario]=$E$62)
*(tblBaseCFResult[IntRateScenario]=I$64),"")</f>
        <v>181859</v>
      </c>
      <c r="J124" s="157" cm="1">
        <f t="array" ref="J124">_xlfn._xlws.FILTER(ROUND(tblBaseCFResult[SV],-3)/1000,
(tblBaseCFResult[Year]=$A124)
*(tblBaseCFResult[Risk]=$E$61)
*(tblBaseCFResult[PremTermScenario]=$E$62)
*(tblBaseCFResult[IntRateScenario]=J$64),"")</f>
        <v>178861</v>
      </c>
      <c r="K124" s="157" cm="1">
        <f t="array" ref="K124">_xlfn._xlws.FILTER(tblBaseCFResult[Ben]/1000,
(tblBaseCFResult[Year]=$A124)
*(tblBaseCFResult[Risk]=$E$61)
*(tblBaseCFResult[PremTermScenario]=$E$62)
*(tblBaseCFResult[IntRateScenario]=K$64),"")</f>
        <v>787795.980250853</v>
      </c>
      <c r="L124" s="157" cm="1">
        <f t="array" ref="L124">_xlfn._xlws.FILTER(ROUND(tblBaseCFResult[EndPAV],-3)/1000,
(tblBaseCFResult[Year]=$A124)
*(tblBaseCFResult[Risk]=$E$61)
*(tblBaseCFResult[PremTermScenario]=$E$62)
*(tblBaseCFResult[IntRateScenario]=L$64),"")</f>
        <v>826598</v>
      </c>
      <c r="M124" s="157" cm="1">
        <f t="array" ref="M124">_xlfn._xlws.FILTER(ROUND(tblBaseCFResult[SV],-3)/1000,
(tblBaseCFResult[Year]=$A124)
*(tblBaseCFResult[Risk]=$E$61)
*(tblBaseCFResult[PremTermScenario]=$E$62)
*(tblBaseCFResult[IntRateScenario]=M$64),"")</f>
        <v>787796</v>
      </c>
      <c r="N124" s="157" cm="1">
        <f t="array" ref="N124">_xlfn._xlws.FILTER(tblBaseCFResult[Ben]/1000,
(tblBaseCFResult[Year]=$A124)
*(tblBaseCFResult[Risk]=$E$61)
*(tblBaseCFResult[PremTermScenario]=$E$62)
*(tblBaseCFResult[IntRateScenario]=N$64),"")</f>
        <v>2049669.0633398199</v>
      </c>
      <c r="O124" s="157" cm="1">
        <f t="array" ref="O124">_xlfn._xlws.FILTER(ROUND(tblBaseCFResult[EndPAV],-3)/1000,
(tblBaseCFResult[Year]=$A124)
*(tblBaseCFResult[Risk]=$E$61)
*(tblBaseCFResult[PremTermScenario]=$E$62)
*(tblBaseCFResult[IntRateScenario]=O$64),"")</f>
        <v>2192552</v>
      </c>
      <c r="P124" s="157" cm="1">
        <f t="array" ref="P124">_xlfn._xlws.FILTER(ROUND(tblBaseCFResult[SV],-3)/1000,
(tblBaseCFResult[Year]=$A124)
*(tblBaseCFResult[Risk]=$E$61)
*(tblBaseCFResult[PremTermScenario]=$E$62)
*(tblBaseCFResult[IntRateScenario]=P$64),"")</f>
        <v>2049669</v>
      </c>
      <c r="Q124" s="154"/>
      <c r="R124" s="156"/>
      <c r="S124" s="154"/>
      <c r="T124" s="155">
        <v>57</v>
      </c>
      <c r="U124" s="155">
        <f t="shared" si="15"/>
        <v>56</v>
      </c>
      <c r="W124" s="154"/>
      <c r="X124" s="153" t="str">
        <f t="shared" si="16"/>
        <v>57/56</v>
      </c>
      <c r="Y124" s="152" cm="1">
        <f t="array" ref="Y124">_xlfn._xlws.FILTER(tblBaseCFResult[TP]/1000,
(tblBaseCFResult[Year]=$T124)
*(tblBaseCFResult[Risk]=$Y$61)
*(tblBaseCFResult[PremTermScenario]=$Y$62)
*(tblBaseCFResult[IntRateScenario]=Y$64),"")</f>
        <v>0</v>
      </c>
      <c r="Z124" s="152" cm="1">
        <f t="array" ref="Z124">_xlfn._xlws.FILTER(tblBaseCFResult[EP]/1000,
(tblBaseCFResult[Year]=$T124)
*(tblBaseCFResult[Risk]=$Y$61)
*(tblBaseCFResult[PremTermScenario]=$Y$62)
*(tblBaseCFResult[IntRateScenario]=Z$64),"")</f>
        <v>0</v>
      </c>
      <c r="AA124" s="152">
        <f t="shared" si="17"/>
        <v>0</v>
      </c>
      <c r="AB124" s="152" cm="1">
        <f t="array" ref="AB124">_xlfn._xlws.FILTER(ROUND(tblBaseCFResult[AllocChrg],-3)/1000,
(tblBaseCFResult[Year]=$T124)
*(tblBaseCFResult[Risk]=$Y$61)
*(tblBaseCFResult[PremTermScenario]=$Y$62)
*(tblBaseCFResult[IntRateScenario]=AB$64),"")</f>
        <v>0</v>
      </c>
      <c r="AC124" s="152" cm="1">
        <f t="array" ref="AC124">_xlfn._xlws.FILTER(ROUND(tblBaseCFResult[EPAllocChrg],-3)/1000,
(tblBaseCFResult[Year]=$T124)
*(tblBaseCFResult[Risk]=$Y$61)
*(tblBaseCFResult[PremTermScenario]=$Y$62)
*(tblBaseCFResult[IntRateScenario]=AC$64),"")</f>
        <v>0</v>
      </c>
      <c r="AD124" s="152">
        <f t="shared" si="18"/>
        <v>0</v>
      </c>
      <c r="AE124" s="152">
        <f t="shared" si="19"/>
        <v>0</v>
      </c>
      <c r="AF124" s="152">
        <f t="shared" si="20"/>
        <v>0</v>
      </c>
      <c r="AG124" s="152">
        <f t="shared" si="21"/>
        <v>0</v>
      </c>
      <c r="AH124" s="152" cm="1">
        <f t="array" ref="AH124">_xlfn._xlws.FILTER(ROUND(tblBaseCFResult[AdminChrg],-3)/1000,
(tblBaseCFResult[Year]=$T124)
*(tblBaseCFResult[Risk]=$Y$61)
*(tblBaseCFResult[PremTermScenario]=$Y$62)
*(tblBaseCFResult[IntRateScenario]=AH$64),"")</f>
        <v>300</v>
      </c>
      <c r="AI124" s="152" cm="1">
        <f t="array" ref="AI124">_xlfn._xlws.FILTER(ROUND(tblBaseCFResult[COI],-3)/1000,
(tblBaseCFResult[Year]=$T124)
*(tblBaseCFResult[Risk]=$Y$61)
*(tblBaseCFResult[PremTermScenario]=$Y$62)
*(tblBaseCFResult[IntRateScenario]=AI$64),"")</f>
        <v>273</v>
      </c>
      <c r="AJ124" s="152" cm="1">
        <f t="array" ref="AJ124">_xlfn._xlws.FILTER(ROUND(tblBaseCFResult[AdminChrg],-3)/1000,
(tblBaseCFResult[Year]=$T124)
*(tblBaseCFResult[Risk]=$Y$61)
*(tblBaseCFResult[PremTermScenario]=$Y$62)
*(tblBaseCFResult[IntRateScenario]=AJ$64),"")</f>
        <v>300</v>
      </c>
      <c r="AK124" s="152" cm="1">
        <f t="array" ref="AK124">_xlfn._xlws.FILTER(ROUND(tblBaseCFResult[COI],-3)/1000,
(tblBaseCFResult[Year]=$T124)
*(tblBaseCFResult[Risk]=$Y$61)
*(tblBaseCFResult[PremTermScenario]=$Y$62)
*(tblBaseCFResult[IntRateScenario]=AK$64),"")</f>
        <v>273</v>
      </c>
    </row>
    <row r="125" spans="1:37" ht="15" customHeight="1" x14ac:dyDescent="0.25">
      <c r="A125" s="155">
        <v>58</v>
      </c>
      <c r="B125" s="155">
        <f t="shared" si="13"/>
        <v>57</v>
      </c>
      <c r="C125" s="154"/>
      <c r="D125" s="153" t="str">
        <f t="shared" si="14"/>
        <v>58/57</v>
      </c>
      <c r="E125" s="157" cm="1">
        <f t="array" ref="E125">_xlfn._xlws.FILTER(tblBaseCFResult[TotalPrem]/1000,
(tblBaseCFResult[Year]=$A125)
*(tblBaseCFResult[Risk]=$E$61)
*(tblBaseCFResult[PremTermScenario]=$E$62)
*(tblBaseCFResult[IntRateScenario]=E$64),"")</f>
        <v>0</v>
      </c>
      <c r="F125" s="157" cm="1">
        <f t="array" ref="F125">_xlfn._xlws.FILTER(tblBaseCFResult[AccumTotalPrem]/1000,
(tblBaseCFResult[Year]=$A125)
*(tblBaseCFResult[Risk]=$E$61)
*(tblBaseCFResult[PremTermScenario]=$E$62)
*(tblBaseCFResult[IntRateScenario]=F$64),"")</f>
        <v>0</v>
      </c>
      <c r="G125" s="157" cm="1">
        <f t="array" ref="G125">_xlfn._xlws.FILTER(ROUND(tblBaseCFResult[SemiAnnualTotalPrem],-3)/1000,
(tblBaseCFResult[Year]=$A125)
*(tblBaseCFResult[Risk]=$E$61)
*(tblBaseCFResult[PremTermScenario]=$E$62)
*(tblBaseCFResult[IntRateScenario]=G$64),"")</f>
        <v>0</v>
      </c>
      <c r="H125" s="157" cm="1">
        <f t="array" ref="H125">_xlfn._xlws.FILTER(tblBaseCFResult[Ben]/1000,
(tblBaseCFResult[Year]=$A125)
*(tblBaseCFResult[Risk]=$E$61)
*(tblBaseCFResult[PremTermScenario]=$E$62)
*(tblBaseCFResult[IntRateScenario]=H$64),"")</f>
        <v>181859.42336647201</v>
      </c>
      <c r="I125" s="157" cm="1">
        <f t="array" ref="I125">_xlfn._xlws.FILTER(ROUND(tblBaseCFResult[EndPAV],-3)/1000,
(tblBaseCFResult[Year]=$A125)
*(tblBaseCFResult[Risk]=$E$61)
*(tblBaseCFResult[PremTermScenario]=$E$62)
*(tblBaseCFResult[IntRateScenario]=I$64),"")</f>
        <v>184918</v>
      </c>
      <c r="J125" s="157" cm="1">
        <f t="array" ref="J125">_xlfn._xlws.FILTER(ROUND(tblBaseCFResult[SV],-3)/1000,
(tblBaseCFResult[Year]=$A125)
*(tblBaseCFResult[Risk]=$E$61)
*(tblBaseCFResult[PremTermScenario]=$E$62)
*(tblBaseCFResult[IntRateScenario]=J$64),"")</f>
        <v>181859</v>
      </c>
      <c r="K125" s="157" cm="1">
        <f t="array" ref="K125">_xlfn._xlws.FILTER(tblBaseCFResult[Ben]/1000,
(tblBaseCFResult[Year]=$A125)
*(tblBaseCFResult[Risk]=$E$61)
*(tblBaseCFResult[PremTermScenario]=$E$62)
*(tblBaseCFResult[IntRateScenario]=K$64),"")</f>
        <v>826597.68425079598</v>
      </c>
      <c r="L125" s="157" cm="1">
        <f t="array" ref="L125">_xlfn._xlws.FILTER(ROUND(tblBaseCFResult[EndPAV],-3)/1000,
(tblBaseCFResult[Year]=$A125)
*(tblBaseCFResult[Risk]=$E$61)
*(tblBaseCFResult[PremTermScenario]=$E$62)
*(tblBaseCFResult[IntRateScenario]=L$64),"")</f>
        <v>867339</v>
      </c>
      <c r="M125" s="157" cm="1">
        <f t="array" ref="M125">_xlfn._xlws.FILTER(ROUND(tblBaseCFResult[SV],-3)/1000,
(tblBaseCFResult[Year]=$A125)
*(tblBaseCFResult[Risk]=$E$61)
*(tblBaseCFResult[PremTermScenario]=$E$62)
*(tblBaseCFResult[IntRateScenario]=M$64),"")</f>
        <v>826598</v>
      </c>
      <c r="N125" s="157" cm="1">
        <f t="array" ref="N125">_xlfn._xlws.FILTER(tblBaseCFResult[Ben]/1000,
(tblBaseCFResult[Year]=$A125)
*(tblBaseCFResult[Risk]=$E$61)
*(tblBaseCFResult[PremTermScenario]=$E$62)
*(tblBaseCFResult[IntRateScenario]=N$64),"")</f>
        <v>2192551.7073423299</v>
      </c>
      <c r="O125" s="157" cm="1">
        <f t="array" ref="O125">_xlfn._xlws.FILTER(ROUND(tblBaseCFResult[EndPAV],-3)/1000,
(tblBaseCFResult[Year]=$A125)
*(tblBaseCFResult[Risk]=$E$61)
*(tblBaseCFResult[PremTermScenario]=$E$62)
*(tblBaseCFResult[IntRateScenario]=O$64),"")</f>
        <v>2345436</v>
      </c>
      <c r="P125" s="157" cm="1">
        <f t="array" ref="P125">_xlfn._xlws.FILTER(ROUND(tblBaseCFResult[SV],-3)/1000,
(tblBaseCFResult[Year]=$A125)
*(tblBaseCFResult[Risk]=$E$61)
*(tblBaseCFResult[PremTermScenario]=$E$62)
*(tblBaseCFResult[IntRateScenario]=P$64),"")</f>
        <v>2192552</v>
      </c>
      <c r="Q125" s="154"/>
      <c r="R125" s="156"/>
      <c r="S125" s="154"/>
      <c r="T125" s="155">
        <v>58</v>
      </c>
      <c r="U125" s="155">
        <f t="shared" si="15"/>
        <v>57</v>
      </c>
      <c r="W125" s="154"/>
      <c r="X125" s="153" t="str">
        <f t="shared" si="16"/>
        <v>58/57</v>
      </c>
      <c r="Y125" s="152" cm="1">
        <f t="array" ref="Y125">_xlfn._xlws.FILTER(tblBaseCFResult[TP]/1000,
(tblBaseCFResult[Year]=$T125)
*(tblBaseCFResult[Risk]=$Y$61)
*(tblBaseCFResult[PremTermScenario]=$Y$62)
*(tblBaseCFResult[IntRateScenario]=Y$64),"")</f>
        <v>0</v>
      </c>
      <c r="Z125" s="152" cm="1">
        <f t="array" ref="Z125">_xlfn._xlws.FILTER(tblBaseCFResult[EP]/1000,
(tblBaseCFResult[Year]=$T125)
*(tblBaseCFResult[Risk]=$Y$61)
*(tblBaseCFResult[PremTermScenario]=$Y$62)
*(tblBaseCFResult[IntRateScenario]=Z$64),"")</f>
        <v>0</v>
      </c>
      <c r="AA125" s="152">
        <f t="shared" si="17"/>
        <v>0</v>
      </c>
      <c r="AB125" s="152" cm="1">
        <f t="array" ref="AB125">_xlfn._xlws.FILTER(ROUND(tblBaseCFResult[AllocChrg],-3)/1000,
(tblBaseCFResult[Year]=$T125)
*(tblBaseCFResult[Risk]=$Y$61)
*(tblBaseCFResult[PremTermScenario]=$Y$62)
*(tblBaseCFResult[IntRateScenario]=AB$64),"")</f>
        <v>0</v>
      </c>
      <c r="AC125" s="152" cm="1">
        <f t="array" ref="AC125">_xlfn._xlws.FILTER(ROUND(tblBaseCFResult[EPAllocChrg],-3)/1000,
(tblBaseCFResult[Year]=$T125)
*(tblBaseCFResult[Risk]=$Y$61)
*(tblBaseCFResult[PremTermScenario]=$Y$62)
*(tblBaseCFResult[IntRateScenario]=AC$64),"")</f>
        <v>0</v>
      </c>
      <c r="AD125" s="152">
        <f t="shared" si="18"/>
        <v>0</v>
      </c>
      <c r="AE125" s="152">
        <f t="shared" si="19"/>
        <v>0</v>
      </c>
      <c r="AF125" s="152">
        <f t="shared" si="20"/>
        <v>0</v>
      </c>
      <c r="AG125" s="152">
        <f t="shared" si="21"/>
        <v>0</v>
      </c>
      <c r="AH125" s="152" cm="1">
        <f t="array" ref="AH125">_xlfn._xlws.FILTER(ROUND(tblBaseCFResult[AdminChrg],-3)/1000,
(tblBaseCFResult[Year]=$T125)
*(tblBaseCFResult[Risk]=$Y$61)
*(tblBaseCFResult[PremTermScenario]=$Y$62)
*(tblBaseCFResult[IntRateScenario]=AH$64),"")</f>
        <v>300</v>
      </c>
      <c r="AI125" s="152" cm="1">
        <f t="array" ref="AI125">_xlfn._xlws.FILTER(ROUND(tblBaseCFResult[COI],-3)/1000,
(tblBaseCFResult[Year]=$T125)
*(tblBaseCFResult[Risk]=$Y$61)
*(tblBaseCFResult[PremTermScenario]=$Y$62)
*(tblBaseCFResult[IntRateScenario]=AI$64),"")</f>
        <v>273</v>
      </c>
      <c r="AJ125" s="152" cm="1">
        <f t="array" ref="AJ125">_xlfn._xlws.FILTER(ROUND(tblBaseCFResult[AdminChrg],-3)/1000,
(tblBaseCFResult[Year]=$T125)
*(tblBaseCFResult[Risk]=$Y$61)
*(tblBaseCFResult[PremTermScenario]=$Y$62)
*(tblBaseCFResult[IntRateScenario]=AJ$64),"")</f>
        <v>300</v>
      </c>
      <c r="AK125" s="152" cm="1">
        <f t="array" ref="AK125">_xlfn._xlws.FILTER(ROUND(tblBaseCFResult[COI],-3)/1000,
(tblBaseCFResult[Year]=$T125)
*(tblBaseCFResult[Risk]=$Y$61)
*(tblBaseCFResult[PremTermScenario]=$Y$62)
*(tblBaseCFResult[IntRateScenario]=AK$64),"")</f>
        <v>273</v>
      </c>
    </row>
    <row r="126" spans="1:37" ht="15" customHeight="1" x14ac:dyDescent="0.25">
      <c r="A126" s="155">
        <v>59</v>
      </c>
      <c r="B126" s="155">
        <f t="shared" si="13"/>
        <v>58</v>
      </c>
      <c r="C126" s="154"/>
      <c r="D126" s="153" t="str">
        <f t="shared" si="14"/>
        <v>59/58</v>
      </c>
      <c r="E126" s="157" cm="1">
        <f t="array" ref="E126">_xlfn._xlws.FILTER(tblBaseCFResult[TotalPrem]/1000,
(tblBaseCFResult[Year]=$A126)
*(tblBaseCFResult[Risk]=$E$61)
*(tblBaseCFResult[PremTermScenario]=$E$62)
*(tblBaseCFResult[IntRateScenario]=E$64),"")</f>
        <v>0</v>
      </c>
      <c r="F126" s="157" cm="1">
        <f t="array" ref="F126">_xlfn._xlws.FILTER(tblBaseCFResult[AccumTotalPrem]/1000,
(tblBaseCFResult[Year]=$A126)
*(tblBaseCFResult[Risk]=$E$61)
*(tblBaseCFResult[PremTermScenario]=$E$62)
*(tblBaseCFResult[IntRateScenario]=F$64),"")</f>
        <v>0</v>
      </c>
      <c r="G126" s="157" cm="1">
        <f t="array" ref="G126">_xlfn._xlws.FILTER(ROUND(tblBaseCFResult[SemiAnnualTotalPrem],-3)/1000,
(tblBaseCFResult[Year]=$A126)
*(tblBaseCFResult[Risk]=$E$61)
*(tblBaseCFResult[PremTermScenario]=$E$62)
*(tblBaseCFResult[IntRateScenario]=G$64),"")</f>
        <v>0</v>
      </c>
      <c r="H126" s="157" cm="1">
        <f t="array" ref="H126">_xlfn._xlws.FILTER(tblBaseCFResult[Ben]/1000,
(tblBaseCFResult[Year]=$A126)
*(tblBaseCFResult[Risk]=$E$61)
*(tblBaseCFResult[PremTermScenario]=$E$62)
*(tblBaseCFResult[IntRateScenario]=H$64),"")</f>
        <v>184917.72635402501</v>
      </c>
      <c r="I126" s="157" cm="1">
        <f t="array" ref="I126">_xlfn._xlws.FILTER(ROUND(tblBaseCFResult[EndPAV],-3)/1000,
(tblBaseCFResult[Year]=$A126)
*(tblBaseCFResult[Risk]=$E$61)
*(tblBaseCFResult[PremTermScenario]=$E$62)
*(tblBaseCFResult[IntRateScenario]=I$64),"")</f>
        <v>188037</v>
      </c>
      <c r="J126" s="157" cm="1">
        <f t="array" ref="J126">_xlfn._xlws.FILTER(ROUND(tblBaseCFResult[SV],-3)/1000,
(tblBaseCFResult[Year]=$A126)
*(tblBaseCFResult[Risk]=$E$61)
*(tblBaseCFResult[PremTermScenario]=$E$62)
*(tblBaseCFResult[IntRateScenario]=J$64),"")</f>
        <v>184918</v>
      </c>
      <c r="K126" s="157" cm="1">
        <f t="array" ref="K126">_xlfn._xlws.FILTER(tblBaseCFResult[Ben]/1000,
(tblBaseCFResult[Year]=$A126)
*(tblBaseCFResult[Risk]=$E$61)
*(tblBaseCFResult[PremTermScenario]=$E$62)
*(tblBaseCFResult[IntRateScenario]=K$64),"")</f>
        <v>867339.47345073603</v>
      </c>
      <c r="L126" s="157" cm="1">
        <f t="array" ref="L126">_xlfn._xlws.FILTER(ROUND(tblBaseCFResult[EndPAV],-3)/1000,
(tblBaseCFResult[Year]=$A126)
*(tblBaseCFResult[Risk]=$E$61)
*(tblBaseCFResult[PremTermScenario]=$E$62)
*(tblBaseCFResult[IntRateScenario]=L$64),"")</f>
        <v>910118</v>
      </c>
      <c r="M126" s="157" cm="1">
        <f t="array" ref="M126">_xlfn._xlws.FILTER(ROUND(tblBaseCFResult[SV],-3)/1000,
(tblBaseCFResult[Year]=$A126)
*(tblBaseCFResult[Risk]=$E$61)
*(tblBaseCFResult[PremTermScenario]=$E$62)
*(tblBaseCFResult[IntRateScenario]=M$64),"")</f>
        <v>867339</v>
      </c>
      <c r="N126" s="157" cm="1">
        <f t="array" ref="N126">_xlfn._xlws.FILTER(tblBaseCFResult[Ben]/1000,
(tblBaseCFResult[Year]=$A126)
*(tblBaseCFResult[Risk]=$E$61)
*(tblBaseCFResult[PremTermScenario]=$E$62)
*(tblBaseCFResult[IntRateScenario]=N$64),"")</f>
        <v>2345436.1364250304</v>
      </c>
      <c r="O126" s="157" cm="1">
        <f t="array" ref="O126">_xlfn._xlws.FILTER(ROUND(tblBaseCFResult[EndPAV],-3)/1000,
(tblBaseCFResult[Year]=$A126)
*(tblBaseCFResult[Risk]=$E$61)
*(tblBaseCFResult[PremTermScenario]=$E$62)
*(tblBaseCFResult[IntRateScenario]=O$64),"")</f>
        <v>2509022</v>
      </c>
      <c r="P126" s="157" cm="1">
        <f t="array" ref="P126">_xlfn._xlws.FILTER(ROUND(tblBaseCFResult[SV],-3)/1000,
(tblBaseCFResult[Year]=$A126)
*(tblBaseCFResult[Risk]=$E$61)
*(tblBaseCFResult[PremTermScenario]=$E$62)
*(tblBaseCFResult[IntRateScenario]=P$64),"")</f>
        <v>2345436</v>
      </c>
      <c r="Q126" s="154"/>
      <c r="R126" s="156"/>
      <c r="S126" s="154"/>
      <c r="T126" s="155">
        <v>59</v>
      </c>
      <c r="U126" s="155">
        <f t="shared" si="15"/>
        <v>58</v>
      </c>
      <c r="W126" s="154"/>
      <c r="X126" s="153" t="str">
        <f t="shared" si="16"/>
        <v>59/58</v>
      </c>
      <c r="Y126" s="152" cm="1">
        <f t="array" ref="Y126">_xlfn._xlws.FILTER(tblBaseCFResult[TP]/1000,
(tblBaseCFResult[Year]=$T126)
*(tblBaseCFResult[Risk]=$Y$61)
*(tblBaseCFResult[PremTermScenario]=$Y$62)
*(tblBaseCFResult[IntRateScenario]=Y$64),"")</f>
        <v>0</v>
      </c>
      <c r="Z126" s="152" cm="1">
        <f t="array" ref="Z126">_xlfn._xlws.FILTER(tblBaseCFResult[EP]/1000,
(tblBaseCFResult[Year]=$T126)
*(tblBaseCFResult[Risk]=$Y$61)
*(tblBaseCFResult[PremTermScenario]=$Y$62)
*(tblBaseCFResult[IntRateScenario]=Z$64),"")</f>
        <v>0</v>
      </c>
      <c r="AA126" s="152">
        <f t="shared" si="17"/>
        <v>0</v>
      </c>
      <c r="AB126" s="152" cm="1">
        <f t="array" ref="AB126">_xlfn._xlws.FILTER(ROUND(tblBaseCFResult[AllocChrg],-3)/1000,
(tblBaseCFResult[Year]=$T126)
*(tblBaseCFResult[Risk]=$Y$61)
*(tblBaseCFResult[PremTermScenario]=$Y$62)
*(tblBaseCFResult[IntRateScenario]=AB$64),"")</f>
        <v>0</v>
      </c>
      <c r="AC126" s="152" cm="1">
        <f t="array" ref="AC126">_xlfn._xlws.FILTER(ROUND(tblBaseCFResult[EPAllocChrg],-3)/1000,
(tblBaseCFResult[Year]=$T126)
*(tblBaseCFResult[Risk]=$Y$61)
*(tblBaseCFResult[PremTermScenario]=$Y$62)
*(tblBaseCFResult[IntRateScenario]=AC$64),"")</f>
        <v>0</v>
      </c>
      <c r="AD126" s="152">
        <f t="shared" si="18"/>
        <v>0</v>
      </c>
      <c r="AE126" s="152">
        <f t="shared" si="19"/>
        <v>0</v>
      </c>
      <c r="AF126" s="152">
        <f t="shared" si="20"/>
        <v>0</v>
      </c>
      <c r="AG126" s="152">
        <f t="shared" si="21"/>
        <v>0</v>
      </c>
      <c r="AH126" s="152" cm="1">
        <f t="array" ref="AH126">_xlfn._xlws.FILTER(ROUND(tblBaseCFResult[AdminChrg],-3)/1000,
(tblBaseCFResult[Year]=$T126)
*(tblBaseCFResult[Risk]=$Y$61)
*(tblBaseCFResult[PremTermScenario]=$Y$62)
*(tblBaseCFResult[IntRateScenario]=AH$64),"")</f>
        <v>300</v>
      </c>
      <c r="AI126" s="152" cm="1">
        <f t="array" ref="AI126">_xlfn._xlws.FILTER(ROUND(tblBaseCFResult[COI],-3)/1000,
(tblBaseCFResult[Year]=$T126)
*(tblBaseCFResult[Risk]=$Y$61)
*(tblBaseCFResult[PremTermScenario]=$Y$62)
*(tblBaseCFResult[IntRateScenario]=AI$64),"")</f>
        <v>273</v>
      </c>
      <c r="AJ126" s="152" cm="1">
        <f t="array" ref="AJ126">_xlfn._xlws.FILTER(ROUND(tblBaseCFResult[AdminChrg],-3)/1000,
(tblBaseCFResult[Year]=$T126)
*(tblBaseCFResult[Risk]=$Y$61)
*(tblBaseCFResult[PremTermScenario]=$Y$62)
*(tblBaseCFResult[IntRateScenario]=AJ$64),"")</f>
        <v>300</v>
      </c>
      <c r="AK126" s="152" cm="1">
        <f t="array" ref="AK126">_xlfn._xlws.FILTER(ROUND(tblBaseCFResult[COI],-3)/1000,
(tblBaseCFResult[Year]=$T126)
*(tblBaseCFResult[Risk]=$Y$61)
*(tblBaseCFResult[PremTermScenario]=$Y$62)
*(tblBaseCFResult[IntRateScenario]=AK$64),"")</f>
        <v>273</v>
      </c>
    </row>
    <row r="127" spans="1:37" ht="15" customHeight="1" x14ac:dyDescent="0.25">
      <c r="A127" s="155">
        <v>60</v>
      </c>
      <c r="B127" s="155">
        <f t="shared" si="13"/>
        <v>59</v>
      </c>
      <c r="C127" s="154"/>
      <c r="D127" s="153" t="str">
        <f t="shared" si="14"/>
        <v>60/59</v>
      </c>
      <c r="E127" s="157" cm="1">
        <f t="array" ref="E127">_xlfn._xlws.FILTER(tblBaseCFResult[TotalPrem]/1000,
(tblBaseCFResult[Year]=$A127)
*(tblBaseCFResult[Risk]=$E$61)
*(tblBaseCFResult[PremTermScenario]=$E$62)
*(tblBaseCFResult[IntRateScenario]=E$64),"")</f>
        <v>0</v>
      </c>
      <c r="F127" s="157" cm="1">
        <f t="array" ref="F127">_xlfn._xlws.FILTER(tblBaseCFResult[AccumTotalPrem]/1000,
(tblBaseCFResult[Year]=$A127)
*(tblBaseCFResult[Risk]=$E$61)
*(tblBaseCFResult[PremTermScenario]=$E$62)
*(tblBaseCFResult[IntRateScenario]=F$64),"")</f>
        <v>0</v>
      </c>
      <c r="G127" s="157" cm="1">
        <f t="array" ref="G127">_xlfn._xlws.FILTER(ROUND(tblBaseCFResult[SemiAnnualTotalPrem],-3)/1000,
(tblBaseCFResult[Year]=$A127)
*(tblBaseCFResult[Risk]=$E$61)
*(tblBaseCFResult[PremTermScenario]=$E$62)
*(tblBaseCFResult[IntRateScenario]=G$64),"")</f>
        <v>0</v>
      </c>
      <c r="H127" s="157" cm="1">
        <f t="array" ref="H127">_xlfn._xlws.FILTER(tblBaseCFResult[Ben]/1000,
(tblBaseCFResult[Year]=$A127)
*(tblBaseCFResult[Risk]=$E$61)
*(tblBaseCFResult[PremTermScenario]=$E$62)
*(tblBaseCFResult[IntRateScenario]=H$64),"")</f>
        <v>188037.195401328</v>
      </c>
      <c r="I127" s="157" cm="1">
        <f t="array" ref="I127">_xlfn._xlws.FILTER(ROUND(tblBaseCFResult[EndPAV],-3)/1000,
(tblBaseCFResult[Year]=$A127)
*(tblBaseCFResult[Risk]=$E$61)
*(tblBaseCFResult[PremTermScenario]=$E$62)
*(tblBaseCFResult[IntRateScenario]=I$64),"")</f>
        <v>191219</v>
      </c>
      <c r="J127" s="157" cm="1">
        <f t="array" ref="J127">_xlfn._xlws.FILTER(ROUND(tblBaseCFResult[SV],-3)/1000,
(tblBaseCFResult[Year]=$A127)
*(tblBaseCFResult[Risk]=$E$61)
*(tblBaseCFResult[PremTermScenario]=$E$62)
*(tblBaseCFResult[IntRateScenario]=J$64),"")</f>
        <v>188037</v>
      </c>
      <c r="K127" s="157" cm="1">
        <f t="array" ref="K127">_xlfn._xlws.FILTER(tblBaseCFResult[Ben]/1000,
(tblBaseCFResult[Year]=$A127)
*(tblBaseCFResult[Risk]=$E$61)
*(tblBaseCFResult[PremTermScenario]=$E$62)
*(tblBaseCFResult[IntRateScenario]=K$64),"")</f>
        <v>910118.35211067204</v>
      </c>
      <c r="L127" s="157" cm="1">
        <f t="array" ref="L127">_xlfn._xlws.FILTER(ROUND(tblBaseCFResult[EndPAV],-3)/1000,
(tblBaseCFResult[Year]=$A127)
*(tblBaseCFResult[Risk]=$E$61)
*(tblBaseCFResult[PremTermScenario]=$E$62)
*(tblBaseCFResult[IntRateScenario]=L$64),"")</f>
        <v>955036</v>
      </c>
      <c r="M127" s="157" cm="1">
        <f t="array" ref="M127">_xlfn._xlws.FILTER(ROUND(tblBaseCFResult[SV],-3)/1000,
(tblBaseCFResult[Year]=$A127)
*(tblBaseCFResult[Risk]=$E$61)
*(tblBaseCFResult[PremTermScenario]=$E$62)
*(tblBaseCFResult[IntRateScenario]=M$64),"")</f>
        <v>910118</v>
      </c>
      <c r="N127" s="157" cm="1">
        <f t="array" ref="N127">_xlfn._xlws.FILTER(tblBaseCFResult[Ben]/1000,
(tblBaseCFResult[Year]=$A127)
*(tblBaseCFResult[Risk]=$E$61)
*(tblBaseCFResult[PremTermScenario]=$E$62)
*(tblBaseCFResult[IntRateScenario]=N$64),"")</f>
        <v>2509022.4755435102</v>
      </c>
      <c r="O127" s="157" cm="1">
        <f t="array" ref="O127">_xlfn._xlws.FILTER(ROUND(tblBaseCFResult[EndPAV],-3)/1000,
(tblBaseCFResult[Year]=$A127)
*(tblBaseCFResult[Risk]=$E$61)
*(tblBaseCFResult[PremTermScenario]=$E$62)
*(tblBaseCFResult[IntRateScenario]=O$64),"")</f>
        <v>2684060</v>
      </c>
      <c r="P127" s="157" cm="1">
        <f t="array" ref="P127">_xlfn._xlws.FILTER(ROUND(tblBaseCFResult[SV],-3)/1000,
(tblBaseCFResult[Year]=$A127)
*(tblBaseCFResult[Risk]=$E$61)
*(tblBaseCFResult[PremTermScenario]=$E$62)
*(tblBaseCFResult[IntRateScenario]=P$64),"")</f>
        <v>2509022</v>
      </c>
      <c r="Q127" s="154"/>
      <c r="R127" s="156"/>
      <c r="S127" s="154"/>
      <c r="T127" s="155">
        <v>60</v>
      </c>
      <c r="U127" s="155">
        <f t="shared" si="15"/>
        <v>59</v>
      </c>
      <c r="W127" s="154"/>
      <c r="X127" s="153" t="str">
        <f t="shared" si="16"/>
        <v>60/59</v>
      </c>
      <c r="Y127" s="152" cm="1">
        <f t="array" ref="Y127">_xlfn._xlws.FILTER(tblBaseCFResult[TP]/1000,
(tblBaseCFResult[Year]=$T127)
*(tblBaseCFResult[Risk]=$Y$61)
*(tblBaseCFResult[PremTermScenario]=$Y$62)
*(tblBaseCFResult[IntRateScenario]=Y$64),"")</f>
        <v>0</v>
      </c>
      <c r="Z127" s="152" cm="1">
        <f t="array" ref="Z127">_xlfn._xlws.FILTER(tblBaseCFResult[EP]/1000,
(tblBaseCFResult[Year]=$T127)
*(tblBaseCFResult[Risk]=$Y$61)
*(tblBaseCFResult[PremTermScenario]=$Y$62)
*(tblBaseCFResult[IntRateScenario]=Z$64),"")</f>
        <v>0</v>
      </c>
      <c r="AA127" s="152">
        <f t="shared" si="17"/>
        <v>0</v>
      </c>
      <c r="AB127" s="152" cm="1">
        <f t="array" ref="AB127">_xlfn._xlws.FILTER(ROUND(tblBaseCFResult[AllocChrg],-3)/1000,
(tblBaseCFResult[Year]=$T127)
*(tblBaseCFResult[Risk]=$Y$61)
*(tblBaseCFResult[PremTermScenario]=$Y$62)
*(tblBaseCFResult[IntRateScenario]=AB$64),"")</f>
        <v>0</v>
      </c>
      <c r="AC127" s="152" cm="1">
        <f t="array" ref="AC127">_xlfn._xlws.FILTER(ROUND(tblBaseCFResult[EPAllocChrg],-3)/1000,
(tblBaseCFResult[Year]=$T127)
*(tblBaseCFResult[Risk]=$Y$61)
*(tblBaseCFResult[PremTermScenario]=$Y$62)
*(tblBaseCFResult[IntRateScenario]=AC$64),"")</f>
        <v>0</v>
      </c>
      <c r="AD127" s="152">
        <f t="shared" si="18"/>
        <v>0</v>
      </c>
      <c r="AE127" s="152">
        <f t="shared" si="19"/>
        <v>0</v>
      </c>
      <c r="AF127" s="152">
        <f t="shared" si="20"/>
        <v>0</v>
      </c>
      <c r="AG127" s="152">
        <f t="shared" si="21"/>
        <v>0</v>
      </c>
      <c r="AH127" s="152" cm="1">
        <f t="array" ref="AH127">_xlfn._xlws.FILTER(ROUND(tblBaseCFResult[AdminChrg],-3)/1000,
(tblBaseCFResult[Year]=$T127)
*(tblBaseCFResult[Risk]=$Y$61)
*(tblBaseCFResult[PremTermScenario]=$Y$62)
*(tblBaseCFResult[IntRateScenario]=AH$64),"")</f>
        <v>300</v>
      </c>
      <c r="AI127" s="152" cm="1">
        <f t="array" ref="AI127">_xlfn._xlws.FILTER(ROUND(tblBaseCFResult[COI],-3)/1000,
(tblBaseCFResult[Year]=$T127)
*(tblBaseCFResult[Risk]=$Y$61)
*(tblBaseCFResult[PremTermScenario]=$Y$62)
*(tblBaseCFResult[IntRateScenario]=AI$64),"")</f>
        <v>273</v>
      </c>
      <c r="AJ127" s="152" cm="1">
        <f t="array" ref="AJ127">_xlfn._xlws.FILTER(ROUND(tblBaseCFResult[AdminChrg],-3)/1000,
(tblBaseCFResult[Year]=$T127)
*(tblBaseCFResult[Risk]=$Y$61)
*(tblBaseCFResult[PremTermScenario]=$Y$62)
*(tblBaseCFResult[IntRateScenario]=AJ$64),"")</f>
        <v>300</v>
      </c>
      <c r="AK127" s="152" cm="1">
        <f t="array" ref="AK127">_xlfn._xlws.FILTER(ROUND(tblBaseCFResult[COI],-3)/1000,
(tblBaseCFResult[Year]=$T127)
*(tblBaseCFResult[Risk]=$Y$61)
*(tblBaseCFResult[PremTermScenario]=$Y$62)
*(tblBaseCFResult[IntRateScenario]=AK$64),"")</f>
        <v>273</v>
      </c>
    </row>
    <row r="128" spans="1:37" ht="15" customHeight="1" x14ac:dyDescent="0.25">
      <c r="A128" s="155">
        <v>61</v>
      </c>
      <c r="B128" s="155">
        <f t="shared" si="13"/>
        <v>60</v>
      </c>
      <c r="C128" s="154"/>
      <c r="D128" s="153" t="str">
        <f t="shared" si="14"/>
        <v>61/60</v>
      </c>
      <c r="E128" s="157" cm="1">
        <f t="array" ref="E128">_xlfn._xlws.FILTER(tblBaseCFResult[TotalPrem]/1000,
(tblBaseCFResult[Year]=$A128)
*(tblBaseCFResult[Risk]=$E$61)
*(tblBaseCFResult[PremTermScenario]=$E$62)
*(tblBaseCFResult[IntRateScenario]=E$64),"")</f>
        <v>0</v>
      </c>
      <c r="F128" s="157" cm="1">
        <f t="array" ref="F128">_xlfn._xlws.FILTER(tblBaseCFResult[AccumTotalPrem]/1000,
(tblBaseCFResult[Year]=$A128)
*(tblBaseCFResult[Risk]=$E$61)
*(tblBaseCFResult[PremTermScenario]=$E$62)
*(tblBaseCFResult[IntRateScenario]=F$64),"")</f>
        <v>0</v>
      </c>
      <c r="G128" s="157" cm="1">
        <f t="array" ref="G128">_xlfn._xlws.FILTER(ROUND(tblBaseCFResult[SemiAnnualTotalPrem],-3)/1000,
(tblBaseCFResult[Year]=$A128)
*(tblBaseCFResult[Risk]=$E$61)
*(tblBaseCFResult[PremTermScenario]=$E$62)
*(tblBaseCFResult[IntRateScenario]=G$64),"")</f>
        <v>0</v>
      </c>
      <c r="H128" s="157" cm="1">
        <f t="array" ref="H128">_xlfn._xlws.FILTER(tblBaseCFResult[Ben]/1000,
(tblBaseCFResult[Year]=$A128)
*(tblBaseCFResult[Risk]=$E$61)
*(tblBaseCFResult[PremTermScenario]=$E$62)
*(tblBaseCFResult[IntRateScenario]=H$64),"")</f>
        <v>191219.05382957801</v>
      </c>
      <c r="I128" s="157" cm="1">
        <f t="array" ref="I128">_xlfn._xlws.FILTER(ROUND(tblBaseCFResult[EndPAV],-3)/1000,
(tblBaseCFResult[Year]=$A128)
*(tblBaseCFResult[Risk]=$E$61)
*(tblBaseCFResult[PremTermScenario]=$E$62)
*(tblBaseCFResult[IntRateScenario]=I$64),"")</f>
        <v>194465</v>
      </c>
      <c r="J128" s="157" cm="1">
        <f t="array" ref="J128">_xlfn._xlws.FILTER(ROUND(tblBaseCFResult[SV],-3)/1000,
(tblBaseCFResult[Year]=$A128)
*(tblBaseCFResult[Risk]=$E$61)
*(tblBaseCFResult[PremTermScenario]=$E$62)
*(tblBaseCFResult[IntRateScenario]=J$64),"")</f>
        <v>191219</v>
      </c>
      <c r="K128" s="157" cm="1">
        <f t="array" ref="K128">_xlfn._xlws.FILTER(tblBaseCFResult[Ben]/1000,
(tblBaseCFResult[Year]=$A128)
*(tblBaseCFResult[Risk]=$E$61)
*(tblBaseCFResult[PremTermScenario]=$E$62)
*(tblBaseCFResult[IntRateScenario]=K$64),"")</f>
        <v>955036.17470360606</v>
      </c>
      <c r="L128" s="157" cm="1">
        <f t="array" ref="L128">_xlfn._xlws.FILTER(ROUND(tblBaseCFResult[EndPAV],-3)/1000,
(tblBaseCFResult[Year]=$A128)
*(tblBaseCFResult[Risk]=$E$61)
*(tblBaseCFResult[PremTermScenario]=$E$62)
*(tblBaseCFResult[IntRateScenario]=L$64),"")</f>
        <v>1002200</v>
      </c>
      <c r="M128" s="157" cm="1">
        <f t="array" ref="M128">_xlfn._xlws.FILTER(ROUND(tblBaseCFResult[SV],-3)/1000,
(tblBaseCFResult[Year]=$A128)
*(tblBaseCFResult[Risk]=$E$61)
*(tblBaseCFResult[PremTermScenario]=$E$62)
*(tblBaseCFResult[IntRateScenario]=M$64),"")</f>
        <v>955036</v>
      </c>
      <c r="N128" s="157" cm="1">
        <f t="array" ref="N128">_xlfn._xlws.FILTER(tblBaseCFResult[Ben]/1000,
(tblBaseCFResult[Year]=$A128)
*(tblBaseCFResult[Risk]=$E$61)
*(tblBaseCFResult[PremTermScenario]=$E$62)
*(tblBaseCFResult[IntRateScenario]=N$64),"")</f>
        <v>2684059.8584002899</v>
      </c>
      <c r="O128" s="157" cm="1">
        <f t="array" ref="O128">_xlfn._xlws.FILTER(ROUND(tblBaseCFResult[EndPAV],-3)/1000,
(tblBaseCFResult[Year]=$A128)
*(tblBaseCFResult[Risk]=$E$61)
*(tblBaseCFResult[PremTermScenario]=$E$62)
*(tblBaseCFResult[IntRateScenario]=O$64),"")</f>
        <v>2871350</v>
      </c>
      <c r="P128" s="157" cm="1">
        <f t="array" ref="P128">_xlfn._xlws.FILTER(ROUND(tblBaseCFResult[SV],-3)/1000,
(tblBaseCFResult[Year]=$A128)
*(tblBaseCFResult[Risk]=$E$61)
*(tblBaseCFResult[PremTermScenario]=$E$62)
*(tblBaseCFResult[IntRateScenario]=P$64),"")</f>
        <v>2684060</v>
      </c>
      <c r="Q128" s="154"/>
      <c r="R128" s="156"/>
      <c r="S128" s="154"/>
      <c r="T128" s="155">
        <v>61</v>
      </c>
      <c r="U128" s="155">
        <f t="shared" si="15"/>
        <v>60</v>
      </c>
      <c r="W128" s="154"/>
      <c r="X128" s="153" t="str">
        <f t="shared" si="16"/>
        <v>61/60</v>
      </c>
      <c r="Y128" s="152" cm="1">
        <f t="array" ref="Y128">_xlfn._xlws.FILTER(tblBaseCFResult[TP]/1000,
(tblBaseCFResult[Year]=$T128)
*(tblBaseCFResult[Risk]=$Y$61)
*(tblBaseCFResult[PremTermScenario]=$Y$62)
*(tblBaseCFResult[IntRateScenario]=Y$64),"")</f>
        <v>0</v>
      </c>
      <c r="Z128" s="152" cm="1">
        <f t="array" ref="Z128">_xlfn._xlws.FILTER(tblBaseCFResult[EP]/1000,
(tblBaseCFResult[Year]=$T128)
*(tblBaseCFResult[Risk]=$Y$61)
*(tblBaseCFResult[PremTermScenario]=$Y$62)
*(tblBaseCFResult[IntRateScenario]=Z$64),"")</f>
        <v>0</v>
      </c>
      <c r="AA128" s="152">
        <f t="shared" si="17"/>
        <v>0</v>
      </c>
      <c r="AB128" s="152" cm="1">
        <f t="array" ref="AB128">_xlfn._xlws.FILTER(ROUND(tblBaseCFResult[AllocChrg],-3)/1000,
(tblBaseCFResult[Year]=$T128)
*(tblBaseCFResult[Risk]=$Y$61)
*(tblBaseCFResult[PremTermScenario]=$Y$62)
*(tblBaseCFResult[IntRateScenario]=AB$64),"")</f>
        <v>0</v>
      </c>
      <c r="AC128" s="152" cm="1">
        <f t="array" ref="AC128">_xlfn._xlws.FILTER(ROUND(tblBaseCFResult[EPAllocChrg],-3)/1000,
(tblBaseCFResult[Year]=$T128)
*(tblBaseCFResult[Risk]=$Y$61)
*(tblBaseCFResult[PremTermScenario]=$Y$62)
*(tblBaseCFResult[IntRateScenario]=AC$64),"")</f>
        <v>0</v>
      </c>
      <c r="AD128" s="152">
        <f t="shared" si="18"/>
        <v>0</v>
      </c>
      <c r="AE128" s="152">
        <f t="shared" si="19"/>
        <v>0</v>
      </c>
      <c r="AF128" s="152">
        <f t="shared" si="20"/>
        <v>0</v>
      </c>
      <c r="AG128" s="152">
        <f t="shared" si="21"/>
        <v>0</v>
      </c>
      <c r="AH128" s="152" cm="1">
        <f t="array" ref="AH128">_xlfn._xlws.FILTER(ROUND(tblBaseCFResult[AdminChrg],-3)/1000,
(tblBaseCFResult[Year]=$T128)
*(tblBaseCFResult[Risk]=$Y$61)
*(tblBaseCFResult[PremTermScenario]=$Y$62)
*(tblBaseCFResult[IntRateScenario]=AH$64),"")</f>
        <v>300</v>
      </c>
      <c r="AI128" s="152" cm="1">
        <f t="array" ref="AI128">_xlfn._xlws.FILTER(ROUND(tblBaseCFResult[COI],-3)/1000,
(tblBaseCFResult[Year]=$T128)
*(tblBaseCFResult[Risk]=$Y$61)
*(tblBaseCFResult[PremTermScenario]=$Y$62)
*(tblBaseCFResult[IntRateScenario]=AI$64),"")</f>
        <v>273</v>
      </c>
      <c r="AJ128" s="152" cm="1">
        <f t="array" ref="AJ128">_xlfn._xlws.FILTER(ROUND(tblBaseCFResult[AdminChrg],-3)/1000,
(tblBaseCFResult[Year]=$T128)
*(tblBaseCFResult[Risk]=$Y$61)
*(tblBaseCFResult[PremTermScenario]=$Y$62)
*(tblBaseCFResult[IntRateScenario]=AJ$64),"")</f>
        <v>300</v>
      </c>
      <c r="AK128" s="152" cm="1">
        <f t="array" ref="AK128">_xlfn._xlws.FILTER(ROUND(tblBaseCFResult[COI],-3)/1000,
(tblBaseCFResult[Year]=$T128)
*(tblBaseCFResult[Risk]=$Y$61)
*(tblBaseCFResult[PremTermScenario]=$Y$62)
*(tblBaseCFResult[IntRateScenario]=AK$64),"")</f>
        <v>273</v>
      </c>
    </row>
    <row r="129" spans="1:37" ht="15" customHeight="1" x14ac:dyDescent="0.25">
      <c r="A129" s="155">
        <v>62</v>
      </c>
      <c r="B129" s="155">
        <f t="shared" si="13"/>
        <v>61</v>
      </c>
      <c r="C129" s="154"/>
      <c r="D129" s="153" t="str">
        <f t="shared" si="14"/>
        <v>62/61</v>
      </c>
      <c r="E129" s="157" cm="1">
        <f t="array" ref="E129">_xlfn._xlws.FILTER(tblBaseCFResult[TotalPrem]/1000,
(tblBaseCFResult[Year]=$A129)
*(tblBaseCFResult[Risk]=$E$61)
*(tblBaseCFResult[PremTermScenario]=$E$62)
*(tblBaseCFResult[IntRateScenario]=E$64),"")</f>
        <v>0</v>
      </c>
      <c r="F129" s="157" cm="1">
        <f t="array" ref="F129">_xlfn._xlws.FILTER(tblBaseCFResult[AccumTotalPrem]/1000,
(tblBaseCFResult[Year]=$A129)
*(tblBaseCFResult[Risk]=$E$61)
*(tblBaseCFResult[PremTermScenario]=$E$62)
*(tblBaseCFResult[IntRateScenario]=F$64),"")</f>
        <v>0</v>
      </c>
      <c r="G129" s="157" cm="1">
        <f t="array" ref="G129">_xlfn._xlws.FILTER(ROUND(tblBaseCFResult[SemiAnnualTotalPrem],-3)/1000,
(tblBaseCFResult[Year]=$A129)
*(tblBaseCFResult[Risk]=$E$61)
*(tblBaseCFResult[PremTermScenario]=$E$62)
*(tblBaseCFResult[IntRateScenario]=G$64),"")</f>
        <v>0</v>
      </c>
      <c r="H129" s="157" cm="1">
        <f t="array" ref="H129">_xlfn._xlws.FILTER(tblBaseCFResult[Ben]/1000,
(tblBaseCFResult[Year]=$A129)
*(tblBaseCFResult[Risk]=$E$61)
*(tblBaseCFResult[PremTermScenario]=$E$62)
*(tblBaseCFResult[IntRateScenario]=H$64),"")</f>
        <v>194464.54942639198</v>
      </c>
      <c r="I129" s="157" cm="1">
        <f t="array" ref="I129">_xlfn._xlws.FILTER(ROUND(tblBaseCFResult[EndPAV],-3)/1000,
(tblBaseCFResult[Year]=$A129)
*(tblBaseCFResult[Risk]=$E$61)
*(tblBaseCFResult[PremTermScenario]=$E$62)
*(tblBaseCFResult[IntRateScenario]=I$64),"")</f>
        <v>197775</v>
      </c>
      <c r="J129" s="157" cm="1">
        <f t="array" ref="J129">_xlfn._xlws.FILTER(ROUND(tblBaseCFResult[SV],-3)/1000,
(tblBaseCFResult[Year]=$A129)
*(tblBaseCFResult[Risk]=$E$61)
*(tblBaseCFResult[PremTermScenario]=$E$62)
*(tblBaseCFResult[IntRateScenario]=J$64),"")</f>
        <v>194465</v>
      </c>
      <c r="K129" s="157" cm="1">
        <f t="array" ref="K129">_xlfn._xlws.FILTER(tblBaseCFResult[Ben]/1000,
(tblBaseCFResult[Year]=$A129)
*(tblBaseCFResult[Risk]=$E$61)
*(tblBaseCFResult[PremTermScenario]=$E$62)
*(tblBaseCFResult[IntRateScenario]=K$64),"")</f>
        <v>1002199.88842619</v>
      </c>
      <c r="L129" s="157" cm="1">
        <f t="array" ref="L129">_xlfn._xlws.FILTER(ROUND(tblBaseCFResult[EndPAV],-3)/1000,
(tblBaseCFResult[Year]=$A129)
*(tblBaseCFResult[Risk]=$E$61)
*(tblBaseCFResult[PremTermScenario]=$E$62)
*(tblBaseCFResult[IntRateScenario]=L$64),"")</f>
        <v>1051722</v>
      </c>
      <c r="M129" s="157" cm="1">
        <f t="array" ref="M129">_xlfn._xlws.FILTER(ROUND(tblBaseCFResult[SV],-3)/1000,
(tblBaseCFResult[Year]=$A129)
*(tblBaseCFResult[Risk]=$E$61)
*(tblBaseCFResult[PremTermScenario]=$E$62)
*(tblBaseCFResult[IntRateScenario]=M$64),"")</f>
        <v>1002200</v>
      </c>
      <c r="N129" s="157" cm="1">
        <f t="array" ref="N129">_xlfn._xlws.FILTER(tblBaseCFResult[Ben]/1000,
(tblBaseCFResult[Year]=$A129)
*(tblBaseCFResult[Risk]=$E$61)
*(tblBaseCFResult[PremTermScenario]=$E$62)
*(tblBaseCFResult[IntRateScenario]=N$64),"")</f>
        <v>2871349.8580570403</v>
      </c>
      <c r="O129" s="157" cm="1">
        <f t="array" ref="O129">_xlfn._xlws.FILTER(ROUND(tblBaseCFResult[EndPAV],-3)/1000,
(tblBaseCFResult[Year]=$A129)
*(tblBaseCFResult[Risk]=$E$61)
*(tblBaseCFResult[PremTermScenario]=$E$62)
*(tblBaseCFResult[IntRateScenario]=O$64),"")</f>
        <v>3071750</v>
      </c>
      <c r="P129" s="157" cm="1">
        <f t="array" ref="P129">_xlfn._xlws.FILTER(ROUND(tblBaseCFResult[SV],-3)/1000,
(tblBaseCFResult[Year]=$A129)
*(tblBaseCFResult[Risk]=$E$61)
*(tblBaseCFResult[PremTermScenario]=$E$62)
*(tblBaseCFResult[IntRateScenario]=P$64),"")</f>
        <v>2871350</v>
      </c>
      <c r="Q129" s="154"/>
      <c r="R129" s="156"/>
      <c r="S129" s="154"/>
      <c r="T129" s="155">
        <v>62</v>
      </c>
      <c r="U129" s="155">
        <f t="shared" si="15"/>
        <v>61</v>
      </c>
      <c r="W129" s="154"/>
      <c r="X129" s="153" t="str">
        <f t="shared" si="16"/>
        <v>62/61</v>
      </c>
      <c r="Y129" s="152" cm="1">
        <f t="array" ref="Y129">_xlfn._xlws.FILTER(tblBaseCFResult[TP]/1000,
(tblBaseCFResult[Year]=$T129)
*(tblBaseCFResult[Risk]=$Y$61)
*(tblBaseCFResult[PremTermScenario]=$Y$62)
*(tblBaseCFResult[IntRateScenario]=Y$64),"")</f>
        <v>0</v>
      </c>
      <c r="Z129" s="152" cm="1">
        <f t="array" ref="Z129">_xlfn._xlws.FILTER(tblBaseCFResult[EP]/1000,
(tblBaseCFResult[Year]=$T129)
*(tblBaseCFResult[Risk]=$Y$61)
*(tblBaseCFResult[PremTermScenario]=$Y$62)
*(tblBaseCFResult[IntRateScenario]=Z$64),"")</f>
        <v>0</v>
      </c>
      <c r="AA129" s="152">
        <f t="shared" si="17"/>
        <v>0</v>
      </c>
      <c r="AB129" s="152" cm="1">
        <f t="array" ref="AB129">_xlfn._xlws.FILTER(ROUND(tblBaseCFResult[AllocChrg],-3)/1000,
(tblBaseCFResult[Year]=$T129)
*(tblBaseCFResult[Risk]=$Y$61)
*(tblBaseCFResult[PremTermScenario]=$Y$62)
*(tblBaseCFResult[IntRateScenario]=AB$64),"")</f>
        <v>0</v>
      </c>
      <c r="AC129" s="152" cm="1">
        <f t="array" ref="AC129">_xlfn._xlws.FILTER(ROUND(tblBaseCFResult[EPAllocChrg],-3)/1000,
(tblBaseCFResult[Year]=$T129)
*(tblBaseCFResult[Risk]=$Y$61)
*(tblBaseCFResult[PremTermScenario]=$Y$62)
*(tblBaseCFResult[IntRateScenario]=AC$64),"")</f>
        <v>0</v>
      </c>
      <c r="AD129" s="152">
        <f t="shared" si="18"/>
        <v>0</v>
      </c>
      <c r="AE129" s="152">
        <f t="shared" si="19"/>
        <v>0</v>
      </c>
      <c r="AF129" s="152">
        <f t="shared" si="20"/>
        <v>0</v>
      </c>
      <c r="AG129" s="152">
        <f t="shared" si="21"/>
        <v>0</v>
      </c>
      <c r="AH129" s="152" cm="1">
        <f t="array" ref="AH129">_xlfn._xlws.FILTER(ROUND(tblBaseCFResult[AdminChrg],-3)/1000,
(tblBaseCFResult[Year]=$T129)
*(tblBaseCFResult[Risk]=$Y$61)
*(tblBaseCFResult[PremTermScenario]=$Y$62)
*(tblBaseCFResult[IntRateScenario]=AH$64),"")</f>
        <v>300</v>
      </c>
      <c r="AI129" s="152" cm="1">
        <f t="array" ref="AI129">_xlfn._xlws.FILTER(ROUND(tblBaseCFResult[COI],-3)/1000,
(tblBaseCFResult[Year]=$T129)
*(tblBaseCFResult[Risk]=$Y$61)
*(tblBaseCFResult[PremTermScenario]=$Y$62)
*(tblBaseCFResult[IntRateScenario]=AI$64),"")</f>
        <v>273</v>
      </c>
      <c r="AJ129" s="152" cm="1">
        <f t="array" ref="AJ129">_xlfn._xlws.FILTER(ROUND(tblBaseCFResult[AdminChrg],-3)/1000,
(tblBaseCFResult[Year]=$T129)
*(tblBaseCFResult[Risk]=$Y$61)
*(tblBaseCFResult[PremTermScenario]=$Y$62)
*(tblBaseCFResult[IntRateScenario]=AJ$64),"")</f>
        <v>300</v>
      </c>
      <c r="AK129" s="152" cm="1">
        <f t="array" ref="AK129">_xlfn._xlws.FILTER(ROUND(tblBaseCFResult[COI],-3)/1000,
(tblBaseCFResult[Year]=$T129)
*(tblBaseCFResult[Risk]=$Y$61)
*(tblBaseCFResult[PremTermScenario]=$Y$62)
*(tblBaseCFResult[IntRateScenario]=AK$64),"")</f>
        <v>273</v>
      </c>
    </row>
    <row r="130" spans="1:37" ht="15" customHeight="1" x14ac:dyDescent="0.25">
      <c r="A130" s="155">
        <v>63</v>
      </c>
      <c r="B130" s="155">
        <f t="shared" si="13"/>
        <v>62</v>
      </c>
      <c r="C130" s="154"/>
      <c r="D130" s="153" t="str">
        <f t="shared" si="14"/>
        <v>63/62</v>
      </c>
      <c r="E130" s="157" cm="1">
        <f t="array" ref="E130">_xlfn._xlws.FILTER(tblBaseCFResult[TotalPrem]/1000,
(tblBaseCFResult[Year]=$A130)
*(tblBaseCFResult[Risk]=$E$61)
*(tblBaseCFResult[PremTermScenario]=$E$62)
*(tblBaseCFResult[IntRateScenario]=E$64),"")</f>
        <v>0</v>
      </c>
      <c r="F130" s="157" cm="1">
        <f t="array" ref="F130">_xlfn._xlws.FILTER(tblBaseCFResult[AccumTotalPrem]/1000,
(tblBaseCFResult[Year]=$A130)
*(tblBaseCFResult[Risk]=$E$61)
*(tblBaseCFResult[PremTermScenario]=$E$62)
*(tblBaseCFResult[IntRateScenario]=F$64),"")</f>
        <v>0</v>
      </c>
      <c r="G130" s="157" cm="1">
        <f t="array" ref="G130">_xlfn._xlws.FILTER(ROUND(tblBaseCFResult[SemiAnnualTotalPrem],-3)/1000,
(tblBaseCFResult[Year]=$A130)
*(tblBaseCFResult[Risk]=$E$61)
*(tblBaseCFResult[PremTermScenario]=$E$62)
*(tblBaseCFResult[IntRateScenario]=G$64),"")</f>
        <v>0</v>
      </c>
      <c r="H130" s="157" cm="1">
        <f t="array" ref="H130">_xlfn._xlws.FILTER(tblBaseCFResult[Ben]/1000,
(tblBaseCFResult[Year]=$A130)
*(tblBaseCFResult[Risk]=$E$61)
*(tblBaseCFResult[PremTermScenario]=$E$62)
*(tblBaseCFResult[IntRateScenario]=H$64),"")</f>
        <v>197774.954935143</v>
      </c>
      <c r="I130" s="157" cm="1">
        <f t="array" ref="I130">_xlfn._xlws.FILTER(ROUND(tblBaseCFResult[EndPAV],-3)/1000,
(tblBaseCFResult[Year]=$A130)
*(tblBaseCFResult[Risk]=$E$61)
*(tblBaseCFResult[PremTermScenario]=$E$62)
*(tblBaseCFResult[IntRateScenario]=I$64),"")</f>
        <v>201152</v>
      </c>
      <c r="J130" s="157" cm="1">
        <f t="array" ref="J130">_xlfn._xlws.FILTER(ROUND(tblBaseCFResult[SV],-3)/1000,
(tblBaseCFResult[Year]=$A130)
*(tblBaseCFResult[Risk]=$E$61)
*(tblBaseCFResult[PremTermScenario]=$E$62)
*(tblBaseCFResult[IntRateScenario]=J$64),"")</f>
        <v>197775</v>
      </c>
      <c r="K130" s="157" cm="1">
        <f t="array" ref="K130">_xlfn._xlws.FILTER(tblBaseCFResult[Ben]/1000,
(tblBaseCFResult[Year]=$A130)
*(tblBaseCFResult[Risk]=$E$61)
*(tblBaseCFResult[PremTermScenario]=$E$62)
*(tblBaseCFResult[IntRateScenario]=K$64),"")</f>
        <v>1051721.7878349</v>
      </c>
      <c r="L130" s="157" cm="1">
        <f t="array" ref="L130">_xlfn._xlws.FILTER(ROUND(tblBaseCFResult[EndPAV],-3)/1000,
(tblBaseCFResult[Year]=$A130)
*(tblBaseCFResult[Risk]=$E$61)
*(tblBaseCFResult[PremTermScenario]=$E$62)
*(tblBaseCFResult[IntRateScenario]=L$64),"")</f>
        <v>1103720</v>
      </c>
      <c r="M130" s="157" cm="1">
        <f t="array" ref="M130">_xlfn._xlws.FILTER(ROUND(tblBaseCFResult[SV],-3)/1000,
(tblBaseCFResult[Year]=$A130)
*(tblBaseCFResult[Risk]=$E$61)
*(tblBaseCFResult[PremTermScenario]=$E$62)
*(tblBaseCFResult[IntRateScenario]=M$64),"")</f>
        <v>1051722</v>
      </c>
      <c r="N130" s="157" cm="1">
        <f t="array" ref="N130">_xlfn._xlws.FILTER(tblBaseCFResult[Ben]/1000,
(tblBaseCFResult[Year]=$A130)
*(tblBaseCFResult[Risk]=$E$61)
*(tblBaseCFResult[PremTermScenario]=$E$62)
*(tblBaseCFResult[IntRateScenario]=N$64),"")</f>
        <v>3071750.1576897604</v>
      </c>
      <c r="O130" s="157" cm="1">
        <f t="array" ref="O130">_xlfn._xlws.FILTER(ROUND(tblBaseCFResult[EndPAV],-3)/1000,
(tblBaseCFResult[Year]=$A130)
*(tblBaseCFResult[Risk]=$E$61)
*(tblBaseCFResult[PremTermScenario]=$E$62)
*(tblBaseCFResult[IntRateScenario]=O$64),"")</f>
        <v>3286178</v>
      </c>
      <c r="P130" s="157" cm="1">
        <f t="array" ref="P130">_xlfn._xlws.FILTER(ROUND(tblBaseCFResult[SV],-3)/1000,
(tblBaseCFResult[Year]=$A130)
*(tblBaseCFResult[Risk]=$E$61)
*(tblBaseCFResult[PremTermScenario]=$E$62)
*(tblBaseCFResult[IntRateScenario]=P$64),"")</f>
        <v>3071750</v>
      </c>
      <c r="Q130" s="154"/>
      <c r="R130" s="156"/>
      <c r="S130" s="154"/>
      <c r="T130" s="155">
        <v>63</v>
      </c>
      <c r="U130" s="155">
        <f t="shared" si="15"/>
        <v>62</v>
      </c>
      <c r="W130" s="154"/>
      <c r="X130" s="153" t="str">
        <f t="shared" si="16"/>
        <v>63/62</v>
      </c>
      <c r="Y130" s="152" cm="1">
        <f t="array" ref="Y130">_xlfn._xlws.FILTER(tblBaseCFResult[TP]/1000,
(tblBaseCFResult[Year]=$T130)
*(tblBaseCFResult[Risk]=$Y$61)
*(tblBaseCFResult[PremTermScenario]=$Y$62)
*(tblBaseCFResult[IntRateScenario]=Y$64),"")</f>
        <v>0</v>
      </c>
      <c r="Z130" s="152" cm="1">
        <f t="array" ref="Z130">_xlfn._xlws.FILTER(tblBaseCFResult[EP]/1000,
(tblBaseCFResult[Year]=$T130)
*(tblBaseCFResult[Risk]=$Y$61)
*(tblBaseCFResult[PremTermScenario]=$Y$62)
*(tblBaseCFResult[IntRateScenario]=Z$64),"")</f>
        <v>0</v>
      </c>
      <c r="AA130" s="152">
        <f t="shared" si="17"/>
        <v>0</v>
      </c>
      <c r="AB130" s="152" cm="1">
        <f t="array" ref="AB130">_xlfn._xlws.FILTER(ROUND(tblBaseCFResult[AllocChrg],-3)/1000,
(tblBaseCFResult[Year]=$T130)
*(tblBaseCFResult[Risk]=$Y$61)
*(tblBaseCFResult[PremTermScenario]=$Y$62)
*(tblBaseCFResult[IntRateScenario]=AB$64),"")</f>
        <v>0</v>
      </c>
      <c r="AC130" s="152" cm="1">
        <f t="array" ref="AC130">_xlfn._xlws.FILTER(ROUND(tblBaseCFResult[EPAllocChrg],-3)/1000,
(tblBaseCFResult[Year]=$T130)
*(tblBaseCFResult[Risk]=$Y$61)
*(tblBaseCFResult[PremTermScenario]=$Y$62)
*(tblBaseCFResult[IntRateScenario]=AC$64),"")</f>
        <v>0</v>
      </c>
      <c r="AD130" s="152">
        <f t="shared" si="18"/>
        <v>0</v>
      </c>
      <c r="AE130" s="152">
        <f t="shared" si="19"/>
        <v>0</v>
      </c>
      <c r="AF130" s="152">
        <f t="shared" si="20"/>
        <v>0</v>
      </c>
      <c r="AG130" s="152">
        <f t="shared" si="21"/>
        <v>0</v>
      </c>
      <c r="AH130" s="152" cm="1">
        <f t="array" ref="AH130">_xlfn._xlws.FILTER(ROUND(tblBaseCFResult[AdminChrg],-3)/1000,
(tblBaseCFResult[Year]=$T130)
*(tblBaseCFResult[Risk]=$Y$61)
*(tblBaseCFResult[PremTermScenario]=$Y$62)
*(tblBaseCFResult[IntRateScenario]=AH$64),"")</f>
        <v>300</v>
      </c>
      <c r="AI130" s="152" cm="1">
        <f t="array" ref="AI130">_xlfn._xlws.FILTER(ROUND(tblBaseCFResult[COI],-3)/1000,
(tblBaseCFResult[Year]=$T130)
*(tblBaseCFResult[Risk]=$Y$61)
*(tblBaseCFResult[PremTermScenario]=$Y$62)
*(tblBaseCFResult[IntRateScenario]=AI$64),"")</f>
        <v>273</v>
      </c>
      <c r="AJ130" s="152" cm="1">
        <f t="array" ref="AJ130">_xlfn._xlws.FILTER(ROUND(tblBaseCFResult[AdminChrg],-3)/1000,
(tblBaseCFResult[Year]=$T130)
*(tblBaseCFResult[Risk]=$Y$61)
*(tblBaseCFResult[PremTermScenario]=$Y$62)
*(tblBaseCFResult[IntRateScenario]=AJ$64),"")</f>
        <v>300</v>
      </c>
      <c r="AK130" s="152" cm="1">
        <f t="array" ref="AK130">_xlfn._xlws.FILTER(ROUND(tblBaseCFResult[COI],-3)/1000,
(tblBaseCFResult[Year]=$T130)
*(tblBaseCFResult[Risk]=$Y$61)
*(tblBaseCFResult[PremTermScenario]=$Y$62)
*(tblBaseCFResult[IntRateScenario]=AK$64),"")</f>
        <v>273</v>
      </c>
    </row>
    <row r="131" spans="1:37" ht="15" customHeight="1" x14ac:dyDescent="0.25">
      <c r="A131" s="155">
        <v>64</v>
      </c>
      <c r="B131" s="155">
        <f t="shared" si="13"/>
        <v>63</v>
      </c>
      <c r="C131" s="154"/>
      <c r="D131" s="153" t="str">
        <f t="shared" si="14"/>
        <v>64/63</v>
      </c>
      <c r="E131" s="157" cm="1">
        <f t="array" ref="E131">_xlfn._xlws.FILTER(tblBaseCFResult[TotalPrem]/1000,
(tblBaseCFResult[Year]=$A131)
*(tblBaseCFResult[Risk]=$E$61)
*(tblBaseCFResult[PremTermScenario]=$E$62)
*(tblBaseCFResult[IntRateScenario]=E$64),"")</f>
        <v>0</v>
      </c>
      <c r="F131" s="157" cm="1">
        <f t="array" ref="F131">_xlfn._xlws.FILTER(tblBaseCFResult[AccumTotalPrem]/1000,
(tblBaseCFResult[Year]=$A131)
*(tblBaseCFResult[Risk]=$E$61)
*(tblBaseCFResult[PremTermScenario]=$E$62)
*(tblBaseCFResult[IntRateScenario]=F$64),"")</f>
        <v>0</v>
      </c>
      <c r="G131" s="157" cm="1">
        <f t="array" ref="G131">_xlfn._xlws.FILTER(ROUND(tblBaseCFResult[SemiAnnualTotalPrem],-3)/1000,
(tblBaseCFResult[Year]=$A131)
*(tblBaseCFResult[Risk]=$E$61)
*(tblBaseCFResult[PremTermScenario]=$E$62)
*(tblBaseCFResult[IntRateScenario]=G$64),"")</f>
        <v>0</v>
      </c>
      <c r="H131" s="157" cm="1">
        <f t="array" ref="H131">_xlfn._xlws.FILTER(tblBaseCFResult[Ben]/1000,
(tblBaseCFResult[Year]=$A131)
*(tblBaseCFResult[Risk]=$E$61)
*(tblBaseCFResult[PremTermScenario]=$E$62)
*(tblBaseCFResult[IntRateScenario]=H$64),"")</f>
        <v>201151.568554069</v>
      </c>
      <c r="I131" s="157" cm="1">
        <f t="array" ref="I131">_xlfn._xlws.FILTER(ROUND(tblBaseCFResult[EndPAV],-3)/1000,
(tblBaseCFResult[Year]=$A131)
*(tblBaseCFResult[Risk]=$E$61)
*(tblBaseCFResult[PremTermScenario]=$E$62)
*(tblBaseCFResult[IntRateScenario]=I$64),"")</f>
        <v>204596</v>
      </c>
      <c r="J131" s="157" cm="1">
        <f t="array" ref="J131">_xlfn._xlws.FILTER(ROUND(tblBaseCFResult[SV],-3)/1000,
(tblBaseCFResult[Year]=$A131)
*(tblBaseCFResult[Risk]=$E$61)
*(tblBaseCFResult[PremTermScenario]=$E$62)
*(tblBaseCFResult[IntRateScenario]=J$64),"")</f>
        <v>201152</v>
      </c>
      <c r="K131" s="157" cm="1">
        <f t="array" ref="K131">_xlfn._xlws.FILTER(tblBaseCFResult[Ben]/1000,
(tblBaseCFResult[Year]=$A131)
*(tblBaseCFResult[Risk]=$E$61)
*(tblBaseCFResult[PremTermScenario]=$E$62)
*(tblBaseCFResult[IntRateScenario]=K$64),"")</f>
        <v>1103719.7822140399</v>
      </c>
      <c r="L131" s="157" cm="1">
        <f t="array" ref="L131">_xlfn._xlws.FILTER(ROUND(tblBaseCFResult[EndPAV],-3)/1000,
(tblBaseCFResult[Year]=$A131)
*(tblBaseCFResult[Risk]=$E$61)
*(tblBaseCFResult[PremTermScenario]=$E$62)
*(tblBaseCFResult[IntRateScenario]=L$64),"")</f>
        <v>1158318</v>
      </c>
      <c r="M131" s="157" cm="1">
        <f t="array" ref="M131">_xlfn._xlws.FILTER(ROUND(tblBaseCFResult[SV],-3)/1000,
(tblBaseCFResult[Year]=$A131)
*(tblBaseCFResult[Risk]=$E$61)
*(tblBaseCFResult[PremTermScenario]=$E$62)
*(tblBaseCFResult[IntRateScenario]=M$64),"")</f>
        <v>1103720</v>
      </c>
      <c r="N131" s="157" cm="1">
        <f t="array" ref="N131">_xlfn._xlws.FILTER(tblBaseCFResult[Ben]/1000,
(tblBaseCFResult[Year]=$A131)
*(tblBaseCFResult[Risk]=$E$61)
*(tblBaseCFResult[PremTermScenario]=$E$62)
*(tblBaseCFResult[IntRateScenario]=N$64),"")</f>
        <v>3286178.47829678</v>
      </c>
      <c r="O131" s="157" cm="1">
        <f t="array" ref="O131">_xlfn._xlws.FILTER(ROUND(tblBaseCFResult[EndPAV],-3)/1000,
(tblBaseCFResult[Year]=$A131)
*(tblBaseCFResult[Risk]=$E$61)
*(tblBaseCFResult[PremTermScenario]=$E$62)
*(tblBaseCFResult[IntRateScenario]=O$64),"")</f>
        <v>3515617</v>
      </c>
      <c r="P131" s="157" cm="1">
        <f t="array" ref="P131">_xlfn._xlws.FILTER(ROUND(tblBaseCFResult[SV],-3)/1000,
(tblBaseCFResult[Year]=$A131)
*(tblBaseCFResult[Risk]=$E$61)
*(tblBaseCFResult[PremTermScenario]=$E$62)
*(tblBaseCFResult[IntRateScenario]=P$64),"")</f>
        <v>3286178</v>
      </c>
      <c r="Q131" s="154"/>
      <c r="R131" s="156"/>
      <c r="S131" s="154"/>
      <c r="T131" s="155">
        <v>64</v>
      </c>
      <c r="U131" s="155">
        <f t="shared" si="15"/>
        <v>63</v>
      </c>
      <c r="W131" s="154"/>
      <c r="X131" s="153" t="str">
        <f t="shared" si="16"/>
        <v>64/63</v>
      </c>
      <c r="Y131" s="152" cm="1">
        <f t="array" ref="Y131">_xlfn._xlws.FILTER(tblBaseCFResult[TP]/1000,
(tblBaseCFResult[Year]=$T131)
*(tblBaseCFResult[Risk]=$Y$61)
*(tblBaseCFResult[PremTermScenario]=$Y$62)
*(tblBaseCFResult[IntRateScenario]=Y$64),"")</f>
        <v>0</v>
      </c>
      <c r="Z131" s="152" cm="1">
        <f t="array" ref="Z131">_xlfn._xlws.FILTER(tblBaseCFResult[EP]/1000,
(tblBaseCFResult[Year]=$T131)
*(tblBaseCFResult[Risk]=$Y$61)
*(tblBaseCFResult[PremTermScenario]=$Y$62)
*(tblBaseCFResult[IntRateScenario]=Z$64),"")</f>
        <v>0</v>
      </c>
      <c r="AA131" s="152">
        <f t="shared" si="17"/>
        <v>0</v>
      </c>
      <c r="AB131" s="152" cm="1">
        <f t="array" ref="AB131">_xlfn._xlws.FILTER(ROUND(tblBaseCFResult[AllocChrg],-3)/1000,
(tblBaseCFResult[Year]=$T131)
*(tblBaseCFResult[Risk]=$Y$61)
*(tblBaseCFResult[PremTermScenario]=$Y$62)
*(tblBaseCFResult[IntRateScenario]=AB$64),"")</f>
        <v>0</v>
      </c>
      <c r="AC131" s="152" cm="1">
        <f t="array" ref="AC131">_xlfn._xlws.FILTER(ROUND(tblBaseCFResult[EPAllocChrg],-3)/1000,
(tblBaseCFResult[Year]=$T131)
*(tblBaseCFResult[Risk]=$Y$61)
*(tblBaseCFResult[PremTermScenario]=$Y$62)
*(tblBaseCFResult[IntRateScenario]=AC$64),"")</f>
        <v>0</v>
      </c>
      <c r="AD131" s="152">
        <f t="shared" si="18"/>
        <v>0</v>
      </c>
      <c r="AE131" s="152">
        <f t="shared" si="19"/>
        <v>0</v>
      </c>
      <c r="AF131" s="152">
        <f t="shared" si="20"/>
        <v>0</v>
      </c>
      <c r="AG131" s="152">
        <f t="shared" si="21"/>
        <v>0</v>
      </c>
      <c r="AH131" s="152" cm="1">
        <f t="array" ref="AH131">_xlfn._xlws.FILTER(ROUND(tblBaseCFResult[AdminChrg],-3)/1000,
(tblBaseCFResult[Year]=$T131)
*(tblBaseCFResult[Risk]=$Y$61)
*(tblBaseCFResult[PremTermScenario]=$Y$62)
*(tblBaseCFResult[IntRateScenario]=AH$64),"")</f>
        <v>300</v>
      </c>
      <c r="AI131" s="152" cm="1">
        <f t="array" ref="AI131">_xlfn._xlws.FILTER(ROUND(tblBaseCFResult[COI],-3)/1000,
(tblBaseCFResult[Year]=$T131)
*(tblBaseCFResult[Risk]=$Y$61)
*(tblBaseCFResult[PremTermScenario]=$Y$62)
*(tblBaseCFResult[IntRateScenario]=AI$64),"")</f>
        <v>273</v>
      </c>
      <c r="AJ131" s="152" cm="1">
        <f t="array" ref="AJ131">_xlfn._xlws.FILTER(ROUND(tblBaseCFResult[AdminChrg],-3)/1000,
(tblBaseCFResult[Year]=$T131)
*(tblBaseCFResult[Risk]=$Y$61)
*(tblBaseCFResult[PremTermScenario]=$Y$62)
*(tblBaseCFResult[IntRateScenario]=AJ$64),"")</f>
        <v>300</v>
      </c>
      <c r="AK131" s="152" cm="1">
        <f t="array" ref="AK131">_xlfn._xlws.FILTER(ROUND(tblBaseCFResult[COI],-3)/1000,
(tblBaseCFResult[Year]=$T131)
*(tblBaseCFResult[Risk]=$Y$61)
*(tblBaseCFResult[PremTermScenario]=$Y$62)
*(tblBaseCFResult[IntRateScenario]=AK$64),"")</f>
        <v>273</v>
      </c>
    </row>
    <row r="132" spans="1:37" ht="15" customHeight="1" x14ac:dyDescent="0.25">
      <c r="A132" s="155">
        <v>65</v>
      </c>
      <c r="B132" s="155">
        <f t="shared" ref="B132:B163" si="22">mainLI_entry_age+A132-1</f>
        <v>64</v>
      </c>
      <c r="C132" s="154"/>
      <c r="D132" s="153" t="str">
        <f t="shared" ref="D132:D167" si="23">$A132&amp;"/"&amp;$B132</f>
        <v>65/64</v>
      </c>
      <c r="E132" s="157" cm="1">
        <f t="array" ref="E132">_xlfn._xlws.FILTER(tblBaseCFResult[TotalPrem]/1000,
(tblBaseCFResult[Year]=$A132)
*(tblBaseCFResult[Risk]=$E$61)
*(tblBaseCFResult[PremTermScenario]=$E$62)
*(tblBaseCFResult[IntRateScenario]=E$64),"")</f>
        <v>0</v>
      </c>
      <c r="F132" s="157" cm="1">
        <f t="array" ref="F132">_xlfn._xlws.FILTER(tblBaseCFResult[AccumTotalPrem]/1000,
(tblBaseCFResult[Year]=$A132)
*(tblBaseCFResult[Risk]=$E$61)
*(tblBaseCFResult[PremTermScenario]=$E$62)
*(tblBaseCFResult[IntRateScenario]=F$64),"")</f>
        <v>0</v>
      </c>
      <c r="G132" s="157" cm="1">
        <f t="array" ref="G132">_xlfn._xlws.FILTER(ROUND(tblBaseCFResult[SemiAnnualTotalPrem],-3)/1000,
(tblBaseCFResult[Year]=$A132)
*(tblBaseCFResult[Risk]=$E$61)
*(tblBaseCFResult[PremTermScenario]=$E$62)
*(tblBaseCFResult[IntRateScenario]=G$64),"")</f>
        <v>0</v>
      </c>
      <c r="H132" s="157" cm="1">
        <f t="array" ref="H132">_xlfn._xlws.FILTER(tblBaseCFResult[Ben]/1000,
(tblBaseCFResult[Year]=$A132)
*(tblBaseCFResult[Risk]=$E$61)
*(tblBaseCFResult[PremTermScenario]=$E$62)
*(tblBaseCFResult[IntRateScenario]=H$64),"")</f>
        <v>204595.714445374</v>
      </c>
      <c r="I132" s="157" cm="1">
        <f t="array" ref="I132">_xlfn._xlws.FILTER(ROUND(tblBaseCFResult[EndPAV],-3)/1000,
(tblBaseCFResult[Year]=$A132)
*(tblBaseCFResult[Risk]=$E$61)
*(tblBaseCFResult[PremTermScenario]=$E$62)
*(tblBaseCFResult[IntRateScenario]=I$64),"")</f>
        <v>208109</v>
      </c>
      <c r="J132" s="157" cm="1">
        <f t="array" ref="J132">_xlfn._xlws.FILTER(ROUND(tblBaseCFResult[SV],-3)/1000,
(tblBaseCFResult[Year]=$A132)
*(tblBaseCFResult[Risk]=$E$61)
*(tblBaseCFResult[PremTermScenario]=$E$62)
*(tblBaseCFResult[IntRateScenario]=J$64),"")</f>
        <v>204596</v>
      </c>
      <c r="K132" s="157" cm="1">
        <f t="array" ref="K132">_xlfn._xlws.FILTER(tblBaseCFResult[Ben]/1000,
(tblBaseCFResult[Year]=$A132)
*(tblBaseCFResult[Risk]=$E$61)
*(tblBaseCFResult[PremTermScenario]=$E$62)
*(tblBaseCFResult[IntRateScenario]=K$64),"")</f>
        <v>1158317.67631214</v>
      </c>
      <c r="L132" s="157" cm="1">
        <f t="array" ref="L132">_xlfn._xlws.FILTER(ROUND(tblBaseCFResult[EndPAV],-3)/1000,
(tblBaseCFResult[Year]=$A132)
*(tblBaseCFResult[Risk]=$E$61)
*(tblBaseCFResult[PremTermScenario]=$E$62)
*(tblBaseCFResult[IntRateScenario]=L$64),"")</f>
        <v>1215645</v>
      </c>
      <c r="M132" s="157" cm="1">
        <f t="array" ref="M132">_xlfn._xlws.FILTER(ROUND(tblBaseCFResult[SV],-3)/1000,
(tblBaseCFResult[Year]=$A132)
*(tblBaseCFResult[Risk]=$E$61)
*(tblBaseCFResult[PremTermScenario]=$E$62)
*(tblBaseCFResult[IntRateScenario]=M$64),"")</f>
        <v>1158318</v>
      </c>
      <c r="N132" s="157" cm="1">
        <f t="array" ref="N132">_xlfn._xlws.FILTER(tblBaseCFResult[Ben]/1000,
(tblBaseCFResult[Year]=$A132)
*(tblBaseCFResult[Risk]=$E$61)
*(tblBaseCFResult[PremTermScenario]=$E$62)
*(tblBaseCFResult[IntRateScenario]=N$64),"")</f>
        <v>3515616.7813462801</v>
      </c>
      <c r="O132" s="157" cm="1">
        <f t="array" ref="O132">_xlfn._xlws.FILTER(ROUND(tblBaseCFResult[EndPAV],-3)/1000,
(tblBaseCFResult[Year]=$A132)
*(tblBaseCFResult[Risk]=$E$61)
*(tblBaseCFResult[PremTermScenario]=$E$62)
*(tblBaseCFResult[IntRateScenario]=O$64),"")</f>
        <v>3761116</v>
      </c>
      <c r="P132" s="157" cm="1">
        <f t="array" ref="P132">_xlfn._xlws.FILTER(ROUND(tblBaseCFResult[SV],-3)/1000,
(tblBaseCFResult[Year]=$A132)
*(tblBaseCFResult[Risk]=$E$61)
*(tblBaseCFResult[PremTermScenario]=$E$62)
*(tblBaseCFResult[IntRateScenario]=P$64),"")</f>
        <v>3515617</v>
      </c>
      <c r="Q132" s="154"/>
      <c r="R132" s="156"/>
      <c r="S132" s="154"/>
      <c r="T132" s="155">
        <v>65</v>
      </c>
      <c r="U132" s="155">
        <f t="shared" ref="U132:U163" si="24">mainLI_entry_age+T132-1</f>
        <v>64</v>
      </c>
      <c r="W132" s="154"/>
      <c r="X132" s="153" t="str">
        <f t="shared" ref="X132:X167" si="25">$T132&amp;"/"&amp;$U132</f>
        <v>65/64</v>
      </c>
      <c r="Y132" s="152" cm="1">
        <f t="array" ref="Y132">_xlfn._xlws.FILTER(tblBaseCFResult[TP]/1000,
(tblBaseCFResult[Year]=$T132)
*(tblBaseCFResult[Risk]=$Y$61)
*(tblBaseCFResult[PremTermScenario]=$Y$62)
*(tblBaseCFResult[IntRateScenario]=Y$64),"")</f>
        <v>0</v>
      </c>
      <c r="Z132" s="152" cm="1">
        <f t="array" ref="Z132">_xlfn._xlws.FILTER(tblBaseCFResult[EP]/1000,
(tblBaseCFResult[Year]=$T132)
*(tblBaseCFResult[Risk]=$Y$61)
*(tblBaseCFResult[PremTermScenario]=$Y$62)
*(tblBaseCFResult[IntRateScenario]=Z$64),"")</f>
        <v>0</v>
      </c>
      <c r="AA132" s="152">
        <f t="shared" ref="AA132:AA163" si="26">IFERROR(Y132+Z132,"")</f>
        <v>0</v>
      </c>
      <c r="AB132" s="152" cm="1">
        <f t="array" ref="AB132">_xlfn._xlws.FILTER(ROUND(tblBaseCFResult[AllocChrg],-3)/1000,
(tblBaseCFResult[Year]=$T132)
*(tblBaseCFResult[Risk]=$Y$61)
*(tblBaseCFResult[PremTermScenario]=$Y$62)
*(tblBaseCFResult[IntRateScenario]=AB$64),"")</f>
        <v>0</v>
      </c>
      <c r="AC132" s="152" cm="1">
        <f t="array" ref="AC132">_xlfn._xlws.FILTER(ROUND(tblBaseCFResult[EPAllocChrg],-3)/1000,
(tblBaseCFResult[Year]=$T132)
*(tblBaseCFResult[Risk]=$Y$61)
*(tblBaseCFResult[PremTermScenario]=$Y$62)
*(tblBaseCFResult[IntRateScenario]=AC$64),"")</f>
        <v>0</v>
      </c>
      <c r="AD132" s="152">
        <f t="shared" ref="AD132:AD163" si="27">IFERROR(AB132+AC132,"")</f>
        <v>0</v>
      </c>
      <c r="AE132" s="152">
        <f t="shared" ref="AE132:AE167" si="28">IFERROR(Y132-AB132,"")</f>
        <v>0</v>
      </c>
      <c r="AF132" s="152">
        <f t="shared" ref="AF132:AF167" si="29">IFERROR(Z132-AC132,"")</f>
        <v>0</v>
      </c>
      <c r="AG132" s="152">
        <f t="shared" ref="AG132:AG167" si="30">IFERROR(AA132-AD132,"")</f>
        <v>0</v>
      </c>
      <c r="AH132" s="152" cm="1">
        <f t="array" ref="AH132">_xlfn._xlws.FILTER(ROUND(tblBaseCFResult[AdminChrg],-3)/1000,
(tblBaseCFResult[Year]=$T132)
*(tblBaseCFResult[Risk]=$Y$61)
*(tblBaseCFResult[PremTermScenario]=$Y$62)
*(tblBaseCFResult[IntRateScenario]=AH$64),"")</f>
        <v>300</v>
      </c>
      <c r="AI132" s="152" cm="1">
        <f t="array" ref="AI132">_xlfn._xlws.FILTER(ROUND(tblBaseCFResult[COI],-3)/1000,
(tblBaseCFResult[Year]=$T132)
*(tblBaseCFResult[Risk]=$Y$61)
*(tblBaseCFResult[PremTermScenario]=$Y$62)
*(tblBaseCFResult[IntRateScenario]=AI$64),"")</f>
        <v>273</v>
      </c>
      <c r="AJ132" s="152" cm="1">
        <f t="array" ref="AJ132">_xlfn._xlws.FILTER(ROUND(tblBaseCFResult[AdminChrg],-3)/1000,
(tblBaseCFResult[Year]=$T132)
*(tblBaseCFResult[Risk]=$Y$61)
*(tblBaseCFResult[PremTermScenario]=$Y$62)
*(tblBaseCFResult[IntRateScenario]=AJ$64),"")</f>
        <v>300</v>
      </c>
      <c r="AK132" s="152" cm="1">
        <f t="array" ref="AK132">_xlfn._xlws.FILTER(ROUND(tblBaseCFResult[COI],-3)/1000,
(tblBaseCFResult[Year]=$T132)
*(tblBaseCFResult[Risk]=$Y$61)
*(tblBaseCFResult[PremTermScenario]=$Y$62)
*(tblBaseCFResult[IntRateScenario]=AK$64),"")</f>
        <v>273</v>
      </c>
    </row>
    <row r="133" spans="1:37" ht="15" customHeight="1" x14ac:dyDescent="0.25">
      <c r="A133" s="155">
        <v>66</v>
      </c>
      <c r="B133" s="155">
        <f t="shared" si="22"/>
        <v>65</v>
      </c>
      <c r="C133" s="154"/>
      <c r="D133" s="153" t="str">
        <f t="shared" si="23"/>
        <v>66/65</v>
      </c>
      <c r="E133" s="157" cm="1">
        <f t="array" ref="E133">_xlfn._xlws.FILTER(tblBaseCFResult[TotalPrem]/1000,
(tblBaseCFResult[Year]=$A133)
*(tblBaseCFResult[Risk]=$E$61)
*(tblBaseCFResult[PremTermScenario]=$E$62)
*(tblBaseCFResult[IntRateScenario]=E$64),"")</f>
        <v>0</v>
      </c>
      <c r="F133" s="157" cm="1">
        <f t="array" ref="F133">_xlfn._xlws.FILTER(tblBaseCFResult[AccumTotalPrem]/1000,
(tblBaseCFResult[Year]=$A133)
*(tblBaseCFResult[Risk]=$E$61)
*(tblBaseCFResult[PremTermScenario]=$E$62)
*(tblBaseCFResult[IntRateScenario]=F$64),"")</f>
        <v>0</v>
      </c>
      <c r="G133" s="157" cm="1">
        <f t="array" ref="G133">_xlfn._xlws.FILTER(ROUND(tblBaseCFResult[SemiAnnualTotalPrem],-3)/1000,
(tblBaseCFResult[Year]=$A133)
*(tblBaseCFResult[Risk]=$E$61)
*(tblBaseCFResult[PremTermScenario]=$E$62)
*(tblBaseCFResult[IntRateScenario]=G$64),"")</f>
        <v>0</v>
      </c>
      <c r="H133" s="157" cm="1">
        <f t="array" ref="H133">_xlfn._xlws.FILTER(tblBaseCFResult[Ben]/1000,
(tblBaseCFResult[Year]=$A133)
*(tblBaseCFResult[Risk]=$E$61)
*(tblBaseCFResult[PremTermScenario]=$E$62)
*(tblBaseCFResult[IntRateScenario]=H$64),"")</f>
        <v>208108.74325450399</v>
      </c>
      <c r="I133" s="157" cm="1">
        <f t="array" ref="I133">_xlfn._xlws.FILTER(ROUND(tblBaseCFResult[EndPAV],-3)/1000,
(tblBaseCFResult[Year]=$A133)
*(tblBaseCFResult[Risk]=$E$61)
*(tblBaseCFResult[PremTermScenario]=$E$62)
*(tblBaseCFResult[IntRateScenario]=I$64),"")</f>
        <v>211692</v>
      </c>
      <c r="J133" s="157" cm="1">
        <f t="array" ref="J133">_xlfn._xlws.FILTER(ROUND(tblBaseCFResult[SV],-3)/1000,
(tblBaseCFResult[Year]=$A133)
*(tblBaseCFResult[Risk]=$E$61)
*(tblBaseCFResult[PremTermScenario]=$E$62)
*(tblBaseCFResult[IntRateScenario]=J$64),"")</f>
        <v>208109</v>
      </c>
      <c r="K133" s="157" cm="1">
        <f t="array" ref="K133">_xlfn._xlws.FILTER(tblBaseCFResult[Ben]/1000,
(tblBaseCFResult[Year]=$A133)
*(tblBaseCFResult[Risk]=$E$61)
*(tblBaseCFResult[PremTermScenario]=$E$62)
*(tblBaseCFResult[IntRateScenario]=K$64),"")</f>
        <v>1215645.46511515</v>
      </c>
      <c r="L133" s="157" cm="1">
        <f t="array" ref="L133">_xlfn._xlws.FILTER(ROUND(tblBaseCFResult[EndPAV],-3)/1000,
(tblBaseCFResult[Year]=$A133)
*(tblBaseCFResult[Risk]=$E$61)
*(tblBaseCFResult[PremTermScenario]=$E$62)
*(tblBaseCFResult[IntRateScenario]=L$64),"")</f>
        <v>1275840</v>
      </c>
      <c r="M133" s="157" cm="1">
        <f t="array" ref="M133">_xlfn._xlws.FILTER(ROUND(tblBaseCFResult[SV],-3)/1000,
(tblBaseCFResult[Year]=$A133)
*(tblBaseCFResult[Risk]=$E$61)
*(tblBaseCFResult[PremTermScenario]=$E$62)
*(tblBaseCFResult[IntRateScenario]=M$64),"")</f>
        <v>1215645</v>
      </c>
      <c r="N133" s="157" cm="1">
        <f t="array" ref="N133">_xlfn._xlws.FILTER(tblBaseCFResult[Ben]/1000,
(tblBaseCFResult[Year]=$A133)
*(tblBaseCFResult[Risk]=$E$61)
*(tblBaseCFResult[PremTermScenario]=$E$62)
*(tblBaseCFResult[IntRateScenario]=N$64),"")</f>
        <v>3761115.7656092499</v>
      </c>
      <c r="O133" s="157" cm="1">
        <f t="array" ref="O133">_xlfn._xlws.FILTER(ROUND(tblBaseCFResult[EndPAV],-3)/1000,
(tblBaseCFResult[Year]=$A133)
*(tblBaseCFResult[Risk]=$E$61)
*(tblBaseCFResult[PremTermScenario]=$E$62)
*(tblBaseCFResult[IntRateScenario]=O$64),"")</f>
        <v>4023800</v>
      </c>
      <c r="P133" s="157" cm="1">
        <f t="array" ref="P133">_xlfn._xlws.FILTER(ROUND(tblBaseCFResult[SV],-3)/1000,
(tblBaseCFResult[Year]=$A133)
*(tblBaseCFResult[Risk]=$E$61)
*(tblBaseCFResult[PremTermScenario]=$E$62)
*(tblBaseCFResult[IntRateScenario]=P$64),"")</f>
        <v>3761116</v>
      </c>
      <c r="Q133" s="154"/>
      <c r="R133" s="156"/>
      <c r="S133" s="154"/>
      <c r="T133" s="155">
        <v>66</v>
      </c>
      <c r="U133" s="155">
        <f t="shared" si="24"/>
        <v>65</v>
      </c>
      <c r="W133" s="154"/>
      <c r="X133" s="153" t="str">
        <f t="shared" si="25"/>
        <v>66/65</v>
      </c>
      <c r="Y133" s="152" cm="1">
        <f t="array" ref="Y133">_xlfn._xlws.FILTER(tblBaseCFResult[TP]/1000,
(tblBaseCFResult[Year]=$T133)
*(tblBaseCFResult[Risk]=$Y$61)
*(tblBaseCFResult[PremTermScenario]=$Y$62)
*(tblBaseCFResult[IntRateScenario]=Y$64),"")</f>
        <v>0</v>
      </c>
      <c r="Z133" s="152" cm="1">
        <f t="array" ref="Z133">_xlfn._xlws.FILTER(tblBaseCFResult[EP]/1000,
(tblBaseCFResult[Year]=$T133)
*(tblBaseCFResult[Risk]=$Y$61)
*(tblBaseCFResult[PremTermScenario]=$Y$62)
*(tblBaseCFResult[IntRateScenario]=Z$64),"")</f>
        <v>0</v>
      </c>
      <c r="AA133" s="152">
        <f t="shared" si="26"/>
        <v>0</v>
      </c>
      <c r="AB133" s="152" cm="1">
        <f t="array" ref="AB133">_xlfn._xlws.FILTER(ROUND(tblBaseCFResult[AllocChrg],-3)/1000,
(tblBaseCFResult[Year]=$T133)
*(tblBaseCFResult[Risk]=$Y$61)
*(tblBaseCFResult[PremTermScenario]=$Y$62)
*(tblBaseCFResult[IntRateScenario]=AB$64),"")</f>
        <v>0</v>
      </c>
      <c r="AC133" s="152" cm="1">
        <f t="array" ref="AC133">_xlfn._xlws.FILTER(ROUND(tblBaseCFResult[EPAllocChrg],-3)/1000,
(tblBaseCFResult[Year]=$T133)
*(tblBaseCFResult[Risk]=$Y$61)
*(tblBaseCFResult[PremTermScenario]=$Y$62)
*(tblBaseCFResult[IntRateScenario]=AC$64),"")</f>
        <v>0</v>
      </c>
      <c r="AD133" s="152">
        <f t="shared" si="27"/>
        <v>0</v>
      </c>
      <c r="AE133" s="152">
        <f t="shared" si="28"/>
        <v>0</v>
      </c>
      <c r="AF133" s="152">
        <f t="shared" si="29"/>
        <v>0</v>
      </c>
      <c r="AG133" s="152">
        <f t="shared" si="30"/>
        <v>0</v>
      </c>
      <c r="AH133" s="152" cm="1">
        <f t="array" ref="AH133">_xlfn._xlws.FILTER(ROUND(tblBaseCFResult[AdminChrg],-3)/1000,
(tblBaseCFResult[Year]=$T133)
*(tblBaseCFResult[Risk]=$Y$61)
*(tblBaseCFResult[PremTermScenario]=$Y$62)
*(tblBaseCFResult[IntRateScenario]=AH$64),"")</f>
        <v>300</v>
      </c>
      <c r="AI133" s="152" cm="1">
        <f t="array" ref="AI133">_xlfn._xlws.FILTER(ROUND(tblBaseCFResult[COI],-3)/1000,
(tblBaseCFResult[Year]=$T133)
*(tblBaseCFResult[Risk]=$Y$61)
*(tblBaseCFResult[PremTermScenario]=$Y$62)
*(tblBaseCFResult[IntRateScenario]=AI$64),"")</f>
        <v>273</v>
      </c>
      <c r="AJ133" s="152" cm="1">
        <f t="array" ref="AJ133">_xlfn._xlws.FILTER(ROUND(tblBaseCFResult[AdminChrg],-3)/1000,
(tblBaseCFResult[Year]=$T133)
*(tblBaseCFResult[Risk]=$Y$61)
*(tblBaseCFResult[PremTermScenario]=$Y$62)
*(tblBaseCFResult[IntRateScenario]=AJ$64),"")</f>
        <v>300</v>
      </c>
      <c r="AK133" s="152" cm="1">
        <f t="array" ref="AK133">_xlfn._xlws.FILTER(ROUND(tblBaseCFResult[COI],-3)/1000,
(tblBaseCFResult[Year]=$T133)
*(tblBaseCFResult[Risk]=$Y$61)
*(tblBaseCFResult[PremTermScenario]=$Y$62)
*(tblBaseCFResult[IntRateScenario]=AK$64),"")</f>
        <v>273</v>
      </c>
    </row>
    <row r="134" spans="1:37" ht="15" customHeight="1" x14ac:dyDescent="0.25">
      <c r="A134" s="155">
        <v>67</v>
      </c>
      <c r="B134" s="155">
        <f t="shared" si="22"/>
        <v>66</v>
      </c>
      <c r="C134" s="154"/>
      <c r="D134" s="153" t="str">
        <f t="shared" si="23"/>
        <v>67/66</v>
      </c>
      <c r="E134" s="157" cm="1">
        <f t="array" ref="E134">_xlfn._xlws.FILTER(tblBaseCFResult[TotalPrem]/1000,
(tblBaseCFResult[Year]=$A134)
*(tblBaseCFResult[Risk]=$E$61)
*(tblBaseCFResult[PremTermScenario]=$E$62)
*(tblBaseCFResult[IntRateScenario]=E$64),"")</f>
        <v>0</v>
      </c>
      <c r="F134" s="157" cm="1">
        <f t="array" ref="F134">_xlfn._xlws.FILTER(tblBaseCFResult[AccumTotalPrem]/1000,
(tblBaseCFResult[Year]=$A134)
*(tblBaseCFResult[Risk]=$E$61)
*(tblBaseCFResult[PremTermScenario]=$E$62)
*(tblBaseCFResult[IntRateScenario]=F$64),"")</f>
        <v>0</v>
      </c>
      <c r="G134" s="157" cm="1">
        <f t="array" ref="G134">_xlfn._xlws.FILTER(ROUND(tblBaseCFResult[SemiAnnualTotalPrem],-3)/1000,
(tblBaseCFResult[Year]=$A134)
*(tblBaseCFResult[Risk]=$E$61)
*(tblBaseCFResult[PremTermScenario]=$E$62)
*(tblBaseCFResult[IntRateScenario]=G$64),"")</f>
        <v>0</v>
      </c>
      <c r="H134" s="157" cm="1">
        <f t="array" ref="H134">_xlfn._xlws.FILTER(tblBaseCFResult[Ben]/1000,
(tblBaseCFResult[Year]=$A134)
*(tblBaseCFResult[Risk]=$E$61)
*(tblBaseCFResult[PremTermScenario]=$E$62)
*(tblBaseCFResult[IntRateScenario]=H$64),"")</f>
        <v>211692.03263981699</v>
      </c>
      <c r="I134" s="157" cm="1">
        <f t="array" ref="I134">_xlfn._xlws.FILTER(ROUND(tblBaseCFResult[EndPAV],-3)/1000,
(tblBaseCFResult[Year]=$A134)
*(tblBaseCFResult[Risk]=$E$61)
*(tblBaseCFResult[PremTermScenario]=$E$62)
*(tblBaseCFResult[IntRateScenario]=I$64),"")</f>
        <v>215623</v>
      </c>
      <c r="J134" s="157" cm="1">
        <f t="array" ref="J134">_xlfn._xlws.FILTER(ROUND(tblBaseCFResult[SV],-3)/1000,
(tblBaseCFResult[Year]=$A134)
*(tblBaseCFResult[Risk]=$E$61)
*(tblBaseCFResult[PremTermScenario]=$E$62)
*(tblBaseCFResult[IntRateScenario]=J$64),"")</f>
        <v>211692</v>
      </c>
      <c r="K134" s="157" cm="1">
        <f t="array" ref="K134">_xlfn._xlws.FILTER(tblBaseCFResult[Ben]/1000,
(tblBaseCFResult[Year]=$A134)
*(tblBaseCFResult[Risk]=$E$61)
*(tblBaseCFResult[PremTermScenario]=$E$62)
*(tblBaseCFResult[IntRateScenario]=K$64),"")</f>
        <v>1275839.64335831</v>
      </c>
      <c r="L134" s="157" cm="1">
        <f t="array" ref="L134">_xlfn._xlws.FILTER(ROUND(tblBaseCFResult[EndPAV],-3)/1000,
(tblBaseCFResult[Year]=$A134)
*(tblBaseCFResult[Risk]=$E$61)
*(tblBaseCFResult[PremTermScenario]=$E$62)
*(tblBaseCFResult[IntRateScenario]=L$64),"")</f>
        <v>1339324</v>
      </c>
      <c r="M134" s="157" cm="1">
        <f t="array" ref="M134">_xlfn._xlws.FILTER(ROUND(tblBaseCFResult[SV],-3)/1000,
(tblBaseCFResult[Year]=$A134)
*(tblBaseCFResult[Risk]=$E$61)
*(tblBaseCFResult[PremTermScenario]=$E$62)
*(tblBaseCFResult[IntRateScenario]=M$64),"")</f>
        <v>1275840</v>
      </c>
      <c r="N134" s="157" cm="1">
        <f t="array" ref="N134">_xlfn._xlws.FILTER(tblBaseCFResult[Ben]/1000,
(tblBaseCFResult[Year]=$A134)
*(tblBaseCFResult[Risk]=$E$61)
*(tblBaseCFResult[PremTermScenario]=$E$62)
*(tblBaseCFResult[IntRateScenario]=N$64),"")</f>
        <v>4023799.6787706297</v>
      </c>
      <c r="O134" s="157" cm="1">
        <f t="array" ref="O134">_xlfn._xlws.FILTER(ROUND(tblBaseCFResult[EndPAV],-3)/1000,
(tblBaseCFResult[Year]=$A134)
*(tblBaseCFResult[Risk]=$E$61)
*(tblBaseCFResult[PremTermScenario]=$E$62)
*(tblBaseCFResult[IntRateScenario]=O$64),"")</f>
        <v>4305154</v>
      </c>
      <c r="P134" s="157" cm="1">
        <f t="array" ref="P134">_xlfn._xlws.FILTER(ROUND(tblBaseCFResult[SV],-3)/1000,
(tblBaseCFResult[Year]=$A134)
*(tblBaseCFResult[Risk]=$E$61)
*(tblBaseCFResult[PremTermScenario]=$E$62)
*(tblBaseCFResult[IntRateScenario]=P$64),"")</f>
        <v>4023800</v>
      </c>
      <c r="Q134" s="154"/>
      <c r="R134" s="156"/>
      <c r="S134" s="154"/>
      <c r="T134" s="155">
        <v>67</v>
      </c>
      <c r="U134" s="155">
        <f t="shared" si="24"/>
        <v>66</v>
      </c>
      <c r="W134" s="154"/>
      <c r="X134" s="153" t="str">
        <f t="shared" si="25"/>
        <v>67/66</v>
      </c>
      <c r="Y134" s="152" cm="1">
        <f t="array" ref="Y134">_xlfn._xlws.FILTER(tblBaseCFResult[TP]/1000,
(tblBaseCFResult[Year]=$T134)
*(tblBaseCFResult[Risk]=$Y$61)
*(tblBaseCFResult[PremTermScenario]=$Y$62)
*(tblBaseCFResult[IntRateScenario]=Y$64),"")</f>
        <v>0</v>
      </c>
      <c r="Z134" s="152" cm="1">
        <f t="array" ref="Z134">_xlfn._xlws.FILTER(tblBaseCFResult[EP]/1000,
(tblBaseCFResult[Year]=$T134)
*(tblBaseCFResult[Risk]=$Y$61)
*(tblBaseCFResult[PremTermScenario]=$Y$62)
*(tblBaseCFResult[IntRateScenario]=Z$64),"")</f>
        <v>0</v>
      </c>
      <c r="AA134" s="152">
        <f t="shared" si="26"/>
        <v>0</v>
      </c>
      <c r="AB134" s="152" cm="1">
        <f t="array" ref="AB134">_xlfn._xlws.FILTER(ROUND(tblBaseCFResult[AllocChrg],-3)/1000,
(tblBaseCFResult[Year]=$T134)
*(tblBaseCFResult[Risk]=$Y$61)
*(tblBaseCFResult[PremTermScenario]=$Y$62)
*(tblBaseCFResult[IntRateScenario]=AB$64),"")</f>
        <v>0</v>
      </c>
      <c r="AC134" s="152" cm="1">
        <f t="array" ref="AC134">_xlfn._xlws.FILTER(ROUND(tblBaseCFResult[EPAllocChrg],-3)/1000,
(tblBaseCFResult[Year]=$T134)
*(tblBaseCFResult[Risk]=$Y$61)
*(tblBaseCFResult[PremTermScenario]=$Y$62)
*(tblBaseCFResult[IntRateScenario]=AC$64),"")</f>
        <v>0</v>
      </c>
      <c r="AD134" s="152">
        <f t="shared" si="27"/>
        <v>0</v>
      </c>
      <c r="AE134" s="152">
        <f t="shared" si="28"/>
        <v>0</v>
      </c>
      <c r="AF134" s="152">
        <f t="shared" si="29"/>
        <v>0</v>
      </c>
      <c r="AG134" s="152">
        <f t="shared" si="30"/>
        <v>0</v>
      </c>
      <c r="AH134" s="152" cm="1">
        <f t="array" ref="AH134">_xlfn._xlws.FILTER(ROUND(tblBaseCFResult[AdminChrg],-3)/1000,
(tblBaseCFResult[Year]=$T134)
*(tblBaseCFResult[Risk]=$Y$61)
*(tblBaseCFResult[PremTermScenario]=$Y$62)
*(tblBaseCFResult[IntRateScenario]=AH$64),"")</f>
        <v>300</v>
      </c>
      <c r="AI134" s="152" cm="1">
        <f t="array" ref="AI134">_xlfn._xlws.FILTER(ROUND(tblBaseCFResult[COI],-3)/1000,
(tblBaseCFResult[Year]=$T134)
*(tblBaseCFResult[Risk]=$Y$61)
*(tblBaseCFResult[PremTermScenario]=$Y$62)
*(tblBaseCFResult[IntRateScenario]=AI$64),"")</f>
        <v>0</v>
      </c>
      <c r="AJ134" s="152" cm="1">
        <f t="array" ref="AJ134">_xlfn._xlws.FILTER(ROUND(tblBaseCFResult[AdminChrg],-3)/1000,
(tblBaseCFResult[Year]=$T134)
*(tblBaseCFResult[Risk]=$Y$61)
*(tblBaseCFResult[PremTermScenario]=$Y$62)
*(tblBaseCFResult[IntRateScenario]=AJ$64),"")</f>
        <v>300</v>
      </c>
      <c r="AK134" s="152" cm="1">
        <f t="array" ref="AK134">_xlfn._xlws.FILTER(ROUND(tblBaseCFResult[COI],-3)/1000,
(tblBaseCFResult[Year]=$T134)
*(tblBaseCFResult[Risk]=$Y$61)
*(tblBaseCFResult[PremTermScenario]=$Y$62)
*(tblBaseCFResult[IntRateScenario]=AK$64),"")</f>
        <v>0</v>
      </c>
    </row>
    <row r="135" spans="1:37" ht="15" customHeight="1" x14ac:dyDescent="0.25">
      <c r="A135" s="155">
        <v>68</v>
      </c>
      <c r="B135" s="155">
        <f t="shared" si="22"/>
        <v>67</v>
      </c>
      <c r="C135" s="154"/>
      <c r="D135" s="153" t="str">
        <f t="shared" si="23"/>
        <v>68/67</v>
      </c>
      <c r="E135" s="157" cm="1">
        <f t="array" ref="E135">_xlfn._xlws.FILTER(tblBaseCFResult[TotalPrem]/1000,
(tblBaseCFResult[Year]=$A135)
*(tblBaseCFResult[Risk]=$E$61)
*(tblBaseCFResult[PremTermScenario]=$E$62)
*(tblBaseCFResult[IntRateScenario]=E$64),"")</f>
        <v>0</v>
      </c>
      <c r="F135" s="157" cm="1">
        <f t="array" ref="F135">_xlfn._xlws.FILTER(tblBaseCFResult[AccumTotalPrem]/1000,
(tblBaseCFResult[Year]=$A135)
*(tblBaseCFResult[Risk]=$E$61)
*(tblBaseCFResult[PremTermScenario]=$E$62)
*(tblBaseCFResult[IntRateScenario]=F$64),"")</f>
        <v>0</v>
      </c>
      <c r="G135" s="157" cm="1">
        <f t="array" ref="G135">_xlfn._xlws.FILTER(ROUND(tblBaseCFResult[SemiAnnualTotalPrem],-3)/1000,
(tblBaseCFResult[Year]=$A135)
*(tblBaseCFResult[Risk]=$E$61)
*(tblBaseCFResult[PremTermScenario]=$E$62)
*(tblBaseCFResult[IntRateScenario]=G$64),"")</f>
        <v>0</v>
      </c>
      <c r="H135" s="157" cm="1">
        <f t="array" ref="H135">_xlfn._xlws.FILTER(tblBaseCFResult[Ben]/1000,
(tblBaseCFResult[Year]=$A135)
*(tblBaseCFResult[Risk]=$E$61)
*(tblBaseCFResult[PremTermScenario]=$E$62)
*(tblBaseCFResult[IntRateScenario]=H$64),"")</f>
        <v>215622.63312510401</v>
      </c>
      <c r="I135" s="157" cm="1">
        <f t="array" ref="I135">_xlfn._xlws.FILTER(ROUND(tblBaseCFResult[EndPAV],-3)/1000,
(tblBaseCFResult[Year]=$A135)
*(tblBaseCFResult[Risk]=$E$61)
*(tblBaseCFResult[PremTermScenario]=$E$62)
*(tblBaseCFResult[IntRateScenario]=I$64),"")</f>
        <v>219632</v>
      </c>
      <c r="J135" s="157" cm="1">
        <f t="array" ref="J135">_xlfn._xlws.FILTER(ROUND(tblBaseCFResult[SV],-3)/1000,
(tblBaseCFResult[Year]=$A135)
*(tblBaseCFResult[Risk]=$E$61)
*(tblBaseCFResult[PremTermScenario]=$E$62)
*(tblBaseCFResult[IntRateScenario]=J$64),"")</f>
        <v>215623</v>
      </c>
      <c r="K135" s="157" cm="1">
        <f t="array" ref="K135">_xlfn._xlws.FILTER(tblBaseCFResult[Ben]/1000,
(tblBaseCFResult[Year]=$A135)
*(tblBaseCFResult[Risk]=$E$61)
*(tblBaseCFResult[PremTermScenario]=$E$62)
*(tblBaseCFResult[IntRateScenario]=K$64),"")</f>
        <v>1339323.5610879799</v>
      </c>
      <c r="L135" s="157" cm="1">
        <f t="array" ref="L135">_xlfn._xlws.FILTER(ROUND(tblBaseCFResult[EndPAV],-3)/1000,
(tblBaseCFResult[Year]=$A135)
*(tblBaseCFResult[Risk]=$E$61)
*(tblBaseCFResult[PremTermScenario]=$E$62)
*(tblBaseCFResult[IntRateScenario]=L$64),"")</f>
        <v>1405982</v>
      </c>
      <c r="M135" s="157" cm="1">
        <f t="array" ref="M135">_xlfn._xlws.FILTER(ROUND(tblBaseCFResult[SV],-3)/1000,
(tblBaseCFResult[Year]=$A135)
*(tblBaseCFResult[Risk]=$E$61)
*(tblBaseCFResult[PremTermScenario]=$E$62)
*(tblBaseCFResult[IntRateScenario]=M$64),"")</f>
        <v>1339324</v>
      </c>
      <c r="N135" s="157" cm="1">
        <f t="array" ref="N135">_xlfn._xlws.FILTER(tblBaseCFResult[Ben]/1000,
(tblBaseCFResult[Year]=$A135)
*(tblBaseCFResult[Risk]=$E$61)
*(tblBaseCFResult[PremTermScenario]=$E$62)
*(tblBaseCFResult[IntRateScenario]=N$64),"")</f>
        <v>4305154.3988559302</v>
      </c>
      <c r="O135" s="157" cm="1">
        <f t="array" ref="O135">_xlfn._xlws.FILTER(ROUND(tblBaseCFResult[EndPAV],-3)/1000,
(tblBaseCFResult[Year]=$A135)
*(tblBaseCFResult[Risk]=$E$61)
*(tblBaseCFResult[PremTermScenario]=$E$62)
*(tblBaseCFResult[IntRateScenario]=O$64),"")</f>
        <v>4606204</v>
      </c>
      <c r="P135" s="157" cm="1">
        <f t="array" ref="P135">_xlfn._xlws.FILTER(ROUND(tblBaseCFResult[SV],-3)/1000,
(tblBaseCFResult[Year]=$A135)
*(tblBaseCFResult[Risk]=$E$61)
*(tblBaseCFResult[PremTermScenario]=$E$62)
*(tblBaseCFResult[IntRateScenario]=P$64),"")</f>
        <v>4305154</v>
      </c>
      <c r="Q135" s="154"/>
      <c r="R135" s="156"/>
      <c r="S135" s="154"/>
      <c r="T135" s="155">
        <v>68</v>
      </c>
      <c r="U135" s="155">
        <f t="shared" si="24"/>
        <v>67</v>
      </c>
      <c r="W135" s="154"/>
      <c r="X135" s="153" t="str">
        <f t="shared" si="25"/>
        <v>68/67</v>
      </c>
      <c r="Y135" s="152" cm="1">
        <f t="array" ref="Y135">_xlfn._xlws.FILTER(tblBaseCFResult[TP]/1000,
(tblBaseCFResult[Year]=$T135)
*(tblBaseCFResult[Risk]=$Y$61)
*(tblBaseCFResult[PremTermScenario]=$Y$62)
*(tblBaseCFResult[IntRateScenario]=Y$64),"")</f>
        <v>0</v>
      </c>
      <c r="Z135" s="152" cm="1">
        <f t="array" ref="Z135">_xlfn._xlws.FILTER(tblBaseCFResult[EP]/1000,
(tblBaseCFResult[Year]=$T135)
*(tblBaseCFResult[Risk]=$Y$61)
*(tblBaseCFResult[PremTermScenario]=$Y$62)
*(tblBaseCFResult[IntRateScenario]=Z$64),"")</f>
        <v>0</v>
      </c>
      <c r="AA135" s="152">
        <f t="shared" si="26"/>
        <v>0</v>
      </c>
      <c r="AB135" s="152" cm="1">
        <f t="array" ref="AB135">_xlfn._xlws.FILTER(ROUND(tblBaseCFResult[AllocChrg],-3)/1000,
(tblBaseCFResult[Year]=$T135)
*(tblBaseCFResult[Risk]=$Y$61)
*(tblBaseCFResult[PremTermScenario]=$Y$62)
*(tblBaseCFResult[IntRateScenario]=AB$64),"")</f>
        <v>0</v>
      </c>
      <c r="AC135" s="152" cm="1">
        <f t="array" ref="AC135">_xlfn._xlws.FILTER(ROUND(tblBaseCFResult[EPAllocChrg],-3)/1000,
(tblBaseCFResult[Year]=$T135)
*(tblBaseCFResult[Risk]=$Y$61)
*(tblBaseCFResult[PremTermScenario]=$Y$62)
*(tblBaseCFResult[IntRateScenario]=AC$64),"")</f>
        <v>0</v>
      </c>
      <c r="AD135" s="152">
        <f t="shared" si="27"/>
        <v>0</v>
      </c>
      <c r="AE135" s="152">
        <f t="shared" si="28"/>
        <v>0</v>
      </c>
      <c r="AF135" s="152">
        <f t="shared" si="29"/>
        <v>0</v>
      </c>
      <c r="AG135" s="152">
        <f t="shared" si="30"/>
        <v>0</v>
      </c>
      <c r="AH135" s="152" cm="1">
        <f t="array" ref="AH135">_xlfn._xlws.FILTER(ROUND(tblBaseCFResult[AdminChrg],-3)/1000,
(tblBaseCFResult[Year]=$T135)
*(tblBaseCFResult[Risk]=$Y$61)
*(tblBaseCFResult[PremTermScenario]=$Y$62)
*(tblBaseCFResult[IntRateScenario]=AH$64),"")</f>
        <v>300</v>
      </c>
      <c r="AI135" s="152" cm="1">
        <f t="array" ref="AI135">_xlfn._xlws.FILTER(ROUND(tblBaseCFResult[COI],-3)/1000,
(tblBaseCFResult[Year]=$T135)
*(tblBaseCFResult[Risk]=$Y$61)
*(tblBaseCFResult[PremTermScenario]=$Y$62)
*(tblBaseCFResult[IntRateScenario]=AI$64),"")</f>
        <v>0</v>
      </c>
      <c r="AJ135" s="152" cm="1">
        <f t="array" ref="AJ135">_xlfn._xlws.FILTER(ROUND(tblBaseCFResult[AdminChrg],-3)/1000,
(tblBaseCFResult[Year]=$T135)
*(tblBaseCFResult[Risk]=$Y$61)
*(tblBaseCFResult[PremTermScenario]=$Y$62)
*(tblBaseCFResult[IntRateScenario]=AJ$64),"")</f>
        <v>300</v>
      </c>
      <c r="AK135" s="152" cm="1">
        <f t="array" ref="AK135">_xlfn._xlws.FILTER(ROUND(tblBaseCFResult[COI],-3)/1000,
(tblBaseCFResult[Year]=$T135)
*(tblBaseCFResult[Risk]=$Y$61)
*(tblBaseCFResult[PremTermScenario]=$Y$62)
*(tblBaseCFResult[IntRateScenario]=AK$64),"")</f>
        <v>0</v>
      </c>
    </row>
    <row r="136" spans="1:37" ht="15" customHeight="1" x14ac:dyDescent="0.25">
      <c r="A136" s="155">
        <v>69</v>
      </c>
      <c r="B136" s="155">
        <f t="shared" si="22"/>
        <v>68</v>
      </c>
      <c r="C136" s="154"/>
      <c r="D136" s="153" t="str">
        <f t="shared" si="23"/>
        <v>69/68</v>
      </c>
      <c r="E136" s="157" cm="1">
        <f t="array" ref="E136">_xlfn._xlws.FILTER(tblBaseCFResult[TotalPrem]/1000,
(tblBaseCFResult[Year]=$A136)
*(tblBaseCFResult[Risk]=$E$61)
*(tblBaseCFResult[PremTermScenario]=$E$62)
*(tblBaseCFResult[IntRateScenario]=E$64),"")</f>
        <v>0</v>
      </c>
      <c r="F136" s="157" cm="1">
        <f t="array" ref="F136">_xlfn._xlws.FILTER(tblBaseCFResult[AccumTotalPrem]/1000,
(tblBaseCFResult[Year]=$A136)
*(tblBaseCFResult[Risk]=$E$61)
*(tblBaseCFResult[PremTermScenario]=$E$62)
*(tblBaseCFResult[IntRateScenario]=F$64),"")</f>
        <v>0</v>
      </c>
      <c r="G136" s="157" cm="1">
        <f t="array" ref="G136">_xlfn._xlws.FILTER(ROUND(tblBaseCFResult[SemiAnnualTotalPrem],-3)/1000,
(tblBaseCFResult[Year]=$A136)
*(tblBaseCFResult[Risk]=$E$61)
*(tblBaseCFResult[PremTermScenario]=$E$62)
*(tblBaseCFResult[IntRateScenario]=G$64),"")</f>
        <v>0</v>
      </c>
      <c r="H136" s="157" cm="1">
        <f t="array" ref="H136">_xlfn._xlws.FILTER(tblBaseCFResult[Ben]/1000,
(tblBaseCFResult[Year]=$A136)
*(tblBaseCFResult[Risk]=$E$61)
*(tblBaseCFResult[PremTermScenario]=$E$62)
*(tblBaseCFResult[IntRateScenario]=H$64),"")</f>
        <v>219631.845620095</v>
      </c>
      <c r="I136" s="157" cm="1">
        <f t="array" ref="I136">_xlfn._xlws.FILTER(ROUND(tblBaseCFResult[EndPAV],-3)/1000,
(tblBaseCFResult[Year]=$A136)
*(tblBaseCFResult[Risk]=$E$61)
*(tblBaseCFResult[PremTermScenario]=$E$62)
*(tblBaseCFResult[IntRateScenario]=I$64),"")</f>
        <v>223721</v>
      </c>
      <c r="J136" s="157" cm="1">
        <f t="array" ref="J136">_xlfn._xlws.FILTER(ROUND(tblBaseCFResult[SV],-3)/1000,
(tblBaseCFResult[Year]=$A136)
*(tblBaseCFResult[Risk]=$E$61)
*(tblBaseCFResult[PremTermScenario]=$E$62)
*(tblBaseCFResult[IntRateScenario]=J$64),"")</f>
        <v>219632</v>
      </c>
      <c r="K136" s="157" cm="1">
        <f t="array" ref="K136">_xlfn._xlws.FILTER(tblBaseCFResult[Ben]/1000,
(tblBaseCFResult[Year]=$A136)
*(tblBaseCFResult[Risk]=$E$61)
*(tblBaseCFResult[PremTermScenario]=$E$62)
*(tblBaseCFResult[IntRateScenario]=K$64),"")</f>
        <v>1405981.6747041401</v>
      </c>
      <c r="L136" s="157" cm="1">
        <f t="array" ref="L136">_xlfn._xlws.FILTER(ROUND(tblBaseCFResult[EndPAV],-3)/1000,
(tblBaseCFResult[Year]=$A136)
*(tblBaseCFResult[Risk]=$E$61)
*(tblBaseCFResult[PremTermScenario]=$E$62)
*(tblBaseCFResult[IntRateScenario]=L$64),"")</f>
        <v>1475973</v>
      </c>
      <c r="M136" s="157" cm="1">
        <f t="array" ref="M136">_xlfn._xlws.FILTER(ROUND(tblBaseCFResult[SV],-3)/1000,
(tblBaseCFResult[Year]=$A136)
*(tblBaseCFResult[Risk]=$E$61)
*(tblBaseCFResult[PremTermScenario]=$E$62)
*(tblBaseCFResult[IntRateScenario]=M$64),"")</f>
        <v>1405982</v>
      </c>
      <c r="N136" s="157" cm="1">
        <f t="array" ref="N136">_xlfn._xlws.FILTER(tblBaseCFResult[Ben]/1000,
(tblBaseCFResult[Year]=$A136)
*(tblBaseCFResult[Risk]=$E$61)
*(tblBaseCFResult[PremTermScenario]=$E$62)
*(tblBaseCFResult[IntRateScenario]=N$64),"")</f>
        <v>4606203.9493472101</v>
      </c>
      <c r="O136" s="157" cm="1">
        <f t="array" ref="O136">_xlfn._xlws.FILTER(ROUND(tblBaseCFResult[EndPAV],-3)/1000,
(tblBaseCFResult[Year]=$A136)
*(tblBaseCFResult[Risk]=$E$61)
*(tblBaseCFResult[PremTermScenario]=$E$62)
*(tblBaseCFResult[IntRateScenario]=O$64),"")</f>
        <v>4928327</v>
      </c>
      <c r="P136" s="157" cm="1">
        <f t="array" ref="P136">_xlfn._xlws.FILTER(ROUND(tblBaseCFResult[SV],-3)/1000,
(tblBaseCFResult[Year]=$A136)
*(tblBaseCFResult[Risk]=$E$61)
*(tblBaseCFResult[PremTermScenario]=$E$62)
*(tblBaseCFResult[IntRateScenario]=P$64),"")</f>
        <v>4606204</v>
      </c>
      <c r="Q136" s="154"/>
      <c r="R136" s="156"/>
      <c r="S136" s="154"/>
      <c r="T136" s="155">
        <v>69</v>
      </c>
      <c r="U136" s="155">
        <f t="shared" si="24"/>
        <v>68</v>
      </c>
      <c r="W136" s="154"/>
      <c r="X136" s="153" t="str">
        <f t="shared" si="25"/>
        <v>69/68</v>
      </c>
      <c r="Y136" s="152" cm="1">
        <f t="array" ref="Y136">_xlfn._xlws.FILTER(tblBaseCFResult[TP]/1000,
(tblBaseCFResult[Year]=$T136)
*(tblBaseCFResult[Risk]=$Y$61)
*(tblBaseCFResult[PremTermScenario]=$Y$62)
*(tblBaseCFResult[IntRateScenario]=Y$64),"")</f>
        <v>0</v>
      </c>
      <c r="Z136" s="152" cm="1">
        <f t="array" ref="Z136">_xlfn._xlws.FILTER(tblBaseCFResult[EP]/1000,
(tblBaseCFResult[Year]=$T136)
*(tblBaseCFResult[Risk]=$Y$61)
*(tblBaseCFResult[PremTermScenario]=$Y$62)
*(tblBaseCFResult[IntRateScenario]=Z$64),"")</f>
        <v>0</v>
      </c>
      <c r="AA136" s="152">
        <f t="shared" si="26"/>
        <v>0</v>
      </c>
      <c r="AB136" s="152" cm="1">
        <f t="array" ref="AB136">_xlfn._xlws.FILTER(ROUND(tblBaseCFResult[AllocChrg],-3)/1000,
(tblBaseCFResult[Year]=$T136)
*(tblBaseCFResult[Risk]=$Y$61)
*(tblBaseCFResult[PremTermScenario]=$Y$62)
*(tblBaseCFResult[IntRateScenario]=AB$64),"")</f>
        <v>0</v>
      </c>
      <c r="AC136" s="152" cm="1">
        <f t="array" ref="AC136">_xlfn._xlws.FILTER(ROUND(tblBaseCFResult[EPAllocChrg],-3)/1000,
(tblBaseCFResult[Year]=$T136)
*(tblBaseCFResult[Risk]=$Y$61)
*(tblBaseCFResult[PremTermScenario]=$Y$62)
*(tblBaseCFResult[IntRateScenario]=AC$64),"")</f>
        <v>0</v>
      </c>
      <c r="AD136" s="152">
        <f t="shared" si="27"/>
        <v>0</v>
      </c>
      <c r="AE136" s="152">
        <f t="shared" si="28"/>
        <v>0</v>
      </c>
      <c r="AF136" s="152">
        <f t="shared" si="29"/>
        <v>0</v>
      </c>
      <c r="AG136" s="152">
        <f t="shared" si="30"/>
        <v>0</v>
      </c>
      <c r="AH136" s="152" cm="1">
        <f t="array" ref="AH136">_xlfn._xlws.FILTER(ROUND(tblBaseCFResult[AdminChrg],-3)/1000,
(tblBaseCFResult[Year]=$T136)
*(tblBaseCFResult[Risk]=$Y$61)
*(tblBaseCFResult[PremTermScenario]=$Y$62)
*(tblBaseCFResult[IntRateScenario]=AH$64),"")</f>
        <v>300</v>
      </c>
      <c r="AI136" s="152" cm="1">
        <f t="array" ref="AI136">_xlfn._xlws.FILTER(ROUND(tblBaseCFResult[COI],-3)/1000,
(tblBaseCFResult[Year]=$T136)
*(tblBaseCFResult[Risk]=$Y$61)
*(tblBaseCFResult[PremTermScenario]=$Y$62)
*(tblBaseCFResult[IntRateScenario]=AI$64),"")</f>
        <v>0</v>
      </c>
      <c r="AJ136" s="152" cm="1">
        <f t="array" ref="AJ136">_xlfn._xlws.FILTER(ROUND(tblBaseCFResult[AdminChrg],-3)/1000,
(tblBaseCFResult[Year]=$T136)
*(tblBaseCFResult[Risk]=$Y$61)
*(tblBaseCFResult[PremTermScenario]=$Y$62)
*(tblBaseCFResult[IntRateScenario]=AJ$64),"")</f>
        <v>300</v>
      </c>
      <c r="AK136" s="152" cm="1">
        <f t="array" ref="AK136">_xlfn._xlws.FILTER(ROUND(tblBaseCFResult[COI],-3)/1000,
(tblBaseCFResult[Year]=$T136)
*(tblBaseCFResult[Risk]=$Y$61)
*(tblBaseCFResult[PremTermScenario]=$Y$62)
*(tblBaseCFResult[IntRateScenario]=AK$64),"")</f>
        <v>0</v>
      </c>
    </row>
    <row r="137" spans="1:37" ht="15" customHeight="1" x14ac:dyDescent="0.25">
      <c r="A137" s="155">
        <v>70</v>
      </c>
      <c r="B137" s="155">
        <f t="shared" si="22"/>
        <v>69</v>
      </c>
      <c r="C137" s="154"/>
      <c r="D137" s="153" t="str">
        <f t="shared" si="23"/>
        <v>70/69</v>
      </c>
      <c r="E137" s="157" cm="1">
        <f t="array" ref="E137">_xlfn._xlws.FILTER(tblBaseCFResult[TotalPrem]/1000,
(tblBaseCFResult[Year]=$A137)
*(tblBaseCFResult[Risk]=$E$61)
*(tblBaseCFResult[PremTermScenario]=$E$62)
*(tblBaseCFResult[IntRateScenario]=E$64),"")</f>
        <v>0</v>
      </c>
      <c r="F137" s="157" cm="1">
        <f t="array" ref="F137">_xlfn._xlws.FILTER(tblBaseCFResult[AccumTotalPrem]/1000,
(tblBaseCFResult[Year]=$A137)
*(tblBaseCFResult[Risk]=$E$61)
*(tblBaseCFResult[PremTermScenario]=$E$62)
*(tblBaseCFResult[IntRateScenario]=F$64),"")</f>
        <v>0</v>
      </c>
      <c r="G137" s="157" cm="1">
        <f t="array" ref="G137">_xlfn._xlws.FILTER(ROUND(tblBaseCFResult[SemiAnnualTotalPrem],-3)/1000,
(tblBaseCFResult[Year]=$A137)
*(tblBaseCFResult[Risk]=$E$61)
*(tblBaseCFResult[PremTermScenario]=$E$62)
*(tblBaseCFResult[IntRateScenario]=G$64),"")</f>
        <v>0</v>
      </c>
      <c r="H137" s="157" cm="1">
        <f t="array" ref="H137">_xlfn._xlws.FILTER(tblBaseCFResult[Ben]/1000,
(tblBaseCFResult[Year]=$A137)
*(tblBaseCFResult[Risk]=$E$61)
*(tblBaseCFResult[PremTermScenario]=$E$62)
*(tblBaseCFResult[IntRateScenario]=H$64),"")</f>
        <v>223721.24236498697</v>
      </c>
      <c r="I137" s="157" cm="1">
        <f t="array" ref="I137">_xlfn._xlws.FILTER(ROUND(tblBaseCFResult[EndPAV],-3)/1000,
(tblBaseCFResult[Year]=$A137)
*(tblBaseCFResult[Risk]=$E$61)
*(tblBaseCFResult[PremTermScenario]=$E$62)
*(tblBaseCFResult[IntRateScenario]=I$64),"")</f>
        <v>227892</v>
      </c>
      <c r="J137" s="157" cm="1">
        <f t="array" ref="J137">_xlfn._xlws.FILTER(ROUND(tblBaseCFResult[SV],-3)/1000,
(tblBaseCFResult[Year]=$A137)
*(tblBaseCFResult[Risk]=$E$61)
*(tblBaseCFResult[PremTermScenario]=$E$62)
*(tblBaseCFResult[IntRateScenario]=J$64),"")</f>
        <v>223721</v>
      </c>
      <c r="K137" s="157" cm="1">
        <f t="array" ref="K137">_xlfn._xlws.FILTER(tblBaseCFResult[Ben]/1000,
(tblBaseCFResult[Year]=$A137)
*(tblBaseCFResult[Risk]=$E$61)
*(tblBaseCFResult[PremTermScenario]=$E$62)
*(tblBaseCFResult[IntRateScenario]=K$64),"")</f>
        <v>1475972.69400111</v>
      </c>
      <c r="L137" s="157" cm="1">
        <f t="array" ref="L137">_xlfn._xlws.FILTER(ROUND(tblBaseCFResult[EndPAV],-3)/1000,
(tblBaseCFResult[Year]=$A137)
*(tblBaseCFResult[Risk]=$E$61)
*(tblBaseCFResult[PremTermScenario]=$E$62)
*(tblBaseCFResult[IntRateScenario]=L$64),"")</f>
        <v>1549463</v>
      </c>
      <c r="M137" s="157" cm="1">
        <f t="array" ref="M137">_xlfn._xlws.FILTER(ROUND(tblBaseCFResult[SV],-3)/1000,
(tblBaseCFResult[Year]=$A137)
*(tblBaseCFResult[Risk]=$E$61)
*(tblBaseCFResult[PremTermScenario]=$E$62)
*(tblBaseCFResult[IntRateScenario]=M$64),"")</f>
        <v>1475973</v>
      </c>
      <c r="N137" s="157" cm="1">
        <f t="array" ref="N137">_xlfn._xlws.FILTER(tblBaseCFResult[Ben]/1000,
(tblBaseCFResult[Year]=$A137)
*(tblBaseCFResult[Risk]=$E$61)
*(tblBaseCFResult[PremTermScenario]=$E$62)
*(tblBaseCFResult[IntRateScenario]=N$64),"")</f>
        <v>4928326.9683728795</v>
      </c>
      <c r="O137" s="157" cm="1">
        <f t="array" ref="O137">_xlfn._xlws.FILTER(ROUND(tblBaseCFResult[EndPAV],-3)/1000,
(tblBaseCFResult[Year]=$A137)
*(tblBaseCFResult[Risk]=$E$61)
*(tblBaseCFResult[PremTermScenario]=$E$62)
*(tblBaseCFResult[IntRateScenario]=O$64),"")</f>
        <v>5272999</v>
      </c>
      <c r="P137" s="157" cm="1">
        <f t="array" ref="P137">_xlfn._xlws.FILTER(ROUND(tblBaseCFResult[SV],-3)/1000,
(tblBaseCFResult[Year]=$A137)
*(tblBaseCFResult[Risk]=$E$61)
*(tblBaseCFResult[PremTermScenario]=$E$62)
*(tblBaseCFResult[IntRateScenario]=P$64),"")</f>
        <v>4928327</v>
      </c>
      <c r="Q137" s="154"/>
      <c r="R137" s="156"/>
      <c r="S137" s="154"/>
      <c r="T137" s="155">
        <v>70</v>
      </c>
      <c r="U137" s="155">
        <f t="shared" si="24"/>
        <v>69</v>
      </c>
      <c r="W137" s="154"/>
      <c r="X137" s="153" t="str">
        <f t="shared" si="25"/>
        <v>70/69</v>
      </c>
      <c r="Y137" s="152" cm="1">
        <f t="array" ref="Y137">_xlfn._xlws.FILTER(tblBaseCFResult[TP]/1000,
(tblBaseCFResult[Year]=$T137)
*(tblBaseCFResult[Risk]=$Y$61)
*(tblBaseCFResult[PremTermScenario]=$Y$62)
*(tblBaseCFResult[IntRateScenario]=Y$64),"")</f>
        <v>0</v>
      </c>
      <c r="Z137" s="152" cm="1">
        <f t="array" ref="Z137">_xlfn._xlws.FILTER(tblBaseCFResult[EP]/1000,
(tblBaseCFResult[Year]=$T137)
*(tblBaseCFResult[Risk]=$Y$61)
*(tblBaseCFResult[PremTermScenario]=$Y$62)
*(tblBaseCFResult[IntRateScenario]=Z$64),"")</f>
        <v>0</v>
      </c>
      <c r="AA137" s="152">
        <f t="shared" si="26"/>
        <v>0</v>
      </c>
      <c r="AB137" s="152" cm="1">
        <f t="array" ref="AB137">_xlfn._xlws.FILTER(ROUND(tblBaseCFResult[AllocChrg],-3)/1000,
(tblBaseCFResult[Year]=$T137)
*(tblBaseCFResult[Risk]=$Y$61)
*(tblBaseCFResult[PremTermScenario]=$Y$62)
*(tblBaseCFResult[IntRateScenario]=AB$64),"")</f>
        <v>0</v>
      </c>
      <c r="AC137" s="152" cm="1">
        <f t="array" ref="AC137">_xlfn._xlws.FILTER(ROUND(tblBaseCFResult[EPAllocChrg],-3)/1000,
(tblBaseCFResult[Year]=$T137)
*(tblBaseCFResult[Risk]=$Y$61)
*(tblBaseCFResult[PremTermScenario]=$Y$62)
*(tblBaseCFResult[IntRateScenario]=AC$64),"")</f>
        <v>0</v>
      </c>
      <c r="AD137" s="152">
        <f t="shared" si="27"/>
        <v>0</v>
      </c>
      <c r="AE137" s="152">
        <f t="shared" si="28"/>
        <v>0</v>
      </c>
      <c r="AF137" s="152">
        <f t="shared" si="29"/>
        <v>0</v>
      </c>
      <c r="AG137" s="152">
        <f t="shared" si="30"/>
        <v>0</v>
      </c>
      <c r="AH137" s="152" cm="1">
        <f t="array" ref="AH137">_xlfn._xlws.FILTER(ROUND(tblBaseCFResult[AdminChrg],-3)/1000,
(tblBaseCFResult[Year]=$T137)
*(tblBaseCFResult[Risk]=$Y$61)
*(tblBaseCFResult[PremTermScenario]=$Y$62)
*(tblBaseCFResult[IntRateScenario]=AH$64),"")</f>
        <v>300</v>
      </c>
      <c r="AI137" s="152" cm="1">
        <f t="array" ref="AI137">_xlfn._xlws.FILTER(ROUND(tblBaseCFResult[COI],-3)/1000,
(tblBaseCFResult[Year]=$T137)
*(tblBaseCFResult[Risk]=$Y$61)
*(tblBaseCFResult[PremTermScenario]=$Y$62)
*(tblBaseCFResult[IntRateScenario]=AI$64),"")</f>
        <v>0</v>
      </c>
      <c r="AJ137" s="152" cm="1">
        <f t="array" ref="AJ137">_xlfn._xlws.FILTER(ROUND(tblBaseCFResult[AdminChrg],-3)/1000,
(tblBaseCFResult[Year]=$T137)
*(tblBaseCFResult[Risk]=$Y$61)
*(tblBaseCFResult[PremTermScenario]=$Y$62)
*(tblBaseCFResult[IntRateScenario]=AJ$64),"")</f>
        <v>300</v>
      </c>
      <c r="AK137" s="152" cm="1">
        <f t="array" ref="AK137">_xlfn._xlws.FILTER(ROUND(tblBaseCFResult[COI],-3)/1000,
(tblBaseCFResult[Year]=$T137)
*(tblBaseCFResult[Risk]=$Y$61)
*(tblBaseCFResult[PremTermScenario]=$Y$62)
*(tblBaseCFResult[IntRateScenario]=AK$64),"")</f>
        <v>0</v>
      </c>
    </row>
    <row r="138" spans="1:37" ht="15" customHeight="1" x14ac:dyDescent="0.25">
      <c r="A138" s="155">
        <v>71</v>
      </c>
      <c r="B138" s="155">
        <f t="shared" si="22"/>
        <v>70</v>
      </c>
      <c r="C138" s="154"/>
      <c r="D138" s="153" t="str">
        <f t="shared" si="23"/>
        <v>71/70</v>
      </c>
      <c r="E138" s="157" cm="1">
        <f t="array" ref="E138">_xlfn._xlws.FILTER(tblBaseCFResult[TotalPrem]/1000,
(tblBaseCFResult[Year]=$A138)
*(tblBaseCFResult[Risk]=$E$61)
*(tblBaseCFResult[PremTermScenario]=$E$62)
*(tblBaseCFResult[IntRateScenario]=E$64),"")</f>
        <v>0</v>
      </c>
      <c r="F138" s="157" cm="1">
        <f t="array" ref="F138">_xlfn._xlws.FILTER(tblBaseCFResult[AccumTotalPrem]/1000,
(tblBaseCFResult[Year]=$A138)
*(tblBaseCFResult[Risk]=$E$61)
*(tblBaseCFResult[PremTermScenario]=$E$62)
*(tblBaseCFResult[IntRateScenario]=F$64),"")</f>
        <v>0</v>
      </c>
      <c r="G138" s="157" cm="1">
        <f t="array" ref="G138">_xlfn._xlws.FILTER(ROUND(tblBaseCFResult[SemiAnnualTotalPrem],-3)/1000,
(tblBaseCFResult[Year]=$A138)
*(tblBaseCFResult[Risk]=$E$61)
*(tblBaseCFResult[PremTermScenario]=$E$62)
*(tblBaseCFResult[IntRateScenario]=G$64),"")</f>
        <v>0</v>
      </c>
      <c r="H138" s="157" cm="1">
        <f t="array" ref="H138">_xlfn._xlws.FILTER(tblBaseCFResult[Ben]/1000,
(tblBaseCFResult[Year]=$A138)
*(tblBaseCFResult[Risk]=$E$61)
*(tblBaseCFResult[PremTermScenario]=$E$62)
*(tblBaseCFResult[IntRateScenario]=H$64),"")</f>
        <v>227892.427044777</v>
      </c>
      <c r="I138" s="157" cm="1">
        <f t="array" ref="I138">_xlfn._xlws.FILTER(ROUND(tblBaseCFResult[EndPAV],-3)/1000,
(tblBaseCFResult[Year]=$A138)
*(tblBaseCFResult[Risk]=$E$61)
*(tblBaseCFResult[PremTermScenario]=$E$62)
*(tblBaseCFResult[IntRateScenario]=I$64),"")</f>
        <v>232147</v>
      </c>
      <c r="J138" s="157" cm="1">
        <f t="array" ref="J138">_xlfn._xlws.FILTER(ROUND(tblBaseCFResult[SV],-3)/1000,
(tblBaseCFResult[Year]=$A138)
*(tblBaseCFResult[Risk]=$E$61)
*(tblBaseCFResult[PremTermScenario]=$E$62)
*(tblBaseCFResult[IntRateScenario]=J$64),"")</f>
        <v>227892</v>
      </c>
      <c r="K138" s="157" cm="1">
        <f t="array" ref="K138">_xlfn._xlws.FILTER(tblBaseCFResult[Ben]/1000,
(tblBaseCFResult[Year]=$A138)
*(tblBaseCFResult[Risk]=$E$61)
*(tblBaseCFResult[PremTermScenario]=$E$62)
*(tblBaseCFResult[IntRateScenario]=K$64),"")</f>
        <v>1549463.26426292</v>
      </c>
      <c r="L138" s="157" cm="1">
        <f t="array" ref="L138">_xlfn._xlws.FILTER(ROUND(tblBaseCFResult[EndPAV],-3)/1000,
(tblBaseCFResult[Year]=$A138)
*(tblBaseCFResult[Risk]=$E$61)
*(tblBaseCFResult[PremTermScenario]=$E$62)
*(tblBaseCFResult[IntRateScenario]=L$64),"")</f>
        <v>1626628</v>
      </c>
      <c r="M138" s="157" cm="1">
        <f t="array" ref="M138">_xlfn._xlws.FILTER(ROUND(tblBaseCFResult[SV],-3)/1000,
(tblBaseCFResult[Year]=$A138)
*(tblBaseCFResult[Risk]=$E$61)
*(tblBaseCFResult[PremTermScenario]=$E$62)
*(tblBaseCFResult[IntRateScenario]=M$64),"")</f>
        <v>1549463</v>
      </c>
      <c r="N138" s="157" cm="1">
        <f t="array" ref="N138">_xlfn._xlws.FILTER(tblBaseCFResult[Ben]/1000,
(tblBaseCFResult[Year]=$A138)
*(tblBaseCFResult[Risk]=$E$61)
*(tblBaseCFResult[PremTermScenario]=$E$62)
*(tblBaseCFResult[IntRateScenario]=N$64),"")</f>
        <v>5272998.5987303397</v>
      </c>
      <c r="O138" s="157" cm="1">
        <f t="array" ref="O138">_xlfn._xlws.FILTER(ROUND(tblBaseCFResult[EndPAV],-3)/1000,
(tblBaseCFResult[Year]=$A138)
*(tblBaseCFResult[Risk]=$E$61)
*(tblBaseCFResult[PremTermScenario]=$E$62)
*(tblBaseCFResult[IntRateScenario]=O$64),"")</f>
        <v>5641797</v>
      </c>
      <c r="P138" s="157" cm="1">
        <f t="array" ref="P138">_xlfn._xlws.FILTER(ROUND(tblBaseCFResult[SV],-3)/1000,
(tblBaseCFResult[Year]=$A138)
*(tblBaseCFResult[Risk]=$E$61)
*(tblBaseCFResult[PremTermScenario]=$E$62)
*(tblBaseCFResult[IntRateScenario]=P$64),"")</f>
        <v>5272999</v>
      </c>
      <c r="Q138" s="154"/>
      <c r="R138" s="156"/>
      <c r="S138" s="154"/>
      <c r="T138" s="155">
        <v>71</v>
      </c>
      <c r="U138" s="155">
        <f t="shared" si="24"/>
        <v>70</v>
      </c>
      <c r="W138" s="154"/>
      <c r="X138" s="153" t="str">
        <f t="shared" si="25"/>
        <v>71/70</v>
      </c>
      <c r="Y138" s="152" cm="1">
        <f t="array" ref="Y138">_xlfn._xlws.FILTER(tblBaseCFResult[TP]/1000,
(tblBaseCFResult[Year]=$T138)
*(tblBaseCFResult[Risk]=$Y$61)
*(tblBaseCFResult[PremTermScenario]=$Y$62)
*(tblBaseCFResult[IntRateScenario]=Y$64),"")</f>
        <v>0</v>
      </c>
      <c r="Z138" s="152" cm="1">
        <f t="array" ref="Z138">_xlfn._xlws.FILTER(tblBaseCFResult[EP]/1000,
(tblBaseCFResult[Year]=$T138)
*(tblBaseCFResult[Risk]=$Y$61)
*(tblBaseCFResult[PremTermScenario]=$Y$62)
*(tblBaseCFResult[IntRateScenario]=Z$64),"")</f>
        <v>0</v>
      </c>
      <c r="AA138" s="152">
        <f t="shared" si="26"/>
        <v>0</v>
      </c>
      <c r="AB138" s="152" cm="1">
        <f t="array" ref="AB138">_xlfn._xlws.FILTER(ROUND(tblBaseCFResult[AllocChrg],-3)/1000,
(tblBaseCFResult[Year]=$T138)
*(tblBaseCFResult[Risk]=$Y$61)
*(tblBaseCFResult[PremTermScenario]=$Y$62)
*(tblBaseCFResult[IntRateScenario]=AB$64),"")</f>
        <v>0</v>
      </c>
      <c r="AC138" s="152" cm="1">
        <f t="array" ref="AC138">_xlfn._xlws.FILTER(ROUND(tblBaseCFResult[EPAllocChrg],-3)/1000,
(tblBaseCFResult[Year]=$T138)
*(tblBaseCFResult[Risk]=$Y$61)
*(tblBaseCFResult[PremTermScenario]=$Y$62)
*(tblBaseCFResult[IntRateScenario]=AC$64),"")</f>
        <v>0</v>
      </c>
      <c r="AD138" s="152">
        <f t="shared" si="27"/>
        <v>0</v>
      </c>
      <c r="AE138" s="152">
        <f t="shared" si="28"/>
        <v>0</v>
      </c>
      <c r="AF138" s="152">
        <f t="shared" si="29"/>
        <v>0</v>
      </c>
      <c r="AG138" s="152">
        <f t="shared" si="30"/>
        <v>0</v>
      </c>
      <c r="AH138" s="152" cm="1">
        <f t="array" ref="AH138">_xlfn._xlws.FILTER(ROUND(tblBaseCFResult[AdminChrg],-3)/1000,
(tblBaseCFResult[Year]=$T138)
*(tblBaseCFResult[Risk]=$Y$61)
*(tblBaseCFResult[PremTermScenario]=$Y$62)
*(tblBaseCFResult[IntRateScenario]=AH$64),"")</f>
        <v>300</v>
      </c>
      <c r="AI138" s="152" cm="1">
        <f t="array" ref="AI138">_xlfn._xlws.FILTER(ROUND(tblBaseCFResult[COI],-3)/1000,
(tblBaseCFResult[Year]=$T138)
*(tblBaseCFResult[Risk]=$Y$61)
*(tblBaseCFResult[PremTermScenario]=$Y$62)
*(tblBaseCFResult[IntRateScenario]=AI$64),"")</f>
        <v>0</v>
      </c>
      <c r="AJ138" s="152" cm="1">
        <f t="array" ref="AJ138">_xlfn._xlws.FILTER(ROUND(tblBaseCFResult[AdminChrg],-3)/1000,
(tblBaseCFResult[Year]=$T138)
*(tblBaseCFResult[Risk]=$Y$61)
*(tblBaseCFResult[PremTermScenario]=$Y$62)
*(tblBaseCFResult[IntRateScenario]=AJ$64),"")</f>
        <v>300</v>
      </c>
      <c r="AK138" s="152" cm="1">
        <f t="array" ref="AK138">_xlfn._xlws.FILTER(ROUND(tblBaseCFResult[COI],-3)/1000,
(tblBaseCFResult[Year]=$T138)
*(tblBaseCFResult[Risk]=$Y$61)
*(tblBaseCFResult[PremTermScenario]=$Y$62)
*(tblBaseCFResult[IntRateScenario]=AK$64),"")</f>
        <v>0</v>
      </c>
    </row>
    <row r="139" spans="1:37" ht="15" customHeight="1" x14ac:dyDescent="0.25">
      <c r="A139" s="155">
        <v>72</v>
      </c>
      <c r="B139" s="155">
        <f t="shared" si="22"/>
        <v>71</v>
      </c>
      <c r="C139" s="154"/>
      <c r="D139" s="153" t="str">
        <f t="shared" si="23"/>
        <v>72/71</v>
      </c>
      <c r="E139" s="157" cm="1">
        <f t="array" ref="E139">_xlfn._xlws.FILTER(tblBaseCFResult[TotalPrem]/1000,
(tblBaseCFResult[Year]=$A139)
*(tblBaseCFResult[Risk]=$E$61)
*(tblBaseCFResult[PremTermScenario]=$E$62)
*(tblBaseCFResult[IntRateScenario]=E$64),"")</f>
        <v>0</v>
      </c>
      <c r="F139" s="157" cm="1">
        <f t="array" ref="F139">_xlfn._xlws.FILTER(tblBaseCFResult[AccumTotalPrem]/1000,
(tblBaseCFResult[Year]=$A139)
*(tblBaseCFResult[Risk]=$E$61)
*(tblBaseCFResult[PremTermScenario]=$E$62)
*(tblBaseCFResult[IntRateScenario]=F$64),"")</f>
        <v>0</v>
      </c>
      <c r="G139" s="157" cm="1">
        <f t="array" ref="G139">_xlfn._xlws.FILTER(ROUND(tblBaseCFResult[SemiAnnualTotalPrem],-3)/1000,
(tblBaseCFResult[Year]=$A139)
*(tblBaseCFResult[Risk]=$E$61)
*(tblBaseCFResult[PremTermScenario]=$E$62)
*(tblBaseCFResult[IntRateScenario]=G$64),"")</f>
        <v>0</v>
      </c>
      <c r="H139" s="157" cm="1">
        <f t="array" ref="H139">_xlfn._xlws.FILTER(tblBaseCFResult[Ben]/1000,
(tblBaseCFResult[Year]=$A139)
*(tblBaseCFResult[Risk]=$E$61)
*(tblBaseCFResult[PremTermScenario]=$E$62)
*(tblBaseCFResult[IntRateScenario]=H$64),"")</f>
        <v>232147.03541816198</v>
      </c>
      <c r="I139" s="157" cm="1">
        <f t="array" ref="I139">_xlfn._xlws.FILTER(ROUND(tblBaseCFResult[EndPAV],-3)/1000,
(tblBaseCFResult[Year]=$A139)
*(tblBaseCFResult[Risk]=$E$61)
*(tblBaseCFResult[PremTermScenario]=$E$62)
*(tblBaseCFResult[IntRateScenario]=I$64),"")</f>
        <v>236487</v>
      </c>
      <c r="J139" s="157" cm="1">
        <f t="array" ref="J139">_xlfn._xlws.FILTER(ROUND(tblBaseCFResult[SV],-3)/1000,
(tblBaseCFResult[Year]=$A139)
*(tblBaseCFResult[Risk]=$E$61)
*(tblBaseCFResult[PremTermScenario]=$E$62)
*(tblBaseCFResult[IntRateScenario]=J$64),"")</f>
        <v>232147</v>
      </c>
      <c r="K139" s="157" cm="1">
        <f t="array" ref="K139">_xlfn._xlws.FILTER(tblBaseCFResult[Ben]/1000,
(tblBaseCFResult[Year]=$A139)
*(tblBaseCFResult[Risk]=$E$61)
*(tblBaseCFResult[PremTermScenario]=$E$62)
*(tblBaseCFResult[IntRateScenario]=K$64),"")</f>
        <v>1626628.3630378302</v>
      </c>
      <c r="L139" s="157" cm="1">
        <f t="array" ref="L139">_xlfn._xlws.FILTER(ROUND(tblBaseCFResult[EndPAV],-3)/1000,
(tblBaseCFResult[Year]=$A139)
*(tblBaseCFResult[Risk]=$E$61)
*(tblBaseCFResult[PremTermScenario]=$E$62)
*(tblBaseCFResult[IntRateScenario]=L$64),"")</f>
        <v>1707652</v>
      </c>
      <c r="M139" s="157" cm="1">
        <f t="array" ref="M139">_xlfn._xlws.FILTER(ROUND(tblBaseCFResult[SV],-3)/1000,
(tblBaseCFResult[Year]=$A139)
*(tblBaseCFResult[Risk]=$E$61)
*(tblBaseCFResult[PremTermScenario]=$E$62)
*(tblBaseCFResult[IntRateScenario]=M$64),"")</f>
        <v>1626628</v>
      </c>
      <c r="N139" s="157" cm="1">
        <f t="array" ref="N139">_xlfn._xlws.FILTER(tblBaseCFResult[Ben]/1000,
(tblBaseCFResult[Year]=$A139)
*(tblBaseCFResult[Risk]=$E$61)
*(tblBaseCFResult[PremTermScenario]=$E$62)
*(tblBaseCFResult[IntRateScenario]=N$64),"")</f>
        <v>5641797.2432128293</v>
      </c>
      <c r="O139" s="157" cm="1">
        <f t="array" ref="O139">_xlfn._xlws.FILTER(ROUND(tblBaseCFResult[EndPAV],-3)/1000,
(tblBaseCFResult[Year]=$A139)
*(tblBaseCFResult[Risk]=$E$61)
*(tblBaseCFResult[PremTermScenario]=$E$62)
*(tblBaseCFResult[IntRateScenario]=O$64),"")</f>
        <v>6036412</v>
      </c>
      <c r="P139" s="157" cm="1">
        <f t="array" ref="P139">_xlfn._xlws.FILTER(ROUND(tblBaseCFResult[SV],-3)/1000,
(tblBaseCFResult[Year]=$A139)
*(tblBaseCFResult[Risk]=$E$61)
*(tblBaseCFResult[PremTermScenario]=$E$62)
*(tblBaseCFResult[IntRateScenario]=P$64),"")</f>
        <v>5641797</v>
      </c>
      <c r="Q139" s="154"/>
      <c r="R139" s="156"/>
      <c r="S139" s="154"/>
      <c r="T139" s="155">
        <v>72</v>
      </c>
      <c r="U139" s="155">
        <f t="shared" si="24"/>
        <v>71</v>
      </c>
      <c r="W139" s="154"/>
      <c r="X139" s="153" t="str">
        <f t="shared" si="25"/>
        <v>72/71</v>
      </c>
      <c r="Y139" s="152" cm="1">
        <f t="array" ref="Y139">_xlfn._xlws.FILTER(tblBaseCFResult[TP]/1000,
(tblBaseCFResult[Year]=$T139)
*(tblBaseCFResult[Risk]=$Y$61)
*(tblBaseCFResult[PremTermScenario]=$Y$62)
*(tblBaseCFResult[IntRateScenario]=Y$64),"")</f>
        <v>0</v>
      </c>
      <c r="Z139" s="152" cm="1">
        <f t="array" ref="Z139">_xlfn._xlws.FILTER(tblBaseCFResult[EP]/1000,
(tblBaseCFResult[Year]=$T139)
*(tblBaseCFResult[Risk]=$Y$61)
*(tblBaseCFResult[PremTermScenario]=$Y$62)
*(tblBaseCFResult[IntRateScenario]=Z$64),"")</f>
        <v>0</v>
      </c>
      <c r="AA139" s="152">
        <f t="shared" si="26"/>
        <v>0</v>
      </c>
      <c r="AB139" s="152" cm="1">
        <f t="array" ref="AB139">_xlfn._xlws.FILTER(ROUND(tblBaseCFResult[AllocChrg],-3)/1000,
(tblBaseCFResult[Year]=$T139)
*(tblBaseCFResult[Risk]=$Y$61)
*(tblBaseCFResult[PremTermScenario]=$Y$62)
*(tblBaseCFResult[IntRateScenario]=AB$64),"")</f>
        <v>0</v>
      </c>
      <c r="AC139" s="152" cm="1">
        <f t="array" ref="AC139">_xlfn._xlws.FILTER(ROUND(tblBaseCFResult[EPAllocChrg],-3)/1000,
(tblBaseCFResult[Year]=$T139)
*(tblBaseCFResult[Risk]=$Y$61)
*(tblBaseCFResult[PremTermScenario]=$Y$62)
*(tblBaseCFResult[IntRateScenario]=AC$64),"")</f>
        <v>0</v>
      </c>
      <c r="AD139" s="152">
        <f t="shared" si="27"/>
        <v>0</v>
      </c>
      <c r="AE139" s="152">
        <f t="shared" si="28"/>
        <v>0</v>
      </c>
      <c r="AF139" s="152">
        <f t="shared" si="29"/>
        <v>0</v>
      </c>
      <c r="AG139" s="152">
        <f t="shared" si="30"/>
        <v>0</v>
      </c>
      <c r="AH139" s="152" cm="1">
        <f t="array" ref="AH139">_xlfn._xlws.FILTER(ROUND(tblBaseCFResult[AdminChrg],-3)/1000,
(tblBaseCFResult[Year]=$T139)
*(tblBaseCFResult[Risk]=$Y$61)
*(tblBaseCFResult[PremTermScenario]=$Y$62)
*(tblBaseCFResult[IntRateScenario]=AH$64),"")</f>
        <v>300</v>
      </c>
      <c r="AI139" s="152" cm="1">
        <f t="array" ref="AI139">_xlfn._xlws.FILTER(ROUND(tblBaseCFResult[COI],-3)/1000,
(tblBaseCFResult[Year]=$T139)
*(tblBaseCFResult[Risk]=$Y$61)
*(tblBaseCFResult[PremTermScenario]=$Y$62)
*(tblBaseCFResult[IntRateScenario]=AI$64),"")</f>
        <v>0</v>
      </c>
      <c r="AJ139" s="152" cm="1">
        <f t="array" ref="AJ139">_xlfn._xlws.FILTER(ROUND(tblBaseCFResult[AdminChrg],-3)/1000,
(tblBaseCFResult[Year]=$T139)
*(tblBaseCFResult[Risk]=$Y$61)
*(tblBaseCFResult[PremTermScenario]=$Y$62)
*(tblBaseCFResult[IntRateScenario]=AJ$64),"")</f>
        <v>300</v>
      </c>
      <c r="AK139" s="152" cm="1">
        <f t="array" ref="AK139">_xlfn._xlws.FILTER(ROUND(tblBaseCFResult[COI],-3)/1000,
(tblBaseCFResult[Year]=$T139)
*(tblBaseCFResult[Risk]=$Y$61)
*(tblBaseCFResult[PremTermScenario]=$Y$62)
*(tblBaseCFResult[IntRateScenario]=AK$64),"")</f>
        <v>0</v>
      </c>
    </row>
    <row r="140" spans="1:37" ht="15" customHeight="1" x14ac:dyDescent="0.25">
      <c r="A140" s="155">
        <v>73</v>
      </c>
      <c r="B140" s="155">
        <f t="shared" si="22"/>
        <v>72</v>
      </c>
      <c r="C140" s="154"/>
      <c r="D140" s="153" t="str">
        <f t="shared" si="23"/>
        <v>73/72</v>
      </c>
      <c r="E140" s="157" cm="1">
        <f t="array" ref="E140">_xlfn._xlws.FILTER(tblBaseCFResult[TotalPrem]/1000,
(tblBaseCFResult[Year]=$A140)
*(tblBaseCFResult[Risk]=$E$61)
*(tblBaseCFResult[PremTermScenario]=$E$62)
*(tblBaseCFResult[IntRateScenario]=E$64),"")</f>
        <v>0</v>
      </c>
      <c r="F140" s="157" cm="1">
        <f t="array" ref="F140">_xlfn._xlws.FILTER(tblBaseCFResult[AccumTotalPrem]/1000,
(tblBaseCFResult[Year]=$A140)
*(tblBaseCFResult[Risk]=$E$61)
*(tblBaseCFResult[PremTermScenario]=$E$62)
*(tblBaseCFResult[IntRateScenario]=F$64),"")</f>
        <v>0</v>
      </c>
      <c r="G140" s="157" cm="1">
        <f t="array" ref="G140">_xlfn._xlws.FILTER(ROUND(tblBaseCFResult[SemiAnnualTotalPrem],-3)/1000,
(tblBaseCFResult[Year]=$A140)
*(tblBaseCFResult[Risk]=$E$61)
*(tblBaseCFResult[PremTermScenario]=$E$62)
*(tblBaseCFResult[IntRateScenario]=G$64),"")</f>
        <v>0</v>
      </c>
      <c r="H140" s="157" cm="1">
        <f t="array" ref="H140">_xlfn._xlws.FILTER(tblBaseCFResult[Ben]/1000,
(tblBaseCFResult[Year]=$A140)
*(tblBaseCFResult[Risk]=$E$61)
*(tblBaseCFResult[PremTermScenario]=$E$62)
*(tblBaseCFResult[IntRateScenario]=H$64),"")</f>
        <v>236486.735959015</v>
      </c>
      <c r="I140" s="157" cm="1">
        <f t="array" ref="I140">_xlfn._xlws.FILTER(ROUND(tblBaseCFResult[EndPAV],-3)/1000,
(tblBaseCFResult[Year]=$A140)
*(tblBaseCFResult[Risk]=$E$61)
*(tblBaseCFResult[PremTermScenario]=$E$62)
*(tblBaseCFResult[IntRateScenario]=I$64),"")</f>
        <v>240913</v>
      </c>
      <c r="J140" s="157" cm="1">
        <f t="array" ref="J140">_xlfn._xlws.FILTER(ROUND(tblBaseCFResult[SV],-3)/1000,
(tblBaseCFResult[Year]=$A140)
*(tblBaseCFResult[Risk]=$E$61)
*(tblBaseCFResult[PremTermScenario]=$E$62)
*(tblBaseCFResult[IntRateScenario]=J$64),"")</f>
        <v>236487</v>
      </c>
      <c r="K140" s="157" cm="1">
        <f t="array" ref="K140">_xlfn._xlws.FILTER(tblBaseCFResult[Ben]/1000,
(tblBaseCFResult[Year]=$A140)
*(tblBaseCFResult[Risk]=$E$61)
*(tblBaseCFResult[PremTermScenario]=$E$62)
*(tblBaseCFResult[IntRateScenario]=K$64),"")</f>
        <v>1707651.71675148</v>
      </c>
      <c r="L140" s="157" cm="1">
        <f t="array" ref="L140">_xlfn._xlws.FILTER(ROUND(tblBaseCFResult[EndPAV],-3)/1000,
(tblBaseCFResult[Year]=$A140)
*(tblBaseCFResult[Risk]=$E$61)
*(tblBaseCFResult[PremTermScenario]=$E$62)
*(tblBaseCFResult[IntRateScenario]=L$64),"")</f>
        <v>1792726</v>
      </c>
      <c r="M140" s="157" cm="1">
        <f t="array" ref="M140">_xlfn._xlws.FILTER(ROUND(tblBaseCFResult[SV],-3)/1000,
(tblBaseCFResult[Year]=$A140)
*(tblBaseCFResult[Risk]=$E$61)
*(tblBaseCFResult[PremTermScenario]=$E$62)
*(tblBaseCFResult[IntRateScenario]=M$64),"")</f>
        <v>1707652</v>
      </c>
      <c r="N140" s="157" cm="1">
        <f t="array" ref="N140">_xlfn._xlws.FILTER(tblBaseCFResult[Ben]/1000,
(tblBaseCFResult[Year]=$A140)
*(tblBaseCFResult[Risk]=$E$61)
*(tblBaseCFResult[PremTermScenario]=$E$62)
*(tblBaseCFResult[IntRateScenario]=N$64),"")</f>
        <v>6036411.7928090896</v>
      </c>
      <c r="O140" s="157" cm="1">
        <f t="array" ref="O140">_xlfn._xlws.FILTER(ROUND(tblBaseCFResult[EndPAV],-3)/1000,
(tblBaseCFResult[Year]=$A140)
*(tblBaseCFResult[Risk]=$E$61)
*(tblBaseCFResult[PremTermScenario]=$E$62)
*(tblBaseCFResult[IntRateScenario]=O$64),"")</f>
        <v>6458649</v>
      </c>
      <c r="P140" s="157" cm="1">
        <f t="array" ref="P140">_xlfn._xlws.FILTER(ROUND(tblBaseCFResult[SV],-3)/1000,
(tblBaseCFResult[Year]=$A140)
*(tblBaseCFResult[Risk]=$E$61)
*(tblBaseCFResult[PremTermScenario]=$E$62)
*(tblBaseCFResult[IntRateScenario]=P$64),"")</f>
        <v>6036412</v>
      </c>
      <c r="Q140" s="154"/>
      <c r="R140" s="156"/>
      <c r="S140" s="154"/>
      <c r="T140" s="155">
        <v>73</v>
      </c>
      <c r="U140" s="155">
        <f t="shared" si="24"/>
        <v>72</v>
      </c>
      <c r="W140" s="154"/>
      <c r="X140" s="153" t="str">
        <f t="shared" si="25"/>
        <v>73/72</v>
      </c>
      <c r="Y140" s="152" cm="1">
        <f t="array" ref="Y140">_xlfn._xlws.FILTER(tblBaseCFResult[TP]/1000,
(tblBaseCFResult[Year]=$T140)
*(tblBaseCFResult[Risk]=$Y$61)
*(tblBaseCFResult[PremTermScenario]=$Y$62)
*(tblBaseCFResult[IntRateScenario]=Y$64),"")</f>
        <v>0</v>
      </c>
      <c r="Z140" s="152" cm="1">
        <f t="array" ref="Z140">_xlfn._xlws.FILTER(tblBaseCFResult[EP]/1000,
(tblBaseCFResult[Year]=$T140)
*(tblBaseCFResult[Risk]=$Y$61)
*(tblBaseCFResult[PremTermScenario]=$Y$62)
*(tblBaseCFResult[IntRateScenario]=Z$64),"")</f>
        <v>0</v>
      </c>
      <c r="AA140" s="152">
        <f t="shared" si="26"/>
        <v>0</v>
      </c>
      <c r="AB140" s="152" cm="1">
        <f t="array" ref="AB140">_xlfn._xlws.FILTER(ROUND(tblBaseCFResult[AllocChrg],-3)/1000,
(tblBaseCFResult[Year]=$T140)
*(tblBaseCFResult[Risk]=$Y$61)
*(tblBaseCFResult[PremTermScenario]=$Y$62)
*(tblBaseCFResult[IntRateScenario]=AB$64),"")</f>
        <v>0</v>
      </c>
      <c r="AC140" s="152" cm="1">
        <f t="array" ref="AC140">_xlfn._xlws.FILTER(ROUND(tblBaseCFResult[EPAllocChrg],-3)/1000,
(tblBaseCFResult[Year]=$T140)
*(tblBaseCFResult[Risk]=$Y$61)
*(tblBaseCFResult[PremTermScenario]=$Y$62)
*(tblBaseCFResult[IntRateScenario]=AC$64),"")</f>
        <v>0</v>
      </c>
      <c r="AD140" s="152">
        <f t="shared" si="27"/>
        <v>0</v>
      </c>
      <c r="AE140" s="152">
        <f t="shared" si="28"/>
        <v>0</v>
      </c>
      <c r="AF140" s="152">
        <f t="shared" si="29"/>
        <v>0</v>
      </c>
      <c r="AG140" s="152">
        <f t="shared" si="30"/>
        <v>0</v>
      </c>
      <c r="AH140" s="152" cm="1">
        <f t="array" ref="AH140">_xlfn._xlws.FILTER(ROUND(tblBaseCFResult[AdminChrg],-3)/1000,
(tblBaseCFResult[Year]=$T140)
*(tblBaseCFResult[Risk]=$Y$61)
*(tblBaseCFResult[PremTermScenario]=$Y$62)
*(tblBaseCFResult[IntRateScenario]=AH$64),"")</f>
        <v>300</v>
      </c>
      <c r="AI140" s="152" cm="1">
        <f t="array" ref="AI140">_xlfn._xlws.FILTER(ROUND(tblBaseCFResult[COI],-3)/1000,
(tblBaseCFResult[Year]=$T140)
*(tblBaseCFResult[Risk]=$Y$61)
*(tblBaseCFResult[PremTermScenario]=$Y$62)
*(tblBaseCFResult[IntRateScenario]=AI$64),"")</f>
        <v>0</v>
      </c>
      <c r="AJ140" s="152" cm="1">
        <f t="array" ref="AJ140">_xlfn._xlws.FILTER(ROUND(tblBaseCFResult[AdminChrg],-3)/1000,
(tblBaseCFResult[Year]=$T140)
*(tblBaseCFResult[Risk]=$Y$61)
*(tblBaseCFResult[PremTermScenario]=$Y$62)
*(tblBaseCFResult[IntRateScenario]=AJ$64),"")</f>
        <v>300</v>
      </c>
      <c r="AK140" s="152" cm="1">
        <f t="array" ref="AK140">_xlfn._xlws.FILTER(ROUND(tblBaseCFResult[COI],-3)/1000,
(tblBaseCFResult[Year]=$T140)
*(tblBaseCFResult[Risk]=$Y$61)
*(tblBaseCFResult[PremTermScenario]=$Y$62)
*(tblBaseCFResult[IntRateScenario]=AK$64),"")</f>
        <v>0</v>
      </c>
    </row>
    <row r="141" spans="1:37" ht="15" customHeight="1" x14ac:dyDescent="0.25">
      <c r="A141" s="155">
        <v>74</v>
      </c>
      <c r="B141" s="155">
        <f t="shared" si="22"/>
        <v>73</v>
      </c>
      <c r="C141" s="154"/>
      <c r="D141" s="153" t="str">
        <f t="shared" si="23"/>
        <v>74/73</v>
      </c>
      <c r="E141" s="157" cm="1">
        <f t="array" ref="E141">_xlfn._xlws.FILTER(tblBaseCFResult[TotalPrem]/1000,
(tblBaseCFResult[Year]=$A141)
*(tblBaseCFResult[Risk]=$E$61)
*(tblBaseCFResult[PremTermScenario]=$E$62)
*(tblBaseCFResult[IntRateScenario]=E$64),"")</f>
        <v>0</v>
      </c>
      <c r="F141" s="157" cm="1">
        <f t="array" ref="F141">_xlfn._xlws.FILTER(tblBaseCFResult[AccumTotalPrem]/1000,
(tblBaseCFResult[Year]=$A141)
*(tblBaseCFResult[Risk]=$E$61)
*(tblBaseCFResult[PremTermScenario]=$E$62)
*(tblBaseCFResult[IntRateScenario]=F$64),"")</f>
        <v>0</v>
      </c>
      <c r="G141" s="157" cm="1">
        <f t="array" ref="G141">_xlfn._xlws.FILTER(ROUND(tblBaseCFResult[SemiAnnualTotalPrem],-3)/1000,
(tblBaseCFResult[Year]=$A141)
*(tblBaseCFResult[Risk]=$E$61)
*(tblBaseCFResult[PremTermScenario]=$E$62)
*(tblBaseCFResult[IntRateScenario]=G$64),"")</f>
        <v>0</v>
      </c>
      <c r="H141" s="157" cm="1">
        <f t="array" ref="H141">_xlfn._xlws.FILTER(tblBaseCFResult[Ben]/1000,
(tblBaseCFResult[Year]=$A141)
*(tblBaseCFResult[Risk]=$E$61)
*(tblBaseCFResult[PremTermScenario]=$E$62)
*(tblBaseCFResult[IntRateScenario]=H$64),"")</f>
        <v>240913.23051068501</v>
      </c>
      <c r="I141" s="157" cm="1">
        <f t="array" ref="I141">_xlfn._xlws.FILTER(ROUND(tblBaseCFResult[EndPAV],-3)/1000,
(tblBaseCFResult[Year]=$A141)
*(tblBaseCFResult[Risk]=$E$61)
*(tblBaseCFResult[PremTermScenario]=$E$62)
*(tblBaseCFResult[IntRateScenario]=I$64),"")</f>
        <v>245428</v>
      </c>
      <c r="J141" s="157" cm="1">
        <f t="array" ref="J141">_xlfn._xlws.FILTER(ROUND(tblBaseCFResult[SV],-3)/1000,
(tblBaseCFResult[Year]=$A141)
*(tblBaseCFResult[Risk]=$E$61)
*(tblBaseCFResult[PremTermScenario]=$E$62)
*(tblBaseCFResult[IntRateScenario]=J$64),"")</f>
        <v>240913</v>
      </c>
      <c r="K141" s="157" cm="1">
        <f t="array" ref="K141">_xlfn._xlws.FILTER(tblBaseCFResult[Ben]/1000,
(tblBaseCFResult[Year]=$A141)
*(tblBaseCFResult[Risk]=$E$61)
*(tblBaseCFResult[PremTermScenario]=$E$62)
*(tblBaseCFResult[IntRateScenario]=K$64),"")</f>
        <v>1792726.2381508199</v>
      </c>
      <c r="L141" s="157" cm="1">
        <f t="array" ref="L141">_xlfn._xlws.FILTER(ROUND(tblBaseCFResult[EndPAV],-3)/1000,
(tblBaseCFResult[Year]=$A141)
*(tblBaseCFResult[Risk]=$E$61)
*(tblBaseCFResult[PremTermScenario]=$E$62)
*(tblBaseCFResult[IntRateScenario]=L$64),"")</f>
        <v>1882054</v>
      </c>
      <c r="M141" s="157" cm="1">
        <f t="array" ref="M141">_xlfn._xlws.FILTER(ROUND(tblBaseCFResult[SV],-3)/1000,
(tblBaseCFResult[Year]=$A141)
*(tblBaseCFResult[Risk]=$E$61)
*(tblBaseCFResult[PremTermScenario]=$E$62)
*(tblBaseCFResult[IntRateScenario]=M$64),"")</f>
        <v>1792726</v>
      </c>
      <c r="N141" s="157" cm="1">
        <f t="array" ref="N141">_xlfn._xlws.FILTER(tblBaseCFResult[Ben]/1000,
(tblBaseCFResult[Year]=$A141)
*(tblBaseCFResult[Risk]=$E$61)
*(tblBaseCFResult[PremTermScenario]=$E$62)
*(tblBaseCFResult[IntRateScenario]=N$64),"")</f>
        <v>6458649.3608770901</v>
      </c>
      <c r="O141" s="157" cm="1">
        <f t="array" ref="O141">_xlfn._xlws.FILTER(ROUND(tblBaseCFResult[EndPAV],-3)/1000,
(tblBaseCFResult[Year]=$A141)
*(tblBaseCFResult[Risk]=$E$61)
*(tblBaseCFResult[PremTermScenario]=$E$62)
*(tblBaseCFResult[IntRateScenario]=O$64),"")</f>
        <v>6910444</v>
      </c>
      <c r="P141" s="157" cm="1">
        <f t="array" ref="P141">_xlfn._xlws.FILTER(ROUND(tblBaseCFResult[SV],-3)/1000,
(tblBaseCFResult[Year]=$A141)
*(tblBaseCFResult[Risk]=$E$61)
*(tblBaseCFResult[PremTermScenario]=$E$62)
*(tblBaseCFResult[IntRateScenario]=P$64),"")</f>
        <v>6458649</v>
      </c>
      <c r="Q141" s="154"/>
      <c r="R141" s="156"/>
      <c r="S141" s="154"/>
      <c r="T141" s="155">
        <v>74</v>
      </c>
      <c r="U141" s="155">
        <f t="shared" si="24"/>
        <v>73</v>
      </c>
      <c r="W141" s="154"/>
      <c r="X141" s="153" t="str">
        <f t="shared" si="25"/>
        <v>74/73</v>
      </c>
      <c r="Y141" s="152" cm="1">
        <f t="array" ref="Y141">_xlfn._xlws.FILTER(tblBaseCFResult[TP]/1000,
(tblBaseCFResult[Year]=$T141)
*(tblBaseCFResult[Risk]=$Y$61)
*(tblBaseCFResult[PremTermScenario]=$Y$62)
*(tblBaseCFResult[IntRateScenario]=Y$64),"")</f>
        <v>0</v>
      </c>
      <c r="Z141" s="152" cm="1">
        <f t="array" ref="Z141">_xlfn._xlws.FILTER(tblBaseCFResult[EP]/1000,
(tblBaseCFResult[Year]=$T141)
*(tblBaseCFResult[Risk]=$Y$61)
*(tblBaseCFResult[PremTermScenario]=$Y$62)
*(tblBaseCFResult[IntRateScenario]=Z$64),"")</f>
        <v>0</v>
      </c>
      <c r="AA141" s="152">
        <f t="shared" si="26"/>
        <v>0</v>
      </c>
      <c r="AB141" s="152" cm="1">
        <f t="array" ref="AB141">_xlfn._xlws.FILTER(ROUND(tblBaseCFResult[AllocChrg],-3)/1000,
(tblBaseCFResult[Year]=$T141)
*(tblBaseCFResult[Risk]=$Y$61)
*(tblBaseCFResult[PremTermScenario]=$Y$62)
*(tblBaseCFResult[IntRateScenario]=AB$64),"")</f>
        <v>0</v>
      </c>
      <c r="AC141" s="152" cm="1">
        <f t="array" ref="AC141">_xlfn._xlws.FILTER(ROUND(tblBaseCFResult[EPAllocChrg],-3)/1000,
(tblBaseCFResult[Year]=$T141)
*(tblBaseCFResult[Risk]=$Y$61)
*(tblBaseCFResult[PremTermScenario]=$Y$62)
*(tblBaseCFResult[IntRateScenario]=AC$64),"")</f>
        <v>0</v>
      </c>
      <c r="AD141" s="152">
        <f t="shared" si="27"/>
        <v>0</v>
      </c>
      <c r="AE141" s="152">
        <f t="shared" si="28"/>
        <v>0</v>
      </c>
      <c r="AF141" s="152">
        <f t="shared" si="29"/>
        <v>0</v>
      </c>
      <c r="AG141" s="152">
        <f t="shared" si="30"/>
        <v>0</v>
      </c>
      <c r="AH141" s="152" cm="1">
        <f t="array" ref="AH141">_xlfn._xlws.FILTER(ROUND(tblBaseCFResult[AdminChrg],-3)/1000,
(tblBaseCFResult[Year]=$T141)
*(tblBaseCFResult[Risk]=$Y$61)
*(tblBaseCFResult[PremTermScenario]=$Y$62)
*(tblBaseCFResult[IntRateScenario]=AH$64),"")</f>
        <v>300</v>
      </c>
      <c r="AI141" s="152" cm="1">
        <f t="array" ref="AI141">_xlfn._xlws.FILTER(ROUND(tblBaseCFResult[COI],-3)/1000,
(tblBaseCFResult[Year]=$T141)
*(tblBaseCFResult[Risk]=$Y$61)
*(tblBaseCFResult[PremTermScenario]=$Y$62)
*(tblBaseCFResult[IntRateScenario]=AI$64),"")</f>
        <v>0</v>
      </c>
      <c r="AJ141" s="152" cm="1">
        <f t="array" ref="AJ141">_xlfn._xlws.FILTER(ROUND(tblBaseCFResult[AdminChrg],-3)/1000,
(tblBaseCFResult[Year]=$T141)
*(tblBaseCFResult[Risk]=$Y$61)
*(tblBaseCFResult[PremTermScenario]=$Y$62)
*(tblBaseCFResult[IntRateScenario]=AJ$64),"")</f>
        <v>300</v>
      </c>
      <c r="AK141" s="152" cm="1">
        <f t="array" ref="AK141">_xlfn._xlws.FILTER(ROUND(tblBaseCFResult[COI],-3)/1000,
(tblBaseCFResult[Year]=$T141)
*(tblBaseCFResult[Risk]=$Y$61)
*(tblBaseCFResult[PremTermScenario]=$Y$62)
*(tblBaseCFResult[IntRateScenario]=AK$64),"")</f>
        <v>0</v>
      </c>
    </row>
    <row r="142" spans="1:37" ht="15" customHeight="1" x14ac:dyDescent="0.25">
      <c r="A142" s="155">
        <v>75</v>
      </c>
      <c r="B142" s="155">
        <f t="shared" si="22"/>
        <v>74</v>
      </c>
      <c r="C142" s="154"/>
      <c r="D142" s="153" t="str">
        <f t="shared" si="23"/>
        <v>75/74</v>
      </c>
      <c r="E142" s="157" cm="1">
        <f t="array" ref="E142">_xlfn._xlws.FILTER(tblBaseCFResult[TotalPrem]/1000,
(tblBaseCFResult[Year]=$A142)
*(tblBaseCFResult[Risk]=$E$61)
*(tblBaseCFResult[PremTermScenario]=$E$62)
*(tblBaseCFResult[IntRateScenario]=E$64),"")</f>
        <v>0</v>
      </c>
      <c r="F142" s="157" cm="1">
        <f t="array" ref="F142">_xlfn._xlws.FILTER(tblBaseCFResult[AccumTotalPrem]/1000,
(tblBaseCFResult[Year]=$A142)
*(tblBaseCFResult[Risk]=$E$61)
*(tblBaseCFResult[PremTermScenario]=$E$62)
*(tblBaseCFResult[IntRateScenario]=F$64),"")</f>
        <v>0</v>
      </c>
      <c r="G142" s="157" cm="1">
        <f t="array" ref="G142">_xlfn._xlws.FILTER(ROUND(tblBaseCFResult[SemiAnnualTotalPrem],-3)/1000,
(tblBaseCFResult[Year]=$A142)
*(tblBaseCFResult[Risk]=$E$61)
*(tblBaseCFResult[PremTermScenario]=$E$62)
*(tblBaseCFResult[IntRateScenario]=G$64),"")</f>
        <v>0</v>
      </c>
      <c r="H142" s="157" cm="1">
        <f t="array" ref="H142">_xlfn._xlws.FILTER(tblBaseCFResult[Ben]/1000,
(tblBaseCFResult[Year]=$A142)
*(tblBaseCFResult[Risk]=$E$61)
*(tblBaseCFResult[PremTermScenario]=$E$62)
*(tblBaseCFResult[IntRateScenario]=H$64),"")</f>
        <v>245428.254953389</v>
      </c>
      <c r="I142" s="157" cm="1">
        <f t="array" ref="I142">_xlfn._xlws.FILTER(ROUND(tblBaseCFResult[EndPAV],-3)/1000,
(tblBaseCFResult[Year]=$A142)
*(tblBaseCFResult[Risk]=$E$61)
*(tblBaseCFResult[PremTermScenario]=$E$62)
*(tblBaseCFResult[IntRateScenario]=I$64),"")</f>
        <v>250034</v>
      </c>
      <c r="J142" s="157" cm="1">
        <f t="array" ref="J142">_xlfn._xlws.FILTER(ROUND(tblBaseCFResult[SV],-3)/1000,
(tblBaseCFResult[Year]=$A142)
*(tblBaseCFResult[Risk]=$E$61)
*(tblBaseCFResult[PremTermScenario]=$E$62)
*(tblBaseCFResult[IntRateScenario]=J$64),"")</f>
        <v>245428</v>
      </c>
      <c r="K142" s="157" cm="1">
        <f t="array" ref="K142">_xlfn._xlws.FILTER(tblBaseCFResult[Ben]/1000,
(tblBaseCFResult[Year]=$A142)
*(tblBaseCFResult[Risk]=$E$61)
*(tblBaseCFResult[PremTermScenario]=$E$62)
*(tblBaseCFResult[IntRateScenario]=K$64),"")</f>
        <v>1882054.4856201201</v>
      </c>
      <c r="L142" s="157" cm="1">
        <f t="array" ref="L142">_xlfn._xlws.FILTER(ROUND(tblBaseCFResult[EndPAV],-3)/1000,
(tblBaseCFResult[Year]=$A142)
*(tblBaseCFResult[Risk]=$E$61)
*(tblBaseCFResult[PremTermScenario]=$E$62)
*(tblBaseCFResult[IntRateScenario]=L$64),"")</f>
        <v>1975849</v>
      </c>
      <c r="M142" s="157" cm="1">
        <f t="array" ref="M142">_xlfn._xlws.FILTER(ROUND(tblBaseCFResult[SV],-3)/1000,
(tblBaseCFResult[Year]=$A142)
*(tblBaseCFResult[Risk]=$E$61)
*(tblBaseCFResult[PremTermScenario]=$E$62)
*(tblBaseCFResult[IntRateScenario]=M$64),"")</f>
        <v>1882054</v>
      </c>
      <c r="N142" s="157" cm="1">
        <f t="array" ref="N142">_xlfn._xlws.FILTER(tblBaseCFResult[Ben]/1000,
(tblBaseCFResult[Year]=$A142)
*(tblBaseCFResult[Risk]=$E$61)
*(tblBaseCFResult[PremTermScenario]=$E$62)
*(tblBaseCFResult[IntRateScenario]=N$64),"")</f>
        <v>6910443.5587098505</v>
      </c>
      <c r="O142" s="157" cm="1">
        <f t="array" ref="O142">_xlfn._xlws.FILTER(ROUND(tblBaseCFResult[EndPAV],-3)/1000,
(tblBaseCFResult[Year]=$A142)
*(tblBaseCFResult[Risk]=$E$61)
*(tblBaseCFResult[PremTermScenario]=$E$62)
*(tblBaseCFResult[IntRateScenario]=O$64),"")</f>
        <v>7393863</v>
      </c>
      <c r="P142" s="157" cm="1">
        <f t="array" ref="P142">_xlfn._xlws.FILTER(ROUND(tblBaseCFResult[SV],-3)/1000,
(tblBaseCFResult[Year]=$A142)
*(tblBaseCFResult[Risk]=$E$61)
*(tblBaseCFResult[PremTermScenario]=$E$62)
*(tblBaseCFResult[IntRateScenario]=P$64),"")</f>
        <v>6910444</v>
      </c>
      <c r="Q142" s="154"/>
      <c r="R142" s="156"/>
      <c r="S142" s="154"/>
      <c r="T142" s="155">
        <v>75</v>
      </c>
      <c r="U142" s="155">
        <f t="shared" si="24"/>
        <v>74</v>
      </c>
      <c r="W142" s="154"/>
      <c r="X142" s="153" t="str">
        <f t="shared" si="25"/>
        <v>75/74</v>
      </c>
      <c r="Y142" s="152" cm="1">
        <f t="array" ref="Y142">_xlfn._xlws.FILTER(tblBaseCFResult[TP]/1000,
(tblBaseCFResult[Year]=$T142)
*(tblBaseCFResult[Risk]=$Y$61)
*(tblBaseCFResult[PremTermScenario]=$Y$62)
*(tblBaseCFResult[IntRateScenario]=Y$64),"")</f>
        <v>0</v>
      </c>
      <c r="Z142" s="152" cm="1">
        <f t="array" ref="Z142">_xlfn._xlws.FILTER(tblBaseCFResult[EP]/1000,
(tblBaseCFResult[Year]=$T142)
*(tblBaseCFResult[Risk]=$Y$61)
*(tblBaseCFResult[PremTermScenario]=$Y$62)
*(tblBaseCFResult[IntRateScenario]=Z$64),"")</f>
        <v>0</v>
      </c>
      <c r="AA142" s="152">
        <f t="shared" si="26"/>
        <v>0</v>
      </c>
      <c r="AB142" s="152" cm="1">
        <f t="array" ref="AB142">_xlfn._xlws.FILTER(ROUND(tblBaseCFResult[AllocChrg],-3)/1000,
(tblBaseCFResult[Year]=$T142)
*(tblBaseCFResult[Risk]=$Y$61)
*(tblBaseCFResult[PremTermScenario]=$Y$62)
*(tblBaseCFResult[IntRateScenario]=AB$64),"")</f>
        <v>0</v>
      </c>
      <c r="AC142" s="152" cm="1">
        <f t="array" ref="AC142">_xlfn._xlws.FILTER(ROUND(tblBaseCFResult[EPAllocChrg],-3)/1000,
(tblBaseCFResult[Year]=$T142)
*(tblBaseCFResult[Risk]=$Y$61)
*(tblBaseCFResult[PremTermScenario]=$Y$62)
*(tblBaseCFResult[IntRateScenario]=AC$64),"")</f>
        <v>0</v>
      </c>
      <c r="AD142" s="152">
        <f t="shared" si="27"/>
        <v>0</v>
      </c>
      <c r="AE142" s="152">
        <f t="shared" si="28"/>
        <v>0</v>
      </c>
      <c r="AF142" s="152">
        <f t="shared" si="29"/>
        <v>0</v>
      </c>
      <c r="AG142" s="152">
        <f t="shared" si="30"/>
        <v>0</v>
      </c>
      <c r="AH142" s="152" cm="1">
        <f t="array" ref="AH142">_xlfn._xlws.FILTER(ROUND(tblBaseCFResult[AdminChrg],-3)/1000,
(tblBaseCFResult[Year]=$T142)
*(tblBaseCFResult[Risk]=$Y$61)
*(tblBaseCFResult[PremTermScenario]=$Y$62)
*(tblBaseCFResult[IntRateScenario]=AH$64),"")</f>
        <v>300</v>
      </c>
      <c r="AI142" s="152" cm="1">
        <f t="array" ref="AI142">_xlfn._xlws.FILTER(ROUND(tblBaseCFResult[COI],-3)/1000,
(tblBaseCFResult[Year]=$T142)
*(tblBaseCFResult[Risk]=$Y$61)
*(tblBaseCFResult[PremTermScenario]=$Y$62)
*(tblBaseCFResult[IntRateScenario]=AI$64),"")</f>
        <v>0</v>
      </c>
      <c r="AJ142" s="152" cm="1">
        <f t="array" ref="AJ142">_xlfn._xlws.FILTER(ROUND(tblBaseCFResult[AdminChrg],-3)/1000,
(tblBaseCFResult[Year]=$T142)
*(tblBaseCFResult[Risk]=$Y$61)
*(tblBaseCFResult[PremTermScenario]=$Y$62)
*(tblBaseCFResult[IntRateScenario]=AJ$64),"")</f>
        <v>300</v>
      </c>
      <c r="AK142" s="152" cm="1">
        <f t="array" ref="AK142">_xlfn._xlws.FILTER(ROUND(tblBaseCFResult[COI],-3)/1000,
(tblBaseCFResult[Year]=$T142)
*(tblBaseCFResult[Risk]=$Y$61)
*(tblBaseCFResult[PremTermScenario]=$Y$62)
*(tblBaseCFResult[IntRateScenario]=AK$64),"")</f>
        <v>0</v>
      </c>
    </row>
    <row r="143" spans="1:37" ht="15" customHeight="1" x14ac:dyDescent="0.25">
      <c r="A143" s="155">
        <v>76</v>
      </c>
      <c r="B143" s="155">
        <f t="shared" si="22"/>
        <v>75</v>
      </c>
      <c r="C143" s="154"/>
      <c r="D143" s="153" t="str">
        <f t="shared" si="23"/>
        <v>76/75</v>
      </c>
      <c r="E143" s="157" cm="1">
        <f t="array" ref="E143">_xlfn._xlws.FILTER(tblBaseCFResult[TotalPrem]/1000,
(tblBaseCFResult[Year]=$A143)
*(tblBaseCFResult[Risk]=$E$61)
*(tblBaseCFResult[PremTermScenario]=$E$62)
*(tblBaseCFResult[IntRateScenario]=E$64),"")</f>
        <v>0</v>
      </c>
      <c r="F143" s="157" cm="1">
        <f t="array" ref="F143">_xlfn._xlws.FILTER(tblBaseCFResult[AccumTotalPrem]/1000,
(tblBaseCFResult[Year]=$A143)
*(tblBaseCFResult[Risk]=$E$61)
*(tblBaseCFResult[PremTermScenario]=$E$62)
*(tblBaseCFResult[IntRateScenario]=F$64),"")</f>
        <v>0</v>
      </c>
      <c r="G143" s="157" cm="1">
        <f t="array" ref="G143">_xlfn._xlws.FILTER(ROUND(tblBaseCFResult[SemiAnnualTotalPrem],-3)/1000,
(tblBaseCFResult[Year]=$A143)
*(tblBaseCFResult[Risk]=$E$61)
*(tblBaseCFResult[PremTermScenario]=$E$62)
*(tblBaseCFResult[IntRateScenario]=G$64),"")</f>
        <v>0</v>
      </c>
      <c r="H143" s="157" cm="1">
        <f t="array" ref="H143">_xlfn._xlws.FILTER(tblBaseCFResult[Ben]/1000,
(tblBaseCFResult[Year]=$A143)
*(tblBaseCFResult[Risk]=$E$61)
*(tblBaseCFResult[PremTermScenario]=$E$62)
*(tblBaseCFResult[IntRateScenario]=H$64),"")</f>
        <v>250033.579884946</v>
      </c>
      <c r="I143" s="157" cm="1">
        <f t="array" ref="I143">_xlfn._xlws.FILTER(ROUND(tblBaseCFResult[EndPAV],-3)/1000,
(tblBaseCFResult[Year]=$A143)
*(tblBaseCFResult[Risk]=$E$61)
*(tblBaseCFResult[PremTermScenario]=$E$62)
*(tblBaseCFResult[IntRateScenario]=I$64),"")</f>
        <v>254731</v>
      </c>
      <c r="J143" s="157" cm="1">
        <f t="array" ref="J143">_xlfn._xlws.FILTER(ROUND(tblBaseCFResult[SV],-3)/1000,
(tblBaseCFResult[Year]=$A143)
*(tblBaseCFResult[Risk]=$E$61)
*(tblBaseCFResult[PremTermScenario]=$E$62)
*(tblBaseCFResult[IntRateScenario]=J$64),"")</f>
        <v>250034</v>
      </c>
      <c r="K143" s="157" cm="1">
        <f t="array" ref="K143">_xlfn._xlws.FILTER(tblBaseCFResult[Ben]/1000,
(tblBaseCFResult[Year]=$A143)
*(tblBaseCFResult[Risk]=$E$61)
*(tblBaseCFResult[PremTermScenario]=$E$62)
*(tblBaseCFResult[IntRateScenario]=K$64),"")</f>
        <v>1975849.1454628799</v>
      </c>
      <c r="L143" s="157" cm="1">
        <f t="array" ref="L143">_xlfn._xlws.FILTER(ROUND(tblBaseCFResult[EndPAV],-3)/1000,
(tblBaseCFResult[Year]=$A143)
*(tblBaseCFResult[Risk]=$E$61)
*(tblBaseCFResult[PremTermScenario]=$E$62)
*(tblBaseCFResult[IntRateScenario]=L$64),"")</f>
        <v>2074334</v>
      </c>
      <c r="M143" s="157" cm="1">
        <f t="array" ref="M143">_xlfn._xlws.FILTER(ROUND(tblBaseCFResult[SV],-3)/1000,
(tblBaseCFResult[Year]=$A143)
*(tblBaseCFResult[Risk]=$E$61)
*(tblBaseCFResult[PremTermScenario]=$E$62)
*(tblBaseCFResult[IntRateScenario]=M$64),"")</f>
        <v>1975849</v>
      </c>
      <c r="N143" s="157" cm="1">
        <f t="array" ref="N143">_xlfn._xlws.FILTER(tblBaseCFResult[Ben]/1000,
(tblBaseCFResult[Year]=$A143)
*(tblBaseCFResult[Risk]=$E$61)
*(tblBaseCFResult[PremTermScenario]=$E$62)
*(tblBaseCFResult[IntRateScenario]=N$64),"")</f>
        <v>7393863.3503908999</v>
      </c>
      <c r="O143" s="157" cm="1">
        <f t="array" ref="O143">_xlfn._xlws.FILTER(ROUND(tblBaseCFResult[EndPAV],-3)/1000,
(tblBaseCFResult[Year]=$A143)
*(tblBaseCFResult[Risk]=$E$61)
*(tblBaseCFResult[PremTermScenario]=$E$62)
*(tblBaseCFResult[IntRateScenario]=O$64),"")</f>
        <v>7911123</v>
      </c>
      <c r="P143" s="157" cm="1">
        <f t="array" ref="P143">_xlfn._xlws.FILTER(ROUND(tblBaseCFResult[SV],-3)/1000,
(tblBaseCFResult[Year]=$A143)
*(tblBaseCFResult[Risk]=$E$61)
*(tblBaseCFResult[PremTermScenario]=$E$62)
*(tblBaseCFResult[IntRateScenario]=P$64),"")</f>
        <v>7393863</v>
      </c>
      <c r="Q143" s="154"/>
      <c r="R143" s="156"/>
      <c r="S143" s="154"/>
      <c r="T143" s="155">
        <v>76</v>
      </c>
      <c r="U143" s="155">
        <f t="shared" si="24"/>
        <v>75</v>
      </c>
      <c r="W143" s="154"/>
      <c r="X143" s="153" t="str">
        <f t="shared" si="25"/>
        <v>76/75</v>
      </c>
      <c r="Y143" s="152" cm="1">
        <f t="array" ref="Y143">_xlfn._xlws.FILTER(tblBaseCFResult[TP]/1000,
(tblBaseCFResult[Year]=$T143)
*(tblBaseCFResult[Risk]=$Y$61)
*(tblBaseCFResult[PremTermScenario]=$Y$62)
*(tblBaseCFResult[IntRateScenario]=Y$64),"")</f>
        <v>0</v>
      </c>
      <c r="Z143" s="152" cm="1">
        <f t="array" ref="Z143">_xlfn._xlws.FILTER(tblBaseCFResult[EP]/1000,
(tblBaseCFResult[Year]=$T143)
*(tblBaseCFResult[Risk]=$Y$61)
*(tblBaseCFResult[PremTermScenario]=$Y$62)
*(tblBaseCFResult[IntRateScenario]=Z$64),"")</f>
        <v>0</v>
      </c>
      <c r="AA143" s="152">
        <f t="shared" si="26"/>
        <v>0</v>
      </c>
      <c r="AB143" s="152" cm="1">
        <f t="array" ref="AB143">_xlfn._xlws.FILTER(ROUND(tblBaseCFResult[AllocChrg],-3)/1000,
(tblBaseCFResult[Year]=$T143)
*(tblBaseCFResult[Risk]=$Y$61)
*(tblBaseCFResult[PremTermScenario]=$Y$62)
*(tblBaseCFResult[IntRateScenario]=AB$64),"")</f>
        <v>0</v>
      </c>
      <c r="AC143" s="152" cm="1">
        <f t="array" ref="AC143">_xlfn._xlws.FILTER(ROUND(tblBaseCFResult[EPAllocChrg],-3)/1000,
(tblBaseCFResult[Year]=$T143)
*(tblBaseCFResult[Risk]=$Y$61)
*(tblBaseCFResult[PremTermScenario]=$Y$62)
*(tblBaseCFResult[IntRateScenario]=AC$64),"")</f>
        <v>0</v>
      </c>
      <c r="AD143" s="152">
        <f t="shared" si="27"/>
        <v>0</v>
      </c>
      <c r="AE143" s="152">
        <f t="shared" si="28"/>
        <v>0</v>
      </c>
      <c r="AF143" s="152">
        <f t="shared" si="29"/>
        <v>0</v>
      </c>
      <c r="AG143" s="152">
        <f t="shared" si="30"/>
        <v>0</v>
      </c>
      <c r="AH143" s="152" cm="1">
        <f t="array" ref="AH143">_xlfn._xlws.FILTER(ROUND(tblBaseCFResult[AdminChrg],-3)/1000,
(tblBaseCFResult[Year]=$T143)
*(tblBaseCFResult[Risk]=$Y$61)
*(tblBaseCFResult[PremTermScenario]=$Y$62)
*(tblBaseCFResult[IntRateScenario]=AH$64),"")</f>
        <v>300</v>
      </c>
      <c r="AI143" s="152" cm="1">
        <f t="array" ref="AI143">_xlfn._xlws.FILTER(ROUND(tblBaseCFResult[COI],-3)/1000,
(tblBaseCFResult[Year]=$T143)
*(tblBaseCFResult[Risk]=$Y$61)
*(tblBaseCFResult[PremTermScenario]=$Y$62)
*(tblBaseCFResult[IntRateScenario]=AI$64),"")</f>
        <v>0</v>
      </c>
      <c r="AJ143" s="152" cm="1">
        <f t="array" ref="AJ143">_xlfn._xlws.FILTER(ROUND(tblBaseCFResult[AdminChrg],-3)/1000,
(tblBaseCFResult[Year]=$T143)
*(tblBaseCFResult[Risk]=$Y$61)
*(tblBaseCFResult[PremTermScenario]=$Y$62)
*(tblBaseCFResult[IntRateScenario]=AJ$64),"")</f>
        <v>300</v>
      </c>
      <c r="AK143" s="152" cm="1">
        <f t="array" ref="AK143">_xlfn._xlws.FILTER(ROUND(tblBaseCFResult[COI],-3)/1000,
(tblBaseCFResult[Year]=$T143)
*(tblBaseCFResult[Risk]=$Y$61)
*(tblBaseCFResult[PremTermScenario]=$Y$62)
*(tblBaseCFResult[IntRateScenario]=AK$64),"")</f>
        <v>0</v>
      </c>
    </row>
    <row r="144" spans="1:37" ht="15" customHeight="1" x14ac:dyDescent="0.25">
      <c r="A144" s="155">
        <v>77</v>
      </c>
      <c r="B144" s="155">
        <f t="shared" si="22"/>
        <v>76</v>
      </c>
      <c r="C144" s="154"/>
      <c r="D144" s="153" t="str">
        <f t="shared" si="23"/>
        <v>77/76</v>
      </c>
      <c r="E144" s="157" cm="1">
        <f t="array" ref="E144">_xlfn._xlws.FILTER(tblBaseCFResult[TotalPrem]/1000,
(tblBaseCFResult[Year]=$A144)
*(tblBaseCFResult[Risk]=$E$61)
*(tblBaseCFResult[PremTermScenario]=$E$62)
*(tblBaseCFResult[IntRateScenario]=E$64),"")</f>
        <v>0</v>
      </c>
      <c r="F144" s="157" cm="1">
        <f t="array" ref="F144">_xlfn._xlws.FILTER(tblBaseCFResult[AccumTotalPrem]/1000,
(tblBaseCFResult[Year]=$A144)
*(tblBaseCFResult[Risk]=$E$61)
*(tblBaseCFResult[PremTermScenario]=$E$62)
*(tblBaseCFResult[IntRateScenario]=F$64),"")</f>
        <v>0</v>
      </c>
      <c r="G144" s="157" cm="1">
        <f t="array" ref="G144">_xlfn._xlws.FILTER(ROUND(tblBaseCFResult[SemiAnnualTotalPrem],-3)/1000,
(tblBaseCFResult[Year]=$A144)
*(tblBaseCFResult[Risk]=$E$61)
*(tblBaseCFResult[PremTermScenario]=$E$62)
*(tblBaseCFResult[IntRateScenario]=G$64),"")</f>
        <v>0</v>
      </c>
      <c r="H144" s="157" cm="1">
        <f t="array" ref="H144">_xlfn._xlws.FILTER(tblBaseCFResult[Ben]/1000,
(tblBaseCFResult[Year]=$A144)
*(tblBaseCFResult[Risk]=$E$61)
*(tblBaseCFResult[PremTermScenario]=$E$62)
*(tblBaseCFResult[IntRateScenario]=H$64),"")</f>
        <v>254731.01131513499</v>
      </c>
      <c r="I144" s="157" cm="1">
        <f t="array" ref="I144">_xlfn._xlws.FILTER(ROUND(tblBaseCFResult[EndPAV],-3)/1000,
(tblBaseCFResult[Year]=$A144)
*(tblBaseCFResult[Risk]=$E$61)
*(tblBaseCFResult[PremTermScenario]=$E$62)
*(tblBaseCFResult[IntRateScenario]=I$64),"")</f>
        <v>259522</v>
      </c>
      <c r="J144" s="157" cm="1">
        <f t="array" ref="J144">_xlfn._xlws.FILTER(ROUND(tblBaseCFResult[SV],-3)/1000,
(tblBaseCFResult[Year]=$A144)
*(tblBaseCFResult[Risk]=$E$61)
*(tblBaseCFResult[PremTermScenario]=$E$62)
*(tblBaseCFResult[IntRateScenario]=J$64),"")</f>
        <v>254731</v>
      </c>
      <c r="K144" s="157" cm="1">
        <f t="array" ref="K144">_xlfn._xlws.FILTER(tblBaseCFResult[Ben]/1000,
(tblBaseCFResult[Year]=$A144)
*(tblBaseCFResult[Risk]=$E$61)
*(tblBaseCFResult[PremTermScenario]=$E$62)
*(tblBaseCFResult[IntRateScenario]=K$64),"")</f>
        <v>2074333.5382977901</v>
      </c>
      <c r="L144" s="157" cm="1">
        <f t="array" ref="L144">_xlfn._xlws.FILTER(ROUND(tblBaseCFResult[EndPAV],-3)/1000,
(tblBaseCFResult[Year]=$A144)
*(tblBaseCFResult[Risk]=$E$61)
*(tblBaseCFResult[PremTermScenario]=$E$62)
*(tblBaseCFResult[IntRateScenario]=L$64),"")</f>
        <v>2177742</v>
      </c>
      <c r="M144" s="157" cm="1">
        <f t="array" ref="M144">_xlfn._xlws.FILTER(ROUND(tblBaseCFResult[SV],-3)/1000,
(tblBaseCFResult[Year]=$A144)
*(tblBaseCFResult[Risk]=$E$61)
*(tblBaseCFResult[PremTermScenario]=$E$62)
*(tblBaseCFResult[IntRateScenario]=M$64),"")</f>
        <v>2074334</v>
      </c>
      <c r="N144" s="157" cm="1">
        <f t="array" ref="N144">_xlfn._xlws.FILTER(tblBaseCFResult[Ben]/1000,
(tblBaseCFResult[Year]=$A144)
*(tblBaseCFResult[Risk]=$E$61)
*(tblBaseCFResult[PremTermScenario]=$E$62)
*(tblBaseCFResult[IntRateScenario]=N$64),"")</f>
        <v>7911122.5274896296</v>
      </c>
      <c r="O144" s="157" cm="1">
        <f t="array" ref="O144">_xlfn._xlws.FILTER(ROUND(tblBaseCFResult[EndPAV],-3)/1000,
(tblBaseCFResult[Year]=$A144)
*(tblBaseCFResult[Risk]=$E$61)
*(tblBaseCFResult[PremTermScenario]=$E$62)
*(tblBaseCFResult[IntRateScenario]=O$64),"")</f>
        <v>8464590</v>
      </c>
      <c r="P144" s="157" cm="1">
        <f t="array" ref="P144">_xlfn._xlws.FILTER(ROUND(tblBaseCFResult[SV],-3)/1000,
(tblBaseCFResult[Year]=$A144)
*(tblBaseCFResult[Risk]=$E$61)
*(tblBaseCFResult[PremTermScenario]=$E$62)
*(tblBaseCFResult[IntRateScenario]=P$64),"")</f>
        <v>7911123</v>
      </c>
      <c r="Q144" s="154"/>
      <c r="R144" s="156"/>
      <c r="S144" s="154"/>
      <c r="T144" s="155">
        <v>77</v>
      </c>
      <c r="U144" s="155">
        <f t="shared" si="24"/>
        <v>76</v>
      </c>
      <c r="W144" s="154"/>
      <c r="X144" s="153" t="str">
        <f t="shared" si="25"/>
        <v>77/76</v>
      </c>
      <c r="Y144" s="152" cm="1">
        <f t="array" ref="Y144">_xlfn._xlws.FILTER(tblBaseCFResult[TP]/1000,
(tblBaseCFResult[Year]=$T144)
*(tblBaseCFResult[Risk]=$Y$61)
*(tblBaseCFResult[PremTermScenario]=$Y$62)
*(tblBaseCFResult[IntRateScenario]=Y$64),"")</f>
        <v>0</v>
      </c>
      <c r="Z144" s="152" cm="1">
        <f t="array" ref="Z144">_xlfn._xlws.FILTER(tblBaseCFResult[EP]/1000,
(tblBaseCFResult[Year]=$T144)
*(tblBaseCFResult[Risk]=$Y$61)
*(tblBaseCFResult[PremTermScenario]=$Y$62)
*(tblBaseCFResult[IntRateScenario]=Z$64),"")</f>
        <v>0</v>
      </c>
      <c r="AA144" s="152">
        <f t="shared" si="26"/>
        <v>0</v>
      </c>
      <c r="AB144" s="152" cm="1">
        <f t="array" ref="AB144">_xlfn._xlws.FILTER(ROUND(tblBaseCFResult[AllocChrg],-3)/1000,
(tblBaseCFResult[Year]=$T144)
*(tblBaseCFResult[Risk]=$Y$61)
*(tblBaseCFResult[PremTermScenario]=$Y$62)
*(tblBaseCFResult[IntRateScenario]=AB$64),"")</f>
        <v>0</v>
      </c>
      <c r="AC144" s="152" cm="1">
        <f t="array" ref="AC144">_xlfn._xlws.FILTER(ROUND(tblBaseCFResult[EPAllocChrg],-3)/1000,
(tblBaseCFResult[Year]=$T144)
*(tblBaseCFResult[Risk]=$Y$61)
*(tblBaseCFResult[PremTermScenario]=$Y$62)
*(tblBaseCFResult[IntRateScenario]=AC$64),"")</f>
        <v>0</v>
      </c>
      <c r="AD144" s="152">
        <f t="shared" si="27"/>
        <v>0</v>
      </c>
      <c r="AE144" s="152">
        <f t="shared" si="28"/>
        <v>0</v>
      </c>
      <c r="AF144" s="152">
        <f t="shared" si="29"/>
        <v>0</v>
      </c>
      <c r="AG144" s="152">
        <f t="shared" si="30"/>
        <v>0</v>
      </c>
      <c r="AH144" s="152" cm="1">
        <f t="array" ref="AH144">_xlfn._xlws.FILTER(ROUND(tblBaseCFResult[AdminChrg],-3)/1000,
(tblBaseCFResult[Year]=$T144)
*(tblBaseCFResult[Risk]=$Y$61)
*(tblBaseCFResult[PremTermScenario]=$Y$62)
*(tblBaseCFResult[IntRateScenario]=AH$64),"")</f>
        <v>300</v>
      </c>
      <c r="AI144" s="152" cm="1">
        <f t="array" ref="AI144">_xlfn._xlws.FILTER(ROUND(tblBaseCFResult[COI],-3)/1000,
(tblBaseCFResult[Year]=$T144)
*(tblBaseCFResult[Risk]=$Y$61)
*(tblBaseCFResult[PremTermScenario]=$Y$62)
*(tblBaseCFResult[IntRateScenario]=AI$64),"")</f>
        <v>0</v>
      </c>
      <c r="AJ144" s="152" cm="1">
        <f t="array" ref="AJ144">_xlfn._xlws.FILTER(ROUND(tblBaseCFResult[AdminChrg],-3)/1000,
(tblBaseCFResult[Year]=$T144)
*(tblBaseCFResult[Risk]=$Y$61)
*(tblBaseCFResult[PremTermScenario]=$Y$62)
*(tblBaseCFResult[IntRateScenario]=AJ$64),"")</f>
        <v>300</v>
      </c>
      <c r="AK144" s="152" cm="1">
        <f t="array" ref="AK144">_xlfn._xlws.FILTER(ROUND(tblBaseCFResult[COI],-3)/1000,
(tblBaseCFResult[Year]=$T144)
*(tblBaseCFResult[Risk]=$Y$61)
*(tblBaseCFResult[PremTermScenario]=$Y$62)
*(tblBaseCFResult[IntRateScenario]=AK$64),"")</f>
        <v>0</v>
      </c>
    </row>
    <row r="145" spans="1:37" ht="15" customHeight="1" x14ac:dyDescent="0.25">
      <c r="A145" s="155">
        <v>78</v>
      </c>
      <c r="B145" s="155">
        <f t="shared" si="22"/>
        <v>77</v>
      </c>
      <c r="C145" s="154"/>
      <c r="D145" s="153" t="str">
        <f t="shared" si="23"/>
        <v>78/77</v>
      </c>
      <c r="E145" s="157" cm="1">
        <f t="array" ref="E145">_xlfn._xlws.FILTER(tblBaseCFResult[TotalPrem]/1000,
(tblBaseCFResult[Year]=$A145)
*(tblBaseCFResult[Risk]=$E$61)
*(tblBaseCFResult[PremTermScenario]=$E$62)
*(tblBaseCFResult[IntRateScenario]=E$64),"")</f>
        <v>0</v>
      </c>
      <c r="F145" s="157" cm="1">
        <f t="array" ref="F145">_xlfn._xlws.FILTER(tblBaseCFResult[AccumTotalPrem]/1000,
(tblBaseCFResult[Year]=$A145)
*(tblBaseCFResult[Risk]=$E$61)
*(tblBaseCFResult[PremTermScenario]=$E$62)
*(tblBaseCFResult[IntRateScenario]=F$64),"")</f>
        <v>0</v>
      </c>
      <c r="G145" s="157" cm="1">
        <f t="array" ref="G145">_xlfn._xlws.FILTER(ROUND(tblBaseCFResult[SemiAnnualTotalPrem],-3)/1000,
(tblBaseCFResult[Year]=$A145)
*(tblBaseCFResult[Risk]=$E$61)
*(tblBaseCFResult[PremTermScenario]=$E$62)
*(tblBaseCFResult[IntRateScenario]=G$64),"")</f>
        <v>0</v>
      </c>
      <c r="H145" s="157" cm="1">
        <f t="array" ref="H145">_xlfn._xlws.FILTER(tblBaseCFResult[Ben]/1000,
(tblBaseCFResult[Year]=$A145)
*(tblBaseCFResult[Risk]=$E$61)
*(tblBaseCFResult[PremTermScenario]=$E$62)
*(tblBaseCFResult[IntRateScenario]=H$64),"")</f>
        <v>259522.391373928</v>
      </c>
      <c r="I145" s="157" cm="1">
        <f t="array" ref="I145">_xlfn._xlws.FILTER(ROUND(tblBaseCFResult[EndPAV],-3)/1000,
(tblBaseCFResult[Year]=$A145)
*(tblBaseCFResult[Risk]=$E$61)
*(tblBaseCFResult[PremTermScenario]=$E$62)
*(tblBaseCFResult[IntRateScenario]=I$64),"")</f>
        <v>264410</v>
      </c>
      <c r="J145" s="157" cm="1">
        <f t="array" ref="J145">_xlfn._xlws.FILTER(ROUND(tblBaseCFResult[SV],-3)/1000,
(tblBaseCFResult[Year]=$A145)
*(tblBaseCFResult[Risk]=$E$61)
*(tblBaseCFResult[PremTermScenario]=$E$62)
*(tblBaseCFResult[IntRateScenario]=J$64),"")</f>
        <v>259522</v>
      </c>
      <c r="K145" s="157" cm="1">
        <f t="array" ref="K145">_xlfn._xlws.FILTER(tblBaseCFResult[Ben]/1000,
(tblBaseCFResult[Year]=$A145)
*(tblBaseCFResult[Risk]=$E$61)
*(tblBaseCFResult[PremTermScenario]=$E$62)
*(tblBaseCFResult[IntRateScenario]=K$64),"")</f>
        <v>2177742.1507744398</v>
      </c>
      <c r="L145" s="157" cm="1">
        <f t="array" ref="L145">_xlfn._xlws.FILTER(ROUND(tblBaseCFResult[EndPAV],-3)/1000,
(tblBaseCFResult[Year]=$A145)
*(tblBaseCFResult[Risk]=$E$61)
*(tblBaseCFResult[PremTermScenario]=$E$62)
*(tblBaseCFResult[IntRateScenario]=L$64),"")</f>
        <v>2286321</v>
      </c>
      <c r="M145" s="157" cm="1">
        <f t="array" ref="M145">_xlfn._xlws.FILTER(ROUND(tblBaseCFResult[SV],-3)/1000,
(tblBaseCFResult[Year]=$A145)
*(tblBaseCFResult[Risk]=$E$61)
*(tblBaseCFResult[PremTermScenario]=$E$62)
*(tblBaseCFResult[IntRateScenario]=M$64),"")</f>
        <v>2177742</v>
      </c>
      <c r="N145" s="157" cm="1">
        <f t="array" ref="N145">_xlfn._xlws.FILTER(tblBaseCFResult[Ben]/1000,
(tblBaseCFResult[Year]=$A145)
*(tblBaseCFResult[Risk]=$E$61)
*(tblBaseCFResult[PremTermScenario]=$E$62)
*(tblBaseCFResult[IntRateScenario]=N$64),"")</f>
        <v>8464589.84698526</v>
      </c>
      <c r="O145" s="157" cm="1">
        <f t="array" ref="O145">_xlfn._xlws.FILTER(ROUND(tblBaseCFResult[EndPAV],-3)/1000,
(tblBaseCFResult[Year]=$A145)
*(tblBaseCFResult[Risk]=$E$61)
*(tblBaseCFResult[PremTermScenario]=$E$62)
*(tblBaseCFResult[IntRateScenario]=O$64),"")</f>
        <v>9056800</v>
      </c>
      <c r="P145" s="157" cm="1">
        <f t="array" ref="P145">_xlfn._xlws.FILTER(ROUND(tblBaseCFResult[SV],-3)/1000,
(tblBaseCFResult[Year]=$A145)
*(tblBaseCFResult[Risk]=$E$61)
*(tblBaseCFResult[PremTermScenario]=$E$62)
*(tblBaseCFResult[IntRateScenario]=P$64),"")</f>
        <v>8464590</v>
      </c>
      <c r="Q145" s="154"/>
      <c r="R145" s="156"/>
      <c r="S145" s="154"/>
      <c r="T145" s="155">
        <v>78</v>
      </c>
      <c r="U145" s="155">
        <f t="shared" si="24"/>
        <v>77</v>
      </c>
      <c r="W145" s="154"/>
      <c r="X145" s="153" t="str">
        <f t="shared" si="25"/>
        <v>78/77</v>
      </c>
      <c r="Y145" s="152" cm="1">
        <f t="array" ref="Y145">_xlfn._xlws.FILTER(tblBaseCFResult[TP]/1000,
(tblBaseCFResult[Year]=$T145)
*(tblBaseCFResult[Risk]=$Y$61)
*(tblBaseCFResult[PremTermScenario]=$Y$62)
*(tblBaseCFResult[IntRateScenario]=Y$64),"")</f>
        <v>0</v>
      </c>
      <c r="Z145" s="152" cm="1">
        <f t="array" ref="Z145">_xlfn._xlws.FILTER(tblBaseCFResult[EP]/1000,
(tblBaseCFResult[Year]=$T145)
*(tblBaseCFResult[Risk]=$Y$61)
*(tblBaseCFResult[PremTermScenario]=$Y$62)
*(tblBaseCFResult[IntRateScenario]=Z$64),"")</f>
        <v>0</v>
      </c>
      <c r="AA145" s="152">
        <f t="shared" si="26"/>
        <v>0</v>
      </c>
      <c r="AB145" s="152" cm="1">
        <f t="array" ref="AB145">_xlfn._xlws.FILTER(ROUND(tblBaseCFResult[AllocChrg],-3)/1000,
(tblBaseCFResult[Year]=$T145)
*(tblBaseCFResult[Risk]=$Y$61)
*(tblBaseCFResult[PremTermScenario]=$Y$62)
*(tblBaseCFResult[IntRateScenario]=AB$64),"")</f>
        <v>0</v>
      </c>
      <c r="AC145" s="152" cm="1">
        <f t="array" ref="AC145">_xlfn._xlws.FILTER(ROUND(tblBaseCFResult[EPAllocChrg],-3)/1000,
(tblBaseCFResult[Year]=$T145)
*(tblBaseCFResult[Risk]=$Y$61)
*(tblBaseCFResult[PremTermScenario]=$Y$62)
*(tblBaseCFResult[IntRateScenario]=AC$64),"")</f>
        <v>0</v>
      </c>
      <c r="AD145" s="152">
        <f t="shared" si="27"/>
        <v>0</v>
      </c>
      <c r="AE145" s="152">
        <f t="shared" si="28"/>
        <v>0</v>
      </c>
      <c r="AF145" s="152">
        <f t="shared" si="29"/>
        <v>0</v>
      </c>
      <c r="AG145" s="152">
        <f t="shared" si="30"/>
        <v>0</v>
      </c>
      <c r="AH145" s="152" cm="1">
        <f t="array" ref="AH145">_xlfn._xlws.FILTER(ROUND(tblBaseCFResult[AdminChrg],-3)/1000,
(tblBaseCFResult[Year]=$T145)
*(tblBaseCFResult[Risk]=$Y$61)
*(tblBaseCFResult[PremTermScenario]=$Y$62)
*(tblBaseCFResult[IntRateScenario]=AH$64),"")</f>
        <v>300</v>
      </c>
      <c r="AI145" s="152" cm="1">
        <f t="array" ref="AI145">_xlfn._xlws.FILTER(ROUND(tblBaseCFResult[COI],-3)/1000,
(tblBaseCFResult[Year]=$T145)
*(tblBaseCFResult[Risk]=$Y$61)
*(tblBaseCFResult[PremTermScenario]=$Y$62)
*(tblBaseCFResult[IntRateScenario]=AI$64),"")</f>
        <v>0</v>
      </c>
      <c r="AJ145" s="152" cm="1">
        <f t="array" ref="AJ145">_xlfn._xlws.FILTER(ROUND(tblBaseCFResult[AdminChrg],-3)/1000,
(tblBaseCFResult[Year]=$T145)
*(tblBaseCFResult[Risk]=$Y$61)
*(tblBaseCFResult[PremTermScenario]=$Y$62)
*(tblBaseCFResult[IntRateScenario]=AJ$64),"")</f>
        <v>300</v>
      </c>
      <c r="AK145" s="152" cm="1">
        <f t="array" ref="AK145">_xlfn._xlws.FILTER(ROUND(tblBaseCFResult[COI],-3)/1000,
(tblBaseCFResult[Year]=$T145)
*(tblBaseCFResult[Risk]=$Y$61)
*(tblBaseCFResult[PremTermScenario]=$Y$62)
*(tblBaseCFResult[IntRateScenario]=AK$64),"")</f>
        <v>0</v>
      </c>
    </row>
    <row r="146" spans="1:37" ht="15" customHeight="1" x14ac:dyDescent="0.25">
      <c r="A146" s="155">
        <v>79</v>
      </c>
      <c r="B146" s="155">
        <f t="shared" si="22"/>
        <v>78</v>
      </c>
      <c r="C146" s="154"/>
      <c r="D146" s="153" t="str">
        <f t="shared" si="23"/>
        <v>79/78</v>
      </c>
      <c r="E146" s="157" cm="1">
        <f t="array" ref="E146">_xlfn._xlws.FILTER(tblBaseCFResult[TotalPrem]/1000,
(tblBaseCFResult[Year]=$A146)
*(tblBaseCFResult[Risk]=$E$61)
*(tblBaseCFResult[PremTermScenario]=$E$62)
*(tblBaseCFResult[IntRateScenario]=E$64),"")</f>
        <v>0</v>
      </c>
      <c r="F146" s="157" cm="1">
        <f t="array" ref="F146">_xlfn._xlws.FILTER(tblBaseCFResult[AccumTotalPrem]/1000,
(tblBaseCFResult[Year]=$A146)
*(tblBaseCFResult[Risk]=$E$61)
*(tblBaseCFResult[PremTermScenario]=$E$62)
*(tblBaseCFResult[IntRateScenario]=F$64),"")</f>
        <v>0</v>
      </c>
      <c r="G146" s="157" cm="1">
        <f t="array" ref="G146">_xlfn._xlws.FILTER(ROUND(tblBaseCFResult[SemiAnnualTotalPrem],-3)/1000,
(tblBaseCFResult[Year]=$A146)
*(tblBaseCFResult[Risk]=$E$61)
*(tblBaseCFResult[PremTermScenario]=$E$62)
*(tblBaseCFResult[IntRateScenario]=G$64),"")</f>
        <v>0</v>
      </c>
      <c r="H146" s="157" cm="1">
        <f t="array" ref="H146">_xlfn._xlws.FILTER(tblBaseCFResult[Ben]/1000,
(tblBaseCFResult[Year]=$A146)
*(tblBaseCFResult[Risk]=$E$61)
*(tblBaseCFResult[PremTermScenario]=$E$62)
*(tblBaseCFResult[IntRateScenario]=H$64),"")</f>
        <v>264409.599033896</v>
      </c>
      <c r="I146" s="157" cm="1">
        <f t="array" ref="I146">_xlfn._xlws.FILTER(ROUND(tblBaseCFResult[EndPAV],-3)/1000,
(tblBaseCFResult[Year]=$A146)
*(tblBaseCFResult[Risk]=$E$61)
*(tblBaseCFResult[PremTermScenario]=$E$62)
*(tblBaseCFResult[IntRateScenario]=I$64),"")</f>
        <v>269395</v>
      </c>
      <c r="J146" s="157" cm="1">
        <f t="array" ref="J146">_xlfn._xlws.FILTER(ROUND(tblBaseCFResult[SV],-3)/1000,
(tblBaseCFResult[Year]=$A146)
*(tblBaseCFResult[Risk]=$E$61)
*(tblBaseCFResult[PremTermScenario]=$E$62)
*(tblBaseCFResult[IntRateScenario]=J$64),"")</f>
        <v>264410</v>
      </c>
      <c r="K146" s="157" cm="1">
        <f t="array" ref="K146">_xlfn._xlws.FILTER(tblBaseCFResult[Ben]/1000,
(tblBaseCFResult[Year]=$A146)
*(tblBaseCFResult[Risk]=$E$61)
*(tblBaseCFResult[PremTermScenario]=$E$62)
*(tblBaseCFResult[IntRateScenario]=K$64),"")</f>
        <v>2286321.1938749198</v>
      </c>
      <c r="L146" s="157" cm="1">
        <f t="array" ref="L146">_xlfn._xlws.FILTER(ROUND(tblBaseCFResult[EndPAV],-3)/1000,
(tblBaseCFResult[Year]=$A146)
*(tblBaseCFResult[Risk]=$E$61)
*(tblBaseCFResult[PremTermScenario]=$E$62)
*(tblBaseCFResult[IntRateScenario]=L$64),"")</f>
        <v>2400329</v>
      </c>
      <c r="M146" s="157" cm="1">
        <f t="array" ref="M146">_xlfn._xlws.FILTER(ROUND(tblBaseCFResult[SV],-3)/1000,
(tblBaseCFResult[Year]=$A146)
*(tblBaseCFResult[Risk]=$E$61)
*(tblBaseCFResult[PremTermScenario]=$E$62)
*(tblBaseCFResult[IntRateScenario]=M$64),"")</f>
        <v>2286321</v>
      </c>
      <c r="N146" s="157" cm="1">
        <f t="array" ref="N146">_xlfn._xlws.FILTER(tblBaseCFResult[Ben]/1000,
(tblBaseCFResult[Year]=$A146)
*(tblBaseCFResult[Risk]=$E$61)
*(tblBaseCFResult[PremTermScenario]=$E$62)
*(tblBaseCFResult[IntRateScenario]=N$64),"")</f>
        <v>9056799.8788455911</v>
      </c>
      <c r="O146" s="157" cm="1">
        <f t="array" ref="O146">_xlfn._xlws.FILTER(ROUND(tblBaseCFResult[EndPAV],-3)/1000,
(tblBaseCFResult[Year]=$A146)
*(tblBaseCFResult[Risk]=$E$61)
*(tblBaseCFResult[PremTermScenario]=$E$62)
*(tblBaseCFResult[IntRateScenario]=O$64),"")</f>
        <v>9690465</v>
      </c>
      <c r="P146" s="157" cm="1">
        <f t="array" ref="P146">_xlfn._xlws.FILTER(ROUND(tblBaseCFResult[SV],-3)/1000,
(tblBaseCFResult[Year]=$A146)
*(tblBaseCFResult[Risk]=$E$61)
*(tblBaseCFResult[PremTermScenario]=$E$62)
*(tblBaseCFResult[IntRateScenario]=P$64),"")</f>
        <v>9056800</v>
      </c>
      <c r="Q146" s="154"/>
      <c r="R146" s="156"/>
      <c r="S146" s="154"/>
      <c r="T146" s="155">
        <v>79</v>
      </c>
      <c r="U146" s="155">
        <f t="shared" si="24"/>
        <v>78</v>
      </c>
      <c r="W146" s="154"/>
      <c r="X146" s="153" t="str">
        <f t="shared" si="25"/>
        <v>79/78</v>
      </c>
      <c r="Y146" s="152" cm="1">
        <f t="array" ref="Y146">_xlfn._xlws.FILTER(tblBaseCFResult[TP]/1000,
(tblBaseCFResult[Year]=$T146)
*(tblBaseCFResult[Risk]=$Y$61)
*(tblBaseCFResult[PremTermScenario]=$Y$62)
*(tblBaseCFResult[IntRateScenario]=Y$64),"")</f>
        <v>0</v>
      </c>
      <c r="Z146" s="152" cm="1">
        <f t="array" ref="Z146">_xlfn._xlws.FILTER(tblBaseCFResult[EP]/1000,
(tblBaseCFResult[Year]=$T146)
*(tblBaseCFResult[Risk]=$Y$61)
*(tblBaseCFResult[PremTermScenario]=$Y$62)
*(tblBaseCFResult[IntRateScenario]=Z$64),"")</f>
        <v>0</v>
      </c>
      <c r="AA146" s="152">
        <f t="shared" si="26"/>
        <v>0</v>
      </c>
      <c r="AB146" s="152" cm="1">
        <f t="array" ref="AB146">_xlfn._xlws.FILTER(ROUND(tblBaseCFResult[AllocChrg],-3)/1000,
(tblBaseCFResult[Year]=$T146)
*(tblBaseCFResult[Risk]=$Y$61)
*(tblBaseCFResult[PremTermScenario]=$Y$62)
*(tblBaseCFResult[IntRateScenario]=AB$64),"")</f>
        <v>0</v>
      </c>
      <c r="AC146" s="152" cm="1">
        <f t="array" ref="AC146">_xlfn._xlws.FILTER(ROUND(tblBaseCFResult[EPAllocChrg],-3)/1000,
(tblBaseCFResult[Year]=$T146)
*(tblBaseCFResult[Risk]=$Y$61)
*(tblBaseCFResult[PremTermScenario]=$Y$62)
*(tblBaseCFResult[IntRateScenario]=AC$64),"")</f>
        <v>0</v>
      </c>
      <c r="AD146" s="152">
        <f t="shared" si="27"/>
        <v>0</v>
      </c>
      <c r="AE146" s="152">
        <f t="shared" si="28"/>
        <v>0</v>
      </c>
      <c r="AF146" s="152">
        <f t="shared" si="29"/>
        <v>0</v>
      </c>
      <c r="AG146" s="152">
        <f t="shared" si="30"/>
        <v>0</v>
      </c>
      <c r="AH146" s="152" cm="1">
        <f t="array" ref="AH146">_xlfn._xlws.FILTER(ROUND(tblBaseCFResult[AdminChrg],-3)/1000,
(tblBaseCFResult[Year]=$T146)
*(tblBaseCFResult[Risk]=$Y$61)
*(tblBaseCFResult[PremTermScenario]=$Y$62)
*(tblBaseCFResult[IntRateScenario]=AH$64),"")</f>
        <v>300</v>
      </c>
      <c r="AI146" s="152" cm="1">
        <f t="array" ref="AI146">_xlfn._xlws.FILTER(ROUND(tblBaseCFResult[COI],-3)/1000,
(tblBaseCFResult[Year]=$T146)
*(tblBaseCFResult[Risk]=$Y$61)
*(tblBaseCFResult[PremTermScenario]=$Y$62)
*(tblBaseCFResult[IntRateScenario]=AI$64),"")</f>
        <v>0</v>
      </c>
      <c r="AJ146" s="152" cm="1">
        <f t="array" ref="AJ146">_xlfn._xlws.FILTER(ROUND(tblBaseCFResult[AdminChrg],-3)/1000,
(tblBaseCFResult[Year]=$T146)
*(tblBaseCFResult[Risk]=$Y$61)
*(tblBaseCFResult[PremTermScenario]=$Y$62)
*(tblBaseCFResult[IntRateScenario]=AJ$64),"")</f>
        <v>300</v>
      </c>
      <c r="AK146" s="152" cm="1">
        <f t="array" ref="AK146">_xlfn._xlws.FILTER(ROUND(tblBaseCFResult[COI],-3)/1000,
(tblBaseCFResult[Year]=$T146)
*(tblBaseCFResult[Risk]=$Y$61)
*(tblBaseCFResult[PremTermScenario]=$Y$62)
*(tblBaseCFResult[IntRateScenario]=AK$64),"")</f>
        <v>0</v>
      </c>
    </row>
    <row r="147" spans="1:37" ht="15" customHeight="1" x14ac:dyDescent="0.25">
      <c r="A147" s="155">
        <v>80</v>
      </c>
      <c r="B147" s="155">
        <f t="shared" si="22"/>
        <v>79</v>
      </c>
      <c r="C147" s="154"/>
      <c r="D147" s="153" t="str">
        <f t="shared" si="23"/>
        <v>80/79</v>
      </c>
      <c r="E147" s="157" cm="1">
        <f t="array" ref="E147">_xlfn._xlws.FILTER(tblBaseCFResult[TotalPrem]/1000,
(tblBaseCFResult[Year]=$A147)
*(tblBaseCFResult[Risk]=$E$61)
*(tblBaseCFResult[PremTermScenario]=$E$62)
*(tblBaseCFResult[IntRateScenario]=E$64),"")</f>
        <v>0</v>
      </c>
      <c r="F147" s="157" cm="1">
        <f t="array" ref="F147">_xlfn._xlws.FILTER(tblBaseCFResult[AccumTotalPrem]/1000,
(tblBaseCFResult[Year]=$A147)
*(tblBaseCFResult[Risk]=$E$61)
*(tblBaseCFResult[PremTermScenario]=$E$62)
*(tblBaseCFResult[IntRateScenario]=F$64),"")</f>
        <v>0</v>
      </c>
      <c r="G147" s="157" cm="1">
        <f t="array" ref="G147">_xlfn._xlws.FILTER(ROUND(tblBaseCFResult[SemiAnnualTotalPrem],-3)/1000,
(tblBaseCFResult[Year]=$A147)
*(tblBaseCFResult[Risk]=$E$61)
*(tblBaseCFResult[PremTermScenario]=$E$62)
*(tblBaseCFResult[IntRateScenario]=G$64),"")</f>
        <v>0</v>
      </c>
      <c r="H147" s="157" cm="1">
        <f t="array" ref="H147">_xlfn._xlws.FILTER(tblBaseCFResult[Ben]/1000,
(tblBaseCFResult[Year]=$A147)
*(tblBaseCFResult[Risk]=$E$61)
*(tblBaseCFResult[PremTermScenario]=$E$62)
*(tblBaseCFResult[IntRateScenario]=H$64),"")</f>
        <v>269394.55084706401</v>
      </c>
      <c r="I147" s="157" cm="1">
        <f t="array" ref="I147">_xlfn._xlws.FILTER(ROUND(tblBaseCFResult[EndPAV],-3)/1000,
(tblBaseCFResult[Year]=$A147)
*(tblBaseCFResult[Risk]=$E$61)
*(tblBaseCFResult[PremTermScenario]=$E$62)
*(tblBaseCFResult[IntRateScenario]=I$64),"")</f>
        <v>274479</v>
      </c>
      <c r="J147" s="157" cm="1">
        <f t="array" ref="J147">_xlfn._xlws.FILTER(ROUND(tblBaseCFResult[SV],-3)/1000,
(tblBaseCFResult[Year]=$A147)
*(tblBaseCFResult[Risk]=$E$61)
*(tblBaseCFResult[PremTermScenario]=$E$62)
*(tblBaseCFResult[IntRateScenario]=J$64),"")</f>
        <v>269395</v>
      </c>
      <c r="K147" s="157" cm="1">
        <f t="array" ref="K147">_xlfn._xlws.FILTER(tblBaseCFResult[Ben]/1000,
(tblBaseCFResult[Year]=$A147)
*(tblBaseCFResult[Risk]=$E$61)
*(tblBaseCFResult[PremTermScenario]=$E$62)
*(tblBaseCFResult[IntRateScenario]=K$64),"")</f>
        <v>2400329.1891304203</v>
      </c>
      <c r="L147" s="157" cm="1">
        <f t="array" ref="L147">_xlfn._xlws.FILTER(ROUND(tblBaseCFResult[EndPAV],-3)/1000,
(tblBaseCFResult[Year]=$A147)
*(tblBaseCFResult[Risk]=$E$61)
*(tblBaseCFResult[PremTermScenario]=$E$62)
*(tblBaseCFResult[IntRateScenario]=L$64),"")</f>
        <v>2520038</v>
      </c>
      <c r="M147" s="157" cm="1">
        <f t="array" ref="M147">_xlfn._xlws.FILTER(ROUND(tblBaseCFResult[SV],-3)/1000,
(tblBaseCFResult[Year]=$A147)
*(tblBaseCFResult[Risk]=$E$61)
*(tblBaseCFResult[PremTermScenario]=$E$62)
*(tblBaseCFResult[IntRateScenario]=M$64),"")</f>
        <v>2400329</v>
      </c>
      <c r="N147" s="157" cm="1">
        <f t="array" ref="N147">_xlfn._xlws.FILTER(tblBaseCFResult[Ben]/1000,
(tblBaseCFResult[Year]=$A147)
*(tblBaseCFResult[Risk]=$E$61)
*(tblBaseCFResult[PremTermScenario]=$E$62)
*(tblBaseCFResult[IntRateScenario]=N$64),"")</f>
        <v>9690464.6129361503</v>
      </c>
      <c r="O147" s="157" cm="1">
        <f t="array" ref="O147">_xlfn._xlws.FILTER(ROUND(tblBaseCFResult[EndPAV],-3)/1000,
(tblBaseCFResult[Year]=$A147)
*(tblBaseCFResult[Risk]=$E$61)
*(tblBaseCFResult[PremTermScenario]=$E$62)
*(tblBaseCFResult[IntRateScenario]=O$64),"")</f>
        <v>10368486</v>
      </c>
      <c r="P147" s="157" cm="1">
        <f t="array" ref="P147">_xlfn._xlws.FILTER(ROUND(tblBaseCFResult[SV],-3)/1000,
(tblBaseCFResult[Year]=$A147)
*(tblBaseCFResult[Risk]=$E$61)
*(tblBaseCFResult[PremTermScenario]=$E$62)
*(tblBaseCFResult[IntRateScenario]=P$64),"")</f>
        <v>9690465</v>
      </c>
      <c r="Q147" s="154"/>
      <c r="R147" s="156"/>
      <c r="S147" s="154"/>
      <c r="T147" s="155">
        <v>80</v>
      </c>
      <c r="U147" s="155">
        <f t="shared" si="24"/>
        <v>79</v>
      </c>
      <c r="W147" s="154"/>
      <c r="X147" s="153" t="str">
        <f t="shared" si="25"/>
        <v>80/79</v>
      </c>
      <c r="Y147" s="152" cm="1">
        <f t="array" ref="Y147">_xlfn._xlws.FILTER(tblBaseCFResult[TP]/1000,
(tblBaseCFResult[Year]=$T147)
*(tblBaseCFResult[Risk]=$Y$61)
*(tblBaseCFResult[PremTermScenario]=$Y$62)
*(tblBaseCFResult[IntRateScenario]=Y$64),"")</f>
        <v>0</v>
      </c>
      <c r="Z147" s="152" cm="1">
        <f t="array" ref="Z147">_xlfn._xlws.FILTER(tblBaseCFResult[EP]/1000,
(tblBaseCFResult[Year]=$T147)
*(tblBaseCFResult[Risk]=$Y$61)
*(tblBaseCFResult[PremTermScenario]=$Y$62)
*(tblBaseCFResult[IntRateScenario]=Z$64),"")</f>
        <v>0</v>
      </c>
      <c r="AA147" s="152">
        <f t="shared" si="26"/>
        <v>0</v>
      </c>
      <c r="AB147" s="152" cm="1">
        <f t="array" ref="AB147">_xlfn._xlws.FILTER(ROUND(tblBaseCFResult[AllocChrg],-3)/1000,
(tblBaseCFResult[Year]=$T147)
*(tblBaseCFResult[Risk]=$Y$61)
*(tblBaseCFResult[PremTermScenario]=$Y$62)
*(tblBaseCFResult[IntRateScenario]=AB$64),"")</f>
        <v>0</v>
      </c>
      <c r="AC147" s="152" cm="1">
        <f t="array" ref="AC147">_xlfn._xlws.FILTER(ROUND(tblBaseCFResult[EPAllocChrg],-3)/1000,
(tblBaseCFResult[Year]=$T147)
*(tblBaseCFResult[Risk]=$Y$61)
*(tblBaseCFResult[PremTermScenario]=$Y$62)
*(tblBaseCFResult[IntRateScenario]=AC$64),"")</f>
        <v>0</v>
      </c>
      <c r="AD147" s="152">
        <f t="shared" si="27"/>
        <v>0</v>
      </c>
      <c r="AE147" s="152">
        <f t="shared" si="28"/>
        <v>0</v>
      </c>
      <c r="AF147" s="152">
        <f t="shared" si="29"/>
        <v>0</v>
      </c>
      <c r="AG147" s="152">
        <f t="shared" si="30"/>
        <v>0</v>
      </c>
      <c r="AH147" s="152" cm="1">
        <f t="array" ref="AH147">_xlfn._xlws.FILTER(ROUND(tblBaseCFResult[AdminChrg],-3)/1000,
(tblBaseCFResult[Year]=$T147)
*(tblBaseCFResult[Risk]=$Y$61)
*(tblBaseCFResult[PremTermScenario]=$Y$62)
*(tblBaseCFResult[IntRateScenario]=AH$64),"")</f>
        <v>300</v>
      </c>
      <c r="AI147" s="152" cm="1">
        <f t="array" ref="AI147">_xlfn._xlws.FILTER(ROUND(tblBaseCFResult[COI],-3)/1000,
(tblBaseCFResult[Year]=$T147)
*(tblBaseCFResult[Risk]=$Y$61)
*(tblBaseCFResult[PremTermScenario]=$Y$62)
*(tblBaseCFResult[IntRateScenario]=AI$64),"")</f>
        <v>0</v>
      </c>
      <c r="AJ147" s="152" cm="1">
        <f t="array" ref="AJ147">_xlfn._xlws.FILTER(ROUND(tblBaseCFResult[AdminChrg],-3)/1000,
(tblBaseCFResult[Year]=$T147)
*(tblBaseCFResult[Risk]=$Y$61)
*(tblBaseCFResult[PremTermScenario]=$Y$62)
*(tblBaseCFResult[IntRateScenario]=AJ$64),"")</f>
        <v>300</v>
      </c>
      <c r="AK147" s="152" cm="1">
        <f t="array" ref="AK147">_xlfn._xlws.FILTER(ROUND(tblBaseCFResult[COI],-3)/1000,
(tblBaseCFResult[Year]=$T147)
*(tblBaseCFResult[Risk]=$Y$61)
*(tblBaseCFResult[PremTermScenario]=$Y$62)
*(tblBaseCFResult[IntRateScenario]=AK$64),"")</f>
        <v>0</v>
      </c>
    </row>
    <row r="148" spans="1:37" ht="15" customHeight="1" x14ac:dyDescent="0.25">
      <c r="A148" s="155">
        <v>81</v>
      </c>
      <c r="B148" s="155">
        <f t="shared" si="22"/>
        <v>80</v>
      </c>
      <c r="C148" s="154"/>
      <c r="D148" s="153" t="str">
        <f t="shared" si="23"/>
        <v>81/80</v>
      </c>
      <c r="E148" s="157" cm="1">
        <f t="array" ref="E148">_xlfn._xlws.FILTER(tblBaseCFResult[TotalPrem]/1000,
(tblBaseCFResult[Year]=$A148)
*(tblBaseCFResult[Risk]=$E$61)
*(tblBaseCFResult[PremTermScenario]=$E$62)
*(tblBaseCFResult[IntRateScenario]=E$64),"")</f>
        <v>0</v>
      </c>
      <c r="F148" s="157" cm="1">
        <f t="array" ref="F148">_xlfn._xlws.FILTER(tblBaseCFResult[AccumTotalPrem]/1000,
(tblBaseCFResult[Year]=$A148)
*(tblBaseCFResult[Risk]=$E$61)
*(tblBaseCFResult[PremTermScenario]=$E$62)
*(tblBaseCFResult[IntRateScenario]=F$64),"")</f>
        <v>0</v>
      </c>
      <c r="G148" s="157" cm="1">
        <f t="array" ref="G148">_xlfn._xlws.FILTER(ROUND(tblBaseCFResult[SemiAnnualTotalPrem],-3)/1000,
(tblBaseCFResult[Year]=$A148)
*(tblBaseCFResult[Risk]=$E$61)
*(tblBaseCFResult[PremTermScenario]=$E$62)
*(tblBaseCFResult[IntRateScenario]=G$64),"")</f>
        <v>0</v>
      </c>
      <c r="H148" s="157" cm="1">
        <f t="array" ref="H148">_xlfn._xlws.FILTER(tblBaseCFResult[Ben]/1000,
(tblBaseCFResult[Year]=$A148)
*(tblBaseCFResult[Risk]=$E$61)
*(tblBaseCFResult[PremTermScenario]=$E$62)
*(tblBaseCFResult[IntRateScenario]=H$64),"")</f>
        <v>274479.201696495</v>
      </c>
      <c r="I148" s="157" cm="1">
        <f t="array" ref="I148">_xlfn._xlws.FILTER(ROUND(tblBaseCFResult[EndPAV],-3)/1000,
(tblBaseCFResult[Year]=$A148)
*(tblBaseCFResult[Risk]=$E$61)
*(tblBaseCFResult[PremTermScenario]=$E$62)
*(tblBaseCFResult[IntRateScenario]=I$64),"")</f>
        <v>279666</v>
      </c>
      <c r="J148" s="157" cm="1">
        <f t="array" ref="J148">_xlfn._xlws.FILTER(ROUND(tblBaseCFResult[SV],-3)/1000,
(tblBaseCFResult[Year]=$A148)
*(tblBaseCFResult[Risk]=$E$61)
*(tblBaseCFResult[PremTermScenario]=$E$62)
*(tblBaseCFResult[IntRateScenario]=J$64),"")</f>
        <v>274479</v>
      </c>
      <c r="K148" s="157" cm="1">
        <f t="array" ref="K148">_xlfn._xlws.FILTER(tblBaseCFResult[Ben]/1000,
(tblBaseCFResult[Year]=$A148)
*(tblBaseCFResult[Risk]=$E$61)
*(tblBaseCFResult[PremTermScenario]=$E$62)
*(tblBaseCFResult[IntRateScenario]=K$64),"")</f>
        <v>2520037.5841487097</v>
      </c>
      <c r="L148" s="157" cm="1">
        <f t="array" ref="L148">_xlfn._xlws.FILTER(ROUND(tblBaseCFResult[EndPAV],-3)/1000,
(tblBaseCFResult[Year]=$A148)
*(tblBaseCFResult[Risk]=$E$61)
*(tblBaseCFResult[PremTermScenario]=$E$62)
*(tblBaseCFResult[IntRateScenario]=L$64),"")</f>
        <v>2645731</v>
      </c>
      <c r="M148" s="157" cm="1">
        <f t="array" ref="M148">_xlfn._xlws.FILTER(ROUND(tblBaseCFResult[SV],-3)/1000,
(tblBaseCFResult[Year]=$A148)
*(tblBaseCFResult[Risk]=$E$61)
*(tblBaseCFResult[PremTermScenario]=$E$62)
*(tblBaseCFResult[IntRateScenario]=M$64),"")</f>
        <v>2520038</v>
      </c>
      <c r="N148" s="157" cm="1">
        <f t="array" ref="N148">_xlfn._xlws.FILTER(tblBaseCFResult[Ben]/1000,
(tblBaseCFResult[Year]=$A148)
*(tblBaseCFResult[Risk]=$E$61)
*(tblBaseCFResult[PremTermScenario]=$E$62)
*(tblBaseCFResult[IntRateScenario]=N$64),"")</f>
        <v>10368485.878412999</v>
      </c>
      <c r="O148" s="157" cm="1">
        <f t="array" ref="O148">_xlfn._xlws.FILTER(ROUND(tblBaseCFResult[EndPAV],-3)/1000,
(tblBaseCFResult[Year]=$A148)
*(tblBaseCFResult[Risk]=$E$61)
*(tblBaseCFResult[PremTermScenario]=$E$62)
*(tblBaseCFResult[IntRateScenario]=O$64),"")</f>
        <v>11093969</v>
      </c>
      <c r="P148" s="157" cm="1">
        <f t="array" ref="P148">_xlfn._xlws.FILTER(ROUND(tblBaseCFResult[SV],-3)/1000,
(tblBaseCFResult[Year]=$A148)
*(tblBaseCFResult[Risk]=$E$61)
*(tblBaseCFResult[PremTermScenario]=$E$62)
*(tblBaseCFResult[IntRateScenario]=P$64),"")</f>
        <v>10368486</v>
      </c>
      <c r="Q148" s="154"/>
      <c r="R148" s="156"/>
      <c r="S148" s="154"/>
      <c r="T148" s="155">
        <v>81</v>
      </c>
      <c r="U148" s="155">
        <f t="shared" si="24"/>
        <v>80</v>
      </c>
      <c r="W148" s="154"/>
      <c r="X148" s="153" t="str">
        <f t="shared" si="25"/>
        <v>81/80</v>
      </c>
      <c r="Y148" s="152" cm="1">
        <f t="array" ref="Y148">_xlfn._xlws.FILTER(tblBaseCFResult[TP]/1000,
(tblBaseCFResult[Year]=$T148)
*(tblBaseCFResult[Risk]=$Y$61)
*(tblBaseCFResult[PremTermScenario]=$Y$62)
*(tblBaseCFResult[IntRateScenario]=Y$64),"")</f>
        <v>0</v>
      </c>
      <c r="Z148" s="152" cm="1">
        <f t="array" ref="Z148">_xlfn._xlws.FILTER(tblBaseCFResult[EP]/1000,
(tblBaseCFResult[Year]=$T148)
*(tblBaseCFResult[Risk]=$Y$61)
*(tblBaseCFResult[PremTermScenario]=$Y$62)
*(tblBaseCFResult[IntRateScenario]=Z$64),"")</f>
        <v>0</v>
      </c>
      <c r="AA148" s="152">
        <f t="shared" si="26"/>
        <v>0</v>
      </c>
      <c r="AB148" s="152" cm="1">
        <f t="array" ref="AB148">_xlfn._xlws.FILTER(ROUND(tblBaseCFResult[AllocChrg],-3)/1000,
(tblBaseCFResult[Year]=$T148)
*(tblBaseCFResult[Risk]=$Y$61)
*(tblBaseCFResult[PremTermScenario]=$Y$62)
*(tblBaseCFResult[IntRateScenario]=AB$64),"")</f>
        <v>0</v>
      </c>
      <c r="AC148" s="152" cm="1">
        <f t="array" ref="AC148">_xlfn._xlws.FILTER(ROUND(tblBaseCFResult[EPAllocChrg],-3)/1000,
(tblBaseCFResult[Year]=$T148)
*(tblBaseCFResult[Risk]=$Y$61)
*(tblBaseCFResult[PremTermScenario]=$Y$62)
*(tblBaseCFResult[IntRateScenario]=AC$64),"")</f>
        <v>0</v>
      </c>
      <c r="AD148" s="152">
        <f t="shared" si="27"/>
        <v>0</v>
      </c>
      <c r="AE148" s="152">
        <f t="shared" si="28"/>
        <v>0</v>
      </c>
      <c r="AF148" s="152">
        <f t="shared" si="29"/>
        <v>0</v>
      </c>
      <c r="AG148" s="152">
        <f t="shared" si="30"/>
        <v>0</v>
      </c>
      <c r="AH148" s="152" cm="1">
        <f t="array" ref="AH148">_xlfn._xlws.FILTER(ROUND(tblBaseCFResult[AdminChrg],-3)/1000,
(tblBaseCFResult[Year]=$T148)
*(tblBaseCFResult[Risk]=$Y$61)
*(tblBaseCFResult[PremTermScenario]=$Y$62)
*(tblBaseCFResult[IntRateScenario]=AH$64),"")</f>
        <v>300</v>
      </c>
      <c r="AI148" s="152" cm="1">
        <f t="array" ref="AI148">_xlfn._xlws.FILTER(ROUND(tblBaseCFResult[COI],-3)/1000,
(tblBaseCFResult[Year]=$T148)
*(tblBaseCFResult[Risk]=$Y$61)
*(tblBaseCFResult[PremTermScenario]=$Y$62)
*(tblBaseCFResult[IntRateScenario]=AI$64),"")</f>
        <v>0</v>
      </c>
      <c r="AJ148" s="152" cm="1">
        <f t="array" ref="AJ148">_xlfn._xlws.FILTER(ROUND(tblBaseCFResult[AdminChrg],-3)/1000,
(tblBaseCFResult[Year]=$T148)
*(tblBaseCFResult[Risk]=$Y$61)
*(tblBaseCFResult[PremTermScenario]=$Y$62)
*(tblBaseCFResult[IntRateScenario]=AJ$64),"")</f>
        <v>300</v>
      </c>
      <c r="AK148" s="152" cm="1">
        <f t="array" ref="AK148">_xlfn._xlws.FILTER(ROUND(tblBaseCFResult[COI],-3)/1000,
(tblBaseCFResult[Year]=$T148)
*(tblBaseCFResult[Risk]=$Y$61)
*(tblBaseCFResult[PremTermScenario]=$Y$62)
*(tblBaseCFResult[IntRateScenario]=AK$64),"")</f>
        <v>0</v>
      </c>
    </row>
    <row r="149" spans="1:37" ht="15" customHeight="1" x14ac:dyDescent="0.25">
      <c r="A149" s="155">
        <v>82</v>
      </c>
      <c r="B149" s="155">
        <f t="shared" si="22"/>
        <v>81</v>
      </c>
      <c r="C149" s="154"/>
      <c r="D149" s="153" t="str">
        <f t="shared" si="23"/>
        <v>82/81</v>
      </c>
      <c r="E149" s="157" cm="1">
        <f t="array" ref="E149">_xlfn._xlws.FILTER(tblBaseCFResult[TotalPrem]/1000,
(tblBaseCFResult[Year]=$A149)
*(tblBaseCFResult[Risk]=$E$61)
*(tblBaseCFResult[PremTermScenario]=$E$62)
*(tblBaseCFResult[IntRateScenario]=E$64),"")</f>
        <v>0</v>
      </c>
      <c r="F149" s="157" cm="1">
        <f t="array" ref="F149">_xlfn._xlws.FILTER(tblBaseCFResult[AccumTotalPrem]/1000,
(tblBaseCFResult[Year]=$A149)
*(tblBaseCFResult[Risk]=$E$61)
*(tblBaseCFResult[PremTermScenario]=$E$62)
*(tblBaseCFResult[IntRateScenario]=F$64),"")</f>
        <v>0</v>
      </c>
      <c r="G149" s="157" cm="1">
        <f t="array" ref="G149">_xlfn._xlws.FILTER(ROUND(tblBaseCFResult[SemiAnnualTotalPrem],-3)/1000,
(tblBaseCFResult[Year]=$A149)
*(tblBaseCFResult[Risk]=$E$61)
*(tblBaseCFResult[PremTermScenario]=$E$62)
*(tblBaseCFResult[IntRateScenario]=G$64),"")</f>
        <v>0</v>
      </c>
      <c r="H149" s="157" cm="1">
        <f t="array" ref="H149">_xlfn._xlws.FILTER(tblBaseCFResult[Ben]/1000,
(tblBaseCFResult[Year]=$A149)
*(tblBaseCFResult[Risk]=$E$61)
*(tblBaseCFResult[PremTermScenario]=$E$62)
*(tblBaseCFResult[IntRateScenario]=H$64),"")</f>
        <v>279665.54556291504</v>
      </c>
      <c r="I149" s="157" cm="1">
        <f t="array" ref="I149">_xlfn._xlws.FILTER(ROUND(tblBaseCFResult[EndPAV],-3)/1000,
(tblBaseCFResult[Year]=$A149)
*(tblBaseCFResult[Risk]=$E$61)
*(tblBaseCFResult[PremTermScenario]=$E$62)
*(tblBaseCFResult[IntRateScenario]=I$64),"")</f>
        <v>284956</v>
      </c>
      <c r="J149" s="157" cm="1">
        <f t="array" ref="J149">_xlfn._xlws.FILTER(ROUND(tblBaseCFResult[SV],-3)/1000,
(tblBaseCFResult[Year]=$A149)
*(tblBaseCFResult[Risk]=$E$61)
*(tblBaseCFResult[PremTermScenario]=$E$62)
*(tblBaseCFResult[IntRateScenario]=J$64),"")</f>
        <v>279666</v>
      </c>
      <c r="K149" s="157" cm="1">
        <f t="array" ref="K149">_xlfn._xlws.FILTER(tblBaseCFResult[Ben]/1000,
(tblBaseCFResult[Year]=$A149)
*(tblBaseCFResult[Risk]=$E$61)
*(tblBaseCFResult[PremTermScenario]=$E$62)
*(tblBaseCFResult[IntRateScenario]=K$64),"")</f>
        <v>2645731.3989178999</v>
      </c>
      <c r="L149" s="157" cm="1">
        <f t="array" ref="L149">_xlfn._xlws.FILTER(ROUND(tblBaseCFResult[EndPAV],-3)/1000,
(tblBaseCFResult[Year]=$A149)
*(tblBaseCFResult[Risk]=$E$61)
*(tblBaseCFResult[PremTermScenario]=$E$62)
*(tblBaseCFResult[IntRateScenario]=L$64),"")</f>
        <v>2777710</v>
      </c>
      <c r="M149" s="157" cm="1">
        <f t="array" ref="M149">_xlfn._xlws.FILTER(ROUND(tblBaseCFResult[SV],-3)/1000,
(tblBaseCFResult[Year]=$A149)
*(tblBaseCFResult[Risk]=$E$61)
*(tblBaseCFResult[PremTermScenario]=$E$62)
*(tblBaseCFResult[IntRateScenario]=M$64),"")</f>
        <v>2645731</v>
      </c>
      <c r="N149" s="157" cm="1">
        <f t="array" ref="N149">_xlfn._xlws.FILTER(tblBaseCFResult[Ben]/1000,
(tblBaseCFResult[Year]=$A149)
*(tblBaseCFResult[Risk]=$E$61)
*(tblBaseCFResult[PremTermScenario]=$E$62)
*(tblBaseCFResult[IntRateScenario]=N$64),"")</f>
        <v>11093968.632473301</v>
      </c>
      <c r="O149" s="157" cm="1">
        <f t="array" ref="O149">_xlfn._xlws.FILTER(ROUND(tblBaseCFResult[EndPAV],-3)/1000,
(tblBaseCFResult[Year]=$A149)
*(tblBaseCFResult[Risk]=$E$61)
*(tblBaseCFResult[PremTermScenario]=$E$62)
*(tblBaseCFResult[IntRateScenario]=O$64),"")</f>
        <v>11870235</v>
      </c>
      <c r="P149" s="157" cm="1">
        <f t="array" ref="P149">_xlfn._xlws.FILTER(ROUND(tblBaseCFResult[SV],-3)/1000,
(tblBaseCFResult[Year]=$A149)
*(tblBaseCFResult[Risk]=$E$61)
*(tblBaseCFResult[PremTermScenario]=$E$62)
*(tblBaseCFResult[IntRateScenario]=P$64),"")</f>
        <v>11093969</v>
      </c>
      <c r="Q149" s="154"/>
      <c r="R149" s="156"/>
      <c r="S149" s="154"/>
      <c r="T149" s="155">
        <v>82</v>
      </c>
      <c r="U149" s="155">
        <f t="shared" si="24"/>
        <v>81</v>
      </c>
      <c r="W149" s="154"/>
      <c r="X149" s="153" t="str">
        <f t="shared" si="25"/>
        <v>82/81</v>
      </c>
      <c r="Y149" s="152" cm="1">
        <f t="array" ref="Y149">_xlfn._xlws.FILTER(tblBaseCFResult[TP]/1000,
(tblBaseCFResult[Year]=$T149)
*(tblBaseCFResult[Risk]=$Y$61)
*(tblBaseCFResult[PremTermScenario]=$Y$62)
*(tblBaseCFResult[IntRateScenario]=Y$64),"")</f>
        <v>0</v>
      </c>
      <c r="Z149" s="152" cm="1">
        <f t="array" ref="Z149">_xlfn._xlws.FILTER(tblBaseCFResult[EP]/1000,
(tblBaseCFResult[Year]=$T149)
*(tblBaseCFResult[Risk]=$Y$61)
*(tblBaseCFResult[PremTermScenario]=$Y$62)
*(tblBaseCFResult[IntRateScenario]=Z$64),"")</f>
        <v>0</v>
      </c>
      <c r="AA149" s="152">
        <f t="shared" si="26"/>
        <v>0</v>
      </c>
      <c r="AB149" s="152" cm="1">
        <f t="array" ref="AB149">_xlfn._xlws.FILTER(ROUND(tblBaseCFResult[AllocChrg],-3)/1000,
(tblBaseCFResult[Year]=$T149)
*(tblBaseCFResult[Risk]=$Y$61)
*(tblBaseCFResult[PremTermScenario]=$Y$62)
*(tblBaseCFResult[IntRateScenario]=AB$64),"")</f>
        <v>0</v>
      </c>
      <c r="AC149" s="152" cm="1">
        <f t="array" ref="AC149">_xlfn._xlws.FILTER(ROUND(tblBaseCFResult[EPAllocChrg],-3)/1000,
(tblBaseCFResult[Year]=$T149)
*(tblBaseCFResult[Risk]=$Y$61)
*(tblBaseCFResult[PremTermScenario]=$Y$62)
*(tblBaseCFResult[IntRateScenario]=AC$64),"")</f>
        <v>0</v>
      </c>
      <c r="AD149" s="152">
        <f t="shared" si="27"/>
        <v>0</v>
      </c>
      <c r="AE149" s="152">
        <f t="shared" si="28"/>
        <v>0</v>
      </c>
      <c r="AF149" s="152">
        <f t="shared" si="29"/>
        <v>0</v>
      </c>
      <c r="AG149" s="152">
        <f t="shared" si="30"/>
        <v>0</v>
      </c>
      <c r="AH149" s="152" cm="1">
        <f t="array" ref="AH149">_xlfn._xlws.FILTER(ROUND(tblBaseCFResult[AdminChrg],-3)/1000,
(tblBaseCFResult[Year]=$T149)
*(tblBaseCFResult[Risk]=$Y$61)
*(tblBaseCFResult[PremTermScenario]=$Y$62)
*(tblBaseCFResult[IntRateScenario]=AH$64),"")</f>
        <v>300</v>
      </c>
      <c r="AI149" s="152" cm="1">
        <f t="array" ref="AI149">_xlfn._xlws.FILTER(ROUND(tblBaseCFResult[COI],-3)/1000,
(tblBaseCFResult[Year]=$T149)
*(tblBaseCFResult[Risk]=$Y$61)
*(tblBaseCFResult[PremTermScenario]=$Y$62)
*(tblBaseCFResult[IntRateScenario]=AI$64),"")</f>
        <v>0</v>
      </c>
      <c r="AJ149" s="152" cm="1">
        <f t="array" ref="AJ149">_xlfn._xlws.FILTER(ROUND(tblBaseCFResult[AdminChrg],-3)/1000,
(tblBaseCFResult[Year]=$T149)
*(tblBaseCFResult[Risk]=$Y$61)
*(tblBaseCFResult[PremTermScenario]=$Y$62)
*(tblBaseCFResult[IntRateScenario]=AJ$64),"")</f>
        <v>300</v>
      </c>
      <c r="AK149" s="152" cm="1">
        <f t="array" ref="AK149">_xlfn._xlws.FILTER(ROUND(tblBaseCFResult[COI],-3)/1000,
(tblBaseCFResult[Year]=$T149)
*(tblBaseCFResult[Risk]=$Y$61)
*(tblBaseCFResult[PremTermScenario]=$Y$62)
*(tblBaseCFResult[IntRateScenario]=AK$64),"")</f>
        <v>0</v>
      </c>
    </row>
    <row r="150" spans="1:37" ht="15" customHeight="1" x14ac:dyDescent="0.25">
      <c r="A150" s="155">
        <v>83</v>
      </c>
      <c r="B150" s="155">
        <f t="shared" si="22"/>
        <v>82</v>
      </c>
      <c r="C150" s="154"/>
      <c r="D150" s="153" t="str">
        <f t="shared" si="23"/>
        <v>83/82</v>
      </c>
      <c r="E150" s="157" cm="1">
        <f t="array" ref="E150">_xlfn._xlws.FILTER(tblBaseCFResult[TotalPrem]/1000,
(tblBaseCFResult[Year]=$A150)
*(tblBaseCFResult[Risk]=$E$61)
*(tblBaseCFResult[PremTermScenario]=$E$62)
*(tblBaseCFResult[IntRateScenario]=E$64),"")</f>
        <v>0</v>
      </c>
      <c r="F150" s="157" cm="1">
        <f t="array" ref="F150">_xlfn._xlws.FILTER(tblBaseCFResult[AccumTotalPrem]/1000,
(tblBaseCFResult[Year]=$A150)
*(tblBaseCFResult[Risk]=$E$61)
*(tblBaseCFResult[PremTermScenario]=$E$62)
*(tblBaseCFResult[IntRateScenario]=F$64),"")</f>
        <v>0</v>
      </c>
      <c r="G150" s="157" cm="1">
        <f t="array" ref="G150">_xlfn._xlws.FILTER(ROUND(tblBaseCFResult[SemiAnnualTotalPrem],-3)/1000,
(tblBaseCFResult[Year]=$A150)
*(tblBaseCFResult[Risk]=$E$61)
*(tblBaseCFResult[PremTermScenario]=$E$62)
*(tblBaseCFResult[IntRateScenario]=G$64),"")</f>
        <v>0</v>
      </c>
      <c r="H150" s="157" cm="1">
        <f t="array" ref="H150">_xlfn._xlws.FILTER(tblBaseCFResult[Ben]/1000,
(tblBaseCFResult[Year]=$A150)
*(tblBaseCFResult[Risk]=$E$61)
*(tblBaseCFResult[PremTermScenario]=$E$62)
*(tblBaseCFResult[IntRateScenario]=H$64),"")</f>
        <v>284955.61630666297</v>
      </c>
      <c r="I150" s="157" cm="1">
        <f t="array" ref="I150">_xlfn._xlws.FILTER(ROUND(tblBaseCFResult[EndPAV],-3)/1000,
(tblBaseCFResult[Year]=$A150)
*(tblBaseCFResult[Risk]=$E$61)
*(tblBaseCFResult[PremTermScenario]=$E$62)
*(tblBaseCFResult[IntRateScenario]=I$64),"")</f>
        <v>290351</v>
      </c>
      <c r="J150" s="157" cm="1">
        <f t="array" ref="J150">_xlfn._xlws.FILTER(ROUND(tblBaseCFResult[SV],-3)/1000,
(tblBaseCFResult[Year]=$A150)
*(tblBaseCFResult[Risk]=$E$61)
*(tblBaseCFResult[PremTermScenario]=$E$62)
*(tblBaseCFResult[IntRateScenario]=J$64),"")</f>
        <v>284956</v>
      </c>
      <c r="K150" s="157" cm="1">
        <f t="array" ref="K150">_xlfn._xlws.FILTER(tblBaseCFResult[Ben]/1000,
(tblBaseCFResult[Year]=$A150)
*(tblBaseCFResult[Risk]=$E$61)
*(tblBaseCFResult[PremTermScenario]=$E$62)
*(tblBaseCFResult[IntRateScenario]=K$64),"")</f>
        <v>2777709.90442556</v>
      </c>
      <c r="L150" s="157" cm="1">
        <f t="array" ref="L150">_xlfn._xlws.FILTER(ROUND(tblBaseCFResult[EndPAV],-3)/1000,
(tblBaseCFResult[Year]=$A150)
*(tblBaseCFResult[Risk]=$E$61)
*(tblBaseCFResult[PremTermScenario]=$E$62)
*(tblBaseCFResult[IntRateScenario]=L$64),"")</f>
        <v>2916287</v>
      </c>
      <c r="M150" s="157" cm="1">
        <f t="array" ref="M150">_xlfn._xlws.FILTER(ROUND(tblBaseCFResult[SV],-3)/1000,
(tblBaseCFResult[Year]=$A150)
*(tblBaseCFResult[Risk]=$E$61)
*(tblBaseCFResult[PremTermScenario]=$E$62)
*(tblBaseCFResult[IntRateScenario]=M$64),"")</f>
        <v>2777710</v>
      </c>
      <c r="N150" s="157" cm="1">
        <f t="array" ref="N150">_xlfn._xlws.FILTER(tblBaseCFResult[Ben]/1000,
(tblBaseCFResult[Year]=$A150)
*(tblBaseCFResult[Risk]=$E$61)
*(tblBaseCFResult[PremTermScenario]=$E$62)
*(tblBaseCFResult[IntRateScenario]=N$64),"")</f>
        <v>11870235.1793178</v>
      </c>
      <c r="O150" s="157" cm="1">
        <f t="array" ref="O150">_xlfn._xlws.FILTER(ROUND(tblBaseCFResult[EndPAV],-3)/1000,
(tblBaseCFResult[Year]=$A150)
*(tblBaseCFResult[Risk]=$E$61)
*(tblBaseCFResult[PremTermScenario]=$E$62)
*(tblBaseCFResult[IntRateScenario]=O$64),"")</f>
        <v>12700840</v>
      </c>
      <c r="P150" s="157" cm="1">
        <f t="array" ref="P150">_xlfn._xlws.FILTER(ROUND(tblBaseCFResult[SV],-3)/1000,
(tblBaseCFResult[Year]=$A150)
*(tblBaseCFResult[Risk]=$E$61)
*(tblBaseCFResult[PremTermScenario]=$E$62)
*(tblBaseCFResult[IntRateScenario]=P$64),"")</f>
        <v>11870235</v>
      </c>
      <c r="Q150" s="154"/>
      <c r="R150" s="156"/>
      <c r="S150" s="154"/>
      <c r="T150" s="155">
        <v>83</v>
      </c>
      <c r="U150" s="155">
        <f t="shared" si="24"/>
        <v>82</v>
      </c>
      <c r="W150" s="154"/>
      <c r="X150" s="153" t="str">
        <f t="shared" si="25"/>
        <v>83/82</v>
      </c>
      <c r="Y150" s="152" cm="1">
        <f t="array" ref="Y150">_xlfn._xlws.FILTER(tblBaseCFResult[TP]/1000,
(tblBaseCFResult[Year]=$T150)
*(tblBaseCFResult[Risk]=$Y$61)
*(tblBaseCFResult[PremTermScenario]=$Y$62)
*(tblBaseCFResult[IntRateScenario]=Y$64),"")</f>
        <v>0</v>
      </c>
      <c r="Z150" s="152" cm="1">
        <f t="array" ref="Z150">_xlfn._xlws.FILTER(tblBaseCFResult[EP]/1000,
(tblBaseCFResult[Year]=$T150)
*(tblBaseCFResult[Risk]=$Y$61)
*(tblBaseCFResult[PremTermScenario]=$Y$62)
*(tblBaseCFResult[IntRateScenario]=Z$64),"")</f>
        <v>0</v>
      </c>
      <c r="AA150" s="152">
        <f t="shared" si="26"/>
        <v>0</v>
      </c>
      <c r="AB150" s="152" cm="1">
        <f t="array" ref="AB150">_xlfn._xlws.FILTER(ROUND(tblBaseCFResult[AllocChrg],-3)/1000,
(tblBaseCFResult[Year]=$T150)
*(tblBaseCFResult[Risk]=$Y$61)
*(tblBaseCFResult[PremTermScenario]=$Y$62)
*(tblBaseCFResult[IntRateScenario]=AB$64),"")</f>
        <v>0</v>
      </c>
      <c r="AC150" s="152" cm="1">
        <f t="array" ref="AC150">_xlfn._xlws.FILTER(ROUND(tblBaseCFResult[EPAllocChrg],-3)/1000,
(tblBaseCFResult[Year]=$T150)
*(tblBaseCFResult[Risk]=$Y$61)
*(tblBaseCFResult[PremTermScenario]=$Y$62)
*(tblBaseCFResult[IntRateScenario]=AC$64),"")</f>
        <v>0</v>
      </c>
      <c r="AD150" s="152">
        <f t="shared" si="27"/>
        <v>0</v>
      </c>
      <c r="AE150" s="152">
        <f t="shared" si="28"/>
        <v>0</v>
      </c>
      <c r="AF150" s="152">
        <f t="shared" si="29"/>
        <v>0</v>
      </c>
      <c r="AG150" s="152">
        <f t="shared" si="30"/>
        <v>0</v>
      </c>
      <c r="AH150" s="152" cm="1">
        <f t="array" ref="AH150">_xlfn._xlws.FILTER(ROUND(tblBaseCFResult[AdminChrg],-3)/1000,
(tblBaseCFResult[Year]=$T150)
*(tblBaseCFResult[Risk]=$Y$61)
*(tblBaseCFResult[PremTermScenario]=$Y$62)
*(tblBaseCFResult[IntRateScenario]=AH$64),"")</f>
        <v>300</v>
      </c>
      <c r="AI150" s="152" cm="1">
        <f t="array" ref="AI150">_xlfn._xlws.FILTER(ROUND(tblBaseCFResult[COI],-3)/1000,
(tblBaseCFResult[Year]=$T150)
*(tblBaseCFResult[Risk]=$Y$61)
*(tblBaseCFResult[PremTermScenario]=$Y$62)
*(tblBaseCFResult[IntRateScenario]=AI$64),"")</f>
        <v>0</v>
      </c>
      <c r="AJ150" s="152" cm="1">
        <f t="array" ref="AJ150">_xlfn._xlws.FILTER(ROUND(tblBaseCFResult[AdminChrg],-3)/1000,
(tblBaseCFResult[Year]=$T150)
*(tblBaseCFResult[Risk]=$Y$61)
*(tblBaseCFResult[PremTermScenario]=$Y$62)
*(tblBaseCFResult[IntRateScenario]=AJ$64),"")</f>
        <v>300</v>
      </c>
      <c r="AK150" s="152" cm="1">
        <f t="array" ref="AK150">_xlfn._xlws.FILTER(ROUND(tblBaseCFResult[COI],-3)/1000,
(tblBaseCFResult[Year]=$T150)
*(tblBaseCFResult[Risk]=$Y$61)
*(tblBaseCFResult[PremTermScenario]=$Y$62)
*(tblBaseCFResult[IntRateScenario]=AK$64),"")</f>
        <v>0</v>
      </c>
    </row>
    <row r="151" spans="1:37" ht="15" customHeight="1" x14ac:dyDescent="0.25">
      <c r="A151" s="155">
        <v>84</v>
      </c>
      <c r="B151" s="155">
        <f t="shared" si="22"/>
        <v>83</v>
      </c>
      <c r="C151" s="154"/>
      <c r="D151" s="153" t="str">
        <f t="shared" si="23"/>
        <v>84/83</v>
      </c>
      <c r="E151" s="157" cm="1">
        <f t="array" ref="E151">_xlfn._xlws.FILTER(tblBaseCFResult[TotalPrem]/1000,
(tblBaseCFResult[Year]=$A151)
*(tblBaseCFResult[Risk]=$E$61)
*(tblBaseCFResult[PremTermScenario]=$E$62)
*(tblBaseCFResult[IntRateScenario]=E$64),"")</f>
        <v>0</v>
      </c>
      <c r="F151" s="157" cm="1">
        <f t="array" ref="F151">_xlfn._xlws.FILTER(tblBaseCFResult[AccumTotalPrem]/1000,
(tblBaseCFResult[Year]=$A151)
*(tblBaseCFResult[Risk]=$E$61)
*(tblBaseCFResult[PremTermScenario]=$E$62)
*(tblBaseCFResult[IntRateScenario]=F$64),"")</f>
        <v>0</v>
      </c>
      <c r="G151" s="157" cm="1">
        <f t="array" ref="G151">_xlfn._xlws.FILTER(ROUND(tblBaseCFResult[SemiAnnualTotalPrem],-3)/1000,
(tblBaseCFResult[Year]=$A151)
*(tblBaseCFResult[Risk]=$E$61)
*(tblBaseCFResult[PremTermScenario]=$E$62)
*(tblBaseCFResult[IntRateScenario]=G$64),"")</f>
        <v>0</v>
      </c>
      <c r="H151" s="157" cm="1">
        <f t="array" ref="H151">_xlfn._xlws.FILTER(tblBaseCFResult[Ben]/1000,
(tblBaseCFResult[Year]=$A151)
*(tblBaseCFResult[Risk]=$E$61)
*(tblBaseCFResult[PremTermScenario]=$E$62)
*(tblBaseCFResult[IntRateScenario]=H$64),"")</f>
        <v>290351.48846528603</v>
      </c>
      <c r="I151" s="157" cm="1">
        <f t="array" ref="I151">_xlfn._xlws.FILTER(ROUND(tblBaseCFResult[EndPAV],-3)/1000,
(tblBaseCFResult[Year]=$A151)
*(tblBaseCFResult[Risk]=$E$61)
*(tblBaseCFResult[PremTermScenario]=$E$62)
*(tblBaseCFResult[IntRateScenario]=I$64),"")</f>
        <v>295855</v>
      </c>
      <c r="J151" s="157" cm="1">
        <f t="array" ref="J151">_xlfn._xlws.FILTER(ROUND(tblBaseCFResult[SV],-3)/1000,
(tblBaseCFResult[Year]=$A151)
*(tblBaseCFResult[Risk]=$E$61)
*(tblBaseCFResult[PremTermScenario]=$E$62)
*(tblBaseCFResult[IntRateScenario]=J$64),"")</f>
        <v>290351</v>
      </c>
      <c r="K151" s="157" cm="1">
        <f t="array" ref="K151">_xlfn._xlws.FILTER(tblBaseCFResult[Ben]/1000,
(tblBaseCFResult[Year]=$A151)
*(tblBaseCFResult[Risk]=$E$61)
*(tblBaseCFResult[PremTermScenario]=$E$62)
*(tblBaseCFResult[IntRateScenario]=K$64),"")</f>
        <v>2916287.3352085901</v>
      </c>
      <c r="L151" s="157" cm="1">
        <f t="array" ref="L151">_xlfn._xlws.FILTER(ROUND(tblBaseCFResult[EndPAV],-3)/1000,
(tblBaseCFResult[Year]=$A151)
*(tblBaseCFResult[Risk]=$E$61)
*(tblBaseCFResult[PremTermScenario]=$E$62)
*(tblBaseCFResult[IntRateScenario]=L$64),"")</f>
        <v>3061794</v>
      </c>
      <c r="M151" s="157" cm="1">
        <f t="array" ref="M151">_xlfn._xlws.FILTER(ROUND(tblBaseCFResult[SV],-3)/1000,
(tblBaseCFResult[Year]=$A151)
*(tblBaseCFResult[Risk]=$E$61)
*(tblBaseCFResult[PremTermScenario]=$E$62)
*(tblBaseCFResult[IntRateScenario]=M$64),"")</f>
        <v>2916287</v>
      </c>
      <c r="N151" s="157" cm="1">
        <f t="array" ref="N151">_xlfn._xlws.FILTER(tblBaseCFResult[Ben]/1000,
(tblBaseCFResult[Year]=$A151)
*(tblBaseCFResult[Risk]=$E$61)
*(tblBaseCFResult[PremTermScenario]=$E$62)
*(tblBaseCFResult[IntRateScenario]=N$64),"")</f>
        <v>12700840.3844414</v>
      </c>
      <c r="O151" s="157" cm="1">
        <f t="array" ref="O151">_xlfn._xlws.FILTER(ROUND(tblBaseCFResult[EndPAV],-3)/1000,
(tblBaseCFResult[Year]=$A151)
*(tblBaseCFResult[Risk]=$E$61)
*(tblBaseCFResult[PremTermScenario]=$E$62)
*(tblBaseCFResult[IntRateScenario]=O$64),"")</f>
        <v>13589588</v>
      </c>
      <c r="P151" s="157" cm="1">
        <f t="array" ref="P151">_xlfn._xlws.FILTER(ROUND(tblBaseCFResult[SV],-3)/1000,
(tblBaseCFResult[Year]=$A151)
*(tblBaseCFResult[Risk]=$E$61)
*(tblBaseCFResult[PremTermScenario]=$E$62)
*(tblBaseCFResult[IntRateScenario]=P$64),"")</f>
        <v>12700840</v>
      </c>
      <c r="Q151" s="154"/>
      <c r="R151" s="156"/>
      <c r="S151" s="154"/>
      <c r="T151" s="155">
        <v>84</v>
      </c>
      <c r="U151" s="155">
        <f t="shared" si="24"/>
        <v>83</v>
      </c>
      <c r="W151" s="154"/>
      <c r="X151" s="153" t="str">
        <f t="shared" si="25"/>
        <v>84/83</v>
      </c>
      <c r="Y151" s="152" cm="1">
        <f t="array" ref="Y151">_xlfn._xlws.FILTER(tblBaseCFResult[TP]/1000,
(tblBaseCFResult[Year]=$T151)
*(tblBaseCFResult[Risk]=$Y$61)
*(tblBaseCFResult[PremTermScenario]=$Y$62)
*(tblBaseCFResult[IntRateScenario]=Y$64),"")</f>
        <v>0</v>
      </c>
      <c r="Z151" s="152" cm="1">
        <f t="array" ref="Z151">_xlfn._xlws.FILTER(tblBaseCFResult[EP]/1000,
(tblBaseCFResult[Year]=$T151)
*(tblBaseCFResult[Risk]=$Y$61)
*(tblBaseCFResult[PremTermScenario]=$Y$62)
*(tblBaseCFResult[IntRateScenario]=Z$64),"")</f>
        <v>0</v>
      </c>
      <c r="AA151" s="152">
        <f t="shared" si="26"/>
        <v>0</v>
      </c>
      <c r="AB151" s="152" cm="1">
        <f t="array" ref="AB151">_xlfn._xlws.FILTER(ROUND(tblBaseCFResult[AllocChrg],-3)/1000,
(tblBaseCFResult[Year]=$T151)
*(tblBaseCFResult[Risk]=$Y$61)
*(tblBaseCFResult[PremTermScenario]=$Y$62)
*(tblBaseCFResult[IntRateScenario]=AB$64),"")</f>
        <v>0</v>
      </c>
      <c r="AC151" s="152" cm="1">
        <f t="array" ref="AC151">_xlfn._xlws.FILTER(ROUND(tblBaseCFResult[EPAllocChrg],-3)/1000,
(tblBaseCFResult[Year]=$T151)
*(tblBaseCFResult[Risk]=$Y$61)
*(tblBaseCFResult[PremTermScenario]=$Y$62)
*(tblBaseCFResult[IntRateScenario]=AC$64),"")</f>
        <v>0</v>
      </c>
      <c r="AD151" s="152">
        <f t="shared" si="27"/>
        <v>0</v>
      </c>
      <c r="AE151" s="152">
        <f t="shared" si="28"/>
        <v>0</v>
      </c>
      <c r="AF151" s="152">
        <f t="shared" si="29"/>
        <v>0</v>
      </c>
      <c r="AG151" s="152">
        <f t="shared" si="30"/>
        <v>0</v>
      </c>
      <c r="AH151" s="152" cm="1">
        <f t="array" ref="AH151">_xlfn._xlws.FILTER(ROUND(tblBaseCFResult[AdminChrg],-3)/1000,
(tblBaseCFResult[Year]=$T151)
*(tblBaseCFResult[Risk]=$Y$61)
*(tblBaseCFResult[PremTermScenario]=$Y$62)
*(tblBaseCFResult[IntRateScenario]=AH$64),"")</f>
        <v>300</v>
      </c>
      <c r="AI151" s="152" cm="1">
        <f t="array" ref="AI151">_xlfn._xlws.FILTER(ROUND(tblBaseCFResult[COI],-3)/1000,
(tblBaseCFResult[Year]=$T151)
*(tblBaseCFResult[Risk]=$Y$61)
*(tblBaseCFResult[PremTermScenario]=$Y$62)
*(tblBaseCFResult[IntRateScenario]=AI$64),"")</f>
        <v>0</v>
      </c>
      <c r="AJ151" s="152" cm="1">
        <f t="array" ref="AJ151">_xlfn._xlws.FILTER(ROUND(tblBaseCFResult[AdminChrg],-3)/1000,
(tblBaseCFResult[Year]=$T151)
*(tblBaseCFResult[Risk]=$Y$61)
*(tblBaseCFResult[PremTermScenario]=$Y$62)
*(tblBaseCFResult[IntRateScenario]=AJ$64),"")</f>
        <v>300</v>
      </c>
      <c r="AK151" s="152" cm="1">
        <f t="array" ref="AK151">_xlfn._xlws.FILTER(ROUND(tblBaseCFResult[COI],-3)/1000,
(tblBaseCFResult[Year]=$T151)
*(tblBaseCFResult[Risk]=$Y$61)
*(tblBaseCFResult[PremTermScenario]=$Y$62)
*(tblBaseCFResult[IntRateScenario]=AK$64),"")</f>
        <v>0</v>
      </c>
    </row>
    <row r="152" spans="1:37" ht="15" customHeight="1" x14ac:dyDescent="0.25">
      <c r="A152" s="155">
        <v>85</v>
      </c>
      <c r="B152" s="155">
        <f t="shared" si="22"/>
        <v>84</v>
      </c>
      <c r="C152" s="154"/>
      <c r="D152" s="153" t="str">
        <f t="shared" si="23"/>
        <v>85/84</v>
      </c>
      <c r="E152" s="157" cm="1">
        <f t="array" ref="E152">_xlfn._xlws.FILTER(tblBaseCFResult[TotalPrem]/1000,
(tblBaseCFResult[Year]=$A152)
*(tblBaseCFResult[Risk]=$E$61)
*(tblBaseCFResult[PremTermScenario]=$E$62)
*(tblBaseCFResult[IntRateScenario]=E$64),"")</f>
        <v>0</v>
      </c>
      <c r="F152" s="157" cm="1">
        <f t="array" ref="F152">_xlfn._xlws.FILTER(tblBaseCFResult[AccumTotalPrem]/1000,
(tblBaseCFResult[Year]=$A152)
*(tblBaseCFResult[Risk]=$E$61)
*(tblBaseCFResult[PremTermScenario]=$E$62)
*(tblBaseCFResult[IntRateScenario]=F$64),"")</f>
        <v>0</v>
      </c>
      <c r="G152" s="157" cm="1">
        <f t="array" ref="G152">_xlfn._xlws.FILTER(ROUND(tblBaseCFResult[SemiAnnualTotalPrem],-3)/1000,
(tblBaseCFResult[Year]=$A152)
*(tblBaseCFResult[Risk]=$E$61)
*(tblBaseCFResult[PremTermScenario]=$E$62)
*(tblBaseCFResult[IntRateScenario]=G$64),"")</f>
        <v>0</v>
      </c>
      <c r="H152" s="157" cm="1">
        <f t="array" ref="H152">_xlfn._xlws.FILTER(tblBaseCFResult[Ben]/1000,
(tblBaseCFResult[Year]=$A152)
*(tblBaseCFResult[Risk]=$E$61)
*(tblBaseCFResult[PremTermScenario]=$E$62)
*(tblBaseCFResult[IntRateScenario]=H$64),"")</f>
        <v>295855.278067081</v>
      </c>
      <c r="I152" s="157" cm="1">
        <f t="array" ref="I152">_xlfn._xlws.FILTER(ROUND(tblBaseCFResult[EndPAV],-3)/1000,
(tblBaseCFResult[Year]=$A152)
*(tblBaseCFResult[Risk]=$E$61)
*(tblBaseCFResult[PremTermScenario]=$E$62)
*(tblBaseCFResult[IntRateScenario]=I$64),"")</f>
        <v>301469</v>
      </c>
      <c r="J152" s="157" cm="1">
        <f t="array" ref="J152">_xlfn._xlws.FILTER(ROUND(tblBaseCFResult[SV],-3)/1000,
(tblBaseCFResult[Year]=$A152)
*(tblBaseCFResult[Risk]=$E$61)
*(tblBaseCFResult[PremTermScenario]=$E$62)
*(tblBaseCFResult[IntRateScenario]=J$64),"")</f>
        <v>295855</v>
      </c>
      <c r="K152" s="157" cm="1">
        <f t="array" ref="K152">_xlfn._xlws.FILTER(tblBaseCFResult[Ben]/1000,
(tblBaseCFResult[Year]=$A152)
*(tblBaseCFResult[Risk]=$E$61)
*(tblBaseCFResult[PremTermScenario]=$E$62)
*(tblBaseCFResult[IntRateScenario]=K$64),"")</f>
        <v>3061793.6375307799</v>
      </c>
      <c r="L152" s="157" cm="1">
        <f t="array" ref="L152">_xlfn._xlws.FILTER(ROUND(tblBaseCFResult[EndPAV],-3)/1000,
(tblBaseCFResult[Year]=$A152)
*(tblBaseCFResult[Risk]=$E$61)
*(tblBaseCFResult[PremTermScenario]=$E$62)
*(tblBaseCFResult[IntRateScenario]=L$64),"")</f>
        <v>3214575</v>
      </c>
      <c r="M152" s="157" cm="1">
        <f t="array" ref="M152">_xlfn._xlws.FILTER(ROUND(tblBaseCFResult[SV],-3)/1000,
(tblBaseCFResult[Year]=$A152)
*(tblBaseCFResult[Risk]=$E$61)
*(tblBaseCFResult[PremTermScenario]=$E$62)
*(tblBaseCFResult[IntRateScenario]=M$64),"")</f>
        <v>3061794</v>
      </c>
      <c r="N152" s="157" cm="1">
        <f t="array" ref="N152">_xlfn._xlws.FILTER(tblBaseCFResult[Ben]/1000,
(tblBaseCFResult[Year]=$A152)
*(tblBaseCFResult[Risk]=$E$61)
*(tblBaseCFResult[PremTermScenario]=$E$62)
*(tblBaseCFResult[IntRateScenario]=N$64),"")</f>
        <v>13589587.9539237</v>
      </c>
      <c r="O152" s="157" cm="1">
        <f t="array" ref="O152">_xlfn._xlws.FILTER(ROUND(tblBaseCFResult[EndPAV],-3)/1000,
(tblBaseCFResult[Year]=$A152)
*(tblBaseCFResult[Risk]=$E$61)
*(tblBaseCFResult[PremTermScenario]=$E$62)
*(tblBaseCFResult[IntRateScenario]=O$64),"")</f>
        <v>14540548</v>
      </c>
      <c r="P152" s="157" cm="1">
        <f t="array" ref="P152">_xlfn._xlws.FILTER(ROUND(tblBaseCFResult[SV],-3)/1000,
(tblBaseCFResult[Year]=$A152)
*(tblBaseCFResult[Risk]=$E$61)
*(tblBaseCFResult[PremTermScenario]=$E$62)
*(tblBaseCFResult[IntRateScenario]=P$64),"")</f>
        <v>13589588</v>
      </c>
      <c r="Q152" s="154"/>
      <c r="R152" s="156"/>
      <c r="S152" s="154"/>
      <c r="T152" s="155">
        <v>85</v>
      </c>
      <c r="U152" s="155">
        <f t="shared" si="24"/>
        <v>84</v>
      </c>
      <c r="W152" s="154"/>
      <c r="X152" s="153" t="str">
        <f t="shared" si="25"/>
        <v>85/84</v>
      </c>
      <c r="Y152" s="152" cm="1">
        <f t="array" ref="Y152">_xlfn._xlws.FILTER(tblBaseCFResult[TP]/1000,
(tblBaseCFResult[Year]=$T152)
*(tblBaseCFResult[Risk]=$Y$61)
*(tblBaseCFResult[PremTermScenario]=$Y$62)
*(tblBaseCFResult[IntRateScenario]=Y$64),"")</f>
        <v>0</v>
      </c>
      <c r="Z152" s="152" cm="1">
        <f t="array" ref="Z152">_xlfn._xlws.FILTER(tblBaseCFResult[EP]/1000,
(tblBaseCFResult[Year]=$T152)
*(tblBaseCFResult[Risk]=$Y$61)
*(tblBaseCFResult[PremTermScenario]=$Y$62)
*(tblBaseCFResult[IntRateScenario]=Z$64),"")</f>
        <v>0</v>
      </c>
      <c r="AA152" s="152">
        <f t="shared" si="26"/>
        <v>0</v>
      </c>
      <c r="AB152" s="152" cm="1">
        <f t="array" ref="AB152">_xlfn._xlws.FILTER(ROUND(tblBaseCFResult[AllocChrg],-3)/1000,
(tblBaseCFResult[Year]=$T152)
*(tblBaseCFResult[Risk]=$Y$61)
*(tblBaseCFResult[PremTermScenario]=$Y$62)
*(tblBaseCFResult[IntRateScenario]=AB$64),"")</f>
        <v>0</v>
      </c>
      <c r="AC152" s="152" cm="1">
        <f t="array" ref="AC152">_xlfn._xlws.FILTER(ROUND(tblBaseCFResult[EPAllocChrg],-3)/1000,
(tblBaseCFResult[Year]=$T152)
*(tblBaseCFResult[Risk]=$Y$61)
*(tblBaseCFResult[PremTermScenario]=$Y$62)
*(tblBaseCFResult[IntRateScenario]=AC$64),"")</f>
        <v>0</v>
      </c>
      <c r="AD152" s="152">
        <f t="shared" si="27"/>
        <v>0</v>
      </c>
      <c r="AE152" s="152">
        <f t="shared" si="28"/>
        <v>0</v>
      </c>
      <c r="AF152" s="152">
        <f t="shared" si="29"/>
        <v>0</v>
      </c>
      <c r="AG152" s="152">
        <f t="shared" si="30"/>
        <v>0</v>
      </c>
      <c r="AH152" s="152" cm="1">
        <f t="array" ref="AH152">_xlfn._xlws.FILTER(ROUND(tblBaseCFResult[AdminChrg],-3)/1000,
(tblBaseCFResult[Year]=$T152)
*(tblBaseCFResult[Risk]=$Y$61)
*(tblBaseCFResult[PremTermScenario]=$Y$62)
*(tblBaseCFResult[IntRateScenario]=AH$64),"")</f>
        <v>300</v>
      </c>
      <c r="AI152" s="152" cm="1">
        <f t="array" ref="AI152">_xlfn._xlws.FILTER(ROUND(tblBaseCFResult[COI],-3)/1000,
(tblBaseCFResult[Year]=$T152)
*(tblBaseCFResult[Risk]=$Y$61)
*(tblBaseCFResult[PremTermScenario]=$Y$62)
*(tblBaseCFResult[IntRateScenario]=AI$64),"")</f>
        <v>0</v>
      </c>
      <c r="AJ152" s="152" cm="1">
        <f t="array" ref="AJ152">_xlfn._xlws.FILTER(ROUND(tblBaseCFResult[AdminChrg],-3)/1000,
(tblBaseCFResult[Year]=$T152)
*(tblBaseCFResult[Risk]=$Y$61)
*(tblBaseCFResult[PremTermScenario]=$Y$62)
*(tblBaseCFResult[IntRateScenario]=AJ$64),"")</f>
        <v>300</v>
      </c>
      <c r="AK152" s="152" cm="1">
        <f t="array" ref="AK152">_xlfn._xlws.FILTER(ROUND(tblBaseCFResult[COI],-3)/1000,
(tblBaseCFResult[Year]=$T152)
*(tblBaseCFResult[Risk]=$Y$61)
*(tblBaseCFResult[PremTermScenario]=$Y$62)
*(tblBaseCFResult[IntRateScenario]=AK$64),"")</f>
        <v>0</v>
      </c>
    </row>
    <row r="153" spans="1:37" ht="15" customHeight="1" x14ac:dyDescent="0.25">
      <c r="A153" s="155">
        <v>86</v>
      </c>
      <c r="B153" s="155">
        <f t="shared" si="22"/>
        <v>85</v>
      </c>
      <c r="C153" s="154"/>
      <c r="D153" s="153" t="str">
        <f t="shared" si="23"/>
        <v>86/85</v>
      </c>
      <c r="E153" s="157" cm="1">
        <f t="array" ref="E153">_xlfn._xlws.FILTER(tblBaseCFResult[TotalPrem]/1000,
(tblBaseCFResult[Year]=$A153)
*(tblBaseCFResult[Risk]=$E$61)
*(tblBaseCFResult[PremTermScenario]=$E$62)
*(tblBaseCFResult[IntRateScenario]=E$64),"")</f>
        <v>0</v>
      </c>
      <c r="F153" s="157" cm="1">
        <f t="array" ref="F153">_xlfn._xlws.FILTER(tblBaseCFResult[AccumTotalPrem]/1000,
(tblBaseCFResult[Year]=$A153)
*(tblBaseCFResult[Risk]=$E$61)
*(tblBaseCFResult[PremTermScenario]=$E$62)
*(tblBaseCFResult[IntRateScenario]=F$64),"")</f>
        <v>0</v>
      </c>
      <c r="G153" s="157" cm="1">
        <f t="array" ref="G153">_xlfn._xlws.FILTER(ROUND(tblBaseCFResult[SemiAnnualTotalPrem],-3)/1000,
(tblBaseCFResult[Year]=$A153)
*(tblBaseCFResult[Risk]=$E$61)
*(tblBaseCFResult[PremTermScenario]=$E$62)
*(tblBaseCFResult[IntRateScenario]=G$64),"")</f>
        <v>0</v>
      </c>
      <c r="H153" s="157" cm="1">
        <f t="array" ref="H153">_xlfn._xlws.FILTER(tblBaseCFResult[Ben]/1000,
(tblBaseCFResult[Year]=$A153)
*(tblBaseCFResult[Risk]=$E$61)
*(tblBaseCFResult[PremTermScenario]=$E$62)
*(tblBaseCFResult[IntRateScenario]=H$64),"")</f>
        <v>301469.14346091298</v>
      </c>
      <c r="I153" s="157" cm="1">
        <f t="array" ref="I153">_xlfn._xlws.FILTER(ROUND(tblBaseCFResult[EndPAV],-3)/1000,
(tblBaseCFResult[Year]=$A153)
*(tblBaseCFResult[Risk]=$E$61)
*(tblBaseCFResult[PremTermScenario]=$E$62)
*(tblBaseCFResult[IntRateScenario]=I$64),"")</f>
        <v>307195</v>
      </c>
      <c r="J153" s="157" cm="1">
        <f t="array" ref="J153">_xlfn._xlws.FILTER(ROUND(tblBaseCFResult[SV],-3)/1000,
(tblBaseCFResult[Year]=$A153)
*(tblBaseCFResult[Risk]=$E$61)
*(tblBaseCFResult[PremTermScenario]=$E$62)
*(tblBaseCFResult[IntRateScenario]=J$64),"")</f>
        <v>301469</v>
      </c>
      <c r="K153" s="157" cm="1">
        <f t="array" ref="K153">_xlfn._xlws.FILTER(tblBaseCFResult[Ben]/1000,
(tblBaseCFResult[Year]=$A153)
*(tblBaseCFResult[Risk]=$E$61)
*(tblBaseCFResult[PremTermScenario]=$E$62)
*(tblBaseCFResult[IntRateScenario]=K$64),"")</f>
        <v>3214575.25496908</v>
      </c>
      <c r="L153" s="157" cm="1">
        <f t="array" ref="L153">_xlfn._xlws.FILTER(ROUND(tblBaseCFResult[EndPAV],-3)/1000,
(tblBaseCFResult[Year]=$A153)
*(tblBaseCFResult[Risk]=$E$61)
*(tblBaseCFResult[PremTermScenario]=$E$62)
*(tblBaseCFResult[IntRateScenario]=L$64),"")</f>
        <v>3374996</v>
      </c>
      <c r="M153" s="157" cm="1">
        <f t="array" ref="M153">_xlfn._xlws.FILTER(ROUND(tblBaseCFResult[SV],-3)/1000,
(tblBaseCFResult[Year]=$A153)
*(tblBaseCFResult[Risk]=$E$61)
*(tblBaseCFResult[PremTermScenario]=$E$62)
*(tblBaseCFResult[IntRateScenario]=M$64),"")</f>
        <v>3214575</v>
      </c>
      <c r="N153" s="157" cm="1">
        <f t="array" ref="N153">_xlfn._xlws.FILTER(tblBaseCFResult[Ben]/1000,
(tblBaseCFResult[Year]=$A153)
*(tblBaseCFResult[Risk]=$E$61)
*(tblBaseCFResult[PremTermScenario]=$E$62)
*(tblBaseCFResult[IntRateScenario]=N$64),"")</f>
        <v>14540547.8532697</v>
      </c>
      <c r="O153" s="157" cm="1">
        <f t="array" ref="O153">_xlfn._xlws.FILTER(ROUND(tblBaseCFResult[EndPAV],-3)/1000,
(tblBaseCFResult[Year]=$A153)
*(tblBaseCFResult[Risk]=$E$61)
*(tblBaseCFResult[PremTermScenario]=$E$62)
*(tblBaseCFResult[IntRateScenario]=O$64),"")</f>
        <v>15558075</v>
      </c>
      <c r="P153" s="157" cm="1">
        <f t="array" ref="P153">_xlfn._xlws.FILTER(ROUND(tblBaseCFResult[SV],-3)/1000,
(tblBaseCFResult[Year]=$A153)
*(tblBaseCFResult[Risk]=$E$61)
*(tblBaseCFResult[PremTermScenario]=$E$62)
*(tblBaseCFResult[IntRateScenario]=P$64),"")</f>
        <v>14540548</v>
      </c>
      <c r="Q153" s="154"/>
      <c r="R153" s="156"/>
      <c r="S153" s="154"/>
      <c r="T153" s="155">
        <v>86</v>
      </c>
      <c r="U153" s="155">
        <f t="shared" si="24"/>
        <v>85</v>
      </c>
      <c r="W153" s="154"/>
      <c r="X153" s="153" t="str">
        <f t="shared" si="25"/>
        <v>86/85</v>
      </c>
      <c r="Y153" s="152" cm="1">
        <f t="array" ref="Y153">_xlfn._xlws.FILTER(tblBaseCFResult[TP]/1000,
(tblBaseCFResult[Year]=$T153)
*(tblBaseCFResult[Risk]=$Y$61)
*(tblBaseCFResult[PremTermScenario]=$Y$62)
*(tblBaseCFResult[IntRateScenario]=Y$64),"")</f>
        <v>0</v>
      </c>
      <c r="Z153" s="152" cm="1">
        <f t="array" ref="Z153">_xlfn._xlws.FILTER(tblBaseCFResult[EP]/1000,
(tblBaseCFResult[Year]=$T153)
*(tblBaseCFResult[Risk]=$Y$61)
*(tblBaseCFResult[PremTermScenario]=$Y$62)
*(tblBaseCFResult[IntRateScenario]=Z$64),"")</f>
        <v>0</v>
      </c>
      <c r="AA153" s="152">
        <f t="shared" si="26"/>
        <v>0</v>
      </c>
      <c r="AB153" s="152" cm="1">
        <f t="array" ref="AB153">_xlfn._xlws.FILTER(ROUND(tblBaseCFResult[AllocChrg],-3)/1000,
(tblBaseCFResult[Year]=$T153)
*(tblBaseCFResult[Risk]=$Y$61)
*(tblBaseCFResult[PremTermScenario]=$Y$62)
*(tblBaseCFResult[IntRateScenario]=AB$64),"")</f>
        <v>0</v>
      </c>
      <c r="AC153" s="152" cm="1">
        <f t="array" ref="AC153">_xlfn._xlws.FILTER(ROUND(tblBaseCFResult[EPAllocChrg],-3)/1000,
(tblBaseCFResult[Year]=$T153)
*(tblBaseCFResult[Risk]=$Y$61)
*(tblBaseCFResult[PremTermScenario]=$Y$62)
*(tblBaseCFResult[IntRateScenario]=AC$64),"")</f>
        <v>0</v>
      </c>
      <c r="AD153" s="152">
        <f t="shared" si="27"/>
        <v>0</v>
      </c>
      <c r="AE153" s="152">
        <f t="shared" si="28"/>
        <v>0</v>
      </c>
      <c r="AF153" s="152">
        <f t="shared" si="29"/>
        <v>0</v>
      </c>
      <c r="AG153" s="152">
        <f t="shared" si="30"/>
        <v>0</v>
      </c>
      <c r="AH153" s="152" cm="1">
        <f t="array" ref="AH153">_xlfn._xlws.FILTER(ROUND(tblBaseCFResult[AdminChrg],-3)/1000,
(tblBaseCFResult[Year]=$T153)
*(tblBaseCFResult[Risk]=$Y$61)
*(tblBaseCFResult[PremTermScenario]=$Y$62)
*(tblBaseCFResult[IntRateScenario]=AH$64),"")</f>
        <v>300</v>
      </c>
      <c r="AI153" s="152" cm="1">
        <f t="array" ref="AI153">_xlfn._xlws.FILTER(ROUND(tblBaseCFResult[COI],-3)/1000,
(tblBaseCFResult[Year]=$T153)
*(tblBaseCFResult[Risk]=$Y$61)
*(tblBaseCFResult[PremTermScenario]=$Y$62)
*(tblBaseCFResult[IntRateScenario]=AI$64),"")</f>
        <v>0</v>
      </c>
      <c r="AJ153" s="152" cm="1">
        <f t="array" ref="AJ153">_xlfn._xlws.FILTER(ROUND(tblBaseCFResult[AdminChrg],-3)/1000,
(tblBaseCFResult[Year]=$T153)
*(tblBaseCFResult[Risk]=$Y$61)
*(tblBaseCFResult[PremTermScenario]=$Y$62)
*(tblBaseCFResult[IntRateScenario]=AJ$64),"")</f>
        <v>300</v>
      </c>
      <c r="AK153" s="152" cm="1">
        <f t="array" ref="AK153">_xlfn._xlws.FILTER(ROUND(tblBaseCFResult[COI],-3)/1000,
(tblBaseCFResult[Year]=$T153)
*(tblBaseCFResult[Risk]=$Y$61)
*(tblBaseCFResult[PremTermScenario]=$Y$62)
*(tblBaseCFResult[IntRateScenario]=AK$64),"")</f>
        <v>0</v>
      </c>
    </row>
    <row r="154" spans="1:37" ht="15" customHeight="1" x14ac:dyDescent="0.25">
      <c r="A154" s="155">
        <v>87</v>
      </c>
      <c r="B154" s="155">
        <f t="shared" si="22"/>
        <v>86</v>
      </c>
      <c r="C154" s="154"/>
      <c r="D154" s="153" t="str">
        <f t="shared" si="23"/>
        <v>87/86</v>
      </c>
      <c r="E154" s="157" cm="1">
        <f t="array" ref="E154">_xlfn._xlws.FILTER(tblBaseCFResult[TotalPrem]/1000,
(tblBaseCFResult[Year]=$A154)
*(tblBaseCFResult[Risk]=$E$61)
*(tblBaseCFResult[PremTermScenario]=$E$62)
*(tblBaseCFResult[IntRateScenario]=E$64),"")</f>
        <v>0</v>
      </c>
      <c r="F154" s="157" cm="1">
        <f t="array" ref="F154">_xlfn._xlws.FILTER(tblBaseCFResult[AccumTotalPrem]/1000,
(tblBaseCFResult[Year]=$A154)
*(tblBaseCFResult[Risk]=$E$61)
*(tblBaseCFResult[PremTermScenario]=$E$62)
*(tblBaseCFResult[IntRateScenario]=F$64),"")</f>
        <v>0</v>
      </c>
      <c r="G154" s="157" cm="1">
        <f t="array" ref="G154">_xlfn._xlws.FILTER(ROUND(tblBaseCFResult[SemiAnnualTotalPrem],-3)/1000,
(tblBaseCFResult[Year]=$A154)
*(tblBaseCFResult[Risk]=$E$61)
*(tblBaseCFResult[PremTermScenario]=$E$62)
*(tblBaseCFResult[IntRateScenario]=G$64),"")</f>
        <v>0</v>
      </c>
      <c r="H154" s="157" cm="1">
        <f t="array" ref="H154">_xlfn._xlws.FILTER(tblBaseCFResult[Ben]/1000,
(tblBaseCFResult[Year]=$A154)
*(tblBaseCFResult[Risk]=$E$61)
*(tblBaseCFResult[PremTermScenario]=$E$62)
*(tblBaseCFResult[IntRateScenario]=H$64),"")</f>
        <v>307195.28616262099</v>
      </c>
      <c r="I154" s="157" cm="1">
        <f t="array" ref="I154">_xlfn._xlws.FILTER(ROUND(tblBaseCFResult[EndPAV],-3)/1000,
(tblBaseCFResult[Year]=$A154)
*(tblBaseCFResult[Risk]=$E$61)
*(tblBaseCFResult[PremTermScenario]=$E$62)
*(tblBaseCFResult[IntRateScenario]=I$64),"")</f>
        <v>313036</v>
      </c>
      <c r="J154" s="157" cm="1">
        <f t="array" ref="J154">_xlfn._xlws.FILTER(ROUND(tblBaseCFResult[SV],-3)/1000,
(tblBaseCFResult[Year]=$A154)
*(tblBaseCFResult[Risk]=$E$61)
*(tblBaseCFResult[PremTermScenario]=$E$62)
*(tblBaseCFResult[IntRateScenario]=J$64),"")</f>
        <v>307195</v>
      </c>
      <c r="K154" s="157" cm="1">
        <f t="array" ref="K154">_xlfn._xlws.FILTER(tblBaseCFResult[Ben]/1000,
(tblBaseCFResult[Year]=$A154)
*(tblBaseCFResult[Risk]=$E$61)
*(tblBaseCFResult[PremTermScenario]=$E$62)
*(tblBaseCFResult[IntRateScenario]=K$64),"")</f>
        <v>3374995.9532793001</v>
      </c>
      <c r="L154" s="157" cm="1">
        <f t="array" ref="L154">_xlfn._xlws.FILTER(ROUND(tblBaseCFResult[EndPAV],-3)/1000,
(tblBaseCFResult[Year]=$A154)
*(tblBaseCFResult[Risk]=$E$61)
*(tblBaseCFResult[PremTermScenario]=$E$62)
*(tblBaseCFResult[IntRateScenario]=L$64),"")</f>
        <v>3543438</v>
      </c>
      <c r="M154" s="157" cm="1">
        <f t="array" ref="M154">_xlfn._xlws.FILTER(ROUND(tblBaseCFResult[SV],-3)/1000,
(tblBaseCFResult[Year]=$A154)
*(tblBaseCFResult[Risk]=$E$61)
*(tblBaseCFResult[PremTermScenario]=$E$62)
*(tblBaseCFResult[IntRateScenario]=M$64),"")</f>
        <v>3374996</v>
      </c>
      <c r="N154" s="157" cm="1">
        <f t="array" ref="N154">_xlfn._xlws.FILTER(tblBaseCFResult[Ben]/1000,
(tblBaseCFResult[Year]=$A154)
*(tblBaseCFResult[Risk]=$E$61)
*(tblBaseCFResult[PremTermScenario]=$E$62)
*(tblBaseCFResult[IntRateScenario]=N$64),"")</f>
        <v>15558074.945569901</v>
      </c>
      <c r="O154" s="157" cm="1">
        <f t="array" ref="O154">_xlfn._xlws.FILTER(ROUND(tblBaseCFResult[EndPAV],-3)/1000,
(tblBaseCFResult[Year]=$A154)
*(tblBaseCFResult[Risk]=$E$61)
*(tblBaseCFResult[PremTermScenario]=$E$62)
*(tblBaseCFResult[IntRateScenario]=O$64),"")</f>
        <v>16646829</v>
      </c>
      <c r="P154" s="157" cm="1">
        <f t="array" ref="P154">_xlfn._xlws.FILTER(ROUND(tblBaseCFResult[SV],-3)/1000,
(tblBaseCFResult[Year]=$A154)
*(tblBaseCFResult[Risk]=$E$61)
*(tblBaseCFResult[PremTermScenario]=$E$62)
*(tblBaseCFResult[IntRateScenario]=P$64),"")</f>
        <v>15558075</v>
      </c>
      <c r="Q154" s="154"/>
      <c r="R154" s="156"/>
      <c r="S154" s="154"/>
      <c r="T154" s="155">
        <v>87</v>
      </c>
      <c r="U154" s="155">
        <f t="shared" si="24"/>
        <v>86</v>
      </c>
      <c r="W154" s="154"/>
      <c r="X154" s="153" t="str">
        <f t="shared" si="25"/>
        <v>87/86</v>
      </c>
      <c r="Y154" s="152" cm="1">
        <f t="array" ref="Y154">_xlfn._xlws.FILTER(tblBaseCFResult[TP]/1000,
(tblBaseCFResult[Year]=$T154)
*(tblBaseCFResult[Risk]=$Y$61)
*(tblBaseCFResult[PremTermScenario]=$Y$62)
*(tblBaseCFResult[IntRateScenario]=Y$64),"")</f>
        <v>0</v>
      </c>
      <c r="Z154" s="152" cm="1">
        <f t="array" ref="Z154">_xlfn._xlws.FILTER(tblBaseCFResult[EP]/1000,
(tblBaseCFResult[Year]=$T154)
*(tblBaseCFResult[Risk]=$Y$61)
*(tblBaseCFResult[PremTermScenario]=$Y$62)
*(tblBaseCFResult[IntRateScenario]=Z$64),"")</f>
        <v>0</v>
      </c>
      <c r="AA154" s="152">
        <f t="shared" si="26"/>
        <v>0</v>
      </c>
      <c r="AB154" s="152" cm="1">
        <f t="array" ref="AB154">_xlfn._xlws.FILTER(ROUND(tblBaseCFResult[AllocChrg],-3)/1000,
(tblBaseCFResult[Year]=$T154)
*(tblBaseCFResult[Risk]=$Y$61)
*(tblBaseCFResult[PremTermScenario]=$Y$62)
*(tblBaseCFResult[IntRateScenario]=AB$64),"")</f>
        <v>0</v>
      </c>
      <c r="AC154" s="152" cm="1">
        <f t="array" ref="AC154">_xlfn._xlws.FILTER(ROUND(tblBaseCFResult[EPAllocChrg],-3)/1000,
(tblBaseCFResult[Year]=$T154)
*(tblBaseCFResult[Risk]=$Y$61)
*(tblBaseCFResult[PremTermScenario]=$Y$62)
*(tblBaseCFResult[IntRateScenario]=AC$64),"")</f>
        <v>0</v>
      </c>
      <c r="AD154" s="152">
        <f t="shared" si="27"/>
        <v>0</v>
      </c>
      <c r="AE154" s="152">
        <f t="shared" si="28"/>
        <v>0</v>
      </c>
      <c r="AF154" s="152">
        <f t="shared" si="29"/>
        <v>0</v>
      </c>
      <c r="AG154" s="152">
        <f t="shared" si="30"/>
        <v>0</v>
      </c>
      <c r="AH154" s="152" cm="1">
        <f t="array" ref="AH154">_xlfn._xlws.FILTER(ROUND(tblBaseCFResult[AdminChrg],-3)/1000,
(tblBaseCFResult[Year]=$T154)
*(tblBaseCFResult[Risk]=$Y$61)
*(tblBaseCFResult[PremTermScenario]=$Y$62)
*(tblBaseCFResult[IntRateScenario]=AH$64),"")</f>
        <v>300</v>
      </c>
      <c r="AI154" s="152" cm="1">
        <f t="array" ref="AI154">_xlfn._xlws.FILTER(ROUND(tblBaseCFResult[COI],-3)/1000,
(tblBaseCFResult[Year]=$T154)
*(tblBaseCFResult[Risk]=$Y$61)
*(tblBaseCFResult[PremTermScenario]=$Y$62)
*(tblBaseCFResult[IntRateScenario]=AI$64),"")</f>
        <v>0</v>
      </c>
      <c r="AJ154" s="152" cm="1">
        <f t="array" ref="AJ154">_xlfn._xlws.FILTER(ROUND(tblBaseCFResult[AdminChrg],-3)/1000,
(tblBaseCFResult[Year]=$T154)
*(tblBaseCFResult[Risk]=$Y$61)
*(tblBaseCFResult[PremTermScenario]=$Y$62)
*(tblBaseCFResult[IntRateScenario]=AJ$64),"")</f>
        <v>300</v>
      </c>
      <c r="AK154" s="152" cm="1">
        <f t="array" ref="AK154">_xlfn._xlws.FILTER(ROUND(tblBaseCFResult[COI],-3)/1000,
(tblBaseCFResult[Year]=$T154)
*(tblBaseCFResult[Risk]=$Y$61)
*(tblBaseCFResult[PremTermScenario]=$Y$62)
*(tblBaseCFResult[IntRateScenario]=AK$64),"")</f>
        <v>0</v>
      </c>
    </row>
    <row r="155" spans="1:37" ht="15" customHeight="1" x14ac:dyDescent="0.25">
      <c r="A155" s="155">
        <v>88</v>
      </c>
      <c r="B155" s="155">
        <f t="shared" si="22"/>
        <v>87</v>
      </c>
      <c r="C155" s="154"/>
      <c r="D155" s="153" t="str">
        <f t="shared" si="23"/>
        <v>88/87</v>
      </c>
      <c r="E155" s="157" cm="1">
        <f t="array" ref="E155">_xlfn._xlws.FILTER(tblBaseCFResult[TotalPrem]/1000,
(tblBaseCFResult[Year]=$A155)
*(tblBaseCFResult[Risk]=$E$61)
*(tblBaseCFResult[PremTermScenario]=$E$62)
*(tblBaseCFResult[IntRateScenario]=E$64),"")</f>
        <v>0</v>
      </c>
      <c r="F155" s="157" cm="1">
        <f t="array" ref="F155">_xlfn._xlws.FILTER(tblBaseCFResult[AccumTotalPrem]/1000,
(tblBaseCFResult[Year]=$A155)
*(tblBaseCFResult[Risk]=$E$61)
*(tblBaseCFResult[PremTermScenario]=$E$62)
*(tblBaseCFResult[IntRateScenario]=F$64),"")</f>
        <v>0</v>
      </c>
      <c r="G155" s="157" cm="1">
        <f t="array" ref="G155">_xlfn._xlws.FILTER(ROUND(tblBaseCFResult[SemiAnnualTotalPrem],-3)/1000,
(tblBaseCFResult[Year]=$A155)
*(tblBaseCFResult[Risk]=$E$61)
*(tblBaseCFResult[PremTermScenario]=$E$62)
*(tblBaseCFResult[IntRateScenario]=G$64),"")</f>
        <v>0</v>
      </c>
      <c r="H155" s="157" cm="1">
        <f t="array" ref="H155">_xlfn._xlws.FILTER(tblBaseCFResult[Ben]/1000,
(tblBaseCFResult[Year]=$A155)
*(tblBaseCFResult[Risk]=$E$61)
*(tblBaseCFResult[PremTermScenario]=$E$62)
*(tblBaseCFResult[IntRateScenario]=H$64),"")</f>
        <v>313035.95171836298</v>
      </c>
      <c r="I155" s="157" cm="1">
        <f t="array" ref="I155">_xlfn._xlws.FILTER(ROUND(tblBaseCFResult[EndPAV],-3)/1000,
(tblBaseCFResult[Year]=$A155)
*(tblBaseCFResult[Risk]=$E$61)
*(tblBaseCFResult[PremTermScenario]=$E$62)
*(tblBaseCFResult[IntRateScenario]=I$64),"")</f>
        <v>318993</v>
      </c>
      <c r="J155" s="157" cm="1">
        <f t="array" ref="J155">_xlfn._xlws.FILTER(ROUND(tblBaseCFResult[SV],-3)/1000,
(tblBaseCFResult[Year]=$A155)
*(tblBaseCFResult[Risk]=$E$61)
*(tblBaseCFResult[PremTermScenario]=$E$62)
*(tblBaseCFResult[IntRateScenario]=J$64),"")</f>
        <v>313036</v>
      </c>
      <c r="K155" s="157" cm="1">
        <f t="array" ref="K155">_xlfn._xlws.FILTER(tblBaseCFResult[Ben]/1000,
(tblBaseCFResult[Year]=$A155)
*(tblBaseCFResult[Risk]=$E$61)
*(tblBaseCFResult[PremTermScenario]=$E$62)
*(tblBaseCFResult[IntRateScenario]=K$64),"")</f>
        <v>3543437.6865050201</v>
      </c>
      <c r="L155" s="157" cm="1">
        <f t="array" ref="L155">_xlfn._xlws.FILTER(ROUND(tblBaseCFResult[EndPAV],-3)/1000,
(tblBaseCFResult[Year]=$A155)
*(tblBaseCFResult[Risk]=$E$61)
*(tblBaseCFResult[PremTermScenario]=$E$62)
*(tblBaseCFResult[IntRateScenario]=L$64),"")</f>
        <v>3720302</v>
      </c>
      <c r="M155" s="157" cm="1">
        <f t="array" ref="M155">_xlfn._xlws.FILTER(ROUND(tblBaseCFResult[SV],-3)/1000,
(tblBaseCFResult[Year]=$A155)
*(tblBaseCFResult[Risk]=$E$61)
*(tblBaseCFResult[PremTermScenario]=$E$62)
*(tblBaseCFResult[IntRateScenario]=M$64),"")</f>
        <v>3543438</v>
      </c>
      <c r="N155" s="157" cm="1">
        <f t="array" ref="N155">_xlfn._xlws.FILTER(tblBaseCFResult[Ben]/1000,
(tblBaseCFResult[Year]=$A155)
*(tblBaseCFResult[Risk]=$E$61)
*(tblBaseCFResult[PremTermScenario]=$E$62)
*(tblBaseCFResult[IntRateScenario]=N$64),"")</f>
        <v>16646828.934331199</v>
      </c>
      <c r="O155" s="157" cm="1">
        <f t="array" ref="O155">_xlfn._xlws.FILTER(ROUND(tblBaseCFResult[EndPAV],-3)/1000,
(tblBaseCFResult[Year]=$A155)
*(tblBaseCFResult[Risk]=$E$61)
*(tblBaseCFResult[PremTermScenario]=$E$62)
*(tblBaseCFResult[IntRateScenario]=O$64),"")</f>
        <v>17811796</v>
      </c>
      <c r="P155" s="157" cm="1">
        <f t="array" ref="P155">_xlfn._xlws.FILTER(ROUND(tblBaseCFResult[SV],-3)/1000,
(tblBaseCFResult[Year]=$A155)
*(tblBaseCFResult[Risk]=$E$61)
*(tblBaseCFResult[PremTermScenario]=$E$62)
*(tblBaseCFResult[IntRateScenario]=P$64),"")</f>
        <v>16646829</v>
      </c>
      <c r="Q155" s="154"/>
      <c r="R155" s="156"/>
      <c r="S155" s="154"/>
      <c r="T155" s="155">
        <v>88</v>
      </c>
      <c r="U155" s="155">
        <f t="shared" si="24"/>
        <v>87</v>
      </c>
      <c r="W155" s="154"/>
      <c r="X155" s="153" t="str">
        <f t="shared" si="25"/>
        <v>88/87</v>
      </c>
      <c r="Y155" s="152" cm="1">
        <f t="array" ref="Y155">_xlfn._xlws.FILTER(tblBaseCFResult[TP]/1000,
(tblBaseCFResult[Year]=$T155)
*(tblBaseCFResult[Risk]=$Y$61)
*(tblBaseCFResult[PremTermScenario]=$Y$62)
*(tblBaseCFResult[IntRateScenario]=Y$64),"")</f>
        <v>0</v>
      </c>
      <c r="Z155" s="152" cm="1">
        <f t="array" ref="Z155">_xlfn._xlws.FILTER(tblBaseCFResult[EP]/1000,
(tblBaseCFResult[Year]=$T155)
*(tblBaseCFResult[Risk]=$Y$61)
*(tblBaseCFResult[PremTermScenario]=$Y$62)
*(tblBaseCFResult[IntRateScenario]=Z$64),"")</f>
        <v>0</v>
      </c>
      <c r="AA155" s="152">
        <f t="shared" si="26"/>
        <v>0</v>
      </c>
      <c r="AB155" s="152" cm="1">
        <f t="array" ref="AB155">_xlfn._xlws.FILTER(ROUND(tblBaseCFResult[AllocChrg],-3)/1000,
(tblBaseCFResult[Year]=$T155)
*(tblBaseCFResult[Risk]=$Y$61)
*(tblBaseCFResult[PremTermScenario]=$Y$62)
*(tblBaseCFResult[IntRateScenario]=AB$64),"")</f>
        <v>0</v>
      </c>
      <c r="AC155" s="152" cm="1">
        <f t="array" ref="AC155">_xlfn._xlws.FILTER(ROUND(tblBaseCFResult[EPAllocChrg],-3)/1000,
(tblBaseCFResult[Year]=$T155)
*(tblBaseCFResult[Risk]=$Y$61)
*(tblBaseCFResult[PremTermScenario]=$Y$62)
*(tblBaseCFResult[IntRateScenario]=AC$64),"")</f>
        <v>0</v>
      </c>
      <c r="AD155" s="152">
        <f t="shared" si="27"/>
        <v>0</v>
      </c>
      <c r="AE155" s="152">
        <f t="shared" si="28"/>
        <v>0</v>
      </c>
      <c r="AF155" s="152">
        <f t="shared" si="29"/>
        <v>0</v>
      </c>
      <c r="AG155" s="152">
        <f t="shared" si="30"/>
        <v>0</v>
      </c>
      <c r="AH155" s="152" cm="1">
        <f t="array" ref="AH155">_xlfn._xlws.FILTER(ROUND(tblBaseCFResult[AdminChrg],-3)/1000,
(tblBaseCFResult[Year]=$T155)
*(tblBaseCFResult[Risk]=$Y$61)
*(tblBaseCFResult[PremTermScenario]=$Y$62)
*(tblBaseCFResult[IntRateScenario]=AH$64),"")</f>
        <v>300</v>
      </c>
      <c r="AI155" s="152" cm="1">
        <f t="array" ref="AI155">_xlfn._xlws.FILTER(ROUND(tblBaseCFResult[COI],-3)/1000,
(tblBaseCFResult[Year]=$T155)
*(tblBaseCFResult[Risk]=$Y$61)
*(tblBaseCFResult[PremTermScenario]=$Y$62)
*(tblBaseCFResult[IntRateScenario]=AI$64),"")</f>
        <v>0</v>
      </c>
      <c r="AJ155" s="152" cm="1">
        <f t="array" ref="AJ155">_xlfn._xlws.FILTER(ROUND(tblBaseCFResult[AdminChrg],-3)/1000,
(tblBaseCFResult[Year]=$T155)
*(tblBaseCFResult[Risk]=$Y$61)
*(tblBaseCFResult[PremTermScenario]=$Y$62)
*(tblBaseCFResult[IntRateScenario]=AJ$64),"")</f>
        <v>300</v>
      </c>
      <c r="AK155" s="152" cm="1">
        <f t="array" ref="AK155">_xlfn._xlws.FILTER(ROUND(tblBaseCFResult[COI],-3)/1000,
(tblBaseCFResult[Year]=$T155)
*(tblBaseCFResult[Risk]=$Y$61)
*(tblBaseCFResult[PremTermScenario]=$Y$62)
*(tblBaseCFResult[IntRateScenario]=AK$64),"")</f>
        <v>0</v>
      </c>
    </row>
    <row r="156" spans="1:37" ht="15" customHeight="1" x14ac:dyDescent="0.25">
      <c r="A156" s="155">
        <v>89</v>
      </c>
      <c r="B156" s="155">
        <f t="shared" si="22"/>
        <v>88</v>
      </c>
      <c r="C156" s="154"/>
      <c r="D156" s="153" t="str">
        <f t="shared" si="23"/>
        <v>89/88</v>
      </c>
      <c r="E156" s="157" cm="1">
        <f t="array" ref="E156">_xlfn._xlws.FILTER(tblBaseCFResult[TotalPrem]/1000,
(tblBaseCFResult[Year]=$A156)
*(tblBaseCFResult[Risk]=$E$61)
*(tblBaseCFResult[PremTermScenario]=$E$62)
*(tblBaseCFResult[IntRateScenario]=E$64),"")</f>
        <v>0</v>
      </c>
      <c r="F156" s="157" cm="1">
        <f t="array" ref="F156">_xlfn._xlws.FILTER(tblBaseCFResult[AccumTotalPrem]/1000,
(tblBaseCFResult[Year]=$A156)
*(tblBaseCFResult[Risk]=$E$61)
*(tblBaseCFResult[PremTermScenario]=$E$62)
*(tblBaseCFResult[IntRateScenario]=F$64),"")</f>
        <v>0</v>
      </c>
      <c r="G156" s="157" cm="1">
        <f t="array" ref="G156">_xlfn._xlws.FILTER(ROUND(tblBaseCFResult[SemiAnnualTotalPrem],-3)/1000,
(tblBaseCFResult[Year]=$A156)
*(tblBaseCFResult[Risk]=$E$61)
*(tblBaseCFResult[PremTermScenario]=$E$62)
*(tblBaseCFResult[IntRateScenario]=G$64),"")</f>
        <v>0</v>
      </c>
      <c r="H156" s="157" cm="1">
        <f t="array" ref="H156">_xlfn._xlws.FILTER(tblBaseCFResult[Ben]/1000,
(tblBaseCFResult[Year]=$A156)
*(tblBaseCFResult[Risk]=$E$61)
*(tblBaseCFResult[PremTermScenario]=$E$62)
*(tblBaseCFResult[IntRateScenario]=H$64),"")</f>
        <v>318993.43058521999</v>
      </c>
      <c r="I156" s="157" cm="1">
        <f t="array" ref="I156">_xlfn._xlws.FILTER(ROUND(tblBaseCFResult[EndPAV],-3)/1000,
(tblBaseCFResult[Year]=$A156)
*(tblBaseCFResult[Risk]=$E$61)
*(tblBaseCFResult[PremTermScenario]=$E$62)
*(tblBaseCFResult[IntRateScenario]=I$64),"")</f>
        <v>325070</v>
      </c>
      <c r="J156" s="157" cm="1">
        <f t="array" ref="J156">_xlfn._xlws.FILTER(ROUND(tblBaseCFResult[SV],-3)/1000,
(tblBaseCFResult[Year]=$A156)
*(tblBaseCFResult[Risk]=$E$61)
*(tblBaseCFResult[PremTermScenario]=$E$62)
*(tblBaseCFResult[IntRateScenario]=J$64),"")</f>
        <v>318993</v>
      </c>
      <c r="K156" s="157" cm="1">
        <f t="array" ref="K156">_xlfn._xlws.FILTER(tblBaseCFResult[Ben]/1000,
(tblBaseCFResult[Year]=$A156)
*(tblBaseCFResult[Risk]=$E$61)
*(tblBaseCFResult[PremTermScenario]=$E$62)
*(tblBaseCFResult[IntRateScenario]=K$64),"")</f>
        <v>3720301.5063920296</v>
      </c>
      <c r="L156" s="157" cm="1">
        <f t="array" ref="L156">_xlfn._xlws.FILTER(ROUND(tblBaseCFResult[EndPAV],-3)/1000,
(tblBaseCFResult[Year]=$A156)
*(tblBaseCFResult[Risk]=$E$61)
*(tblBaseCFResult[PremTermScenario]=$E$62)
*(tblBaseCFResult[IntRateScenario]=L$64),"")</f>
        <v>3906009</v>
      </c>
      <c r="M156" s="157" cm="1">
        <f t="array" ref="M156">_xlfn._xlws.FILTER(ROUND(tblBaseCFResult[SV],-3)/1000,
(tblBaseCFResult[Year]=$A156)
*(tblBaseCFResult[Risk]=$E$61)
*(tblBaseCFResult[PremTermScenario]=$E$62)
*(tblBaseCFResult[IntRateScenario]=M$64),"")</f>
        <v>3720302</v>
      </c>
      <c r="N156" s="157" cm="1">
        <f t="array" ref="N156">_xlfn._xlws.FILTER(tblBaseCFResult[Ben]/1000,
(tblBaseCFResult[Year]=$A156)
*(tblBaseCFResult[Risk]=$E$61)
*(tblBaseCFResult[PremTermScenario]=$E$62)
*(tblBaseCFResult[IntRateScenario]=N$64),"")</f>
        <v>17811795.702305697</v>
      </c>
      <c r="O156" s="157" cm="1">
        <f t="array" ref="O156">_xlfn._xlws.FILTER(ROUND(tblBaseCFResult[EndPAV],-3)/1000,
(tblBaseCFResult[Year]=$A156)
*(tblBaseCFResult[Risk]=$E$61)
*(tblBaseCFResult[PremTermScenario]=$E$62)
*(tblBaseCFResult[IntRateScenario]=O$64),"")</f>
        <v>19058310</v>
      </c>
      <c r="P156" s="157" cm="1">
        <f t="array" ref="P156">_xlfn._xlws.FILTER(ROUND(tblBaseCFResult[SV],-3)/1000,
(tblBaseCFResult[Year]=$A156)
*(tblBaseCFResult[Risk]=$E$61)
*(tblBaseCFResult[PremTermScenario]=$E$62)
*(tblBaseCFResult[IntRateScenario]=P$64),"")</f>
        <v>17811796</v>
      </c>
      <c r="Q156" s="154"/>
      <c r="R156" s="156"/>
      <c r="S156" s="154"/>
      <c r="T156" s="155">
        <v>89</v>
      </c>
      <c r="U156" s="155">
        <f t="shared" si="24"/>
        <v>88</v>
      </c>
      <c r="W156" s="154"/>
      <c r="X156" s="153" t="str">
        <f t="shared" si="25"/>
        <v>89/88</v>
      </c>
      <c r="Y156" s="152" cm="1">
        <f t="array" ref="Y156">_xlfn._xlws.FILTER(tblBaseCFResult[TP]/1000,
(tblBaseCFResult[Year]=$T156)
*(tblBaseCFResult[Risk]=$Y$61)
*(tblBaseCFResult[PremTermScenario]=$Y$62)
*(tblBaseCFResult[IntRateScenario]=Y$64),"")</f>
        <v>0</v>
      </c>
      <c r="Z156" s="152" cm="1">
        <f t="array" ref="Z156">_xlfn._xlws.FILTER(tblBaseCFResult[EP]/1000,
(tblBaseCFResult[Year]=$T156)
*(tblBaseCFResult[Risk]=$Y$61)
*(tblBaseCFResult[PremTermScenario]=$Y$62)
*(tblBaseCFResult[IntRateScenario]=Z$64),"")</f>
        <v>0</v>
      </c>
      <c r="AA156" s="152">
        <f t="shared" si="26"/>
        <v>0</v>
      </c>
      <c r="AB156" s="152" cm="1">
        <f t="array" ref="AB156">_xlfn._xlws.FILTER(ROUND(tblBaseCFResult[AllocChrg],-3)/1000,
(tblBaseCFResult[Year]=$T156)
*(tblBaseCFResult[Risk]=$Y$61)
*(tblBaseCFResult[PremTermScenario]=$Y$62)
*(tblBaseCFResult[IntRateScenario]=AB$64),"")</f>
        <v>0</v>
      </c>
      <c r="AC156" s="152" cm="1">
        <f t="array" ref="AC156">_xlfn._xlws.FILTER(ROUND(tblBaseCFResult[EPAllocChrg],-3)/1000,
(tblBaseCFResult[Year]=$T156)
*(tblBaseCFResult[Risk]=$Y$61)
*(tblBaseCFResult[PremTermScenario]=$Y$62)
*(tblBaseCFResult[IntRateScenario]=AC$64),"")</f>
        <v>0</v>
      </c>
      <c r="AD156" s="152">
        <f t="shared" si="27"/>
        <v>0</v>
      </c>
      <c r="AE156" s="152">
        <f t="shared" si="28"/>
        <v>0</v>
      </c>
      <c r="AF156" s="152">
        <f t="shared" si="29"/>
        <v>0</v>
      </c>
      <c r="AG156" s="152">
        <f t="shared" si="30"/>
        <v>0</v>
      </c>
      <c r="AH156" s="152" cm="1">
        <f t="array" ref="AH156">_xlfn._xlws.FILTER(ROUND(tblBaseCFResult[AdminChrg],-3)/1000,
(tblBaseCFResult[Year]=$T156)
*(tblBaseCFResult[Risk]=$Y$61)
*(tblBaseCFResult[PremTermScenario]=$Y$62)
*(tblBaseCFResult[IntRateScenario]=AH$64),"")</f>
        <v>300</v>
      </c>
      <c r="AI156" s="152" cm="1">
        <f t="array" ref="AI156">_xlfn._xlws.FILTER(ROUND(tblBaseCFResult[COI],-3)/1000,
(tblBaseCFResult[Year]=$T156)
*(tblBaseCFResult[Risk]=$Y$61)
*(tblBaseCFResult[PremTermScenario]=$Y$62)
*(tblBaseCFResult[IntRateScenario]=AI$64),"")</f>
        <v>0</v>
      </c>
      <c r="AJ156" s="152" cm="1">
        <f t="array" ref="AJ156">_xlfn._xlws.FILTER(ROUND(tblBaseCFResult[AdminChrg],-3)/1000,
(tblBaseCFResult[Year]=$T156)
*(tblBaseCFResult[Risk]=$Y$61)
*(tblBaseCFResult[PremTermScenario]=$Y$62)
*(tblBaseCFResult[IntRateScenario]=AJ$64),"")</f>
        <v>300</v>
      </c>
      <c r="AK156" s="152" cm="1">
        <f t="array" ref="AK156">_xlfn._xlws.FILTER(ROUND(tblBaseCFResult[COI],-3)/1000,
(tblBaseCFResult[Year]=$T156)
*(tblBaseCFResult[Risk]=$Y$61)
*(tblBaseCFResult[PremTermScenario]=$Y$62)
*(tblBaseCFResult[IntRateScenario]=AK$64),"")</f>
        <v>0</v>
      </c>
    </row>
    <row r="157" spans="1:37" ht="15" customHeight="1" x14ac:dyDescent="0.25">
      <c r="A157" s="155">
        <v>90</v>
      </c>
      <c r="B157" s="155">
        <f t="shared" si="22"/>
        <v>89</v>
      </c>
      <c r="C157" s="154"/>
      <c r="D157" s="153" t="str">
        <f t="shared" si="23"/>
        <v>90/89</v>
      </c>
      <c r="E157" s="157" cm="1">
        <f t="array" ref="E157">_xlfn._xlws.FILTER(tblBaseCFResult[TotalPrem]/1000,
(tblBaseCFResult[Year]=$A157)
*(tblBaseCFResult[Risk]=$E$61)
*(tblBaseCFResult[PremTermScenario]=$E$62)
*(tblBaseCFResult[IntRateScenario]=E$64),"")</f>
        <v>0</v>
      </c>
      <c r="F157" s="157" cm="1">
        <f t="array" ref="F157">_xlfn._xlws.FILTER(tblBaseCFResult[AccumTotalPrem]/1000,
(tblBaseCFResult[Year]=$A157)
*(tblBaseCFResult[Risk]=$E$61)
*(tblBaseCFResult[PremTermScenario]=$E$62)
*(tblBaseCFResult[IntRateScenario]=F$64),"")</f>
        <v>0</v>
      </c>
      <c r="G157" s="157" cm="1">
        <f t="array" ref="G157">_xlfn._xlws.FILTER(ROUND(tblBaseCFResult[SemiAnnualTotalPrem],-3)/1000,
(tblBaseCFResult[Year]=$A157)
*(tblBaseCFResult[Risk]=$E$61)
*(tblBaseCFResult[PremTermScenario]=$E$62)
*(tblBaseCFResult[IntRateScenario]=G$64),"")</f>
        <v>0</v>
      </c>
      <c r="H157" s="157" cm="1">
        <f t="array" ref="H157">_xlfn._xlws.FILTER(tblBaseCFResult[Ben]/1000,
(tblBaseCFResult[Year]=$A157)
*(tblBaseCFResult[Risk]=$E$61)
*(tblBaseCFResult[PremTermScenario]=$E$62)
*(tblBaseCFResult[IntRateScenario]=H$64),"")</f>
        <v>325070.05902941397</v>
      </c>
      <c r="I157" s="157" cm="1">
        <f t="array" ref="I157">_xlfn._xlws.FILTER(ROUND(tblBaseCFResult[EndPAV],-3)/1000,
(tblBaseCFResult[Year]=$A157)
*(tblBaseCFResult[Risk]=$E$61)
*(tblBaseCFResult[PremTermScenario]=$E$62)
*(tblBaseCFResult[IntRateScenario]=I$64),"")</f>
        <v>331268</v>
      </c>
      <c r="J157" s="157" cm="1">
        <f t="array" ref="J157">_xlfn._xlws.FILTER(ROUND(tblBaseCFResult[SV],-3)/1000,
(tblBaseCFResult[Year]=$A157)
*(tblBaseCFResult[Risk]=$E$61)
*(tblBaseCFResult[PremTermScenario]=$E$62)
*(tblBaseCFResult[IntRateScenario]=J$64),"")</f>
        <v>325070</v>
      </c>
      <c r="K157" s="157" cm="1">
        <f t="array" ref="K157">_xlfn._xlws.FILTER(tblBaseCFResult[Ben]/1000,
(tblBaseCFResult[Year]=$A157)
*(tblBaseCFResult[Risk]=$E$61)
*(tblBaseCFResult[PremTermScenario]=$E$62)
*(tblBaseCFResult[IntRateScenario]=K$64),"")</f>
        <v>3906008.5172734</v>
      </c>
      <c r="L157" s="157" cm="1">
        <f t="array" ref="L157">_xlfn._xlws.FILTER(ROUND(tblBaseCFResult[EndPAV],-3)/1000,
(tblBaseCFResult[Year]=$A157)
*(tblBaseCFResult[Risk]=$E$61)
*(tblBaseCFResult[PremTermScenario]=$E$62)
*(tblBaseCFResult[IntRateScenario]=L$64),"")</f>
        <v>4101001</v>
      </c>
      <c r="M157" s="157" cm="1">
        <f t="array" ref="M157">_xlfn._xlws.FILTER(ROUND(tblBaseCFResult[SV],-3)/1000,
(tblBaseCFResult[Year]=$A157)
*(tblBaseCFResult[Risk]=$E$61)
*(tblBaseCFResult[PremTermScenario]=$E$62)
*(tblBaseCFResult[IntRateScenario]=M$64),"")</f>
        <v>3906009</v>
      </c>
      <c r="N157" s="157" cm="1">
        <f t="array" ref="N157">_xlfn._xlws.FILTER(tblBaseCFResult[Ben]/1000,
(tblBaseCFResult[Year]=$A157)
*(tblBaseCFResult[Risk]=$E$61)
*(tblBaseCFResult[PremTermScenario]=$E$62)
*(tblBaseCFResult[IntRateScenario]=N$64),"")</f>
        <v>19058310.144038502</v>
      </c>
      <c r="O157" s="157" cm="1">
        <f t="array" ref="O157">_xlfn._xlws.FILTER(ROUND(tblBaseCFResult[EndPAV],-3)/1000,
(tblBaseCFResult[Year]=$A157)
*(tblBaseCFResult[Risk]=$E$61)
*(tblBaseCFResult[PremTermScenario]=$E$62)
*(tblBaseCFResult[IntRateScenario]=O$64),"")</f>
        <v>20392081</v>
      </c>
      <c r="P157" s="157" cm="1">
        <f t="array" ref="P157">_xlfn._xlws.FILTER(ROUND(tblBaseCFResult[SV],-3)/1000,
(tblBaseCFResult[Year]=$A157)
*(tblBaseCFResult[Risk]=$E$61)
*(tblBaseCFResult[PremTermScenario]=$E$62)
*(tblBaseCFResult[IntRateScenario]=P$64),"")</f>
        <v>19058310</v>
      </c>
      <c r="Q157" s="154"/>
      <c r="R157" s="156"/>
      <c r="S157" s="154"/>
      <c r="T157" s="155">
        <v>90</v>
      </c>
      <c r="U157" s="155">
        <f t="shared" si="24"/>
        <v>89</v>
      </c>
      <c r="W157" s="154"/>
      <c r="X157" s="153" t="str">
        <f t="shared" si="25"/>
        <v>90/89</v>
      </c>
      <c r="Y157" s="152" cm="1">
        <f t="array" ref="Y157">_xlfn._xlws.FILTER(tblBaseCFResult[TP]/1000,
(tblBaseCFResult[Year]=$T157)
*(tblBaseCFResult[Risk]=$Y$61)
*(tblBaseCFResult[PremTermScenario]=$Y$62)
*(tblBaseCFResult[IntRateScenario]=Y$64),"")</f>
        <v>0</v>
      </c>
      <c r="Z157" s="152" cm="1">
        <f t="array" ref="Z157">_xlfn._xlws.FILTER(tblBaseCFResult[EP]/1000,
(tblBaseCFResult[Year]=$T157)
*(tblBaseCFResult[Risk]=$Y$61)
*(tblBaseCFResult[PremTermScenario]=$Y$62)
*(tblBaseCFResult[IntRateScenario]=Z$64),"")</f>
        <v>0</v>
      </c>
      <c r="AA157" s="152">
        <f t="shared" si="26"/>
        <v>0</v>
      </c>
      <c r="AB157" s="152" cm="1">
        <f t="array" ref="AB157">_xlfn._xlws.FILTER(ROUND(tblBaseCFResult[AllocChrg],-3)/1000,
(tblBaseCFResult[Year]=$T157)
*(tblBaseCFResult[Risk]=$Y$61)
*(tblBaseCFResult[PremTermScenario]=$Y$62)
*(tblBaseCFResult[IntRateScenario]=AB$64),"")</f>
        <v>0</v>
      </c>
      <c r="AC157" s="152" cm="1">
        <f t="array" ref="AC157">_xlfn._xlws.FILTER(ROUND(tblBaseCFResult[EPAllocChrg],-3)/1000,
(tblBaseCFResult[Year]=$T157)
*(tblBaseCFResult[Risk]=$Y$61)
*(tblBaseCFResult[PremTermScenario]=$Y$62)
*(tblBaseCFResult[IntRateScenario]=AC$64),"")</f>
        <v>0</v>
      </c>
      <c r="AD157" s="152">
        <f t="shared" si="27"/>
        <v>0</v>
      </c>
      <c r="AE157" s="152">
        <f t="shared" si="28"/>
        <v>0</v>
      </c>
      <c r="AF157" s="152">
        <f t="shared" si="29"/>
        <v>0</v>
      </c>
      <c r="AG157" s="152">
        <f t="shared" si="30"/>
        <v>0</v>
      </c>
      <c r="AH157" s="152" cm="1">
        <f t="array" ref="AH157">_xlfn._xlws.FILTER(ROUND(tblBaseCFResult[AdminChrg],-3)/1000,
(tblBaseCFResult[Year]=$T157)
*(tblBaseCFResult[Risk]=$Y$61)
*(tblBaseCFResult[PremTermScenario]=$Y$62)
*(tblBaseCFResult[IntRateScenario]=AH$64),"")</f>
        <v>300</v>
      </c>
      <c r="AI157" s="152" cm="1">
        <f t="array" ref="AI157">_xlfn._xlws.FILTER(ROUND(tblBaseCFResult[COI],-3)/1000,
(tblBaseCFResult[Year]=$T157)
*(tblBaseCFResult[Risk]=$Y$61)
*(tblBaseCFResult[PremTermScenario]=$Y$62)
*(tblBaseCFResult[IntRateScenario]=AI$64),"")</f>
        <v>0</v>
      </c>
      <c r="AJ157" s="152" cm="1">
        <f t="array" ref="AJ157">_xlfn._xlws.FILTER(ROUND(tblBaseCFResult[AdminChrg],-3)/1000,
(tblBaseCFResult[Year]=$T157)
*(tblBaseCFResult[Risk]=$Y$61)
*(tblBaseCFResult[PremTermScenario]=$Y$62)
*(tblBaseCFResult[IntRateScenario]=AJ$64),"")</f>
        <v>300</v>
      </c>
      <c r="AK157" s="152" cm="1">
        <f t="array" ref="AK157">_xlfn._xlws.FILTER(ROUND(tblBaseCFResult[COI],-3)/1000,
(tblBaseCFResult[Year]=$T157)
*(tblBaseCFResult[Risk]=$Y$61)
*(tblBaseCFResult[PremTermScenario]=$Y$62)
*(tblBaseCFResult[IntRateScenario]=AK$64),"")</f>
        <v>0</v>
      </c>
    </row>
    <row r="158" spans="1:37" ht="15" customHeight="1" x14ac:dyDescent="0.25">
      <c r="A158" s="155">
        <v>91</v>
      </c>
      <c r="B158" s="155">
        <f t="shared" si="22"/>
        <v>90</v>
      </c>
      <c r="C158" s="154"/>
      <c r="D158" s="153" t="str">
        <f t="shared" si="23"/>
        <v>91/90</v>
      </c>
      <c r="E158" s="157" cm="1">
        <f t="array" ref="E158">_xlfn._xlws.FILTER(tblBaseCFResult[TotalPrem]/1000,
(tblBaseCFResult[Year]=$A158)
*(tblBaseCFResult[Risk]=$E$61)
*(tblBaseCFResult[PremTermScenario]=$E$62)
*(tblBaseCFResult[IntRateScenario]=E$64),"")</f>
        <v>0</v>
      </c>
      <c r="F158" s="157" cm="1">
        <f t="array" ref="F158">_xlfn._xlws.FILTER(tblBaseCFResult[AccumTotalPrem]/1000,
(tblBaseCFResult[Year]=$A158)
*(tblBaseCFResult[Risk]=$E$61)
*(tblBaseCFResult[PremTermScenario]=$E$62)
*(tblBaseCFResult[IntRateScenario]=F$64),"")</f>
        <v>0</v>
      </c>
      <c r="G158" s="157" cm="1">
        <f t="array" ref="G158">_xlfn._xlws.FILTER(ROUND(tblBaseCFResult[SemiAnnualTotalPrem],-3)/1000,
(tblBaseCFResult[Year]=$A158)
*(tblBaseCFResult[Risk]=$E$61)
*(tblBaseCFResult[PremTermScenario]=$E$62)
*(tblBaseCFResult[IntRateScenario]=G$64),"")</f>
        <v>0</v>
      </c>
      <c r="H158" s="157" cm="1">
        <f t="array" ref="H158">_xlfn._xlws.FILTER(tblBaseCFResult[Ben]/1000,
(tblBaseCFResult[Year]=$A158)
*(tblBaseCFResult[Risk]=$E$61)
*(tblBaseCFResult[PremTermScenario]=$E$62)
*(tblBaseCFResult[IntRateScenario]=H$64),"")</f>
        <v>331268.22004249197</v>
      </c>
      <c r="I158" s="157" cm="1">
        <f t="array" ref="I158">_xlfn._xlws.FILTER(ROUND(tblBaseCFResult[EndPAV],-3)/1000,
(tblBaseCFResult[Year]=$A158)
*(tblBaseCFResult[Risk]=$E$61)
*(tblBaseCFResult[PremTermScenario]=$E$62)
*(tblBaseCFResult[IntRateScenario]=I$64),"")</f>
        <v>337590</v>
      </c>
      <c r="J158" s="157" cm="1">
        <f t="array" ref="J158">_xlfn._xlws.FILTER(ROUND(tblBaseCFResult[SV],-3)/1000,
(tblBaseCFResult[Year]=$A158)
*(tblBaseCFResult[Risk]=$E$61)
*(tblBaseCFResult[PremTermScenario]=$E$62)
*(tblBaseCFResult[IntRateScenario]=J$64),"")</f>
        <v>331268</v>
      </c>
      <c r="K158" s="157" cm="1">
        <f t="array" ref="K158">_xlfn._xlws.FILTER(tblBaseCFResult[Ben]/1000,
(tblBaseCFResult[Year]=$A158)
*(tblBaseCFResult[Risk]=$E$61)
*(tblBaseCFResult[PremTermScenario]=$E$62)
*(tblBaseCFResult[IntRateScenario]=K$64),"")</f>
        <v>4101000.8786988202</v>
      </c>
      <c r="L158" s="157" cm="1">
        <f t="array" ref="L158">_xlfn._xlws.FILTER(ROUND(tblBaseCFResult[EndPAV],-3)/1000,
(tblBaseCFResult[Year]=$A158)
*(tblBaseCFResult[Risk]=$E$61)
*(tblBaseCFResult[PremTermScenario]=$E$62)
*(tblBaseCFResult[IntRateScenario]=L$64),"")</f>
        <v>4305743</v>
      </c>
      <c r="M158" s="157" cm="1">
        <f t="array" ref="M158">_xlfn._xlws.FILTER(ROUND(tblBaseCFResult[SV],-3)/1000,
(tblBaseCFResult[Year]=$A158)
*(tblBaseCFResult[Risk]=$E$61)
*(tblBaseCFResult[PremTermScenario]=$E$62)
*(tblBaseCFResult[IntRateScenario]=M$64),"")</f>
        <v>4101001</v>
      </c>
      <c r="N158" s="157" cm="1">
        <f t="array" ref="N158">_xlfn._xlws.FILTER(tblBaseCFResult[Ben]/1000,
(tblBaseCFResult[Year]=$A158)
*(tblBaseCFResult[Risk]=$E$61)
*(tblBaseCFResult[PremTermScenario]=$E$62)
*(tblBaseCFResult[IntRateScenario]=N$64),"")</f>
        <v>20392080.596692599</v>
      </c>
      <c r="O158" s="157" cm="1">
        <f t="array" ref="O158">_xlfn._xlws.FILTER(ROUND(tblBaseCFResult[EndPAV],-3)/1000,
(tblBaseCFResult[Year]=$A158)
*(tblBaseCFResult[Risk]=$E$61)
*(tblBaseCFResult[PremTermScenario]=$E$62)
*(tblBaseCFResult[IntRateScenario]=O$64),"")</f>
        <v>21819215</v>
      </c>
      <c r="P158" s="157" cm="1">
        <f t="array" ref="P158">_xlfn._xlws.FILTER(ROUND(tblBaseCFResult[SV],-3)/1000,
(tblBaseCFResult[Year]=$A158)
*(tblBaseCFResult[Risk]=$E$61)
*(tblBaseCFResult[PremTermScenario]=$E$62)
*(tblBaseCFResult[IntRateScenario]=P$64),"")</f>
        <v>20392081</v>
      </c>
      <c r="Q158" s="154"/>
      <c r="R158" s="156"/>
      <c r="S158" s="154"/>
      <c r="T158" s="155">
        <v>91</v>
      </c>
      <c r="U158" s="155">
        <f t="shared" si="24"/>
        <v>90</v>
      </c>
      <c r="W158" s="154"/>
      <c r="X158" s="153" t="str">
        <f t="shared" si="25"/>
        <v>91/90</v>
      </c>
      <c r="Y158" s="152" cm="1">
        <f t="array" ref="Y158">_xlfn._xlws.FILTER(tblBaseCFResult[TP]/1000,
(tblBaseCFResult[Year]=$T158)
*(tblBaseCFResult[Risk]=$Y$61)
*(tblBaseCFResult[PremTermScenario]=$Y$62)
*(tblBaseCFResult[IntRateScenario]=Y$64),"")</f>
        <v>0</v>
      </c>
      <c r="Z158" s="152" cm="1">
        <f t="array" ref="Z158">_xlfn._xlws.FILTER(tblBaseCFResult[EP]/1000,
(tblBaseCFResult[Year]=$T158)
*(tblBaseCFResult[Risk]=$Y$61)
*(tblBaseCFResult[PremTermScenario]=$Y$62)
*(tblBaseCFResult[IntRateScenario]=Z$64),"")</f>
        <v>0</v>
      </c>
      <c r="AA158" s="152">
        <f t="shared" si="26"/>
        <v>0</v>
      </c>
      <c r="AB158" s="152" cm="1">
        <f t="array" ref="AB158">_xlfn._xlws.FILTER(ROUND(tblBaseCFResult[AllocChrg],-3)/1000,
(tblBaseCFResult[Year]=$T158)
*(tblBaseCFResult[Risk]=$Y$61)
*(tblBaseCFResult[PremTermScenario]=$Y$62)
*(tblBaseCFResult[IntRateScenario]=AB$64),"")</f>
        <v>0</v>
      </c>
      <c r="AC158" s="152" cm="1">
        <f t="array" ref="AC158">_xlfn._xlws.FILTER(ROUND(tblBaseCFResult[EPAllocChrg],-3)/1000,
(tblBaseCFResult[Year]=$T158)
*(tblBaseCFResult[Risk]=$Y$61)
*(tblBaseCFResult[PremTermScenario]=$Y$62)
*(tblBaseCFResult[IntRateScenario]=AC$64),"")</f>
        <v>0</v>
      </c>
      <c r="AD158" s="152">
        <f t="shared" si="27"/>
        <v>0</v>
      </c>
      <c r="AE158" s="152">
        <f t="shared" si="28"/>
        <v>0</v>
      </c>
      <c r="AF158" s="152">
        <f t="shared" si="29"/>
        <v>0</v>
      </c>
      <c r="AG158" s="152">
        <f t="shared" si="30"/>
        <v>0</v>
      </c>
      <c r="AH158" s="152" cm="1">
        <f t="array" ref="AH158">_xlfn._xlws.FILTER(ROUND(tblBaseCFResult[AdminChrg],-3)/1000,
(tblBaseCFResult[Year]=$T158)
*(tblBaseCFResult[Risk]=$Y$61)
*(tblBaseCFResult[PremTermScenario]=$Y$62)
*(tblBaseCFResult[IntRateScenario]=AH$64),"")</f>
        <v>300</v>
      </c>
      <c r="AI158" s="152" cm="1">
        <f t="array" ref="AI158">_xlfn._xlws.FILTER(ROUND(tblBaseCFResult[COI],-3)/1000,
(tblBaseCFResult[Year]=$T158)
*(tblBaseCFResult[Risk]=$Y$61)
*(tblBaseCFResult[PremTermScenario]=$Y$62)
*(tblBaseCFResult[IntRateScenario]=AI$64),"")</f>
        <v>0</v>
      </c>
      <c r="AJ158" s="152" cm="1">
        <f t="array" ref="AJ158">_xlfn._xlws.FILTER(ROUND(tblBaseCFResult[AdminChrg],-3)/1000,
(tblBaseCFResult[Year]=$T158)
*(tblBaseCFResult[Risk]=$Y$61)
*(tblBaseCFResult[PremTermScenario]=$Y$62)
*(tblBaseCFResult[IntRateScenario]=AJ$64),"")</f>
        <v>300</v>
      </c>
      <c r="AK158" s="152" cm="1">
        <f t="array" ref="AK158">_xlfn._xlws.FILTER(ROUND(tblBaseCFResult[COI],-3)/1000,
(tblBaseCFResult[Year]=$T158)
*(tblBaseCFResult[Risk]=$Y$61)
*(tblBaseCFResult[PremTermScenario]=$Y$62)
*(tblBaseCFResult[IntRateScenario]=AK$64),"")</f>
        <v>0</v>
      </c>
    </row>
    <row r="159" spans="1:37" ht="15" customHeight="1" x14ac:dyDescent="0.25">
      <c r="A159" s="155">
        <v>92</v>
      </c>
      <c r="B159" s="155">
        <f t="shared" si="22"/>
        <v>91</v>
      </c>
      <c r="C159" s="154"/>
      <c r="D159" s="153" t="str">
        <f t="shared" si="23"/>
        <v>92/91</v>
      </c>
      <c r="E159" s="157" cm="1">
        <f t="array" ref="E159">_xlfn._xlws.FILTER(tblBaseCFResult[TotalPrem]/1000,
(tblBaseCFResult[Year]=$A159)
*(tblBaseCFResult[Risk]=$E$61)
*(tblBaseCFResult[PremTermScenario]=$E$62)
*(tblBaseCFResult[IntRateScenario]=E$64),"")</f>
        <v>0</v>
      </c>
      <c r="F159" s="157" cm="1">
        <f t="array" ref="F159">_xlfn._xlws.FILTER(tblBaseCFResult[AccumTotalPrem]/1000,
(tblBaseCFResult[Year]=$A159)
*(tblBaseCFResult[Risk]=$E$61)
*(tblBaseCFResult[PremTermScenario]=$E$62)
*(tblBaseCFResult[IntRateScenario]=F$64),"")</f>
        <v>0</v>
      </c>
      <c r="G159" s="157" cm="1">
        <f t="array" ref="G159">_xlfn._xlws.FILTER(ROUND(tblBaseCFResult[SemiAnnualTotalPrem],-3)/1000,
(tblBaseCFResult[Year]=$A159)
*(tblBaseCFResult[Risk]=$E$61)
*(tblBaseCFResult[PremTermScenario]=$E$62)
*(tblBaseCFResult[IntRateScenario]=G$64),"")</f>
        <v>0</v>
      </c>
      <c r="H159" s="157" cm="1">
        <f t="array" ref="H159">_xlfn._xlws.FILTER(tblBaseCFResult[Ben]/1000,
(tblBaseCFResult[Year]=$A159)
*(tblBaseCFResult[Risk]=$E$61)
*(tblBaseCFResult[PremTermScenario]=$E$62)
*(tblBaseCFResult[IntRateScenario]=H$64),"")</f>
        <v>337590.344275832</v>
      </c>
      <c r="I159" s="157" cm="1">
        <f t="array" ref="I159">_xlfn._xlws.FILTER(ROUND(tblBaseCFResult[EndPAV],-3)/1000,
(tblBaseCFResult[Year]=$A159)
*(tblBaseCFResult[Risk]=$E$61)
*(tblBaseCFResult[PremTermScenario]=$E$62)
*(tblBaseCFResult[IntRateScenario]=I$64),"")</f>
        <v>344342</v>
      </c>
      <c r="J159" s="157" cm="1">
        <f t="array" ref="J159">_xlfn._xlws.FILTER(ROUND(tblBaseCFResult[SV],-3)/1000,
(tblBaseCFResult[Year]=$A159)
*(tblBaseCFResult[Risk]=$E$61)
*(tblBaseCFResult[PremTermScenario]=$E$62)
*(tblBaseCFResult[IntRateScenario]=J$64),"")</f>
        <v>337590</v>
      </c>
      <c r="K159" s="157" cm="1">
        <f t="array" ref="K159">_xlfn._xlws.FILTER(tblBaseCFResult[Ben]/1000,
(tblBaseCFResult[Year]=$A159)
*(tblBaseCFResult[Risk]=$E$61)
*(tblBaseCFResult[PremTermScenario]=$E$62)
*(tblBaseCFResult[IntRateScenario]=K$64),"")</f>
        <v>4305742.8581955303</v>
      </c>
      <c r="L159" s="157" cm="1">
        <f t="array" ref="L159">_xlfn._xlws.FILTER(ROUND(tblBaseCFResult[EndPAV],-3)/1000,
(tblBaseCFResult[Year]=$A159)
*(tblBaseCFResult[Risk]=$E$61)
*(tblBaseCFResult[PremTermScenario]=$E$62)
*(tblBaseCFResult[IntRateScenario]=L$64),"")</f>
        <v>4521030</v>
      </c>
      <c r="M159" s="157" cm="1">
        <f t="array" ref="M159">_xlfn._xlws.FILTER(ROUND(tblBaseCFResult[SV],-3)/1000,
(tblBaseCFResult[Year]=$A159)
*(tblBaseCFResult[Risk]=$E$61)
*(tblBaseCFResult[PremTermScenario]=$E$62)
*(tblBaseCFResult[IntRateScenario]=M$64),"")</f>
        <v>4305743</v>
      </c>
      <c r="N159" s="157" cm="1">
        <f t="array" ref="N159">_xlfn._xlws.FILTER(tblBaseCFResult[Ben]/1000,
(tblBaseCFResult[Year]=$A159)
*(tblBaseCFResult[Risk]=$E$61)
*(tblBaseCFResult[PremTermScenario]=$E$62)
*(tblBaseCFResult[IntRateScenario]=N$64),"")</f>
        <v>21819214.981032398</v>
      </c>
      <c r="O159" s="157" cm="1">
        <f t="array" ref="O159">_xlfn._xlws.FILTER(ROUND(tblBaseCFResult[EndPAV],-3)/1000,
(tblBaseCFResult[Year]=$A159)
*(tblBaseCFResult[Risk]=$E$61)
*(tblBaseCFResult[PremTermScenario]=$E$62)
*(tblBaseCFResult[IntRateScenario]=O$64),"")</f>
        <v>23346560</v>
      </c>
      <c r="P159" s="157" cm="1">
        <f t="array" ref="P159">_xlfn._xlws.FILTER(ROUND(tblBaseCFResult[SV],-3)/1000,
(tblBaseCFResult[Year]=$A159)
*(tblBaseCFResult[Risk]=$E$61)
*(tblBaseCFResult[PremTermScenario]=$E$62)
*(tblBaseCFResult[IntRateScenario]=P$64),"")</f>
        <v>21819215</v>
      </c>
      <c r="Q159" s="154"/>
      <c r="R159" s="156"/>
      <c r="S159" s="154"/>
      <c r="T159" s="155">
        <v>92</v>
      </c>
      <c r="U159" s="155">
        <f t="shared" si="24"/>
        <v>91</v>
      </c>
      <c r="W159" s="154"/>
      <c r="X159" s="153" t="str">
        <f t="shared" si="25"/>
        <v>92/91</v>
      </c>
      <c r="Y159" s="152" cm="1">
        <f t="array" ref="Y159">_xlfn._xlws.FILTER(tblBaseCFResult[TP]/1000,
(tblBaseCFResult[Year]=$T159)
*(tblBaseCFResult[Risk]=$Y$61)
*(tblBaseCFResult[PremTermScenario]=$Y$62)
*(tblBaseCFResult[IntRateScenario]=Y$64),"")</f>
        <v>0</v>
      </c>
      <c r="Z159" s="152" cm="1">
        <f t="array" ref="Z159">_xlfn._xlws.FILTER(tblBaseCFResult[EP]/1000,
(tblBaseCFResult[Year]=$T159)
*(tblBaseCFResult[Risk]=$Y$61)
*(tblBaseCFResult[PremTermScenario]=$Y$62)
*(tblBaseCFResult[IntRateScenario]=Z$64),"")</f>
        <v>0</v>
      </c>
      <c r="AA159" s="152">
        <f t="shared" si="26"/>
        <v>0</v>
      </c>
      <c r="AB159" s="152" cm="1">
        <f t="array" ref="AB159">_xlfn._xlws.FILTER(ROUND(tblBaseCFResult[AllocChrg],-3)/1000,
(tblBaseCFResult[Year]=$T159)
*(tblBaseCFResult[Risk]=$Y$61)
*(tblBaseCFResult[PremTermScenario]=$Y$62)
*(tblBaseCFResult[IntRateScenario]=AB$64),"")</f>
        <v>0</v>
      </c>
      <c r="AC159" s="152" cm="1">
        <f t="array" ref="AC159">_xlfn._xlws.FILTER(ROUND(tblBaseCFResult[EPAllocChrg],-3)/1000,
(tblBaseCFResult[Year]=$T159)
*(tblBaseCFResult[Risk]=$Y$61)
*(tblBaseCFResult[PremTermScenario]=$Y$62)
*(tblBaseCFResult[IntRateScenario]=AC$64),"")</f>
        <v>0</v>
      </c>
      <c r="AD159" s="152">
        <f t="shared" si="27"/>
        <v>0</v>
      </c>
      <c r="AE159" s="152">
        <f t="shared" si="28"/>
        <v>0</v>
      </c>
      <c r="AF159" s="152">
        <f t="shared" si="29"/>
        <v>0</v>
      </c>
      <c r="AG159" s="152">
        <f t="shared" si="30"/>
        <v>0</v>
      </c>
      <c r="AH159" s="152" cm="1">
        <f t="array" ref="AH159">_xlfn._xlws.FILTER(ROUND(tblBaseCFResult[AdminChrg],-3)/1000,
(tblBaseCFResult[Year]=$T159)
*(tblBaseCFResult[Risk]=$Y$61)
*(tblBaseCFResult[PremTermScenario]=$Y$62)
*(tblBaseCFResult[IntRateScenario]=AH$64),"")</f>
        <v>0</v>
      </c>
      <c r="AI159" s="152" cm="1">
        <f t="array" ref="AI159">_xlfn._xlws.FILTER(ROUND(tblBaseCFResult[COI],-3)/1000,
(tblBaseCFResult[Year]=$T159)
*(tblBaseCFResult[Risk]=$Y$61)
*(tblBaseCFResult[PremTermScenario]=$Y$62)
*(tblBaseCFResult[IntRateScenario]=AI$64),"")</f>
        <v>0</v>
      </c>
      <c r="AJ159" s="152" cm="1">
        <f t="array" ref="AJ159">_xlfn._xlws.FILTER(ROUND(tblBaseCFResult[AdminChrg],-3)/1000,
(tblBaseCFResult[Year]=$T159)
*(tblBaseCFResult[Risk]=$Y$61)
*(tblBaseCFResult[PremTermScenario]=$Y$62)
*(tblBaseCFResult[IntRateScenario]=AJ$64),"")</f>
        <v>0</v>
      </c>
      <c r="AK159" s="152" cm="1">
        <f t="array" ref="AK159">_xlfn._xlws.FILTER(ROUND(tblBaseCFResult[COI],-3)/1000,
(tblBaseCFResult[Year]=$T159)
*(tblBaseCFResult[Risk]=$Y$61)
*(tblBaseCFResult[PremTermScenario]=$Y$62)
*(tblBaseCFResult[IntRateScenario]=AK$64),"")</f>
        <v>0</v>
      </c>
    </row>
    <row r="160" spans="1:37" ht="15" customHeight="1" x14ac:dyDescent="0.25">
      <c r="A160" s="155">
        <v>93</v>
      </c>
      <c r="B160" s="155">
        <f t="shared" si="22"/>
        <v>92</v>
      </c>
      <c r="C160" s="154"/>
      <c r="D160" s="153" t="str">
        <f t="shared" si="23"/>
        <v>93/92</v>
      </c>
      <c r="E160" s="157" cm="1">
        <f t="array" ref="E160">_xlfn._xlws.FILTER(tblBaseCFResult[TotalPrem]/1000,
(tblBaseCFResult[Year]=$A160)
*(tblBaseCFResult[Risk]=$E$61)
*(tblBaseCFResult[PremTermScenario]=$E$62)
*(tblBaseCFResult[IntRateScenario]=E$64),"")</f>
        <v>0</v>
      </c>
      <c r="F160" s="157" cm="1">
        <f t="array" ref="F160">_xlfn._xlws.FILTER(tblBaseCFResult[AccumTotalPrem]/1000,
(tblBaseCFResult[Year]=$A160)
*(tblBaseCFResult[Risk]=$E$61)
*(tblBaseCFResult[PremTermScenario]=$E$62)
*(tblBaseCFResult[IntRateScenario]=F$64),"")</f>
        <v>0</v>
      </c>
      <c r="G160" s="157" cm="1">
        <f t="array" ref="G160">_xlfn._xlws.FILTER(ROUND(tblBaseCFResult[SemiAnnualTotalPrem],-3)/1000,
(tblBaseCFResult[Year]=$A160)
*(tblBaseCFResult[Risk]=$E$61)
*(tblBaseCFResult[PremTermScenario]=$E$62)
*(tblBaseCFResult[IntRateScenario]=G$64),"")</f>
        <v>0</v>
      </c>
      <c r="H160" s="157" cm="1">
        <f t="array" ref="H160">_xlfn._xlws.FILTER(tblBaseCFResult[Ben]/1000,
(tblBaseCFResult[Year]=$A160)
*(tblBaseCFResult[Risk]=$E$61)
*(tblBaseCFResult[PremTermScenario]=$E$62)
*(tblBaseCFResult[IntRateScenario]=H$64),"")</f>
        <v>344342.15116134897</v>
      </c>
      <c r="I160" s="157" cm="1">
        <f t="array" ref="I160">_xlfn._xlws.FILTER(ROUND(tblBaseCFResult[EndPAV],-3)/1000,
(tblBaseCFResult[Year]=$A160)
*(tblBaseCFResult[Risk]=$E$61)
*(tblBaseCFResult[PremTermScenario]=$E$62)
*(tblBaseCFResult[IntRateScenario]=I$64),"")</f>
        <v>351229</v>
      </c>
      <c r="J160" s="157" cm="1">
        <f t="array" ref="J160">_xlfn._xlws.FILTER(ROUND(tblBaseCFResult[SV],-3)/1000,
(tblBaseCFResult[Year]=$A160)
*(tblBaseCFResult[Risk]=$E$61)
*(tblBaseCFResult[PremTermScenario]=$E$62)
*(tblBaseCFResult[IntRateScenario]=J$64),"")</f>
        <v>344342</v>
      </c>
      <c r="K160" s="157" cm="1">
        <f t="array" ref="K160">_xlfn._xlws.FILTER(tblBaseCFResult[Ben]/1000,
(tblBaseCFResult[Year]=$A160)
*(tblBaseCFResult[Risk]=$E$61)
*(tblBaseCFResult[PremTermScenario]=$E$62)
*(tblBaseCFResult[IntRateScenario]=K$64),"")</f>
        <v>4521030.0011053002</v>
      </c>
      <c r="L160" s="157" cm="1">
        <f t="array" ref="L160">_xlfn._xlws.FILTER(ROUND(tblBaseCFResult[EndPAV],-3)/1000,
(tblBaseCFResult[Year]=$A160)
*(tblBaseCFResult[Risk]=$E$61)
*(tblBaseCFResult[PremTermScenario]=$E$62)
*(tblBaseCFResult[IntRateScenario]=L$64),"")</f>
        <v>4747082</v>
      </c>
      <c r="M160" s="157" cm="1">
        <f t="array" ref="M160">_xlfn._xlws.FILTER(ROUND(tblBaseCFResult[SV],-3)/1000,
(tblBaseCFResult[Year]=$A160)
*(tblBaseCFResult[Risk]=$E$61)
*(tblBaseCFResult[PremTermScenario]=$E$62)
*(tblBaseCFResult[IntRateScenario]=M$64),"")</f>
        <v>4521030</v>
      </c>
      <c r="N160" s="157" cm="1">
        <f t="array" ref="N160">_xlfn._xlws.FILTER(tblBaseCFResult[Ben]/1000,
(tblBaseCFResult[Year]=$A160)
*(tblBaseCFResult[Risk]=$E$61)
*(tblBaseCFResult[PremTermScenario]=$E$62)
*(tblBaseCFResult[IntRateScenario]=N$64),"")</f>
        <v>23346560.029704701</v>
      </c>
      <c r="O160" s="157" cm="1">
        <f t="array" ref="O160">_xlfn._xlws.FILTER(ROUND(tblBaseCFResult[EndPAV],-3)/1000,
(tblBaseCFResult[Year]=$A160)
*(tblBaseCFResult[Risk]=$E$61)
*(tblBaseCFResult[PremTermScenario]=$E$62)
*(tblBaseCFResult[IntRateScenario]=O$64),"")</f>
        <v>24980819</v>
      </c>
      <c r="P160" s="157" cm="1">
        <f t="array" ref="P160">_xlfn._xlws.FILTER(ROUND(tblBaseCFResult[SV],-3)/1000,
(tblBaseCFResult[Year]=$A160)
*(tblBaseCFResult[Risk]=$E$61)
*(tblBaseCFResult[PremTermScenario]=$E$62)
*(tblBaseCFResult[IntRateScenario]=P$64),"")</f>
        <v>23346560</v>
      </c>
      <c r="Q160" s="154"/>
      <c r="R160" s="156"/>
      <c r="S160" s="154"/>
      <c r="T160" s="155">
        <v>93</v>
      </c>
      <c r="U160" s="155">
        <f t="shared" si="24"/>
        <v>92</v>
      </c>
      <c r="W160" s="154"/>
      <c r="X160" s="153" t="str">
        <f t="shared" si="25"/>
        <v>93/92</v>
      </c>
      <c r="Y160" s="152" cm="1">
        <f t="array" ref="Y160">_xlfn._xlws.FILTER(tblBaseCFResult[TP]/1000,
(tblBaseCFResult[Year]=$T160)
*(tblBaseCFResult[Risk]=$Y$61)
*(tblBaseCFResult[PremTermScenario]=$Y$62)
*(tblBaseCFResult[IntRateScenario]=Y$64),"")</f>
        <v>0</v>
      </c>
      <c r="Z160" s="152" cm="1">
        <f t="array" ref="Z160">_xlfn._xlws.FILTER(tblBaseCFResult[EP]/1000,
(tblBaseCFResult[Year]=$T160)
*(tblBaseCFResult[Risk]=$Y$61)
*(tblBaseCFResult[PremTermScenario]=$Y$62)
*(tblBaseCFResult[IntRateScenario]=Z$64),"")</f>
        <v>0</v>
      </c>
      <c r="AA160" s="152">
        <f t="shared" si="26"/>
        <v>0</v>
      </c>
      <c r="AB160" s="152" cm="1">
        <f t="array" ref="AB160">_xlfn._xlws.FILTER(ROUND(tblBaseCFResult[AllocChrg],-3)/1000,
(tblBaseCFResult[Year]=$T160)
*(tblBaseCFResult[Risk]=$Y$61)
*(tblBaseCFResult[PremTermScenario]=$Y$62)
*(tblBaseCFResult[IntRateScenario]=AB$64),"")</f>
        <v>0</v>
      </c>
      <c r="AC160" s="152" cm="1">
        <f t="array" ref="AC160">_xlfn._xlws.FILTER(ROUND(tblBaseCFResult[EPAllocChrg],-3)/1000,
(tblBaseCFResult[Year]=$T160)
*(tblBaseCFResult[Risk]=$Y$61)
*(tblBaseCFResult[PremTermScenario]=$Y$62)
*(tblBaseCFResult[IntRateScenario]=AC$64),"")</f>
        <v>0</v>
      </c>
      <c r="AD160" s="152">
        <f t="shared" si="27"/>
        <v>0</v>
      </c>
      <c r="AE160" s="152">
        <f t="shared" si="28"/>
        <v>0</v>
      </c>
      <c r="AF160" s="152">
        <f t="shared" si="29"/>
        <v>0</v>
      </c>
      <c r="AG160" s="152">
        <f t="shared" si="30"/>
        <v>0</v>
      </c>
      <c r="AH160" s="152" cm="1">
        <f t="array" ref="AH160">_xlfn._xlws.FILTER(ROUND(tblBaseCFResult[AdminChrg],-3)/1000,
(tblBaseCFResult[Year]=$T160)
*(tblBaseCFResult[Risk]=$Y$61)
*(tblBaseCFResult[PremTermScenario]=$Y$62)
*(tblBaseCFResult[IntRateScenario]=AH$64),"")</f>
        <v>0</v>
      </c>
      <c r="AI160" s="152" cm="1">
        <f t="array" ref="AI160">_xlfn._xlws.FILTER(ROUND(tblBaseCFResult[COI],-3)/1000,
(tblBaseCFResult[Year]=$T160)
*(tblBaseCFResult[Risk]=$Y$61)
*(tblBaseCFResult[PremTermScenario]=$Y$62)
*(tblBaseCFResult[IntRateScenario]=AI$64),"")</f>
        <v>0</v>
      </c>
      <c r="AJ160" s="152" cm="1">
        <f t="array" ref="AJ160">_xlfn._xlws.FILTER(ROUND(tblBaseCFResult[AdminChrg],-3)/1000,
(tblBaseCFResult[Year]=$T160)
*(tblBaseCFResult[Risk]=$Y$61)
*(tblBaseCFResult[PremTermScenario]=$Y$62)
*(tblBaseCFResult[IntRateScenario]=AJ$64),"")</f>
        <v>0</v>
      </c>
      <c r="AK160" s="152" cm="1">
        <f t="array" ref="AK160">_xlfn._xlws.FILTER(ROUND(tblBaseCFResult[COI],-3)/1000,
(tblBaseCFResult[Year]=$T160)
*(tblBaseCFResult[Risk]=$Y$61)
*(tblBaseCFResult[PremTermScenario]=$Y$62)
*(tblBaseCFResult[IntRateScenario]=AK$64),"")</f>
        <v>0</v>
      </c>
    </row>
    <row r="161" spans="1:37" ht="15" customHeight="1" x14ac:dyDescent="0.25">
      <c r="A161" s="155">
        <v>94</v>
      </c>
      <c r="B161" s="155">
        <f t="shared" si="22"/>
        <v>93</v>
      </c>
      <c r="C161" s="154"/>
      <c r="D161" s="153" t="str">
        <f t="shared" si="23"/>
        <v>94/93</v>
      </c>
      <c r="E161" s="157" cm="1">
        <f t="array" ref="E161">_xlfn._xlws.FILTER(tblBaseCFResult[TotalPrem]/1000,
(tblBaseCFResult[Year]=$A161)
*(tblBaseCFResult[Risk]=$E$61)
*(tblBaseCFResult[PremTermScenario]=$E$62)
*(tblBaseCFResult[IntRateScenario]=E$64),"")</f>
        <v>0</v>
      </c>
      <c r="F161" s="157" cm="1">
        <f t="array" ref="F161">_xlfn._xlws.FILTER(tblBaseCFResult[AccumTotalPrem]/1000,
(tblBaseCFResult[Year]=$A161)
*(tblBaseCFResult[Risk]=$E$61)
*(tblBaseCFResult[PremTermScenario]=$E$62)
*(tblBaseCFResult[IntRateScenario]=F$64),"")</f>
        <v>0</v>
      </c>
      <c r="G161" s="157" cm="1">
        <f t="array" ref="G161">_xlfn._xlws.FILTER(ROUND(tblBaseCFResult[SemiAnnualTotalPrem],-3)/1000,
(tblBaseCFResult[Year]=$A161)
*(tblBaseCFResult[Risk]=$E$61)
*(tblBaseCFResult[PremTermScenario]=$E$62)
*(tblBaseCFResult[IntRateScenario]=G$64),"")</f>
        <v>0</v>
      </c>
      <c r="H161" s="157" cm="1">
        <f t="array" ref="H161">_xlfn._xlws.FILTER(tblBaseCFResult[Ben]/1000,
(tblBaseCFResult[Year]=$A161)
*(tblBaseCFResult[Risk]=$E$61)
*(tblBaseCFResult[PremTermScenario]=$E$62)
*(tblBaseCFResult[IntRateScenario]=H$64),"")</f>
        <v>351228.99418457597</v>
      </c>
      <c r="I161" s="157" cm="1">
        <f t="array" ref="I161">_xlfn._xlws.FILTER(ROUND(tblBaseCFResult[EndPAV],-3)/1000,
(tblBaseCFResult[Year]=$A161)
*(tblBaseCFResult[Risk]=$E$61)
*(tblBaseCFResult[PremTermScenario]=$E$62)
*(tblBaseCFResult[IntRateScenario]=I$64),"")</f>
        <v>358254</v>
      </c>
      <c r="J161" s="157" cm="1">
        <f t="array" ref="J161">_xlfn._xlws.FILTER(ROUND(tblBaseCFResult[SV],-3)/1000,
(tblBaseCFResult[Year]=$A161)
*(tblBaseCFResult[Risk]=$E$61)
*(tblBaseCFResult[PremTermScenario]=$E$62)
*(tblBaseCFResult[IntRateScenario]=J$64),"")</f>
        <v>351229</v>
      </c>
      <c r="K161" s="157" cm="1">
        <f t="array" ref="K161">_xlfn._xlws.FILTER(tblBaseCFResult[Ben]/1000,
(tblBaseCFResult[Year]=$A161)
*(tblBaseCFResult[Risk]=$E$61)
*(tblBaseCFResult[PremTermScenario]=$E$62)
*(tblBaseCFResult[IntRateScenario]=K$64),"")</f>
        <v>4747081.5011605704</v>
      </c>
      <c r="L161" s="157" cm="1">
        <f t="array" ref="L161">_xlfn._xlws.FILTER(ROUND(tblBaseCFResult[EndPAV],-3)/1000,
(tblBaseCFResult[Year]=$A161)
*(tblBaseCFResult[Risk]=$E$61)
*(tblBaseCFResult[PremTermScenario]=$E$62)
*(tblBaseCFResult[IntRateScenario]=L$64),"")</f>
        <v>4984436</v>
      </c>
      <c r="M161" s="157" cm="1">
        <f t="array" ref="M161">_xlfn._xlws.FILTER(ROUND(tblBaseCFResult[SV],-3)/1000,
(tblBaseCFResult[Year]=$A161)
*(tblBaseCFResult[Risk]=$E$61)
*(tblBaseCFResult[PremTermScenario]=$E$62)
*(tblBaseCFResult[IntRateScenario]=M$64),"")</f>
        <v>4747082</v>
      </c>
      <c r="N161" s="157" cm="1">
        <f t="array" ref="N161">_xlfn._xlws.FILTER(tblBaseCFResult[Ben]/1000,
(tblBaseCFResult[Year]=$A161)
*(tblBaseCFResult[Risk]=$E$61)
*(tblBaseCFResult[PremTermScenario]=$E$62)
*(tblBaseCFResult[IntRateScenario]=N$64),"")</f>
        <v>24980819.231784001</v>
      </c>
      <c r="O161" s="157" cm="1">
        <f t="array" ref="O161">_xlfn._xlws.FILTER(ROUND(tblBaseCFResult[EndPAV],-3)/1000,
(tblBaseCFResult[Year]=$A161)
*(tblBaseCFResult[Risk]=$E$61)
*(tblBaseCFResult[PremTermScenario]=$E$62)
*(tblBaseCFResult[IntRateScenario]=O$64),"")</f>
        <v>26729477</v>
      </c>
      <c r="P161" s="157" cm="1">
        <f t="array" ref="P161">_xlfn._xlws.FILTER(ROUND(tblBaseCFResult[SV],-3)/1000,
(tblBaseCFResult[Year]=$A161)
*(tblBaseCFResult[Risk]=$E$61)
*(tblBaseCFResult[PremTermScenario]=$E$62)
*(tblBaseCFResult[IntRateScenario]=P$64),"")</f>
        <v>24980819</v>
      </c>
      <c r="Q161" s="154"/>
      <c r="R161" s="156"/>
      <c r="S161" s="154"/>
      <c r="T161" s="155">
        <v>94</v>
      </c>
      <c r="U161" s="155">
        <f t="shared" si="24"/>
        <v>93</v>
      </c>
      <c r="W161" s="154"/>
      <c r="X161" s="153" t="str">
        <f t="shared" si="25"/>
        <v>94/93</v>
      </c>
      <c r="Y161" s="152" cm="1">
        <f t="array" ref="Y161">_xlfn._xlws.FILTER(tblBaseCFResult[TP]/1000,
(tblBaseCFResult[Year]=$T161)
*(tblBaseCFResult[Risk]=$Y$61)
*(tblBaseCFResult[PremTermScenario]=$Y$62)
*(tblBaseCFResult[IntRateScenario]=Y$64),"")</f>
        <v>0</v>
      </c>
      <c r="Z161" s="152" cm="1">
        <f t="array" ref="Z161">_xlfn._xlws.FILTER(tblBaseCFResult[EP]/1000,
(tblBaseCFResult[Year]=$T161)
*(tblBaseCFResult[Risk]=$Y$61)
*(tblBaseCFResult[PremTermScenario]=$Y$62)
*(tblBaseCFResult[IntRateScenario]=Z$64),"")</f>
        <v>0</v>
      </c>
      <c r="AA161" s="152">
        <f t="shared" si="26"/>
        <v>0</v>
      </c>
      <c r="AB161" s="152" cm="1">
        <f t="array" ref="AB161">_xlfn._xlws.FILTER(ROUND(tblBaseCFResult[AllocChrg],-3)/1000,
(tblBaseCFResult[Year]=$T161)
*(tblBaseCFResult[Risk]=$Y$61)
*(tblBaseCFResult[PremTermScenario]=$Y$62)
*(tblBaseCFResult[IntRateScenario]=AB$64),"")</f>
        <v>0</v>
      </c>
      <c r="AC161" s="152" cm="1">
        <f t="array" ref="AC161">_xlfn._xlws.FILTER(ROUND(tblBaseCFResult[EPAllocChrg],-3)/1000,
(tblBaseCFResult[Year]=$T161)
*(tblBaseCFResult[Risk]=$Y$61)
*(tblBaseCFResult[PremTermScenario]=$Y$62)
*(tblBaseCFResult[IntRateScenario]=AC$64),"")</f>
        <v>0</v>
      </c>
      <c r="AD161" s="152">
        <f t="shared" si="27"/>
        <v>0</v>
      </c>
      <c r="AE161" s="152">
        <f t="shared" si="28"/>
        <v>0</v>
      </c>
      <c r="AF161" s="152">
        <f t="shared" si="29"/>
        <v>0</v>
      </c>
      <c r="AG161" s="152">
        <f t="shared" si="30"/>
        <v>0</v>
      </c>
      <c r="AH161" s="152" cm="1">
        <f t="array" ref="AH161">_xlfn._xlws.FILTER(ROUND(tblBaseCFResult[AdminChrg],-3)/1000,
(tblBaseCFResult[Year]=$T161)
*(tblBaseCFResult[Risk]=$Y$61)
*(tblBaseCFResult[PremTermScenario]=$Y$62)
*(tblBaseCFResult[IntRateScenario]=AH$64),"")</f>
        <v>0</v>
      </c>
      <c r="AI161" s="152" cm="1">
        <f t="array" ref="AI161">_xlfn._xlws.FILTER(ROUND(tblBaseCFResult[COI],-3)/1000,
(tblBaseCFResult[Year]=$T161)
*(tblBaseCFResult[Risk]=$Y$61)
*(tblBaseCFResult[PremTermScenario]=$Y$62)
*(tblBaseCFResult[IntRateScenario]=AI$64),"")</f>
        <v>0</v>
      </c>
      <c r="AJ161" s="152" cm="1">
        <f t="array" ref="AJ161">_xlfn._xlws.FILTER(ROUND(tblBaseCFResult[AdminChrg],-3)/1000,
(tblBaseCFResult[Year]=$T161)
*(tblBaseCFResult[Risk]=$Y$61)
*(tblBaseCFResult[PremTermScenario]=$Y$62)
*(tblBaseCFResult[IntRateScenario]=AJ$64),"")</f>
        <v>0</v>
      </c>
      <c r="AK161" s="152" cm="1">
        <f t="array" ref="AK161">_xlfn._xlws.FILTER(ROUND(tblBaseCFResult[COI],-3)/1000,
(tblBaseCFResult[Year]=$T161)
*(tblBaseCFResult[Risk]=$Y$61)
*(tblBaseCFResult[PremTermScenario]=$Y$62)
*(tblBaseCFResult[IntRateScenario]=AK$64),"")</f>
        <v>0</v>
      </c>
    </row>
    <row r="162" spans="1:37" ht="15" customHeight="1" x14ac:dyDescent="0.25">
      <c r="A162" s="155">
        <v>95</v>
      </c>
      <c r="B162" s="155">
        <f t="shared" si="22"/>
        <v>94</v>
      </c>
      <c r="C162" s="154"/>
      <c r="D162" s="153" t="str">
        <f t="shared" si="23"/>
        <v>95/94</v>
      </c>
      <c r="E162" s="157" cm="1">
        <f t="array" ref="E162">_xlfn._xlws.FILTER(tblBaseCFResult[TotalPrem]/1000,
(tblBaseCFResult[Year]=$A162)
*(tblBaseCFResult[Risk]=$E$61)
*(tblBaseCFResult[PremTermScenario]=$E$62)
*(tblBaseCFResult[IntRateScenario]=E$64),"")</f>
        <v>0</v>
      </c>
      <c r="F162" s="157" cm="1">
        <f t="array" ref="F162">_xlfn._xlws.FILTER(tblBaseCFResult[AccumTotalPrem]/1000,
(tblBaseCFResult[Year]=$A162)
*(tblBaseCFResult[Risk]=$E$61)
*(tblBaseCFResult[PremTermScenario]=$E$62)
*(tblBaseCFResult[IntRateScenario]=F$64),"")</f>
        <v>0</v>
      </c>
      <c r="G162" s="157" cm="1">
        <f t="array" ref="G162">_xlfn._xlws.FILTER(ROUND(tblBaseCFResult[SemiAnnualTotalPrem],-3)/1000,
(tblBaseCFResult[Year]=$A162)
*(tblBaseCFResult[Risk]=$E$61)
*(tblBaseCFResult[PremTermScenario]=$E$62)
*(tblBaseCFResult[IntRateScenario]=G$64),"")</f>
        <v>0</v>
      </c>
      <c r="H162" s="157" cm="1">
        <f t="array" ref="H162">_xlfn._xlws.FILTER(tblBaseCFResult[Ben]/1000,
(tblBaseCFResult[Year]=$A162)
*(tblBaseCFResult[Risk]=$E$61)
*(tblBaseCFResult[PremTermScenario]=$E$62)
*(tblBaseCFResult[IntRateScenario]=H$64),"")</f>
        <v>358253.57406826701</v>
      </c>
      <c r="I162" s="157" cm="1">
        <f t="array" ref="I162">_xlfn._xlws.FILTER(ROUND(tblBaseCFResult[EndPAV],-3)/1000,
(tblBaseCFResult[Year]=$A162)
*(tblBaseCFResult[Risk]=$E$61)
*(tblBaseCFResult[PremTermScenario]=$E$62)
*(tblBaseCFResult[IntRateScenario]=I$64),"")</f>
        <v>365419</v>
      </c>
      <c r="J162" s="157" cm="1">
        <f t="array" ref="J162">_xlfn._xlws.FILTER(ROUND(tblBaseCFResult[SV],-3)/1000,
(tblBaseCFResult[Year]=$A162)
*(tblBaseCFResult[Risk]=$E$61)
*(tblBaseCFResult[PremTermScenario]=$E$62)
*(tblBaseCFResult[IntRateScenario]=J$64),"")</f>
        <v>358254</v>
      </c>
      <c r="K162" s="157" cm="1">
        <f t="array" ref="K162">_xlfn._xlws.FILTER(tblBaseCFResult[Ben]/1000,
(tblBaseCFResult[Year]=$A162)
*(tblBaseCFResult[Risk]=$E$61)
*(tblBaseCFResult[PremTermScenario]=$E$62)
*(tblBaseCFResult[IntRateScenario]=K$64),"")</f>
        <v>4984435.5762186004</v>
      </c>
      <c r="L162" s="157" cm="1">
        <f t="array" ref="L162">_xlfn._xlws.FILTER(ROUND(tblBaseCFResult[EndPAV],-3)/1000,
(tblBaseCFResult[Year]=$A162)
*(tblBaseCFResult[Risk]=$E$61)
*(tblBaseCFResult[PremTermScenario]=$E$62)
*(tblBaseCFResult[IntRateScenario]=L$64),"")</f>
        <v>5233657</v>
      </c>
      <c r="M162" s="157" cm="1">
        <f t="array" ref="M162">_xlfn._xlws.FILTER(ROUND(tblBaseCFResult[SV],-3)/1000,
(tblBaseCFResult[Year]=$A162)
*(tblBaseCFResult[Risk]=$E$61)
*(tblBaseCFResult[PremTermScenario]=$E$62)
*(tblBaseCFResult[IntRateScenario]=M$64),"")</f>
        <v>4984436</v>
      </c>
      <c r="N162" s="157" cm="1">
        <f t="array" ref="N162">_xlfn._xlws.FILTER(tblBaseCFResult[Ben]/1000,
(tblBaseCFResult[Year]=$A162)
*(tblBaseCFResult[Risk]=$E$61)
*(tblBaseCFResult[PremTermScenario]=$E$62)
*(tblBaseCFResult[IntRateScenario]=N$64),"")</f>
        <v>26729476.578008901</v>
      </c>
      <c r="O162" s="157" cm="1">
        <f t="array" ref="O162">_xlfn._xlws.FILTER(ROUND(tblBaseCFResult[EndPAV],-3)/1000,
(tblBaseCFResult[Year]=$A162)
*(tblBaseCFResult[Risk]=$E$61)
*(tblBaseCFResult[PremTermScenario]=$E$62)
*(tblBaseCFResult[IntRateScenario]=O$64),"")</f>
        <v>28600540</v>
      </c>
      <c r="P162" s="157" cm="1">
        <f t="array" ref="P162">_xlfn._xlws.FILTER(ROUND(tblBaseCFResult[SV],-3)/1000,
(tblBaseCFResult[Year]=$A162)
*(tblBaseCFResult[Risk]=$E$61)
*(tblBaseCFResult[PremTermScenario]=$E$62)
*(tblBaseCFResult[IntRateScenario]=P$64),"")</f>
        <v>26729477</v>
      </c>
      <c r="Q162" s="154"/>
      <c r="R162" s="156"/>
      <c r="S162" s="154"/>
      <c r="T162" s="155">
        <v>95</v>
      </c>
      <c r="U162" s="155">
        <f t="shared" si="24"/>
        <v>94</v>
      </c>
      <c r="W162" s="154"/>
      <c r="X162" s="153" t="str">
        <f t="shared" si="25"/>
        <v>95/94</v>
      </c>
      <c r="Y162" s="152" cm="1">
        <f t="array" ref="Y162">_xlfn._xlws.FILTER(tblBaseCFResult[TP]/1000,
(tblBaseCFResult[Year]=$T162)
*(tblBaseCFResult[Risk]=$Y$61)
*(tblBaseCFResult[PremTermScenario]=$Y$62)
*(tblBaseCFResult[IntRateScenario]=Y$64),"")</f>
        <v>0</v>
      </c>
      <c r="Z162" s="152" cm="1">
        <f t="array" ref="Z162">_xlfn._xlws.FILTER(tblBaseCFResult[EP]/1000,
(tblBaseCFResult[Year]=$T162)
*(tblBaseCFResult[Risk]=$Y$61)
*(tblBaseCFResult[PremTermScenario]=$Y$62)
*(tblBaseCFResult[IntRateScenario]=Z$64),"")</f>
        <v>0</v>
      </c>
      <c r="AA162" s="152">
        <f t="shared" si="26"/>
        <v>0</v>
      </c>
      <c r="AB162" s="152" cm="1">
        <f t="array" ref="AB162">_xlfn._xlws.FILTER(ROUND(tblBaseCFResult[AllocChrg],-3)/1000,
(tblBaseCFResult[Year]=$T162)
*(tblBaseCFResult[Risk]=$Y$61)
*(tblBaseCFResult[PremTermScenario]=$Y$62)
*(tblBaseCFResult[IntRateScenario]=AB$64),"")</f>
        <v>0</v>
      </c>
      <c r="AC162" s="152" cm="1">
        <f t="array" ref="AC162">_xlfn._xlws.FILTER(ROUND(tblBaseCFResult[EPAllocChrg],-3)/1000,
(tblBaseCFResult[Year]=$T162)
*(tblBaseCFResult[Risk]=$Y$61)
*(tblBaseCFResult[PremTermScenario]=$Y$62)
*(tblBaseCFResult[IntRateScenario]=AC$64),"")</f>
        <v>0</v>
      </c>
      <c r="AD162" s="152">
        <f t="shared" si="27"/>
        <v>0</v>
      </c>
      <c r="AE162" s="152">
        <f t="shared" si="28"/>
        <v>0</v>
      </c>
      <c r="AF162" s="152">
        <f t="shared" si="29"/>
        <v>0</v>
      </c>
      <c r="AG162" s="152">
        <f t="shared" si="30"/>
        <v>0</v>
      </c>
      <c r="AH162" s="152" cm="1">
        <f t="array" ref="AH162">_xlfn._xlws.FILTER(ROUND(tblBaseCFResult[AdminChrg],-3)/1000,
(tblBaseCFResult[Year]=$T162)
*(tblBaseCFResult[Risk]=$Y$61)
*(tblBaseCFResult[PremTermScenario]=$Y$62)
*(tblBaseCFResult[IntRateScenario]=AH$64),"")</f>
        <v>0</v>
      </c>
      <c r="AI162" s="152" cm="1">
        <f t="array" ref="AI162">_xlfn._xlws.FILTER(ROUND(tblBaseCFResult[COI],-3)/1000,
(tblBaseCFResult[Year]=$T162)
*(tblBaseCFResult[Risk]=$Y$61)
*(tblBaseCFResult[PremTermScenario]=$Y$62)
*(tblBaseCFResult[IntRateScenario]=AI$64),"")</f>
        <v>0</v>
      </c>
      <c r="AJ162" s="152" cm="1">
        <f t="array" ref="AJ162">_xlfn._xlws.FILTER(ROUND(tblBaseCFResult[AdminChrg],-3)/1000,
(tblBaseCFResult[Year]=$T162)
*(tblBaseCFResult[Risk]=$Y$61)
*(tblBaseCFResult[PremTermScenario]=$Y$62)
*(tblBaseCFResult[IntRateScenario]=AJ$64),"")</f>
        <v>0</v>
      </c>
      <c r="AK162" s="152" cm="1">
        <f t="array" ref="AK162">_xlfn._xlws.FILTER(ROUND(tblBaseCFResult[COI],-3)/1000,
(tblBaseCFResult[Year]=$T162)
*(tblBaseCFResult[Risk]=$Y$61)
*(tblBaseCFResult[PremTermScenario]=$Y$62)
*(tblBaseCFResult[IntRateScenario]=AK$64),"")</f>
        <v>0</v>
      </c>
    </row>
    <row r="163" spans="1:37" ht="15" customHeight="1" x14ac:dyDescent="0.25">
      <c r="A163" s="155">
        <v>96</v>
      </c>
      <c r="B163" s="155">
        <f t="shared" si="22"/>
        <v>95</v>
      </c>
      <c r="C163" s="154"/>
      <c r="D163" s="153" t="str">
        <f t="shared" si="23"/>
        <v>96/95</v>
      </c>
      <c r="E163" s="157" cm="1">
        <f t="array" ref="E163">_xlfn._xlws.FILTER(tblBaseCFResult[TotalPrem]/1000,
(tblBaseCFResult[Year]=$A163)
*(tblBaseCFResult[Risk]=$E$61)
*(tblBaseCFResult[PremTermScenario]=$E$62)
*(tblBaseCFResult[IntRateScenario]=E$64),"")</f>
        <v>0</v>
      </c>
      <c r="F163" s="157" cm="1">
        <f t="array" ref="F163">_xlfn._xlws.FILTER(tblBaseCFResult[AccumTotalPrem]/1000,
(tblBaseCFResult[Year]=$A163)
*(tblBaseCFResult[Risk]=$E$61)
*(tblBaseCFResult[PremTermScenario]=$E$62)
*(tblBaseCFResult[IntRateScenario]=F$64),"")</f>
        <v>0</v>
      </c>
      <c r="G163" s="157" cm="1">
        <f t="array" ref="G163">_xlfn._xlws.FILTER(ROUND(tblBaseCFResult[SemiAnnualTotalPrem],-3)/1000,
(tblBaseCFResult[Year]=$A163)
*(tblBaseCFResult[Risk]=$E$61)
*(tblBaseCFResult[PremTermScenario]=$E$62)
*(tblBaseCFResult[IntRateScenario]=G$64),"")</f>
        <v>0</v>
      </c>
      <c r="H163" s="157" cm="1">
        <f t="array" ref="H163">_xlfn._xlws.FILTER(tblBaseCFResult[Ben]/1000,
(tblBaseCFResult[Year]=$A163)
*(tblBaseCFResult[Risk]=$E$61)
*(tblBaseCFResult[PremTermScenario]=$E$62)
*(tblBaseCFResult[IntRateScenario]=H$64),"")</f>
        <v>365418.64554963302</v>
      </c>
      <c r="I163" s="157" cm="1">
        <f t="array" ref="I163">_xlfn._xlws.FILTER(ROUND(tblBaseCFResult[EndPAV],-3)/1000,
(tblBaseCFResult[Year]=$A163)
*(tblBaseCFResult[Risk]=$E$61)
*(tblBaseCFResult[PremTermScenario]=$E$62)
*(tblBaseCFResult[IntRateScenario]=I$64),"")</f>
        <v>372727</v>
      </c>
      <c r="J163" s="157" cm="1">
        <f t="array" ref="J163">_xlfn._xlws.FILTER(ROUND(tblBaseCFResult[SV],-3)/1000,
(tblBaseCFResult[Year]=$A163)
*(tblBaseCFResult[Risk]=$E$61)
*(tblBaseCFResult[PremTermScenario]=$E$62)
*(tblBaseCFResult[IntRateScenario]=J$64),"")</f>
        <v>365419</v>
      </c>
      <c r="K163" s="157" cm="1">
        <f t="array" ref="K163">_xlfn._xlws.FILTER(tblBaseCFResult[Ben]/1000,
(tblBaseCFResult[Year]=$A163)
*(tblBaseCFResult[Risk]=$E$61)
*(tblBaseCFResult[PremTermScenario]=$E$62)
*(tblBaseCFResult[IntRateScenario]=K$64),"")</f>
        <v>5233657.3550295299</v>
      </c>
      <c r="L163" s="157" cm="1">
        <f t="array" ref="L163">_xlfn._xlws.FILTER(ROUND(tblBaseCFResult[EndPAV],-3)/1000,
(tblBaseCFResult[Year]=$A163)
*(tblBaseCFResult[Risk]=$E$61)
*(tblBaseCFResult[PremTermScenario]=$E$62)
*(tblBaseCFResult[IntRateScenario]=L$64),"")</f>
        <v>5495340</v>
      </c>
      <c r="M163" s="157" cm="1">
        <f t="array" ref="M163">_xlfn._xlws.FILTER(ROUND(tblBaseCFResult[SV],-3)/1000,
(tblBaseCFResult[Year]=$A163)
*(tblBaseCFResult[Risk]=$E$61)
*(tblBaseCFResult[PremTermScenario]=$E$62)
*(tblBaseCFResult[IntRateScenario]=M$64),"")</f>
        <v>5233657</v>
      </c>
      <c r="N163" s="157" cm="1">
        <f t="array" ref="N163">_xlfn._xlws.FILTER(tblBaseCFResult[Ben]/1000,
(tblBaseCFResult[Year]=$A163)
*(tblBaseCFResult[Risk]=$E$61)
*(tblBaseCFResult[PremTermScenario]=$E$62)
*(tblBaseCFResult[IntRateScenario]=N$64),"")</f>
        <v>28600539.938469503</v>
      </c>
      <c r="O163" s="157" cm="1">
        <f t="array" ref="O163">_xlfn._xlws.FILTER(ROUND(tblBaseCFResult[EndPAV],-3)/1000,
(tblBaseCFResult[Year]=$A163)
*(tblBaseCFResult[Risk]=$E$61)
*(tblBaseCFResult[PremTermScenario]=$E$62)
*(tblBaseCFResult[IntRateScenario]=O$64),"")</f>
        <v>30602578</v>
      </c>
      <c r="P163" s="157" cm="1">
        <f t="array" ref="P163">_xlfn._xlws.FILTER(ROUND(tblBaseCFResult[SV],-3)/1000,
(tblBaseCFResult[Year]=$A163)
*(tblBaseCFResult[Risk]=$E$61)
*(tblBaseCFResult[PremTermScenario]=$E$62)
*(tblBaseCFResult[IntRateScenario]=P$64),"")</f>
        <v>28600540</v>
      </c>
      <c r="Q163" s="154"/>
      <c r="R163" s="156"/>
      <c r="S163" s="154"/>
      <c r="T163" s="155">
        <v>96</v>
      </c>
      <c r="U163" s="155">
        <f t="shared" si="24"/>
        <v>95</v>
      </c>
      <c r="W163" s="154"/>
      <c r="X163" s="153" t="str">
        <f t="shared" si="25"/>
        <v>96/95</v>
      </c>
      <c r="Y163" s="152" cm="1">
        <f t="array" ref="Y163">_xlfn._xlws.FILTER(tblBaseCFResult[TP]/1000,
(tblBaseCFResult[Year]=$T163)
*(tblBaseCFResult[Risk]=$Y$61)
*(tblBaseCFResult[PremTermScenario]=$Y$62)
*(tblBaseCFResult[IntRateScenario]=Y$64),"")</f>
        <v>0</v>
      </c>
      <c r="Z163" s="152" cm="1">
        <f t="array" ref="Z163">_xlfn._xlws.FILTER(tblBaseCFResult[EP]/1000,
(tblBaseCFResult[Year]=$T163)
*(tblBaseCFResult[Risk]=$Y$61)
*(tblBaseCFResult[PremTermScenario]=$Y$62)
*(tblBaseCFResult[IntRateScenario]=Z$64),"")</f>
        <v>0</v>
      </c>
      <c r="AA163" s="152">
        <f t="shared" si="26"/>
        <v>0</v>
      </c>
      <c r="AB163" s="152" cm="1">
        <f t="array" ref="AB163">_xlfn._xlws.FILTER(ROUND(tblBaseCFResult[AllocChrg],-3)/1000,
(tblBaseCFResult[Year]=$T163)
*(tblBaseCFResult[Risk]=$Y$61)
*(tblBaseCFResult[PremTermScenario]=$Y$62)
*(tblBaseCFResult[IntRateScenario]=AB$64),"")</f>
        <v>0</v>
      </c>
      <c r="AC163" s="152" cm="1">
        <f t="array" ref="AC163">_xlfn._xlws.FILTER(ROUND(tblBaseCFResult[EPAllocChrg],-3)/1000,
(tblBaseCFResult[Year]=$T163)
*(tblBaseCFResult[Risk]=$Y$61)
*(tblBaseCFResult[PremTermScenario]=$Y$62)
*(tblBaseCFResult[IntRateScenario]=AC$64),"")</f>
        <v>0</v>
      </c>
      <c r="AD163" s="152">
        <f t="shared" si="27"/>
        <v>0</v>
      </c>
      <c r="AE163" s="152">
        <f t="shared" si="28"/>
        <v>0</v>
      </c>
      <c r="AF163" s="152">
        <f t="shared" si="29"/>
        <v>0</v>
      </c>
      <c r="AG163" s="152">
        <f t="shared" si="30"/>
        <v>0</v>
      </c>
      <c r="AH163" s="152" cm="1">
        <f t="array" ref="AH163">_xlfn._xlws.FILTER(ROUND(tblBaseCFResult[AdminChrg],-3)/1000,
(tblBaseCFResult[Year]=$T163)
*(tblBaseCFResult[Risk]=$Y$61)
*(tblBaseCFResult[PremTermScenario]=$Y$62)
*(tblBaseCFResult[IntRateScenario]=AH$64),"")</f>
        <v>0</v>
      </c>
      <c r="AI163" s="152" cm="1">
        <f t="array" ref="AI163">_xlfn._xlws.FILTER(ROUND(tblBaseCFResult[COI],-3)/1000,
(tblBaseCFResult[Year]=$T163)
*(tblBaseCFResult[Risk]=$Y$61)
*(tblBaseCFResult[PremTermScenario]=$Y$62)
*(tblBaseCFResult[IntRateScenario]=AI$64),"")</f>
        <v>0</v>
      </c>
      <c r="AJ163" s="152" cm="1">
        <f t="array" ref="AJ163">_xlfn._xlws.FILTER(ROUND(tblBaseCFResult[AdminChrg],-3)/1000,
(tblBaseCFResult[Year]=$T163)
*(tblBaseCFResult[Risk]=$Y$61)
*(tblBaseCFResult[PremTermScenario]=$Y$62)
*(tblBaseCFResult[IntRateScenario]=AJ$64),"")</f>
        <v>0</v>
      </c>
      <c r="AK163" s="152" cm="1">
        <f t="array" ref="AK163">_xlfn._xlws.FILTER(ROUND(tblBaseCFResult[COI],-3)/1000,
(tblBaseCFResult[Year]=$T163)
*(tblBaseCFResult[Risk]=$Y$61)
*(tblBaseCFResult[PremTermScenario]=$Y$62)
*(tblBaseCFResult[IntRateScenario]=AK$64),"")</f>
        <v>0</v>
      </c>
    </row>
    <row r="164" spans="1:37" ht="15" customHeight="1" x14ac:dyDescent="0.25">
      <c r="A164" s="155">
        <v>97</v>
      </c>
      <c r="B164" s="155">
        <f t="shared" ref="B164:B167" si="31">mainLI_entry_age+A164-1</f>
        <v>96</v>
      </c>
      <c r="C164" s="154"/>
      <c r="D164" s="153" t="str">
        <f t="shared" si="23"/>
        <v>97/96</v>
      </c>
      <c r="E164" s="157" cm="1">
        <f t="array" ref="E164">_xlfn._xlws.FILTER(tblBaseCFResult[TotalPrem]/1000,
(tblBaseCFResult[Year]=$A164)
*(tblBaseCFResult[Risk]=$E$61)
*(tblBaseCFResult[PremTermScenario]=$E$62)
*(tblBaseCFResult[IntRateScenario]=E$64),"")</f>
        <v>0</v>
      </c>
      <c r="F164" s="157" cm="1">
        <f t="array" ref="F164">_xlfn._xlws.FILTER(tblBaseCFResult[AccumTotalPrem]/1000,
(tblBaseCFResult[Year]=$A164)
*(tblBaseCFResult[Risk]=$E$61)
*(tblBaseCFResult[PremTermScenario]=$E$62)
*(tblBaseCFResult[IntRateScenario]=F$64),"")</f>
        <v>0</v>
      </c>
      <c r="G164" s="157" cm="1">
        <f t="array" ref="G164">_xlfn._xlws.FILTER(ROUND(tblBaseCFResult[SemiAnnualTotalPrem],-3)/1000,
(tblBaseCFResult[Year]=$A164)
*(tblBaseCFResult[Risk]=$E$61)
*(tblBaseCFResult[PremTermScenario]=$E$62)
*(tblBaseCFResult[IntRateScenario]=G$64),"")</f>
        <v>0</v>
      </c>
      <c r="H164" s="157" cm="1">
        <f t="array" ref="H164">_xlfn._xlws.FILTER(tblBaseCFResult[Ben]/1000,
(tblBaseCFResult[Year]=$A164)
*(tblBaseCFResult[Risk]=$E$61)
*(tblBaseCFResult[PremTermScenario]=$E$62)
*(tblBaseCFResult[IntRateScenario]=H$64),"")</f>
        <v>372727.01846062497</v>
      </c>
      <c r="I164" s="157" cm="1">
        <f t="array" ref="I164">_xlfn._xlws.FILTER(ROUND(tblBaseCFResult[EndPAV],-3)/1000,
(tblBaseCFResult[Year]=$A164)
*(tblBaseCFResult[Risk]=$E$61)
*(tblBaseCFResult[PremTermScenario]=$E$62)
*(tblBaseCFResult[IntRateScenario]=I$64),"")</f>
        <v>380182</v>
      </c>
      <c r="J164" s="157" cm="1">
        <f t="array" ref="J164">_xlfn._xlws.FILTER(ROUND(tblBaseCFResult[SV],-3)/1000,
(tblBaseCFResult[Year]=$A164)
*(tblBaseCFResult[Risk]=$E$61)
*(tblBaseCFResult[PremTermScenario]=$E$62)
*(tblBaseCFResult[IntRateScenario]=J$64),"")</f>
        <v>372727</v>
      </c>
      <c r="K164" s="157" cm="1">
        <f t="array" ref="K164">_xlfn._xlws.FILTER(tblBaseCFResult[Ben]/1000,
(tblBaseCFResult[Year]=$A164)
*(tblBaseCFResult[Risk]=$E$61)
*(tblBaseCFResult[PremTermScenario]=$E$62)
*(tblBaseCFResult[IntRateScenario]=K$64),"")</f>
        <v>5495340.2227809997</v>
      </c>
      <c r="L164" s="157" cm="1">
        <f t="array" ref="L164">_xlfn._xlws.FILTER(ROUND(tblBaseCFResult[EndPAV],-3)/1000,
(tblBaseCFResult[Year]=$A164)
*(tblBaseCFResult[Risk]=$E$61)
*(tblBaseCFResult[PremTermScenario]=$E$62)
*(tblBaseCFResult[IntRateScenario]=L$64),"")</f>
        <v>5770107</v>
      </c>
      <c r="M164" s="157" cm="1">
        <f t="array" ref="M164">_xlfn._xlws.FILTER(ROUND(tblBaseCFResult[SV],-3)/1000,
(tblBaseCFResult[Year]=$A164)
*(tblBaseCFResult[Risk]=$E$61)
*(tblBaseCFResult[PremTermScenario]=$E$62)
*(tblBaseCFResult[IntRateScenario]=M$64),"")</f>
        <v>5495340</v>
      </c>
      <c r="N164" s="157" cm="1">
        <f t="array" ref="N164">_xlfn._xlws.FILTER(tblBaseCFResult[Ben]/1000,
(tblBaseCFResult[Year]=$A164)
*(tblBaseCFResult[Risk]=$E$61)
*(tblBaseCFResult[PremTermScenario]=$E$62)
*(tblBaseCFResult[IntRateScenario]=N$64),"")</f>
        <v>30602577.734162398</v>
      </c>
      <c r="O164" s="157" cm="1">
        <f t="array" ref="O164">_xlfn._xlws.FILTER(ROUND(tblBaseCFResult[EndPAV],-3)/1000,
(tblBaseCFResult[Year]=$A164)
*(tblBaseCFResult[Risk]=$E$61)
*(tblBaseCFResult[PremTermScenario]=$E$62)
*(tblBaseCFResult[IntRateScenario]=O$64),"")</f>
        <v>32744758</v>
      </c>
      <c r="P164" s="157" cm="1">
        <f t="array" ref="P164">_xlfn._xlws.FILTER(ROUND(tblBaseCFResult[SV],-3)/1000,
(tblBaseCFResult[Year]=$A164)
*(tblBaseCFResult[Risk]=$E$61)
*(tblBaseCFResult[PremTermScenario]=$E$62)
*(tblBaseCFResult[IntRateScenario]=P$64),"")</f>
        <v>30602578</v>
      </c>
      <c r="Q164" s="154"/>
      <c r="R164" s="156"/>
      <c r="S164" s="154"/>
      <c r="T164" s="155">
        <v>97</v>
      </c>
      <c r="U164" s="155">
        <f t="shared" ref="U164:U167" si="32">mainLI_entry_age+T164-1</f>
        <v>96</v>
      </c>
      <c r="W164" s="154"/>
      <c r="X164" s="153" t="str">
        <f t="shared" si="25"/>
        <v>97/96</v>
      </c>
      <c r="Y164" s="152" cm="1">
        <f t="array" ref="Y164">_xlfn._xlws.FILTER(tblBaseCFResult[TP]/1000,
(tblBaseCFResult[Year]=$T164)
*(tblBaseCFResult[Risk]=$Y$61)
*(tblBaseCFResult[PremTermScenario]=$Y$62)
*(tblBaseCFResult[IntRateScenario]=Y$64),"")</f>
        <v>0</v>
      </c>
      <c r="Z164" s="152" cm="1">
        <f t="array" ref="Z164">_xlfn._xlws.FILTER(tblBaseCFResult[EP]/1000,
(tblBaseCFResult[Year]=$T164)
*(tblBaseCFResult[Risk]=$Y$61)
*(tblBaseCFResult[PremTermScenario]=$Y$62)
*(tblBaseCFResult[IntRateScenario]=Z$64),"")</f>
        <v>0</v>
      </c>
      <c r="AA164" s="152">
        <f t="shared" ref="AA164:AA167" si="33">IFERROR(Y164+Z164,"")</f>
        <v>0</v>
      </c>
      <c r="AB164" s="152" cm="1">
        <f t="array" ref="AB164">_xlfn._xlws.FILTER(ROUND(tblBaseCFResult[AllocChrg],-3)/1000,
(tblBaseCFResult[Year]=$T164)
*(tblBaseCFResult[Risk]=$Y$61)
*(tblBaseCFResult[PremTermScenario]=$Y$62)
*(tblBaseCFResult[IntRateScenario]=AB$64),"")</f>
        <v>0</v>
      </c>
      <c r="AC164" s="152" cm="1">
        <f t="array" ref="AC164">_xlfn._xlws.FILTER(ROUND(tblBaseCFResult[EPAllocChrg],-3)/1000,
(tblBaseCFResult[Year]=$T164)
*(tblBaseCFResult[Risk]=$Y$61)
*(tblBaseCFResult[PremTermScenario]=$Y$62)
*(tblBaseCFResult[IntRateScenario]=AC$64),"")</f>
        <v>0</v>
      </c>
      <c r="AD164" s="152">
        <f t="shared" ref="AD164:AD167" si="34">IFERROR(AB164+AC164,"")</f>
        <v>0</v>
      </c>
      <c r="AE164" s="152">
        <f t="shared" si="28"/>
        <v>0</v>
      </c>
      <c r="AF164" s="152">
        <f t="shared" si="29"/>
        <v>0</v>
      </c>
      <c r="AG164" s="152">
        <f t="shared" si="30"/>
        <v>0</v>
      </c>
      <c r="AH164" s="152" cm="1">
        <f t="array" ref="AH164">_xlfn._xlws.FILTER(ROUND(tblBaseCFResult[AdminChrg],-3)/1000,
(tblBaseCFResult[Year]=$T164)
*(tblBaseCFResult[Risk]=$Y$61)
*(tblBaseCFResult[PremTermScenario]=$Y$62)
*(tblBaseCFResult[IntRateScenario]=AH$64),"")</f>
        <v>0</v>
      </c>
      <c r="AI164" s="152" cm="1">
        <f t="array" ref="AI164">_xlfn._xlws.FILTER(ROUND(tblBaseCFResult[COI],-3)/1000,
(tblBaseCFResult[Year]=$T164)
*(tblBaseCFResult[Risk]=$Y$61)
*(tblBaseCFResult[PremTermScenario]=$Y$62)
*(tblBaseCFResult[IntRateScenario]=AI$64),"")</f>
        <v>0</v>
      </c>
      <c r="AJ164" s="152" cm="1">
        <f t="array" ref="AJ164">_xlfn._xlws.FILTER(ROUND(tblBaseCFResult[AdminChrg],-3)/1000,
(tblBaseCFResult[Year]=$T164)
*(tblBaseCFResult[Risk]=$Y$61)
*(tblBaseCFResult[PremTermScenario]=$Y$62)
*(tblBaseCFResult[IntRateScenario]=AJ$64),"")</f>
        <v>0</v>
      </c>
      <c r="AK164" s="152" cm="1">
        <f t="array" ref="AK164">_xlfn._xlws.FILTER(ROUND(tblBaseCFResult[COI],-3)/1000,
(tblBaseCFResult[Year]=$T164)
*(tblBaseCFResult[Risk]=$Y$61)
*(tblBaseCFResult[PremTermScenario]=$Y$62)
*(tblBaseCFResult[IntRateScenario]=AK$64),"")</f>
        <v>0</v>
      </c>
    </row>
    <row r="165" spans="1:37" ht="15" customHeight="1" x14ac:dyDescent="0.25">
      <c r="A165" s="155">
        <v>98</v>
      </c>
      <c r="B165" s="155">
        <f t="shared" si="31"/>
        <v>97</v>
      </c>
      <c r="C165" s="154"/>
      <c r="D165" s="153" t="str">
        <f t="shared" si="23"/>
        <v>98/97</v>
      </c>
      <c r="E165" s="157" cm="1">
        <f t="array" ref="E165">_xlfn._xlws.FILTER(tblBaseCFResult[TotalPrem]/1000,
(tblBaseCFResult[Year]=$A165)
*(tblBaseCFResult[Risk]=$E$61)
*(tblBaseCFResult[PremTermScenario]=$E$62)
*(tblBaseCFResult[IntRateScenario]=E$64),"")</f>
        <v>0</v>
      </c>
      <c r="F165" s="157" cm="1">
        <f t="array" ref="F165">_xlfn._xlws.FILTER(tblBaseCFResult[AccumTotalPrem]/1000,
(tblBaseCFResult[Year]=$A165)
*(tblBaseCFResult[Risk]=$E$61)
*(tblBaseCFResult[PremTermScenario]=$E$62)
*(tblBaseCFResult[IntRateScenario]=F$64),"")</f>
        <v>0</v>
      </c>
      <c r="G165" s="157" cm="1">
        <f t="array" ref="G165">_xlfn._xlws.FILTER(ROUND(tblBaseCFResult[SemiAnnualTotalPrem],-3)/1000,
(tblBaseCFResult[Year]=$A165)
*(tblBaseCFResult[Risk]=$E$61)
*(tblBaseCFResult[PremTermScenario]=$E$62)
*(tblBaseCFResult[IntRateScenario]=G$64),"")</f>
        <v>0</v>
      </c>
      <c r="H165" s="157" cm="1">
        <f t="array" ref="H165">_xlfn._xlws.FILTER(tblBaseCFResult[Ben]/1000,
(tblBaseCFResult[Year]=$A165)
*(tblBaseCFResult[Risk]=$E$61)
*(tblBaseCFResult[PremTermScenario]=$E$62)
*(tblBaseCFResult[IntRateScenario]=H$64),"")</f>
        <v>380181.558829838</v>
      </c>
      <c r="I165" s="157" cm="1">
        <f t="array" ref="I165">_xlfn._xlws.FILTER(ROUND(tblBaseCFResult[EndPAV],-3)/1000,
(tblBaseCFResult[Year]=$A165)
*(tblBaseCFResult[Risk]=$E$61)
*(tblBaseCFResult[PremTermScenario]=$E$62)
*(tblBaseCFResult[IntRateScenario]=I$64),"")</f>
        <v>387785</v>
      </c>
      <c r="J165" s="157" cm="1">
        <f t="array" ref="J165">_xlfn._xlws.FILTER(ROUND(tblBaseCFResult[SV],-3)/1000,
(tblBaseCFResult[Year]=$A165)
*(tblBaseCFResult[Risk]=$E$61)
*(tblBaseCFResult[PremTermScenario]=$E$62)
*(tblBaseCFResult[IntRateScenario]=J$64),"")</f>
        <v>380182</v>
      </c>
      <c r="K165" s="157" cm="1">
        <f t="array" ref="K165">_xlfn._xlws.FILTER(tblBaseCFResult[Ben]/1000,
(tblBaseCFResult[Year]=$A165)
*(tblBaseCFResult[Risk]=$E$61)
*(tblBaseCFResult[PremTermScenario]=$E$62)
*(tblBaseCFResult[IntRateScenario]=K$64),"")</f>
        <v>5770107.2339200499</v>
      </c>
      <c r="L165" s="157" cm="1">
        <f t="array" ref="L165">_xlfn._xlws.FILTER(ROUND(tblBaseCFResult[EndPAV],-3)/1000,
(tblBaseCFResult[Year]=$A165)
*(tblBaseCFResult[Risk]=$E$61)
*(tblBaseCFResult[PremTermScenario]=$E$62)
*(tblBaseCFResult[IntRateScenario]=L$64),"")</f>
        <v>6058613</v>
      </c>
      <c r="M165" s="157" cm="1">
        <f t="array" ref="M165">_xlfn._xlws.FILTER(ROUND(tblBaseCFResult[SV],-3)/1000,
(tblBaseCFResult[Year]=$A165)
*(tblBaseCFResult[Risk]=$E$61)
*(tblBaseCFResult[PremTermScenario]=$E$62)
*(tblBaseCFResult[IntRateScenario]=M$64),"")</f>
        <v>5770107</v>
      </c>
      <c r="N165" s="157" cm="1">
        <f t="array" ref="N165">_xlfn._xlws.FILTER(tblBaseCFResult[Ben]/1000,
(tblBaseCFResult[Year]=$A165)
*(tblBaseCFResult[Risk]=$E$61)
*(tblBaseCFResult[PremTermScenario]=$E$62)
*(tblBaseCFResult[IntRateScenario]=N$64),"")</f>
        <v>32744758.175553698</v>
      </c>
      <c r="O165" s="157" cm="1">
        <f t="array" ref="O165">_xlfn._xlws.FILTER(ROUND(tblBaseCFResult[EndPAV],-3)/1000,
(tblBaseCFResult[Year]=$A165)
*(tblBaseCFResult[Risk]=$E$61)
*(tblBaseCFResult[PremTermScenario]=$E$62)
*(tblBaseCFResult[IntRateScenario]=O$64),"")</f>
        <v>35036891</v>
      </c>
      <c r="P165" s="157" cm="1">
        <f t="array" ref="P165">_xlfn._xlws.FILTER(ROUND(tblBaseCFResult[SV],-3)/1000,
(tblBaseCFResult[Year]=$A165)
*(tblBaseCFResult[Risk]=$E$61)
*(tblBaseCFResult[PremTermScenario]=$E$62)
*(tblBaseCFResult[IntRateScenario]=P$64),"")</f>
        <v>32744758</v>
      </c>
      <c r="Q165" s="154"/>
      <c r="R165" s="156"/>
      <c r="S165" s="154"/>
      <c r="T165" s="155">
        <v>98</v>
      </c>
      <c r="U165" s="155">
        <f t="shared" si="32"/>
        <v>97</v>
      </c>
      <c r="W165" s="154"/>
      <c r="X165" s="153" t="str">
        <f t="shared" si="25"/>
        <v>98/97</v>
      </c>
      <c r="Y165" s="152" cm="1">
        <f t="array" ref="Y165">_xlfn._xlws.FILTER(tblBaseCFResult[TP]/1000,
(tblBaseCFResult[Year]=$T165)
*(tblBaseCFResult[Risk]=$Y$61)
*(tblBaseCFResult[PremTermScenario]=$Y$62)
*(tblBaseCFResult[IntRateScenario]=Y$64),"")</f>
        <v>0</v>
      </c>
      <c r="Z165" s="152" cm="1">
        <f t="array" ref="Z165">_xlfn._xlws.FILTER(tblBaseCFResult[EP]/1000,
(tblBaseCFResult[Year]=$T165)
*(tblBaseCFResult[Risk]=$Y$61)
*(tblBaseCFResult[PremTermScenario]=$Y$62)
*(tblBaseCFResult[IntRateScenario]=Z$64),"")</f>
        <v>0</v>
      </c>
      <c r="AA165" s="152">
        <f t="shared" si="33"/>
        <v>0</v>
      </c>
      <c r="AB165" s="152" cm="1">
        <f t="array" ref="AB165">_xlfn._xlws.FILTER(ROUND(tblBaseCFResult[AllocChrg],-3)/1000,
(tblBaseCFResult[Year]=$T165)
*(tblBaseCFResult[Risk]=$Y$61)
*(tblBaseCFResult[PremTermScenario]=$Y$62)
*(tblBaseCFResult[IntRateScenario]=AB$64),"")</f>
        <v>0</v>
      </c>
      <c r="AC165" s="152" cm="1">
        <f t="array" ref="AC165">_xlfn._xlws.FILTER(ROUND(tblBaseCFResult[EPAllocChrg],-3)/1000,
(tblBaseCFResult[Year]=$T165)
*(tblBaseCFResult[Risk]=$Y$61)
*(tblBaseCFResult[PremTermScenario]=$Y$62)
*(tblBaseCFResult[IntRateScenario]=AC$64),"")</f>
        <v>0</v>
      </c>
      <c r="AD165" s="152">
        <f t="shared" si="34"/>
        <v>0</v>
      </c>
      <c r="AE165" s="152">
        <f t="shared" si="28"/>
        <v>0</v>
      </c>
      <c r="AF165" s="152">
        <f t="shared" si="29"/>
        <v>0</v>
      </c>
      <c r="AG165" s="152">
        <f t="shared" si="30"/>
        <v>0</v>
      </c>
      <c r="AH165" s="152" cm="1">
        <f t="array" ref="AH165">_xlfn._xlws.FILTER(ROUND(tblBaseCFResult[AdminChrg],-3)/1000,
(tblBaseCFResult[Year]=$T165)
*(tblBaseCFResult[Risk]=$Y$61)
*(tblBaseCFResult[PremTermScenario]=$Y$62)
*(tblBaseCFResult[IntRateScenario]=AH$64),"")</f>
        <v>0</v>
      </c>
      <c r="AI165" s="152" cm="1">
        <f t="array" ref="AI165">_xlfn._xlws.FILTER(ROUND(tblBaseCFResult[COI],-3)/1000,
(tblBaseCFResult[Year]=$T165)
*(tblBaseCFResult[Risk]=$Y$61)
*(tblBaseCFResult[PremTermScenario]=$Y$62)
*(tblBaseCFResult[IntRateScenario]=AI$64),"")</f>
        <v>0</v>
      </c>
      <c r="AJ165" s="152" cm="1">
        <f t="array" ref="AJ165">_xlfn._xlws.FILTER(ROUND(tblBaseCFResult[AdminChrg],-3)/1000,
(tblBaseCFResult[Year]=$T165)
*(tblBaseCFResult[Risk]=$Y$61)
*(tblBaseCFResult[PremTermScenario]=$Y$62)
*(tblBaseCFResult[IntRateScenario]=AJ$64),"")</f>
        <v>0</v>
      </c>
      <c r="AK165" s="152" cm="1">
        <f t="array" ref="AK165">_xlfn._xlws.FILTER(ROUND(tblBaseCFResult[COI],-3)/1000,
(tblBaseCFResult[Year]=$T165)
*(tblBaseCFResult[Risk]=$Y$61)
*(tblBaseCFResult[PremTermScenario]=$Y$62)
*(tblBaseCFResult[IntRateScenario]=AK$64),"")</f>
        <v>0</v>
      </c>
    </row>
    <row r="166" spans="1:37" ht="15" customHeight="1" x14ac:dyDescent="0.25">
      <c r="A166" s="155">
        <v>99</v>
      </c>
      <c r="B166" s="155">
        <f t="shared" si="31"/>
        <v>98</v>
      </c>
      <c r="C166" s="154"/>
      <c r="D166" s="153" t="str">
        <f t="shared" si="23"/>
        <v>99/98</v>
      </c>
      <c r="E166" s="157" cm="1">
        <f t="array" ref="E166">_xlfn._xlws.FILTER(tblBaseCFResult[TotalPrem]/1000,
(tblBaseCFResult[Year]=$A166)
*(tblBaseCFResult[Risk]=$E$61)
*(tblBaseCFResult[PremTermScenario]=$E$62)
*(tblBaseCFResult[IntRateScenario]=E$64),"")</f>
        <v>0</v>
      </c>
      <c r="F166" s="157" cm="1">
        <f t="array" ref="F166">_xlfn._xlws.FILTER(tblBaseCFResult[AccumTotalPrem]/1000,
(tblBaseCFResult[Year]=$A166)
*(tblBaseCFResult[Risk]=$E$61)
*(tblBaseCFResult[PremTermScenario]=$E$62)
*(tblBaseCFResult[IntRateScenario]=F$64),"")</f>
        <v>0</v>
      </c>
      <c r="G166" s="157" cm="1">
        <f t="array" ref="G166">_xlfn._xlws.FILTER(ROUND(tblBaseCFResult[SemiAnnualTotalPrem],-3)/1000,
(tblBaseCFResult[Year]=$A166)
*(tblBaseCFResult[Risk]=$E$61)
*(tblBaseCFResult[PremTermScenario]=$E$62)
*(tblBaseCFResult[IntRateScenario]=G$64),"")</f>
        <v>0</v>
      </c>
      <c r="H166" s="157" cm="1">
        <f t="array" ref="H166">_xlfn._xlws.FILTER(tblBaseCFResult[Ben]/1000,
(tblBaseCFResult[Year]=$A166)
*(tblBaseCFResult[Risk]=$E$61)
*(tblBaseCFResult[PremTermScenario]=$E$62)
*(tblBaseCFResult[IntRateScenario]=H$64),"")</f>
        <v>387785.19000643404</v>
      </c>
      <c r="I166" s="157" cm="1">
        <f t="array" ref="I166">_xlfn._xlws.FILTER(ROUND(tblBaseCFResult[EndPAV],-3)/1000,
(tblBaseCFResult[Year]=$A166)
*(tblBaseCFResult[Risk]=$E$61)
*(tblBaseCFResult[PremTermScenario]=$E$62)
*(tblBaseCFResult[IntRateScenario]=I$64),"")</f>
        <v>395541</v>
      </c>
      <c r="J166" s="157" cm="1">
        <f t="array" ref="J166">_xlfn._xlws.FILTER(ROUND(tblBaseCFResult[SV],-3)/1000,
(tblBaseCFResult[Year]=$A166)
*(tblBaseCFResult[Risk]=$E$61)
*(tblBaseCFResult[PremTermScenario]=$E$62)
*(tblBaseCFResult[IntRateScenario]=J$64),"")</f>
        <v>387785</v>
      </c>
      <c r="K166" s="157" cm="1">
        <f t="array" ref="K166">_xlfn._xlws.FILTER(tblBaseCFResult[Ben]/1000,
(tblBaseCFResult[Year]=$A166)
*(tblBaseCFResult[Risk]=$E$61)
*(tblBaseCFResult[PremTermScenario]=$E$62)
*(tblBaseCFResult[IntRateScenario]=K$64),"")</f>
        <v>6058612.5956160501</v>
      </c>
      <c r="L166" s="157" cm="1">
        <f t="array" ref="L166">_xlfn._xlws.FILTER(ROUND(tblBaseCFResult[EndPAV],-3)/1000,
(tblBaseCFResult[Year]=$A166)
*(tblBaseCFResult[Risk]=$E$61)
*(tblBaseCFResult[PremTermScenario]=$E$62)
*(tblBaseCFResult[IntRateScenario]=L$64),"")</f>
        <v>6361543</v>
      </c>
      <c r="M166" s="157" cm="1">
        <f t="array" ref="M166">_xlfn._xlws.FILTER(ROUND(tblBaseCFResult[SV],-3)/1000,
(tblBaseCFResult[Year]=$A166)
*(tblBaseCFResult[Risk]=$E$61)
*(tblBaseCFResult[PremTermScenario]=$E$62)
*(tblBaseCFResult[IntRateScenario]=M$64),"")</f>
        <v>6058613</v>
      </c>
      <c r="N166" s="157" cm="1">
        <f t="array" ref="N166">_xlfn._xlws.FILTER(tblBaseCFResult[Ben]/1000,
(tblBaseCFResult[Year]=$A166)
*(tblBaseCFResult[Risk]=$E$61)
*(tblBaseCFResult[PremTermScenario]=$E$62)
*(tblBaseCFResult[IntRateScenario]=N$64),"")</f>
        <v>35036891.247842498</v>
      </c>
      <c r="O166" s="157" cm="1">
        <f t="array" ref="O166">_xlfn._xlws.FILTER(ROUND(tblBaseCFResult[EndPAV],-3)/1000,
(tblBaseCFResult[Year]=$A166)
*(tblBaseCFResult[Risk]=$E$61)
*(tblBaseCFResult[PremTermScenario]=$E$62)
*(tblBaseCFResult[IntRateScenario]=O$64),"")</f>
        <v>37489474</v>
      </c>
      <c r="P166" s="157" cm="1">
        <f t="array" ref="P166">_xlfn._xlws.FILTER(ROUND(tblBaseCFResult[SV],-3)/1000,
(tblBaseCFResult[Year]=$A166)
*(tblBaseCFResult[Risk]=$E$61)
*(tblBaseCFResult[PremTermScenario]=$E$62)
*(tblBaseCFResult[IntRateScenario]=P$64),"")</f>
        <v>35036891</v>
      </c>
      <c r="Q166" s="154"/>
      <c r="R166" s="156"/>
      <c r="S166" s="154"/>
      <c r="T166" s="155">
        <v>99</v>
      </c>
      <c r="U166" s="155">
        <f t="shared" si="32"/>
        <v>98</v>
      </c>
      <c r="W166" s="154"/>
      <c r="X166" s="153" t="str">
        <f t="shared" si="25"/>
        <v>99/98</v>
      </c>
      <c r="Y166" s="152" cm="1">
        <f t="array" ref="Y166">_xlfn._xlws.FILTER(tblBaseCFResult[TP]/1000,
(tblBaseCFResult[Year]=$T166)
*(tblBaseCFResult[Risk]=$Y$61)
*(tblBaseCFResult[PremTermScenario]=$Y$62)
*(tblBaseCFResult[IntRateScenario]=Y$64),"")</f>
        <v>0</v>
      </c>
      <c r="Z166" s="152" cm="1">
        <f t="array" ref="Z166">_xlfn._xlws.FILTER(tblBaseCFResult[EP]/1000,
(tblBaseCFResult[Year]=$T166)
*(tblBaseCFResult[Risk]=$Y$61)
*(tblBaseCFResult[PremTermScenario]=$Y$62)
*(tblBaseCFResult[IntRateScenario]=Z$64),"")</f>
        <v>0</v>
      </c>
      <c r="AA166" s="152">
        <f t="shared" si="33"/>
        <v>0</v>
      </c>
      <c r="AB166" s="152" cm="1">
        <f t="array" ref="AB166">_xlfn._xlws.FILTER(ROUND(tblBaseCFResult[AllocChrg],-3)/1000,
(tblBaseCFResult[Year]=$T166)
*(tblBaseCFResult[Risk]=$Y$61)
*(tblBaseCFResult[PremTermScenario]=$Y$62)
*(tblBaseCFResult[IntRateScenario]=AB$64),"")</f>
        <v>0</v>
      </c>
      <c r="AC166" s="152" cm="1">
        <f t="array" ref="AC166">_xlfn._xlws.FILTER(ROUND(tblBaseCFResult[EPAllocChrg],-3)/1000,
(tblBaseCFResult[Year]=$T166)
*(tblBaseCFResult[Risk]=$Y$61)
*(tblBaseCFResult[PremTermScenario]=$Y$62)
*(tblBaseCFResult[IntRateScenario]=AC$64),"")</f>
        <v>0</v>
      </c>
      <c r="AD166" s="152">
        <f t="shared" si="34"/>
        <v>0</v>
      </c>
      <c r="AE166" s="152">
        <f t="shared" si="28"/>
        <v>0</v>
      </c>
      <c r="AF166" s="152">
        <f t="shared" si="29"/>
        <v>0</v>
      </c>
      <c r="AG166" s="152">
        <f t="shared" si="30"/>
        <v>0</v>
      </c>
      <c r="AH166" s="152" cm="1">
        <f t="array" ref="AH166">_xlfn._xlws.FILTER(ROUND(tblBaseCFResult[AdminChrg],-3)/1000,
(tblBaseCFResult[Year]=$T166)
*(tblBaseCFResult[Risk]=$Y$61)
*(tblBaseCFResult[PremTermScenario]=$Y$62)
*(tblBaseCFResult[IntRateScenario]=AH$64),"")</f>
        <v>0</v>
      </c>
      <c r="AI166" s="152" cm="1">
        <f t="array" ref="AI166">_xlfn._xlws.FILTER(ROUND(tblBaseCFResult[COI],-3)/1000,
(tblBaseCFResult[Year]=$T166)
*(tblBaseCFResult[Risk]=$Y$61)
*(tblBaseCFResult[PremTermScenario]=$Y$62)
*(tblBaseCFResult[IntRateScenario]=AI$64),"")</f>
        <v>0</v>
      </c>
      <c r="AJ166" s="152" cm="1">
        <f t="array" ref="AJ166">_xlfn._xlws.FILTER(ROUND(tblBaseCFResult[AdminChrg],-3)/1000,
(tblBaseCFResult[Year]=$T166)
*(tblBaseCFResult[Risk]=$Y$61)
*(tblBaseCFResult[PremTermScenario]=$Y$62)
*(tblBaseCFResult[IntRateScenario]=AJ$64),"")</f>
        <v>0</v>
      </c>
      <c r="AK166" s="152" cm="1">
        <f t="array" ref="AK166">_xlfn._xlws.FILTER(ROUND(tblBaseCFResult[COI],-3)/1000,
(tblBaseCFResult[Year]=$T166)
*(tblBaseCFResult[Risk]=$Y$61)
*(tblBaseCFResult[PremTermScenario]=$Y$62)
*(tblBaseCFResult[IntRateScenario]=AK$64),"")</f>
        <v>0</v>
      </c>
    </row>
    <row r="167" spans="1:37" ht="15" customHeight="1" x14ac:dyDescent="0.25">
      <c r="A167" s="155">
        <v>100</v>
      </c>
      <c r="B167" s="155">
        <f t="shared" si="31"/>
        <v>99</v>
      </c>
      <c r="C167" s="154"/>
      <c r="D167" s="153" t="str">
        <f t="shared" si="23"/>
        <v>100/99</v>
      </c>
      <c r="E167" s="157" cm="1">
        <f t="array" ref="E167">_xlfn._xlws.FILTER(tblBaseCFResult[TotalPrem]/1000,
(tblBaseCFResult[Year]=$A167)
*(tblBaseCFResult[Risk]=$E$61)
*(tblBaseCFResult[PremTermScenario]=$E$62)
*(tblBaseCFResult[IntRateScenario]=E$64),"")</f>
        <v>0</v>
      </c>
      <c r="F167" s="157" cm="1">
        <f t="array" ref="F167">_xlfn._xlws.FILTER(tblBaseCFResult[AccumTotalPrem]/1000,
(tblBaseCFResult[Year]=$A167)
*(tblBaseCFResult[Risk]=$E$61)
*(tblBaseCFResult[PremTermScenario]=$E$62)
*(tblBaseCFResult[IntRateScenario]=F$64),"")</f>
        <v>0</v>
      </c>
      <c r="G167" s="157" cm="1">
        <f t="array" ref="G167">_xlfn._xlws.FILTER(ROUND(tblBaseCFResult[SemiAnnualTotalPrem],-3)/1000,
(tblBaseCFResult[Year]=$A167)
*(tblBaseCFResult[Risk]=$E$61)
*(tblBaseCFResult[PremTermScenario]=$E$62)
*(tblBaseCFResult[IntRateScenario]=G$64),"")</f>
        <v>0</v>
      </c>
      <c r="H167" s="157" cm="1">
        <f t="array" ref="H167">_xlfn._xlws.FILTER(tblBaseCFResult[Ben]/1000,
(tblBaseCFResult[Year]=$A167)
*(tblBaseCFResult[Risk]=$E$61)
*(tblBaseCFResult[PremTermScenario]=$E$62)
*(tblBaseCFResult[IntRateScenario]=H$64),"")</f>
        <v>395540.89380656299</v>
      </c>
      <c r="I167" s="157" cm="1">
        <f t="array" ref="I167">_xlfn._xlws.FILTER(ROUND(tblBaseCFResult[EndPAV],-3)/1000,
(tblBaseCFResult[Year]=$A167)
*(tblBaseCFResult[Risk]=$E$61)
*(tblBaseCFResult[PremTermScenario]=$E$62)
*(tblBaseCFResult[IntRateScenario]=I$64),"")</f>
        <v>403452</v>
      </c>
      <c r="J167" s="157" cm="1">
        <f t="array" ref="J167">_xlfn._xlws.FILTER(ROUND(tblBaseCFResult[SV],-3)/1000,
(tblBaseCFResult[Year]=$A167)
*(tblBaseCFResult[Risk]=$E$61)
*(tblBaseCFResult[PremTermScenario]=$E$62)
*(tblBaseCFResult[IntRateScenario]=J$64),"")</f>
        <v>395541</v>
      </c>
      <c r="K167" s="157" cm="1">
        <f t="array" ref="K167">_xlfn._xlws.FILTER(tblBaseCFResult[Ben]/1000,
(tblBaseCFResult[Year]=$A167)
*(tblBaseCFResult[Risk]=$E$61)
*(tblBaseCFResult[PremTermScenario]=$E$62)
*(tblBaseCFResult[IntRateScenario]=K$64),"")</f>
        <v>6361543.2253968604</v>
      </c>
      <c r="L167" s="157" cm="1">
        <f t="array" ref="L167">_xlfn._xlws.FILTER(ROUND(tblBaseCFResult[EndPAV],-3)/1000,
(tblBaseCFResult[Year]=$A167)
*(tblBaseCFResult[Risk]=$E$61)
*(tblBaseCFResult[PremTermScenario]=$E$62)
*(tblBaseCFResult[IntRateScenario]=L$64),"")</f>
        <v>6679620</v>
      </c>
      <c r="M167" s="157" cm="1">
        <f t="array" ref="M167">_xlfn._xlws.FILTER(ROUND(tblBaseCFResult[SV],-3)/1000,
(tblBaseCFResult[Year]=$A167)
*(tblBaseCFResult[Risk]=$E$61)
*(tblBaseCFResult[PremTermScenario]=$E$62)
*(tblBaseCFResult[IntRateScenario]=M$64),"")</f>
        <v>6361543</v>
      </c>
      <c r="N167" s="157" cm="1">
        <f t="array" ref="N167">_xlfn._xlws.FILTER(tblBaseCFResult[Ben]/1000,
(tblBaseCFResult[Year]=$A167)
*(tblBaseCFResult[Risk]=$E$61)
*(tblBaseCFResult[PremTermScenario]=$E$62)
*(tblBaseCFResult[IntRateScenario]=N$64),"")</f>
        <v>37489473.6351915</v>
      </c>
      <c r="O167" s="157" cm="1">
        <f t="array" ref="O167">_xlfn._xlws.FILTER(ROUND(tblBaseCFResult[EndPAV],-3)/1000,
(tblBaseCFResult[Year]=$A167)
*(tblBaseCFResult[Risk]=$E$61)
*(tblBaseCFResult[PremTermScenario]=$E$62)
*(tblBaseCFResult[IntRateScenario]=O$64),"")</f>
        <v>40113737</v>
      </c>
      <c r="P167" s="157" cm="1">
        <f t="array" ref="P167">_xlfn._xlws.FILTER(ROUND(tblBaseCFResult[SV],-3)/1000,
(tblBaseCFResult[Year]=$A167)
*(tblBaseCFResult[Risk]=$E$61)
*(tblBaseCFResult[PremTermScenario]=$E$62)
*(tblBaseCFResult[IntRateScenario]=P$64),"")</f>
        <v>37489474</v>
      </c>
      <c r="Q167" s="154"/>
      <c r="R167" s="156"/>
      <c r="S167" s="154"/>
      <c r="T167" s="155">
        <v>100</v>
      </c>
      <c r="U167" s="155">
        <f t="shared" si="32"/>
        <v>99</v>
      </c>
      <c r="W167" s="154"/>
      <c r="X167" s="153" t="str">
        <f t="shared" si="25"/>
        <v>100/99</v>
      </c>
      <c r="Y167" s="152" cm="1">
        <f t="array" ref="Y167">_xlfn._xlws.FILTER(tblBaseCFResult[TP]/1000,
(tblBaseCFResult[Year]=$T167)
*(tblBaseCFResult[Risk]=$Y$61)
*(tblBaseCFResult[PremTermScenario]=$Y$62)
*(tblBaseCFResult[IntRateScenario]=Y$64),"")</f>
        <v>0</v>
      </c>
      <c r="Z167" s="152" cm="1">
        <f t="array" ref="Z167">_xlfn._xlws.FILTER(tblBaseCFResult[EP]/1000,
(tblBaseCFResult[Year]=$T167)
*(tblBaseCFResult[Risk]=$Y$61)
*(tblBaseCFResult[PremTermScenario]=$Y$62)
*(tblBaseCFResult[IntRateScenario]=Z$64),"")</f>
        <v>0</v>
      </c>
      <c r="AA167" s="152">
        <f t="shared" si="33"/>
        <v>0</v>
      </c>
      <c r="AB167" s="152" cm="1">
        <f t="array" ref="AB167">_xlfn._xlws.FILTER(ROUND(tblBaseCFResult[AllocChrg],-3)/1000,
(tblBaseCFResult[Year]=$T167)
*(tblBaseCFResult[Risk]=$Y$61)
*(tblBaseCFResult[PremTermScenario]=$Y$62)
*(tblBaseCFResult[IntRateScenario]=AB$64),"")</f>
        <v>0</v>
      </c>
      <c r="AC167" s="152" cm="1">
        <f t="array" ref="AC167">_xlfn._xlws.FILTER(ROUND(tblBaseCFResult[EPAllocChrg],-3)/1000,
(tblBaseCFResult[Year]=$T167)
*(tblBaseCFResult[Risk]=$Y$61)
*(tblBaseCFResult[PremTermScenario]=$Y$62)
*(tblBaseCFResult[IntRateScenario]=AC$64),"")</f>
        <v>0</v>
      </c>
      <c r="AD167" s="152">
        <f t="shared" si="34"/>
        <v>0</v>
      </c>
      <c r="AE167" s="152">
        <f t="shared" si="28"/>
        <v>0</v>
      </c>
      <c r="AF167" s="152">
        <f t="shared" si="29"/>
        <v>0</v>
      </c>
      <c r="AG167" s="152">
        <f t="shared" si="30"/>
        <v>0</v>
      </c>
      <c r="AH167" s="152" cm="1">
        <f t="array" ref="AH167">_xlfn._xlws.FILTER(ROUND(tblBaseCFResult[AdminChrg],-3)/1000,
(tblBaseCFResult[Year]=$T167)
*(tblBaseCFResult[Risk]=$Y$61)
*(tblBaseCFResult[PremTermScenario]=$Y$62)
*(tblBaseCFResult[IntRateScenario]=AH$64),"")</f>
        <v>0</v>
      </c>
      <c r="AI167" s="152" cm="1">
        <f t="array" ref="AI167">_xlfn._xlws.FILTER(ROUND(tblBaseCFResult[COI],-3)/1000,
(tblBaseCFResult[Year]=$T167)
*(tblBaseCFResult[Risk]=$Y$61)
*(tblBaseCFResult[PremTermScenario]=$Y$62)
*(tblBaseCFResult[IntRateScenario]=AI$64),"")</f>
        <v>0</v>
      </c>
      <c r="AJ167" s="152" cm="1">
        <f t="array" ref="AJ167">_xlfn._xlws.FILTER(ROUND(tblBaseCFResult[AdminChrg],-3)/1000,
(tblBaseCFResult[Year]=$T167)
*(tblBaseCFResult[Risk]=$Y$61)
*(tblBaseCFResult[PremTermScenario]=$Y$62)
*(tblBaseCFResult[IntRateScenario]=AJ$64),"")</f>
        <v>0</v>
      </c>
      <c r="AK167" s="152" cm="1">
        <f t="array" ref="AK167">_xlfn._xlws.FILTER(ROUND(tblBaseCFResult[COI],-3)/1000,
(tblBaseCFResult[Year]=$T167)
*(tblBaseCFResult[Risk]=$Y$61)
*(tblBaseCFResult[PremTermScenario]=$Y$62)
*(tblBaseCFResult[IntRateScenario]=AK$64),"")</f>
        <v>0</v>
      </c>
    </row>
  </sheetData>
  <mergeCells count="16">
    <mergeCell ref="K66:M66"/>
    <mergeCell ref="J2:O2"/>
    <mergeCell ref="X2:AC2"/>
    <mergeCell ref="X58:AJ58"/>
    <mergeCell ref="Y66:AA66"/>
    <mergeCell ref="AB66:AD66"/>
    <mergeCell ref="AE66:AG66"/>
    <mergeCell ref="AH66:AI66"/>
    <mergeCell ref="AJ66:AK66"/>
    <mergeCell ref="D58:P58"/>
    <mergeCell ref="N66:P66"/>
    <mergeCell ref="D66:D67"/>
    <mergeCell ref="E66:E67"/>
    <mergeCell ref="F66:F67"/>
    <mergeCell ref="G66:G67"/>
    <mergeCell ref="H66:J66"/>
  </mergeCells>
  <dataValidations disablePrompts="1" count="4">
    <dataValidation type="whole" allowBlank="1" showInputMessage="1" showErrorMessage="1" sqref="K5" xr:uid="{FF2CE583-E5E2-4981-8227-7DA0CF813BE2}">
      <formula1>1</formula1>
      <formula2>opted_tp_term</formula2>
    </dataValidation>
    <dataValidation type="list" allowBlank="1" showInputMessage="1" showErrorMessage="1" sqref="E6" xr:uid="{85D30F4B-1E68-4544-8643-6568B09D76DA}">
      <formula1>"High,Low,Guaranteed"</formula1>
      <formula2>0</formula2>
    </dataValidation>
    <dataValidation type="list" allowBlank="1" showInputMessage="1" showErrorMessage="1" sqref="K4 Y61 E61 E7 Y4" xr:uid="{F4009C03-2FCE-42F2-9E46-33CE7EEB87A7}">
      <formula1>"Standard,Sub-standard"</formula1>
    </dataValidation>
    <dataValidation type="list" allowBlank="1" showInputMessage="1" showErrorMessage="1" sqref="Y62 E8 E62" xr:uid="{C3330812-B367-4C4A-9E6C-58AB7AA7B996}">
      <formula1>"Opted term"</formula1>
    </dataValidation>
  </dataValidations>
  <pageMargins left="0.7" right="0.7" top="0.75" bottom="0.75" header="0.511811023622047" footer="0.511811023622047"/>
  <pageSetup orientation="portrait" horizontalDpi="300" verticalDpi="300"/>
  <ignoredErrors>
    <ignoredError sqref="V17:V54 Y8:Y54 U17:U54" emptyCellReferenc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35477-5589-4D76-A548-AA5C6BDB1425}">
  <sheetPr codeName="Sheet6"/>
  <dimension ref="A1:AX113"/>
  <sheetViews>
    <sheetView topLeftCell="D1" zoomScale="55" zoomScaleNormal="55" workbookViewId="0">
      <selection activeCell="H57" sqref="H57"/>
    </sheetView>
  </sheetViews>
  <sheetFormatPr defaultRowHeight="15" x14ac:dyDescent="0.25"/>
  <cols>
    <col min="1" max="1" width="14.28515625" bestFit="1" customWidth="1"/>
    <col min="2" max="2" width="7.85546875" bestFit="1" customWidth="1"/>
    <col min="3" max="3" width="7.7109375" bestFit="1" customWidth="1"/>
    <col min="4" max="4" width="29" customWidth="1"/>
    <col min="5" max="5" width="20.42578125" bestFit="1" customWidth="1"/>
    <col min="6" max="6" width="26" customWidth="1"/>
    <col min="7" max="7" width="24.5703125" bestFit="1" customWidth="1"/>
    <col min="8" max="8" width="34.28515625" customWidth="1"/>
    <col min="9" max="9" width="23.85546875" customWidth="1"/>
    <col min="10" max="10" width="22.85546875" bestFit="1" customWidth="1"/>
    <col min="11" max="11" width="35" bestFit="1" customWidth="1"/>
    <col min="12" max="12" width="21.42578125" customWidth="1"/>
    <col min="13" max="13" width="23" bestFit="1" customWidth="1"/>
    <col min="14" max="14" width="13.42578125" bestFit="1" customWidth="1"/>
    <col min="20" max="20" width="24.28515625" bestFit="1" customWidth="1"/>
    <col min="21" max="21" width="11" bestFit="1" customWidth="1"/>
    <col min="23" max="23" width="11.85546875" bestFit="1" customWidth="1"/>
    <col min="30" max="30" width="18.28515625" customWidth="1"/>
    <col min="31" max="31" width="8" bestFit="1" customWidth="1"/>
    <col min="32" max="32" width="10" bestFit="1" customWidth="1"/>
    <col min="37" max="37" width="16.5703125" bestFit="1" customWidth="1"/>
    <col min="38" max="38" width="24.28515625" bestFit="1" customWidth="1"/>
    <col min="39" max="39" width="24.5703125" bestFit="1" customWidth="1"/>
    <col min="40" max="40" width="18.85546875" bestFit="1" customWidth="1"/>
    <col min="41" max="41" width="9.42578125" bestFit="1" customWidth="1"/>
    <col min="42" max="42" width="18.85546875" bestFit="1" customWidth="1"/>
    <col min="43" max="43" width="9.42578125" bestFit="1" customWidth="1"/>
    <col min="44" max="44" width="18.85546875" bestFit="1" customWidth="1"/>
    <col min="45" max="45" width="9.42578125" bestFit="1" customWidth="1"/>
    <col min="46" max="46" width="18.85546875" bestFit="1" customWidth="1"/>
    <col min="47" max="47" width="9.42578125" customWidth="1"/>
  </cols>
  <sheetData>
    <row r="1" spans="1:16" ht="23.25" x14ac:dyDescent="0.35">
      <c r="A1" s="154"/>
      <c r="B1" s="154"/>
      <c r="C1" s="154"/>
      <c r="D1" s="176" t="s">
        <v>324</v>
      </c>
      <c r="E1" s="154"/>
      <c r="F1" s="154"/>
      <c r="G1" s="154"/>
      <c r="H1" s="154"/>
      <c r="J1" s="374" t="s">
        <v>323</v>
      </c>
      <c r="K1" s="374"/>
      <c r="L1" s="374"/>
      <c r="M1" s="374"/>
      <c r="N1" s="374"/>
      <c r="O1" s="374"/>
      <c r="P1" s="169"/>
    </row>
    <row r="2" spans="1:16" ht="23.25" x14ac:dyDescent="0.35">
      <c r="A2" s="154"/>
      <c r="B2" s="154"/>
      <c r="C2" s="154"/>
      <c r="D2" s="176" t="s">
        <v>325</v>
      </c>
      <c r="E2" s="154"/>
      <c r="F2" s="154"/>
      <c r="G2" s="154"/>
      <c r="H2" s="154"/>
      <c r="J2" s="154"/>
      <c r="K2" s="154"/>
      <c r="L2" s="154"/>
      <c r="M2" s="154"/>
      <c r="N2" s="154"/>
      <c r="O2" s="154"/>
      <c r="P2" s="169"/>
    </row>
    <row r="3" spans="1:16" x14ac:dyDescent="0.25">
      <c r="A3" s="154"/>
      <c r="B3" s="154"/>
      <c r="C3" s="154"/>
      <c r="D3" s="154" t="s">
        <v>320</v>
      </c>
      <c r="E3" s="154"/>
      <c r="F3" s="154"/>
      <c r="G3" s="154"/>
      <c r="H3" s="154"/>
      <c r="J3" s="17" t="s">
        <v>131</v>
      </c>
      <c r="K3" s="11" t="s">
        <v>501</v>
      </c>
      <c r="O3" s="154"/>
      <c r="P3" s="169"/>
    </row>
    <row r="4" spans="1:16" x14ac:dyDescent="0.25">
      <c r="A4" s="154"/>
      <c r="B4" s="154"/>
      <c r="C4" s="154"/>
      <c r="F4" s="154"/>
      <c r="G4" s="154"/>
      <c r="H4" s="154"/>
      <c r="J4" s="17" t="s">
        <v>17</v>
      </c>
      <c r="K4" s="11">
        <v>1</v>
      </c>
      <c r="O4" s="154"/>
      <c r="P4" s="169"/>
    </row>
    <row r="5" spans="1:16" x14ac:dyDescent="0.25">
      <c r="A5" s="154"/>
      <c r="B5" s="154"/>
      <c r="C5" s="154"/>
      <c r="D5" s="17" t="s">
        <v>130</v>
      </c>
      <c r="E5" s="11" t="s">
        <v>134</v>
      </c>
      <c r="F5" s="154"/>
      <c r="G5" s="154"/>
      <c r="H5" s="154"/>
      <c r="O5" s="154"/>
      <c r="P5" s="169"/>
    </row>
    <row r="6" spans="1:16" x14ac:dyDescent="0.25">
      <c r="D6" s="17" t="s">
        <v>131</v>
      </c>
      <c r="E6" s="11" t="s">
        <v>501</v>
      </c>
      <c r="J6" s="162" t="s">
        <v>315</v>
      </c>
      <c r="K6" s="159" t="s">
        <v>220</v>
      </c>
      <c r="L6" s="159" t="s">
        <v>223</v>
      </c>
      <c r="M6" s="159" t="s">
        <v>224</v>
      </c>
      <c r="N6" s="159" t="s">
        <v>225</v>
      </c>
      <c r="O6" s="154"/>
      <c r="P6" s="169"/>
    </row>
    <row r="7" spans="1:16" x14ac:dyDescent="0.25">
      <c r="D7" s="17" t="s">
        <v>132</v>
      </c>
      <c r="E7" s="142" t="s">
        <v>502</v>
      </c>
      <c r="J7" s="172" t="s">
        <v>309</v>
      </c>
      <c r="K7" s="152" cm="1">
        <f t="array" ref="K7">_xlfn._xlws.FILTER(tblBaseCFResult[TotalPrem]/1000,
(tblBaseCFResult[Risk]=$K$3)
*(tblBaseCFResult[Year]=$K$4)
*(tblBaseCFResult[IntRateScenario]="High")
*(tblBaseCFResult[PremTermScenario]="Policy term"),0)</f>
        <v>0</v>
      </c>
      <c r="L7" s="152" cm="1">
        <f t="array" ref="L7">_xlfn._xlws.FILTER(tblBaseCFResult[TotalPrem]/1000,
(tblBaseCFResult[Risk]=$K$3)
*(tblBaseCFResult[Year]=$K$4)
*(tblBaseCFResult[IntRateScenario]="High")
*(tblBaseCFResult[PremTermScenario]="Policy term"),0)</f>
        <v>0</v>
      </c>
      <c r="M7" s="152" cm="1">
        <f t="array" ref="M7">_xlfn._xlws.FILTER(tblBaseCFResult[TotalPrem]/1000,
(tblBaseCFResult[Risk]=$K$3)
*(tblBaseCFResult[Year]=$K$4)
*(tblBaseCFResult[IntRateScenario]="High")
*(tblBaseCFResult[PremTermScenario]="Policy term"),0)</f>
        <v>0</v>
      </c>
      <c r="N7" s="152" cm="1">
        <f t="array" ref="N7">_xlfn._xlws.FILTER(tblBaseCFResult[TotalPrem]/1000,
(tblBaseCFResult[Risk]=$K$3)
*(tblBaseCFResult[Year]=$K$4)
*(tblBaseCFResult[IntRateScenario]="High")
*(tblBaseCFResult[PremTermScenario]="Policy term"),0)</f>
        <v>0</v>
      </c>
      <c r="O7" s="154"/>
      <c r="P7" s="169"/>
    </row>
    <row r="8" spans="1:16" x14ac:dyDescent="0.25">
      <c r="J8" s="172" t="s">
        <v>314</v>
      </c>
      <c r="K8" s="152">
        <f>SUMIFS(tblRiderCFResult[TotalPrem],
tblRiderCFResult[Risk],$K$3,
tblRiderCFResult[Year],$K$4
)/1000</f>
        <v>0</v>
      </c>
      <c r="L8" s="152">
        <f>SUMIFS(tblRiderCFResult[SemiAnnualTotalPrem],
tblRiderCFResult[Year],$K$4,
tblRiderCFResult[Risk],$K$3)/1000</f>
        <v>0</v>
      </c>
      <c r="M8" s="152">
        <f>SUMIFS(tblRiderCFResult[QuarterlyTotalPrem],
tblRiderCFResult[Year],$K$4,
tblRiderCFResult[Risk],$K$3)/1000</f>
        <v>0</v>
      </c>
      <c r="N8" s="152">
        <f>SUMIFS(tblRiderCFResult[MonthlyTotalPrem],
tblRiderCFResult[Year],$K$4,
tblRiderCFResult[Risk],$K$3)/1000</f>
        <v>0</v>
      </c>
      <c r="O8" s="154"/>
      <c r="P8" s="169"/>
    </row>
    <row r="9" spans="1:16" x14ac:dyDescent="0.25">
      <c r="A9" s="161" t="s">
        <v>17</v>
      </c>
      <c r="B9" s="161" t="s">
        <v>20</v>
      </c>
      <c r="C9" s="160"/>
      <c r="D9" s="162" t="s">
        <v>299</v>
      </c>
      <c r="E9" s="162" t="s">
        <v>308</v>
      </c>
      <c r="F9" s="162" t="s">
        <v>301</v>
      </c>
      <c r="G9" s="162" t="s">
        <v>300</v>
      </c>
      <c r="H9" s="173"/>
      <c r="I9" s="154"/>
      <c r="J9" s="172" t="s">
        <v>313</v>
      </c>
      <c r="K9" s="152">
        <f>K$7+K$8</f>
        <v>0</v>
      </c>
      <c r="L9" s="152">
        <f>L$7+L$8</f>
        <v>0</v>
      </c>
      <c r="M9" s="152">
        <f>M$7+M$8</f>
        <v>0</v>
      </c>
      <c r="N9" s="152">
        <f>N$7+N$8</f>
        <v>0</v>
      </c>
      <c r="P9" s="169"/>
    </row>
    <row r="10" spans="1:16" x14ac:dyDescent="0.25">
      <c r="A10" s="155">
        <v>4</v>
      </c>
      <c r="B10" s="155">
        <f>mainLI_entry_age+A10-1</f>
        <v>3</v>
      </c>
      <c r="C10" s="154"/>
      <c r="D10" s="153" t="str">
        <f>$A10&amp;"/"&amp;$B10</f>
        <v>4/3</v>
      </c>
      <c r="E10" s="157" cm="1">
        <f t="array" ref="E10">_xlfn._xlws.FILTER(tblBaseCFResult[AccumTotalPrem]/1000,
(tblBaseCFResult[Year]=$A10)
*(tblBaseCFResult[IntRateScenario]=$E$5)
*(tblBaseCFResult[Risk]=$E$6)
*(tblBaseCFResult[PremTermScenario]=$E$7),"")</f>
        <v>25916</v>
      </c>
      <c r="F10" s="157" cm="1">
        <f t="array" ref="F10">_xlfn._xlws.FILTER(ROUND(tblBaseCFResult[Ben],-3)/1000,
(tblBaseCFResult[Year]=$A10)
*(tblBaseCFResult[IntRateScenario]=$E$5)
*(tblBaseCFResult[Risk]=$E$6)
*(tblBaseCFResult[PremTermScenario]=$E$7),"")</f>
        <v>101000</v>
      </c>
      <c r="G10" s="157" cm="1">
        <f t="array" ref="G10">_xlfn._xlws.FILTER(ROUND(tblBaseCFResult[EndPAV],-3)/1000,
(tblBaseCFResult[Year]=$A10)
*(tblBaseCFResult[IntRateScenario]=$E$5)
*(tblBaseCFResult[Risk]=$E$6)
*(tblBaseCFResult[PremTermScenario]=$E$7),"")</f>
        <v>24150</v>
      </c>
      <c r="H10" s="154"/>
      <c r="I10" s="154"/>
      <c r="J10" s="154"/>
      <c r="K10" s="154"/>
      <c r="L10" s="154"/>
      <c r="M10" s="154"/>
      <c r="N10" s="154"/>
      <c r="O10" s="154"/>
      <c r="P10" s="169"/>
    </row>
    <row r="11" spans="1:16" x14ac:dyDescent="0.25">
      <c r="A11" s="155">
        <f>A10+4</f>
        <v>8</v>
      </c>
      <c r="B11" s="155">
        <f>mainLI_entry_age+A11-1</f>
        <v>7</v>
      </c>
      <c r="C11" s="154"/>
      <c r="D11" s="153" t="str">
        <f>$A11&amp;"/"&amp;$B11</f>
        <v>8/7</v>
      </c>
      <c r="E11" s="157" cm="1">
        <f t="array" ref="E11">_xlfn._xlws.FILTER(tblBaseCFResult[AccumTotalPrem]/1000,
(tblBaseCFResult[Year]=$A11)
*(tblBaseCFResult[IntRateScenario]=$E$5)
*(tblBaseCFResult[Risk]=$E$6)
*(tblBaseCFResult[PremTermScenario]=$E$7),"")</f>
        <v>51832</v>
      </c>
      <c r="F11" s="157" cm="1">
        <f t="array" ref="F11">_xlfn._xlws.FILTER(ROUND(tblBaseCFResult[Ben],-3)/1000,
(tblBaseCFResult[Year]=$A11)
*(tblBaseCFResult[IntRateScenario]=$E$5)
*(tblBaseCFResult[Risk]=$E$6)
*(tblBaseCFResult[PremTermScenario]=$E$7),"")</f>
        <v>101000</v>
      </c>
      <c r="G11" s="157" cm="1">
        <f t="array" ref="G11">_xlfn._xlws.FILTER(ROUND(tblBaseCFResult[EndPAV],-3)/1000,
(tblBaseCFResult[Year]=$A11)
*(tblBaseCFResult[IntRateScenario]=$E$5)
*(tblBaseCFResult[Risk]=$E$6)
*(tblBaseCFResult[PremTermScenario]=$E$7),"")</f>
        <v>54345</v>
      </c>
      <c r="H11" s="154"/>
      <c r="I11" s="154"/>
      <c r="N11" s="154"/>
      <c r="O11" s="154"/>
      <c r="P11" s="169"/>
    </row>
    <row r="12" spans="1:16" x14ac:dyDescent="0.25">
      <c r="A12" s="155">
        <f>A11+4</f>
        <v>12</v>
      </c>
      <c r="B12" s="155">
        <f>mainLI_entry_age+A12-1</f>
        <v>11</v>
      </c>
      <c r="C12" s="154"/>
      <c r="D12" s="153" t="str">
        <f>$A12&amp;"/"&amp;$B12</f>
        <v>12/11</v>
      </c>
      <c r="E12" s="157" cm="1">
        <f t="array" ref="E12">_xlfn._xlws.FILTER(tblBaseCFResult[AccumTotalPrem]/1000,
(tblBaseCFResult[Year]=$A12)
*(tblBaseCFResult[IntRateScenario]=$E$5)
*(tblBaseCFResult[Risk]=$E$6)
*(tblBaseCFResult[PremTermScenario]=$E$7),"")</f>
        <v>77748</v>
      </c>
      <c r="F12" s="157" cm="1">
        <f t="array" ref="F12">_xlfn._xlws.FILTER(ROUND(tblBaseCFResult[Ben],-3)/1000,
(tblBaseCFResult[Year]=$A12)
*(tblBaseCFResult[IntRateScenario]=$E$5)
*(tblBaseCFResult[Risk]=$E$6)
*(tblBaseCFResult[PremTermScenario]=$E$7),"")</f>
        <v>101000</v>
      </c>
      <c r="G12" s="157" cm="1">
        <f t="array" ref="G12">_xlfn._xlws.FILTER(ROUND(tblBaseCFResult[EndPAV],-3)/1000,
(tblBaseCFResult[Year]=$A12)
*(tblBaseCFResult[IntRateScenario]=$E$5)
*(tblBaseCFResult[Risk]=$E$6)
*(tblBaseCFResult[PremTermScenario]=$E$7),"")</f>
        <v>93102</v>
      </c>
      <c r="H12" s="154"/>
      <c r="I12" s="154"/>
      <c r="N12" s="154"/>
      <c r="O12" s="154"/>
      <c r="P12" s="169"/>
    </row>
    <row r="13" spans="1:16" x14ac:dyDescent="0.25">
      <c r="A13" s="155">
        <f>A12+4</f>
        <v>16</v>
      </c>
      <c r="B13" s="155">
        <f>mainLI_entry_age+A13-1</f>
        <v>15</v>
      </c>
      <c r="C13" s="154"/>
      <c r="D13" s="153" t="str">
        <f>$A13&amp;"/"&amp;$B13</f>
        <v>16/15</v>
      </c>
      <c r="E13" s="157" cm="1">
        <f t="array" ref="E13">_xlfn._xlws.FILTER(tblBaseCFResult[AccumTotalPrem]/1000,
(tblBaseCFResult[Year]=$A13)
*(tblBaseCFResult[IntRateScenario]=$E$5)
*(tblBaseCFResult[Risk]=$E$6)
*(tblBaseCFResult[PremTermScenario]=$E$7),"")</f>
        <v>103711</v>
      </c>
      <c r="F13" s="157" cm="1">
        <f t="array" ref="F13">_xlfn._xlws.FILTER(ROUND(tblBaseCFResult[Ben],-3)/1000,
(tblBaseCFResult[Year]=$A13)
*(tblBaseCFResult[IntRateScenario]=$E$5)
*(tblBaseCFResult[Risk]=$E$6)
*(tblBaseCFResult[PremTermScenario]=$E$7),"")</f>
        <v>116769</v>
      </c>
      <c r="G13" s="157" cm="1">
        <f t="array" ref="G13">_xlfn._xlws.FILTER(ROUND(tblBaseCFResult[EndPAV],-3)/1000,
(tblBaseCFResult[Year]=$A13)
*(tblBaseCFResult[IntRateScenario]=$E$5)
*(tblBaseCFResult[Risk]=$E$6)
*(tblBaseCFResult[PremTermScenario]=$E$7),"")</f>
        <v>131433</v>
      </c>
      <c r="H13" s="154"/>
      <c r="I13" s="154"/>
      <c r="N13" s="154"/>
      <c r="O13" s="154"/>
      <c r="P13" s="169"/>
    </row>
    <row r="14" spans="1:16" x14ac:dyDescent="0.25">
      <c r="A14" s="155">
        <f>A13+4</f>
        <v>20</v>
      </c>
      <c r="B14" s="155">
        <f>mainLI_entry_age+A14-1</f>
        <v>19</v>
      </c>
      <c r="C14" s="154"/>
      <c r="D14" s="153" t="str">
        <f>$A14&amp;"/"&amp;$B14</f>
        <v>20/19</v>
      </c>
      <c r="E14" s="157" cm="1">
        <f t="array" ref="E14">_xlfn._xlws.FILTER(tblBaseCFResult[AccumTotalPrem]/1000,
(tblBaseCFResult[Year]=$A14)
*(tblBaseCFResult[IntRateScenario]=$E$5)
*(tblBaseCFResult[Risk]=$E$6)
*(tblBaseCFResult[PremTermScenario]=$E$7),"")</f>
        <v>130072</v>
      </c>
      <c r="F14" s="157" cm="1">
        <f t="array" ref="F14">_xlfn._xlws.FILTER(ROUND(tblBaseCFResult[Ben],-3)/1000,
(tblBaseCFResult[Year]=$A14)
*(tblBaseCFResult[IntRateScenario]=$E$5)
*(tblBaseCFResult[Risk]=$E$6)
*(tblBaseCFResult[PremTermScenario]=$E$7),"")</f>
        <v>181254</v>
      </c>
      <c r="G14" s="157" cm="1">
        <f t="array" ref="G14">_xlfn._xlws.FILTER(ROUND(tblBaseCFResult[EndPAV],-3)/1000,
(tblBaseCFResult[Year]=$A14)
*(tblBaseCFResult[IntRateScenario]=$E$5)
*(tblBaseCFResult[Risk]=$E$6)
*(tblBaseCFResult[PremTermScenario]=$E$7),"")</f>
        <v>189934</v>
      </c>
      <c r="H14" s="154"/>
      <c r="N14" s="154"/>
      <c r="O14" s="154"/>
      <c r="P14" s="169"/>
    </row>
    <row r="15" spans="1:16" x14ac:dyDescent="0.25">
      <c r="N15" s="154"/>
      <c r="O15" s="154"/>
      <c r="P15" s="169"/>
    </row>
    <row r="16" spans="1:16" x14ac:dyDescent="0.25">
      <c r="P16" s="169"/>
    </row>
    <row r="17" spans="16:16" x14ac:dyDescent="0.25">
      <c r="P17" s="169"/>
    </row>
    <row r="18" spans="16:16" x14ac:dyDescent="0.25">
      <c r="P18" s="169"/>
    </row>
    <row r="19" spans="16:16" x14ac:dyDescent="0.25">
      <c r="P19" s="169"/>
    </row>
    <row r="20" spans="16:16" x14ac:dyDescent="0.25">
      <c r="P20" s="169"/>
    </row>
    <row r="21" spans="16:16" x14ac:dyDescent="0.25">
      <c r="P21" s="169"/>
    </row>
    <row r="22" spans="16:16" x14ac:dyDescent="0.25">
      <c r="P22" s="169"/>
    </row>
    <row r="23" spans="16:16" x14ac:dyDescent="0.25">
      <c r="P23" s="169"/>
    </row>
    <row r="24" spans="16:16" x14ac:dyDescent="0.25">
      <c r="P24" s="169"/>
    </row>
    <row r="25" spans="16:16" x14ac:dyDescent="0.25">
      <c r="P25" s="169"/>
    </row>
    <row r="26" spans="16:16" x14ac:dyDescent="0.25">
      <c r="P26" s="169"/>
    </row>
    <row r="27" spans="16:16" x14ac:dyDescent="0.25">
      <c r="P27" s="169"/>
    </row>
    <row r="28" spans="16:16" x14ac:dyDescent="0.25">
      <c r="P28" s="169"/>
    </row>
    <row r="29" spans="16:16" x14ac:dyDescent="0.25">
      <c r="P29" s="169"/>
    </row>
    <row r="30" spans="16:16" x14ac:dyDescent="0.25">
      <c r="P30" s="169"/>
    </row>
    <row r="31" spans="16:16" x14ac:dyDescent="0.25">
      <c r="P31" s="169"/>
    </row>
    <row r="32" spans="16:16" x14ac:dyDescent="0.25">
      <c r="P32" s="169"/>
    </row>
    <row r="33" spans="16:16" x14ac:dyDescent="0.25">
      <c r="P33" s="169"/>
    </row>
    <row r="34" spans="16:16" x14ac:dyDescent="0.25">
      <c r="P34" s="169"/>
    </row>
    <row r="35" spans="16:16" x14ac:dyDescent="0.25">
      <c r="P35" s="169"/>
    </row>
    <row r="36" spans="16:16" x14ac:dyDescent="0.25">
      <c r="P36" s="169"/>
    </row>
    <row r="37" spans="16:16" x14ac:dyDescent="0.25">
      <c r="P37" s="169"/>
    </row>
    <row r="38" spans="16:16" x14ac:dyDescent="0.25">
      <c r="P38" s="169"/>
    </row>
    <row r="39" spans="16:16" x14ac:dyDescent="0.25">
      <c r="P39" s="169"/>
    </row>
    <row r="40" spans="16:16" x14ac:dyDescent="0.25">
      <c r="P40" s="169"/>
    </row>
    <row r="41" spans="16:16" x14ac:dyDescent="0.25">
      <c r="P41" s="169"/>
    </row>
    <row r="42" spans="16:16" x14ac:dyDescent="0.25">
      <c r="P42" s="169"/>
    </row>
    <row r="43" spans="16:16" x14ac:dyDescent="0.25">
      <c r="P43" s="169"/>
    </row>
    <row r="44" spans="16:16" x14ac:dyDescent="0.25">
      <c r="P44" s="169"/>
    </row>
    <row r="45" spans="16:16" x14ac:dyDescent="0.25">
      <c r="P45" s="169"/>
    </row>
    <row r="46" spans="16:16" x14ac:dyDescent="0.25">
      <c r="P46" s="169"/>
    </row>
    <row r="47" spans="16:16" x14ac:dyDescent="0.25">
      <c r="P47" s="169"/>
    </row>
    <row r="48" spans="16:16" x14ac:dyDescent="0.25">
      <c r="P48" s="169"/>
    </row>
    <row r="49" spans="16:16" x14ac:dyDescent="0.25">
      <c r="P49" s="169"/>
    </row>
    <row r="50" spans="16:16" x14ac:dyDescent="0.25">
      <c r="P50" s="169"/>
    </row>
    <row r="51" spans="16:16" x14ac:dyDescent="0.25">
      <c r="P51" s="169"/>
    </row>
    <row r="52" spans="16:16" x14ac:dyDescent="0.25">
      <c r="P52" s="169"/>
    </row>
    <row r="53" spans="16:16" x14ac:dyDescent="0.25">
      <c r="P53" s="169"/>
    </row>
    <row r="54" spans="16:16" x14ac:dyDescent="0.25">
      <c r="P54" s="169"/>
    </row>
    <row r="55" spans="16:16" x14ac:dyDescent="0.25">
      <c r="P55" s="169"/>
    </row>
    <row r="56" spans="16:16" x14ac:dyDescent="0.25">
      <c r="P56" s="169"/>
    </row>
    <row r="57" spans="16:16" x14ac:dyDescent="0.25">
      <c r="P57" s="169"/>
    </row>
    <row r="58" spans="16:16" x14ac:dyDescent="0.25">
      <c r="P58" s="169"/>
    </row>
    <row r="59" spans="16:16" x14ac:dyDescent="0.25">
      <c r="P59" s="169"/>
    </row>
    <row r="60" spans="16:16" x14ac:dyDescent="0.25">
      <c r="P60" s="169"/>
    </row>
    <row r="61" spans="16:16" x14ac:dyDescent="0.25">
      <c r="P61" s="169"/>
    </row>
    <row r="62" spans="16:16" x14ac:dyDescent="0.25">
      <c r="P62" s="169"/>
    </row>
    <row r="63" spans="16:16" x14ac:dyDescent="0.25">
      <c r="P63" s="169"/>
    </row>
    <row r="64" spans="16:16" x14ac:dyDescent="0.25">
      <c r="P64" s="169"/>
    </row>
    <row r="65" spans="1:47" x14ac:dyDescent="0.25">
      <c r="P65" s="169"/>
    </row>
    <row r="66" spans="1:47" x14ac:dyDescent="0.25">
      <c r="P66" s="169"/>
    </row>
    <row r="67" spans="1:47" x14ac:dyDescent="0.25">
      <c r="P67" s="169"/>
    </row>
    <row r="68" spans="1:47" x14ac:dyDescent="0.25">
      <c r="P68" s="169"/>
    </row>
    <row r="69" spans="1:47" x14ac:dyDescent="0.25">
      <c r="P69" s="169"/>
    </row>
    <row r="70" spans="1:47" x14ac:dyDescent="0.25">
      <c r="P70" s="169"/>
    </row>
    <row r="71" spans="1:47" x14ac:dyDescent="0.25">
      <c r="P71" s="169"/>
    </row>
    <row r="72" spans="1:47" x14ac:dyDescent="0.25">
      <c r="P72" s="169"/>
    </row>
    <row r="73" spans="1:47" x14ac:dyDescent="0.25">
      <c r="P73" s="169"/>
    </row>
    <row r="74" spans="1:47" x14ac:dyDescent="0.25">
      <c r="P74" s="169"/>
    </row>
    <row r="75" spans="1:47" x14ac:dyDescent="0.25">
      <c r="P75" s="169"/>
    </row>
    <row r="76" spans="1:47" x14ac:dyDescent="0.25">
      <c r="P76" s="169"/>
    </row>
    <row r="77" spans="1:47" x14ac:dyDescent="0.25">
      <c r="P77" s="169"/>
    </row>
    <row r="78" spans="1:47" x14ac:dyDescent="0.25">
      <c r="P78" s="169"/>
    </row>
    <row r="79" spans="1:47" x14ac:dyDescent="0.25">
      <c r="A79" s="169"/>
      <c r="B79" s="169"/>
      <c r="C79" s="169"/>
      <c r="D79" s="169"/>
      <c r="E79" s="169"/>
      <c r="F79" s="169"/>
      <c r="G79" s="169"/>
      <c r="H79" s="169"/>
      <c r="I79" s="169"/>
      <c r="J79" s="169"/>
      <c r="K79" s="169"/>
      <c r="L79" s="169"/>
      <c r="M79" s="169"/>
      <c r="N79" s="169"/>
      <c r="O79" s="169"/>
      <c r="P79" s="169"/>
      <c r="Q79" s="169"/>
      <c r="R79" s="169"/>
      <c r="S79" s="169"/>
      <c r="T79" s="169"/>
      <c r="U79" s="169"/>
      <c r="V79" s="169"/>
      <c r="W79" s="169"/>
      <c r="X79" s="169"/>
      <c r="Y79" s="169"/>
      <c r="Z79" s="169"/>
      <c r="AA79" s="169"/>
      <c r="AB79" s="169"/>
      <c r="AC79" s="169"/>
      <c r="AD79" s="169"/>
      <c r="AE79" s="169"/>
      <c r="AF79" s="169"/>
      <c r="AG79" s="169"/>
      <c r="AH79" s="169"/>
      <c r="AI79" s="169"/>
      <c r="AJ79" s="169"/>
      <c r="AK79" s="169"/>
      <c r="AL79" s="169"/>
      <c r="AM79" s="169"/>
      <c r="AN79" s="169"/>
      <c r="AO79" s="169"/>
      <c r="AP79" s="169"/>
      <c r="AQ79" s="169"/>
      <c r="AR79" s="169"/>
      <c r="AS79" s="169"/>
      <c r="AT79" s="169"/>
      <c r="AU79" s="169"/>
    </row>
    <row r="80" spans="1:47" x14ac:dyDescent="0.25">
      <c r="P80" s="169"/>
      <c r="AH80" s="169"/>
    </row>
    <row r="81" spans="1:50" x14ac:dyDescent="0.25">
      <c r="P81" s="169"/>
      <c r="AH81" s="169"/>
    </row>
    <row r="82" spans="1:50" ht="23.25" x14ac:dyDescent="0.35">
      <c r="E82" s="177" t="s">
        <v>312</v>
      </c>
      <c r="F82" s="177"/>
      <c r="G82" s="177"/>
      <c r="H82" s="177"/>
      <c r="I82" s="177"/>
      <c r="J82" s="177"/>
      <c r="K82" s="177"/>
      <c r="L82" s="177"/>
      <c r="P82" s="169"/>
      <c r="T82" s="374" t="s">
        <v>311</v>
      </c>
      <c r="U82" s="374"/>
      <c r="V82" s="374"/>
      <c r="W82" s="374"/>
      <c r="X82" s="374"/>
      <c r="Y82" s="374"/>
      <c r="Z82" s="374"/>
      <c r="AA82" s="374"/>
      <c r="AB82" s="374"/>
      <c r="AC82" s="374"/>
      <c r="AD82" s="374"/>
      <c r="AE82" s="374"/>
      <c r="AF82" s="374"/>
      <c r="AH82" s="169"/>
      <c r="AL82" s="374" t="s">
        <v>326</v>
      </c>
      <c r="AM82" s="374"/>
      <c r="AN82" s="374"/>
      <c r="AO82" s="374"/>
      <c r="AP82" s="374"/>
      <c r="AQ82" s="374"/>
      <c r="AR82" s="374"/>
      <c r="AS82" s="374"/>
      <c r="AT82" s="374"/>
      <c r="AU82" s="374"/>
      <c r="AV82" s="177"/>
      <c r="AW82" s="177"/>
      <c r="AX82" s="177"/>
    </row>
    <row r="83" spans="1:50" x14ac:dyDescent="0.25">
      <c r="P83" s="169"/>
      <c r="AH83" s="169"/>
    </row>
    <row r="84" spans="1:50" x14ac:dyDescent="0.25">
      <c r="D84" s="17" t="s">
        <v>130</v>
      </c>
      <c r="E84" s="142" t="s">
        <v>144</v>
      </c>
      <c r="P84" s="169"/>
      <c r="T84" s="17" t="s">
        <v>130</v>
      </c>
      <c r="U84" s="142" t="s">
        <v>134</v>
      </c>
      <c r="AH84" s="169"/>
      <c r="AL84" s="17" t="s">
        <v>131</v>
      </c>
      <c r="AM84" s="11" t="s">
        <v>141</v>
      </c>
    </row>
    <row r="85" spans="1:50" x14ac:dyDescent="0.25">
      <c r="D85" s="17" t="s">
        <v>131</v>
      </c>
      <c r="E85" s="11" t="s">
        <v>135</v>
      </c>
      <c r="P85" s="169"/>
      <c r="T85" s="17" t="s">
        <v>131</v>
      </c>
      <c r="U85" s="11" t="s">
        <v>135</v>
      </c>
      <c r="AH85" s="169"/>
      <c r="AL85" s="17" t="s">
        <v>132</v>
      </c>
      <c r="AM85" s="142" t="s">
        <v>140</v>
      </c>
    </row>
    <row r="86" spans="1:50" x14ac:dyDescent="0.25">
      <c r="D86" s="17" t="s">
        <v>132</v>
      </c>
      <c r="E86" s="142" t="s">
        <v>502</v>
      </c>
      <c r="P86" s="169"/>
      <c r="T86" s="17" t="s">
        <v>132</v>
      </c>
      <c r="U86" s="142" t="s">
        <v>502</v>
      </c>
      <c r="AH86" s="169"/>
      <c r="AL86" s="17" t="s">
        <v>2</v>
      </c>
      <c r="AM86" s="142" t="s">
        <v>138</v>
      </c>
    </row>
    <row r="87" spans="1:50" x14ac:dyDescent="0.25">
      <c r="D87" s="368" t="s">
        <v>2</v>
      </c>
      <c r="E87" s="369" t="s">
        <v>138</v>
      </c>
      <c r="P87" s="169"/>
      <c r="AH87" s="169"/>
      <c r="AL87" s="17" t="s">
        <v>506</v>
      </c>
      <c r="AM87" s="370">
        <f>INDEX(tblFundAlloc[TP%],MATCH($AM$86,tblFundAlloc[Fund],0))</f>
        <v>1</v>
      </c>
    </row>
    <row r="88" spans="1:50" x14ac:dyDescent="0.25">
      <c r="D88" s="17" t="s">
        <v>506</v>
      </c>
      <c r="E88" s="370">
        <f>INDEX(tblFundAlloc[TP%],MATCH(ILP!$E$87,tblFundAlloc[Fund],0))</f>
        <v>1</v>
      </c>
      <c r="P88" s="169"/>
      <c r="AH88" s="169"/>
      <c r="AL88" s="17" t="s">
        <v>507</v>
      </c>
      <c r="AM88" s="370">
        <f>INDEX(tblFundAlloc[EP%],MATCH($AM$86,tblFundAlloc[Fund],0))</f>
        <v>1</v>
      </c>
    </row>
    <row r="89" spans="1:50" x14ac:dyDescent="0.25">
      <c r="D89" s="17" t="s">
        <v>507</v>
      </c>
      <c r="E89" s="370">
        <f>INDEX(tblFundAlloc[EP%],MATCH(ILP!$E$87,tblFundAlloc[Fund],0))</f>
        <v>1</v>
      </c>
      <c r="P89" s="169"/>
      <c r="AH89" s="169"/>
    </row>
    <row r="90" spans="1:50" x14ac:dyDescent="0.25">
      <c r="D90" s="22"/>
      <c r="P90" s="169"/>
      <c r="AH90" s="169"/>
      <c r="AK90" s="161" t="s">
        <v>130</v>
      </c>
      <c r="AL90" s="155" t="s">
        <v>144</v>
      </c>
      <c r="AM90" s="155" t="s">
        <v>144</v>
      </c>
      <c r="AN90" s="155" t="s">
        <v>144</v>
      </c>
      <c r="AO90" s="155" t="s">
        <v>144</v>
      </c>
      <c r="AP90" s="155" t="s">
        <v>134</v>
      </c>
      <c r="AQ90" s="155" t="s">
        <v>134</v>
      </c>
      <c r="AR90" s="155" t="s">
        <v>144</v>
      </c>
      <c r="AS90" s="155" t="s">
        <v>144</v>
      </c>
      <c r="AT90" s="155" t="s">
        <v>134</v>
      </c>
      <c r="AU90" s="155" t="s">
        <v>134</v>
      </c>
    </row>
    <row r="91" spans="1:50" x14ac:dyDescent="0.25">
      <c r="P91" s="169"/>
      <c r="AH91" s="169"/>
      <c r="AL91" s="378" t="s">
        <v>299</v>
      </c>
      <c r="AM91" s="378" t="s">
        <v>304</v>
      </c>
      <c r="AN91" s="381" t="s">
        <v>327</v>
      </c>
      <c r="AO91" s="382"/>
      <c r="AP91" s="382"/>
      <c r="AQ91" s="383"/>
      <c r="AR91" s="381" t="s">
        <v>503</v>
      </c>
      <c r="AS91" s="382"/>
      <c r="AT91" s="382"/>
      <c r="AU91" s="383"/>
    </row>
    <row r="92" spans="1:50" ht="15" customHeight="1" x14ac:dyDescent="0.25">
      <c r="D92" s="378" t="s">
        <v>299</v>
      </c>
      <c r="E92" s="384" t="s">
        <v>309</v>
      </c>
      <c r="F92" s="387" t="s">
        <v>328</v>
      </c>
      <c r="G92" s="384" t="s">
        <v>301</v>
      </c>
      <c r="H92" s="178" t="s">
        <v>329</v>
      </c>
      <c r="I92" s="178" t="s">
        <v>330</v>
      </c>
      <c r="J92" s="384" t="s">
        <v>44</v>
      </c>
      <c r="K92" s="384" t="s">
        <v>300</v>
      </c>
      <c r="L92" s="384" t="s">
        <v>37</v>
      </c>
      <c r="P92" s="169"/>
      <c r="T92" s="378" t="s">
        <v>299</v>
      </c>
      <c r="U92" s="386" t="s">
        <v>306</v>
      </c>
      <c r="V92" s="386"/>
      <c r="W92" s="386"/>
      <c r="X92" s="386" t="s">
        <v>331</v>
      </c>
      <c r="Y92" s="386"/>
      <c r="Z92" s="386"/>
      <c r="AA92" s="386" t="s">
        <v>304</v>
      </c>
      <c r="AB92" s="386"/>
      <c r="AC92" s="386"/>
      <c r="AD92" s="384" t="s">
        <v>332</v>
      </c>
      <c r="AE92" s="386" t="s">
        <v>89</v>
      </c>
      <c r="AF92" s="386"/>
      <c r="AH92" s="169"/>
      <c r="AL92" s="379"/>
      <c r="AM92" s="379"/>
      <c r="AN92" s="381" t="s">
        <v>144</v>
      </c>
      <c r="AO92" s="383"/>
      <c r="AP92" s="381" t="s">
        <v>134</v>
      </c>
      <c r="AQ92" s="383"/>
      <c r="AR92" s="381" t="s">
        <v>144</v>
      </c>
      <c r="AS92" s="383"/>
      <c r="AT92" s="381" t="s">
        <v>134</v>
      </c>
      <c r="AU92" s="383"/>
    </row>
    <row r="93" spans="1:50" x14ac:dyDescent="0.25">
      <c r="A93" s="161" t="s">
        <v>17</v>
      </c>
      <c r="B93" s="161" t="s">
        <v>20</v>
      </c>
      <c r="D93" s="380"/>
      <c r="E93" s="385"/>
      <c r="F93" s="388"/>
      <c r="G93" s="385"/>
      <c r="H93" s="178" t="str">
        <f>$E$87</f>
        <v>F000</v>
      </c>
      <c r="I93" s="178" t="str">
        <f>$E$87</f>
        <v>F000</v>
      </c>
      <c r="J93" s="385"/>
      <c r="K93" s="385"/>
      <c r="L93" s="385"/>
      <c r="P93" s="169"/>
      <c r="Q93" s="161" t="s">
        <v>17</v>
      </c>
      <c r="R93" s="161" t="s">
        <v>20</v>
      </c>
      <c r="T93" s="380"/>
      <c r="U93" s="178" t="s">
        <v>50</v>
      </c>
      <c r="V93" s="178" t="s">
        <v>54</v>
      </c>
      <c r="W93" s="178" t="s">
        <v>298</v>
      </c>
      <c r="X93" s="178" t="s">
        <v>50</v>
      </c>
      <c r="Y93" s="178" t="s">
        <v>54</v>
      </c>
      <c r="Z93" s="178" t="s">
        <v>298</v>
      </c>
      <c r="AA93" s="178" t="s">
        <v>50</v>
      </c>
      <c r="AB93" s="178" t="s">
        <v>54</v>
      </c>
      <c r="AC93" s="178" t="s">
        <v>298</v>
      </c>
      <c r="AD93" s="385"/>
      <c r="AE93" s="178" t="s">
        <v>333</v>
      </c>
      <c r="AF93" s="178" t="s">
        <v>334</v>
      </c>
      <c r="AH93" s="169"/>
      <c r="AI93" s="161" t="s">
        <v>17</v>
      </c>
      <c r="AJ93" s="161" t="s">
        <v>20</v>
      </c>
      <c r="AL93" s="380"/>
      <c r="AM93" s="380"/>
      <c r="AN93" s="179" t="s">
        <v>508</v>
      </c>
      <c r="AO93" s="179" t="s">
        <v>108</v>
      </c>
      <c r="AP93" s="179" t="s">
        <v>508</v>
      </c>
      <c r="AQ93" s="179" t="s">
        <v>108</v>
      </c>
      <c r="AR93" s="179" t="s">
        <v>508</v>
      </c>
      <c r="AS93" s="179" t="s">
        <v>108</v>
      </c>
      <c r="AT93" s="179" t="s">
        <v>508</v>
      </c>
      <c r="AU93" s="179" t="s">
        <v>108</v>
      </c>
    </row>
    <row r="94" spans="1:50" x14ac:dyDescent="0.25">
      <c r="A94" s="155">
        <v>1</v>
      </c>
      <c r="B94" s="155">
        <f t="shared" ref="B94" si="0">mainLI_entry_age+A94-1</f>
        <v>0</v>
      </c>
      <c r="D94" s="153" t="str">
        <f>$A94&amp;"/"&amp;$B94</f>
        <v>1/0</v>
      </c>
      <c r="E94" s="180" cm="1">
        <f t="array" ref="E94">_xlfn._xlws.FILTER(tblBaseCFResult[TotalPrem]/1000,
(tblBaseCFResult[Year]=$A94)
*(tblBaseCFResult[IntRateScenario]=$E$84)
*(tblBaseCFResult[Risk]=$E$85)
*(tblBaseCFResult[PremTermScenario]=$E$86),"")</f>
        <v>6272</v>
      </c>
      <c r="F94" s="180" cm="1">
        <f t="array" ref="F94">_xlfn._xlws.FILTER(ROUND(tblBaseCFResult[Alloc],-3)/1000,
(tblBaseCFResult[Year]=$A94)
*(tblBaseCFResult[IntRateScenario]=$E$84)
*(tblBaseCFResult[Risk]=$E$85)
*(tblBaseCFResult[PremTermScenario]=$E$86),"")</f>
        <v>5578</v>
      </c>
      <c r="G94" s="180" cm="1">
        <f t="array" ref="G94">_xlfn._xlws.FILTER(ROUND(tblBaseCFResult[Ben],-3)/1000,
(tblBaseCFResult[Year]=$A94)
*(tblBaseCFResult[IntRateScenario]=$E$84)
*(tblBaseCFResult[Risk]=$E$85)
*(tblBaseCFResult[PremTermScenario]=$E$86),"")</f>
        <v>101000</v>
      </c>
      <c r="H94" s="180" cm="1">
        <f t="array" ref="H94">_xlfn._xlws.FILTER(
ROUND(tblBaseCFResult[EndEAV]*$E$88 + tblBaseCFResult[EndTAV]*$E$89,-3)/1000,
(tblBaseCFResult[Year]=$A94)
*(tblBaseCFResult[IntRateScenario]=$E$84)
*(tblBaseCFResult[Risk]=$E$85)
*(tblBaseCFResult[PremTermScenario]=$E$86),0)</f>
        <v>5074</v>
      </c>
      <c r="I94" s="180" cm="1">
        <f t="array" ref="I94">_xlfn._xlws.FILTER(ROUND(tblBaseCFResult[Bonus]* $E$88,-3)/1000,
(tblBaseCFResult[Year]=$A94)
*(tblBaseCFResult[IntRateScenario]=$E$84)
*(tblBaseCFResult[Risk]=$E$85)
*(tblBaseCFResult[PremTermScenario]=$E$86),"")</f>
        <v>0</v>
      </c>
      <c r="J94" s="180" cm="1">
        <f t="array" ref="J94">_xlfn._xlws.FILTER(ROUND(tblBaseCFResult[Withdrawal],-3)/1000,
(tblBaseCFResult[Year]=$A94)
*(tblBaseCFResult[IntRateScenario]=$E$84)
*(tblBaseCFResult[Risk]=$E$85)
*(tblBaseCFResult[PremTermScenario]=$E$86),"")</f>
        <v>0</v>
      </c>
      <c r="K94" s="180" cm="1">
        <f t="array" ref="K94">_xlfn._xlws.FILTER(ROUND(tblBaseCFResult[QuarterlyEMLoad],-3)/1000,
(tblBaseCFResult[Year]=$A94)
*(tblBaseCFResult[IntRateScenario]=$E$84)
*(tblBaseCFResult[Risk]=$E$85)
*(tblBaseCFResult[PremTermScenario]=$E$86),"")</f>
        <v>0</v>
      </c>
      <c r="L94" s="180" cm="1">
        <f t="array" ref="L94">_xlfn._xlws.FILTER(ROUND(tblBaseCFResult[SV],-3)/1000,
(tblBaseCFResult[Year]=$A94)
*(tblBaseCFResult[IntRateScenario]=$E$84)
*(tblBaseCFResult[Risk]=$E$85)
*(tblBaseCFResult[PremTermScenario]=$E$86),"")</f>
        <v>0</v>
      </c>
      <c r="P94" s="169"/>
      <c r="Q94" s="155">
        <v>1</v>
      </c>
      <c r="R94" s="155">
        <f t="shared" ref="R94" si="1">mainLI_entry_age+Q94-1</f>
        <v>0</v>
      </c>
      <c r="T94" s="153" t="str">
        <f>$Q94&amp;"/"&amp;$R94</f>
        <v>1/0</v>
      </c>
      <c r="U94" s="180" cm="1">
        <f t="array" ref="U94">_xlfn._xlws.FILTER(tblBaseCFResult[TP]/1000,
(tblBaseCFResult[Year]=$A94)
*(tblBaseCFResult[IntRateScenario]=$U$84)
*(tblBaseCFResult[Risk]=$U$85)
*(tblBaseCFResult[PremTermScenario]=$U$86),"")</f>
        <v>1072</v>
      </c>
      <c r="V94" s="180" cm="1">
        <f t="array" ref="V94">_xlfn._xlws.FILTER((tblBaseCFResult[EP]+tblBaseCFResult[Load])/1000,
(tblBaseCFResult[Year]=$A94)
*(tblBaseCFResult[IntRateScenario]=$U$84)
*(tblBaseCFResult[Risk]=$U$85)
*(tblBaseCFResult[PremTermScenario]=$U$86),"")</f>
        <v>5200</v>
      </c>
      <c r="W94" s="181">
        <f>IFERROR(U94+V94,"")</f>
        <v>6272</v>
      </c>
      <c r="X94" s="180" cm="1">
        <f t="array" ref="X94">_xlfn._xlws.FILTER(ROUND(tblBaseCFResult[TPAllocChrg],-3)/1000,
(tblBaseCFResult[Year]=$A94)
*(tblBaseCFResult[IntRateScenario]=$U$84)
*(tblBaseCFResult[Risk]=$U$85)
*(tblBaseCFResult[PremTermScenario]=$U$86),"")</f>
        <v>590</v>
      </c>
      <c r="Y94" s="180" cm="1">
        <f t="array" ref="Y94">_xlfn._xlws.FILTER(ROUND(tblBaseCFResult[EPAllocChrg]+tblBaseCFResult[LoadAllocChrg],-3)/1000,
(tblBaseCFResult[Year]=$A94)
*(tblBaseCFResult[IntRateScenario]=$U$84)
*(tblBaseCFResult[Risk]=$U$85)
*(tblBaseCFResult[PremTermScenario]=$U$86),"")</f>
        <v>104</v>
      </c>
      <c r="Z94" s="181">
        <f>IFERROR(X94+Y94,"")</f>
        <v>694</v>
      </c>
      <c r="AA94" s="181">
        <f>IFERROR(U94-X94,"")</f>
        <v>482</v>
      </c>
      <c r="AB94" s="181">
        <f t="shared" ref="AB94:AB113" si="2">IFERROR(V94-Y94,"")</f>
        <v>5096</v>
      </c>
      <c r="AC94" s="181">
        <f>IFERROR(AA94+AB94,"")</f>
        <v>5578</v>
      </c>
      <c r="AD94" s="180" cm="1">
        <f t="array" ref="AD94">_xlfn._xlws.FILTER(tblBaseCFResult[AdminChrg]/1000,
(tblBaseCFResult[Year]=$A94)
*(tblBaseCFResult[IntRateScenario]=$U$84)
*(tblBaseCFResult[Risk]=$U$85)
*(tblBaseCFResult[PremTermScenario]=$U$86),"")</f>
        <v>300</v>
      </c>
      <c r="AE94" s="180" cm="1">
        <f t="array" ref="AE94">_xlfn._xlws.FILTER(tblBaseCFResult[COI]/1000,
(tblBaseCFResult[Year]=$A94)
*(tblBaseCFResult[IntRateScenario]=$U$84)
*(tblBaseCFResult[Risk]=$U$85)
*(tblBaseCFResult[PremTermScenario]=$U$86),"")</f>
        <v>462.57999999999902</v>
      </c>
      <c r="AF94" s="18"/>
      <c r="AH94" s="169"/>
      <c r="AI94" s="155">
        <v>1</v>
      </c>
      <c r="AJ94" s="155">
        <f t="shared" ref="AJ94" si="3">mainLI_entry_age+AI94-1</f>
        <v>0</v>
      </c>
      <c r="AL94" s="153" t="str">
        <f>$AI94&amp;"/"&amp;$AJ94</f>
        <v>1/0</v>
      </c>
      <c r="AM94" s="182" cm="1">
        <f t="array" ref="AM94">_xlfn._xlws.FILTER(
ROUND(tblBaseCFResult[TPAlloc]* $AM$87 +(tblBaseCFResult[EPAlloc] + tblBaseCFResult[LoadAlloc]) * $AM$88,-3)/1000,
(tblBaseCFResult[Year]=$AI94)
*(tblBaseCFResult[Risk]=$AM$84)
*(tblBaseCFResult[PremTermScenario]=$AM$85)
*(tblBaseCFResult[IntRateScenario]=AM$90),0)</f>
        <v>0</v>
      </c>
      <c r="AN94" s="182" cm="1">
        <f t="array" ref="AN94">_xlfn._xlws.FILTER(tblBaseCFResult[EndTAV],
(tblBaseCFResult[Year]=$AI94)
*(tblBaseCFResult[Risk]=$AM$84)
*(tblBaseCFResult[PremTermScenario]=$AM$85)
*(tblBaseCFResult[IntRateScenario]=AN$90),0)*$AM$87</f>
        <v>0</v>
      </c>
      <c r="AO94" s="182" cm="1">
        <f t="array" ref="AO94">_xlfn._xlws.FILTER(tblBaseCFResult[Bonus],
(tblBaseCFResult[Year]=$AI94)
*(tblBaseCFResult[Risk]=$AM$84)
*(tblBaseCFResult[PremTermScenario]=$AM$85)
*(tblBaseCFResult[IntRateScenario]=AO$90),0)*$AM$87</f>
        <v>0</v>
      </c>
      <c r="AP94" s="182" cm="1">
        <f t="array" ref="AP94">_xlfn._xlws.FILTER(tblBaseCFResult[EndTAV],
(tblBaseCFResult[Year]=$AI94)
*(tblBaseCFResult[Risk]=$AM$84)
*(tblBaseCFResult[PremTermScenario]=$AM$85)
*(tblBaseCFResult[IntRateScenario]=AP$90),0)*$AM$87</f>
        <v>0</v>
      </c>
      <c r="AQ94" s="182" cm="1">
        <f t="array" ref="AQ94">_xlfn._xlws.FILTER(tblBaseCFResult[Bonus],
(tblBaseCFResult[Year]=$AI94)
*(tblBaseCFResult[Risk]=$AM$84)
*(tblBaseCFResult[PremTermScenario]=$AM$85)
*(tblBaseCFResult[IntRateScenario]=AQ$90),0)*$AM$87</f>
        <v>0</v>
      </c>
      <c r="AR94" s="182" cm="1">
        <f t="array" ref="AR94">_xlfn._xlws.FILTER(tblBaseCFResult[EndEAV],
(tblBaseCFResult[Year]=$AI94)
*(tblBaseCFResult[Risk]=$AM$84)
*(tblBaseCFResult[PremTermScenario]=$AM$85)
*(tblBaseCFResult[IntRateScenario]=AR$90),0)*$AM$88</f>
        <v>0</v>
      </c>
      <c r="AS94" s="182">
        <v>0</v>
      </c>
      <c r="AT94" s="182" cm="1">
        <f t="array" ref="AT94">_xlfn._xlws.FILTER(tblBaseCFResult[EndEAV],
(tblBaseCFResult[Year]=$AI94)
*(tblBaseCFResult[Risk]=$AM$84)
*(tblBaseCFResult[PremTermScenario]=$AM$85)
*(tblBaseCFResult[IntRateScenario]=AT$90),0)*$AM$88</f>
        <v>0</v>
      </c>
      <c r="AU94" s="182">
        <v>0</v>
      </c>
    </row>
    <row r="95" spans="1:50" x14ac:dyDescent="0.25">
      <c r="A95" s="155">
        <v>2</v>
      </c>
      <c r="B95" s="155">
        <f t="shared" ref="B95" si="4">mainLI_entry_age+A95-1</f>
        <v>1</v>
      </c>
      <c r="D95" s="153" t="str">
        <f t="shared" ref="D95:D113" si="5">$A95&amp;"/"&amp;$B95</f>
        <v>2/1</v>
      </c>
      <c r="E95" s="180" cm="1">
        <f t="array" ref="E95">_xlfn._xlws.FILTER(tblBaseCFResult[TotalPrem]/1000,
(tblBaseCFResult[Year]=$A95)
*(tblBaseCFResult[IntRateScenario]=$E$84)
*(tblBaseCFResult[Risk]=$E$85)
*(tblBaseCFResult[PremTermScenario]=$E$86),"")</f>
        <v>6272</v>
      </c>
      <c r="F95" s="180" cm="1">
        <f t="array" ref="F95">_xlfn._xlws.FILTER(ROUND(tblBaseCFResult[Alloc],-3)/1000,
(tblBaseCFResult[Year]=$A95)
*(tblBaseCFResult[IntRateScenario]=$E$84)
*(tblBaseCFResult[Risk]=$E$85)
*(tblBaseCFResult[PremTermScenario]=$E$86),"")</f>
        <v>5739</v>
      </c>
      <c r="G95" s="180" cm="1">
        <f t="array" ref="G95">_xlfn._xlws.FILTER(ROUND(tblBaseCFResult[Ben],-3)/1000,
(tblBaseCFResult[Year]=$A95)
*(tblBaseCFResult[IntRateScenario]=$E$84)
*(tblBaseCFResult[Risk]=$E$85)
*(tblBaseCFResult[PremTermScenario]=$E$86),"")</f>
        <v>101000</v>
      </c>
      <c r="H95" s="180" cm="1">
        <f t="array" ref="H95">_xlfn._xlws.FILTER(ROUND(tblBaseCFResult[EndEAV],-3)/1000,
(tblBaseCFResult[Year]=$A95)
*(tblBaseCFResult[IntRateScenario]=$E$84)
*(tblBaseCFResult[Risk]=$E$85)
*(tblBaseCFResult[PremTermScenario]=$E$86),"") * $E$88
+
_xlfn._xlws.FILTER(ROUND(tblBaseCFResult[EndTAV],-3)/1000,
(tblBaseCFResult[Year]=$A95)
*(tblBaseCFResult[IntRateScenario]=$E$84)
*(tblBaseCFResult[Risk]=$E$85)
*(tblBaseCFResult[PremTermScenario]=$E$86),"") * $E$89</f>
        <v>10684</v>
      </c>
      <c r="I95" s="180" cm="1">
        <f t="array" ref="I95">_xlfn._xlws.FILTER(ROUND(tblBaseCFResult[Bonus],-3)/1000,
(tblBaseCFResult[Year]=$A95)
*(tblBaseCFResult[IntRateScenario]=$E$84)
*(tblBaseCFResult[Risk]=$E$85)
*(tblBaseCFResult[PremTermScenario]=$E$86),"") * $E$88</f>
        <v>0</v>
      </c>
      <c r="J95" s="180" cm="1">
        <f t="array" ref="J95">_xlfn._xlws.FILTER(ROUND(tblBaseCFResult[Withdrawal],-3)/1000,
(tblBaseCFResult[Year]=$A95)
*(tblBaseCFResult[IntRateScenario]=$E$84)
*(tblBaseCFResult[Risk]=$E$85)
*(tblBaseCFResult[PremTermScenario]=$E$86),"")</f>
        <v>0</v>
      </c>
      <c r="K95" s="180" cm="1">
        <f t="array" ref="K95">_xlfn._xlws.FILTER(ROUND(tblBaseCFResult[QuarterlyEMLoad],-3)/1000,
(tblBaseCFResult[Year]=$A95)
*(tblBaseCFResult[IntRateScenario]=$E$84)
*(tblBaseCFResult[Risk]=$E$85)
*(tblBaseCFResult[PremTermScenario]=$E$86),"")</f>
        <v>0</v>
      </c>
      <c r="L95" s="180" cm="1">
        <f t="array" ref="L95">_xlfn._xlws.FILTER(ROUND(tblBaseCFResult[SV],-3)/1000,
(tblBaseCFResult[Year]=$A95)
*(tblBaseCFResult[IntRateScenario]=$E$84)
*(tblBaseCFResult[Risk]=$E$85)
*(tblBaseCFResult[PremTermScenario]=$E$86),"")</f>
        <v>5074</v>
      </c>
      <c r="P95" s="169"/>
      <c r="Q95" s="155">
        <v>2</v>
      </c>
      <c r="R95" s="155">
        <f t="shared" ref="R95" si="6">mainLI_entry_age+Q95-1</f>
        <v>1</v>
      </c>
      <c r="T95" s="153" t="str">
        <f t="shared" ref="T95:T113" si="7">$Q95&amp;"/"&amp;$R95</f>
        <v>2/1</v>
      </c>
      <c r="U95" s="180" cm="1">
        <f t="array" ref="U95">_xlfn._xlws.FILTER(tblBaseCFResult[TP]/1000,
(tblBaseCFResult[Year]=$A95)
*(tblBaseCFResult[IntRateScenario]=$U$84)
*(tblBaseCFResult[Risk]=$U$85)
*(tblBaseCFResult[PremTermScenario]=$U$86),"")</f>
        <v>1072</v>
      </c>
      <c r="V95" s="180" cm="1">
        <f t="array" ref="V95">_xlfn._xlws.FILTER((tblBaseCFResult[EP]+tblBaseCFResult[Load])/1000,
(tblBaseCFResult[Year]=$A95)
*(tblBaseCFResult[IntRateScenario]=$U$84)
*(tblBaseCFResult[Risk]=$U$85)
*(tblBaseCFResult[PremTermScenario]=$U$86),"")</f>
        <v>5200</v>
      </c>
      <c r="W95" s="181">
        <f t="shared" ref="W95:W113" si="8">IFERROR(U95+V95,"")</f>
        <v>6272</v>
      </c>
      <c r="X95" s="180" cm="1">
        <f t="array" ref="X95">_xlfn._xlws.FILTER(ROUND(tblBaseCFResult[TPAllocChrg],-3)/1000,
(tblBaseCFResult[Year]=$A95)
*(tblBaseCFResult[IntRateScenario]=$U$84)
*(tblBaseCFResult[Risk]=$U$85)
*(tblBaseCFResult[PremTermScenario]=$U$86),"")</f>
        <v>429</v>
      </c>
      <c r="Y95" s="180" cm="1">
        <f t="array" ref="Y95">_xlfn._xlws.FILTER(ROUND(tblBaseCFResult[EPAllocChrg]+tblBaseCFResult[LoadAllocChrg],-3)/1000,
(tblBaseCFResult[Year]=$A95)
*(tblBaseCFResult[IntRateScenario]=$U$84)
*(tblBaseCFResult[Risk]=$U$85)
*(tblBaseCFResult[PremTermScenario]=$U$86),"")</f>
        <v>104</v>
      </c>
      <c r="Z95" s="181">
        <f t="shared" ref="Z95:Z113" si="9">IFERROR(X95+Y95,"")</f>
        <v>533</v>
      </c>
      <c r="AA95" s="181">
        <f t="shared" ref="AA95:AA113" si="10">IFERROR(U95-X95,"")</f>
        <v>643</v>
      </c>
      <c r="AB95" s="181">
        <f t="shared" si="2"/>
        <v>5096</v>
      </c>
      <c r="AC95" s="181">
        <f t="shared" ref="AC95:AC113" si="11">IFERROR(AA95+AB95,"")</f>
        <v>5739</v>
      </c>
      <c r="AD95" s="180" cm="1">
        <f t="array" ref="AD95">_xlfn._xlws.FILTER(tblBaseCFResult[AdminChrg]/1000,
(tblBaseCFResult[Year]=$A95)
*(tblBaseCFResult[IntRateScenario]=$U$84)
*(tblBaseCFResult[Risk]=$U$85)
*(tblBaseCFResult[PremTermScenario]=$U$86),"")</f>
        <v>300</v>
      </c>
      <c r="AE95" s="180" cm="1">
        <f t="array" ref="AE95">_xlfn._xlws.FILTER(tblBaseCFResult[COI]/1000,
(tblBaseCFResult[Year]=$A95)
*(tblBaseCFResult[IntRateScenario]=$U$84)
*(tblBaseCFResult[Risk]=$U$85)
*(tblBaseCFResult[PremTermScenario]=$U$86),"")</f>
        <v>353.19073841180102</v>
      </c>
      <c r="AF95" s="18"/>
      <c r="AH95" s="169"/>
      <c r="AI95" s="155">
        <v>2</v>
      </c>
      <c r="AJ95" s="155">
        <f t="shared" ref="AJ95" si="12">mainLI_entry_age+AI95-1</f>
        <v>1</v>
      </c>
      <c r="AL95" s="153" t="str">
        <f t="shared" ref="AL95:AL113" si="13">$AI95&amp;"/"&amp;$AJ95</f>
        <v>2/1</v>
      </c>
      <c r="AM95" s="182" cm="1">
        <f t="array" ref="AM95">_xlfn._xlws.FILTER(
ROUND(tblBaseCFResult[TPAlloc]* $AM$87 +(tblBaseCFResult[EPAlloc] + tblBaseCFResult[LoadAlloc]) * $AM$88,-3)/1000,
(tblBaseCFResult[Year]=$AI95)
*(tblBaseCFResult[Risk]=$AM$84)
*(tblBaseCFResult[PremTermScenario]=$AM$85)
*(tblBaseCFResult[IntRateScenario]=AM$90),0)</f>
        <v>0</v>
      </c>
      <c r="AN95" s="182" cm="1">
        <f t="array" ref="AN95">_xlfn._xlws.FILTER(tblBaseCFResult[EndTAV],
(tblBaseCFResult[Year]=$AI95)
*(tblBaseCFResult[Risk]=$AM$84)
*(tblBaseCFResult[PremTermScenario]=$AM$85)
*(tblBaseCFResult[IntRateScenario]=AN$90),0)*$AM$87</f>
        <v>0</v>
      </c>
      <c r="AO95" s="182" cm="1">
        <f t="array" ref="AO95">_xlfn._xlws.FILTER(tblBaseCFResult[Bonus],
(tblBaseCFResult[Year]=$AI95)
*(tblBaseCFResult[Risk]=$AM$84)
*(tblBaseCFResult[PremTermScenario]=$AM$85)
*(tblBaseCFResult[IntRateScenario]=AO$90),0)*$AM$87</f>
        <v>0</v>
      </c>
      <c r="AP95" s="182" cm="1">
        <f t="array" ref="AP95">_xlfn._xlws.FILTER(tblBaseCFResult[EndTAV],
(tblBaseCFResult[Year]=$AI95)
*(tblBaseCFResult[Risk]=$AM$84)
*(tblBaseCFResult[PremTermScenario]=$AM$85)
*(tblBaseCFResult[IntRateScenario]=AP$90),0)*$AM$87</f>
        <v>0</v>
      </c>
      <c r="AQ95" s="182" cm="1">
        <f t="array" ref="AQ95">_xlfn._xlws.FILTER(tblBaseCFResult[Bonus],
(tblBaseCFResult[Year]=$AI95)
*(tblBaseCFResult[Risk]=$AM$84)
*(tblBaseCFResult[PremTermScenario]=$AM$85)
*(tblBaseCFResult[IntRateScenario]=AQ$90),0)*$AM$87</f>
        <v>0</v>
      </c>
      <c r="AR95" s="182" cm="1">
        <f t="array" ref="AR95">_xlfn._xlws.FILTER(tblBaseCFResult[EndEAV],
(tblBaseCFResult[Year]=$AI95)
*(tblBaseCFResult[Risk]=$AM$84)
*(tblBaseCFResult[PremTermScenario]=$AM$85)
*(tblBaseCFResult[IntRateScenario]=AR$90),0)*$AM$88</f>
        <v>0</v>
      </c>
      <c r="AS95" s="182">
        <v>0</v>
      </c>
      <c r="AT95" s="182" cm="1">
        <f t="array" ref="AT95">_xlfn._xlws.FILTER(tblBaseCFResult[EndEAV],
(tblBaseCFResult[Year]=$AI95)
*(tblBaseCFResult[Risk]=$AM$84)
*(tblBaseCFResult[PremTermScenario]=$AM$85)
*(tblBaseCFResult[IntRateScenario]=AT$90),0)*$AM$88</f>
        <v>0</v>
      </c>
      <c r="AU95" s="182">
        <v>0</v>
      </c>
    </row>
    <row r="96" spans="1:50" x14ac:dyDescent="0.25">
      <c r="A96" s="155">
        <v>3</v>
      </c>
      <c r="B96" s="155">
        <f t="shared" ref="B96" si="14">mainLI_entry_age+A96-1</f>
        <v>2</v>
      </c>
      <c r="D96" s="153" t="str">
        <f t="shared" si="5"/>
        <v>3/2</v>
      </c>
      <c r="E96" s="180" cm="1">
        <f t="array" ref="E96">_xlfn._xlws.FILTER(tblBaseCFResult[TotalPrem]/1000,
(tblBaseCFResult[Year]=$A96)
*(tblBaseCFResult[IntRateScenario]=$E$84)
*(tblBaseCFResult[Risk]=$E$85)
*(tblBaseCFResult[PremTermScenario]=$E$86),"")</f>
        <v>6272</v>
      </c>
      <c r="F96" s="180" cm="1">
        <f t="array" ref="F96">_xlfn._xlws.FILTER(ROUND(tblBaseCFResult[Alloc],-3)/1000,
(tblBaseCFResult[Year]=$A96)
*(tblBaseCFResult[IntRateScenario]=$E$84)
*(tblBaseCFResult[Risk]=$E$85)
*(tblBaseCFResult[PremTermScenario]=$E$86),"")</f>
        <v>5900</v>
      </c>
      <c r="G96" s="180" cm="1">
        <f t="array" ref="G96">_xlfn._xlws.FILTER(ROUND(tblBaseCFResult[Ben],-3)/1000,
(tblBaseCFResult[Year]=$A96)
*(tblBaseCFResult[IntRateScenario]=$E$84)
*(tblBaseCFResult[Risk]=$E$85)
*(tblBaseCFResult[PremTermScenario]=$E$86),"")</f>
        <v>101000</v>
      </c>
      <c r="H96" s="180" cm="1">
        <f t="array" ref="H96">_xlfn._xlws.FILTER(ROUND(tblBaseCFResult[EndEAV],-3)/1000,
(tblBaseCFResult[Year]=$A96)
*(tblBaseCFResult[IntRateScenario]=$E$84)
*(tblBaseCFResult[Risk]=$E$85)
*(tblBaseCFResult[PremTermScenario]=$E$86),"") * $E$88
+
_xlfn._xlws.FILTER(ROUND(tblBaseCFResult[EndTAV],-3)/1000,
(tblBaseCFResult[Year]=$A96)
*(tblBaseCFResult[IntRateScenario]=$E$84)
*(tblBaseCFResult[Risk]=$E$85)
*(tblBaseCFResult[PremTermScenario]=$E$86),"") * $E$89</f>
        <v>16750</v>
      </c>
      <c r="I96" s="180" cm="1">
        <f t="array" ref="I96">_xlfn._xlws.FILTER(ROUND(tblBaseCFResult[Bonus],-3)/1000,
(tblBaseCFResult[Year]=$A96)
*(tblBaseCFResult[IntRateScenario]=$E$84)
*(tblBaseCFResult[Risk]=$E$85)
*(tblBaseCFResult[PremTermScenario]=$E$86),"") * $E$88</f>
        <v>0</v>
      </c>
      <c r="J96" s="180" cm="1">
        <f t="array" ref="J96">_xlfn._xlws.FILTER(ROUND(tblBaseCFResult[Withdrawal],-3)/1000,
(tblBaseCFResult[Year]=$A96)
*(tblBaseCFResult[IntRateScenario]=$E$84)
*(tblBaseCFResult[Risk]=$E$85)
*(tblBaseCFResult[PremTermScenario]=$E$86),"")</f>
        <v>0</v>
      </c>
      <c r="K96" s="180" cm="1">
        <f t="array" ref="K96">_xlfn._xlws.FILTER(ROUND(tblBaseCFResult[QuarterlyEMLoad],-3)/1000,
(tblBaseCFResult[Year]=$A96)
*(tblBaseCFResult[IntRateScenario]=$E$84)
*(tblBaseCFResult[Risk]=$E$85)
*(tblBaseCFResult[PremTermScenario]=$E$86),"")</f>
        <v>0</v>
      </c>
      <c r="L96" s="180" cm="1">
        <f t="array" ref="L96">_xlfn._xlws.FILTER(ROUND(tblBaseCFResult[SV],-3)/1000,
(tblBaseCFResult[Year]=$A96)
*(tblBaseCFResult[IntRateScenario]=$E$84)
*(tblBaseCFResult[Risk]=$E$85)
*(tblBaseCFResult[PremTermScenario]=$E$86),"")</f>
        <v>10679</v>
      </c>
      <c r="P96" s="169"/>
      <c r="Q96" s="155">
        <v>3</v>
      </c>
      <c r="R96" s="155">
        <f t="shared" ref="R96" si="15">mainLI_entry_age+Q96-1</f>
        <v>2</v>
      </c>
      <c r="T96" s="153" t="str">
        <f t="shared" si="7"/>
        <v>3/2</v>
      </c>
      <c r="U96" s="180" cm="1">
        <f t="array" ref="U96">_xlfn._xlws.FILTER(tblBaseCFResult[TP]/1000,
(tblBaseCFResult[Year]=$A96)
*(tblBaseCFResult[IntRateScenario]=$U$84)
*(tblBaseCFResult[Risk]=$U$85)
*(tblBaseCFResult[PremTermScenario]=$U$86),"")</f>
        <v>1072</v>
      </c>
      <c r="V96" s="180" cm="1">
        <f t="array" ref="V96">_xlfn._xlws.FILTER((tblBaseCFResult[EP]+tblBaseCFResult[Load])/1000,
(tblBaseCFResult[Year]=$A96)
*(tblBaseCFResult[IntRateScenario]=$U$84)
*(tblBaseCFResult[Risk]=$U$85)
*(tblBaseCFResult[PremTermScenario]=$U$86),"")</f>
        <v>5200</v>
      </c>
      <c r="W96" s="181">
        <f t="shared" si="8"/>
        <v>6272</v>
      </c>
      <c r="X96" s="180" cm="1">
        <f t="array" ref="X96">_xlfn._xlws.FILTER(ROUND(tblBaseCFResult[TPAllocChrg],-3)/1000,
(tblBaseCFResult[Year]=$A96)
*(tblBaseCFResult[IntRateScenario]=$U$84)
*(tblBaseCFResult[Risk]=$U$85)
*(tblBaseCFResult[PremTermScenario]=$U$86),"")</f>
        <v>268</v>
      </c>
      <c r="Y96" s="180" cm="1">
        <f t="array" ref="Y96">_xlfn._xlws.FILTER(ROUND(tblBaseCFResult[EPAllocChrg]+tblBaseCFResult[LoadAllocChrg],-3)/1000,
(tblBaseCFResult[Year]=$A96)
*(tblBaseCFResult[IntRateScenario]=$U$84)
*(tblBaseCFResult[Risk]=$U$85)
*(tblBaseCFResult[PremTermScenario]=$U$86),"")</f>
        <v>104</v>
      </c>
      <c r="Z96" s="181">
        <f t="shared" si="9"/>
        <v>372</v>
      </c>
      <c r="AA96" s="181">
        <f t="shared" si="10"/>
        <v>804</v>
      </c>
      <c r="AB96" s="181">
        <f t="shared" si="2"/>
        <v>5096</v>
      </c>
      <c r="AC96" s="181">
        <f t="shared" si="11"/>
        <v>5900</v>
      </c>
      <c r="AD96" s="180" cm="1">
        <f t="array" ref="AD96">_xlfn._xlws.FILTER(tblBaseCFResult[AdminChrg]/1000,
(tblBaseCFResult[Year]=$A96)
*(tblBaseCFResult[IntRateScenario]=$U$84)
*(tblBaseCFResult[Risk]=$U$85)
*(tblBaseCFResult[PremTermScenario]=$U$86),"")</f>
        <v>300</v>
      </c>
      <c r="AE96" s="180" cm="1">
        <f t="array" ref="AE96">_xlfn._xlws.FILTER(tblBaseCFResult[COI]/1000,
(tblBaseCFResult[Year]=$A96)
*(tblBaseCFResult[IntRateScenario]=$U$84)
*(tblBaseCFResult[Risk]=$U$85)
*(tblBaseCFResult[PremTermScenario]=$U$86),"")</f>
        <v>344.69730138633201</v>
      </c>
      <c r="AF96" s="18"/>
      <c r="AH96" s="169"/>
      <c r="AI96" s="155">
        <v>3</v>
      </c>
      <c r="AJ96" s="155">
        <f t="shared" ref="AJ96" si="16">mainLI_entry_age+AI96-1</f>
        <v>2</v>
      </c>
      <c r="AL96" s="153" t="str">
        <f t="shared" si="13"/>
        <v>3/2</v>
      </c>
      <c r="AM96" s="182" cm="1">
        <f t="array" ref="AM96">_xlfn._xlws.FILTER(
ROUND(tblBaseCFResult[TPAlloc]* $AM$87 +(tblBaseCFResult[EPAlloc] + tblBaseCFResult[LoadAlloc]) * $AM$88,-3)/1000,
(tblBaseCFResult[Year]=$AI96)
*(tblBaseCFResult[Risk]=$AM$84)
*(tblBaseCFResult[PremTermScenario]=$AM$85)
*(tblBaseCFResult[IntRateScenario]=AM$90),0)</f>
        <v>0</v>
      </c>
      <c r="AN96" s="182" cm="1">
        <f t="array" ref="AN96">_xlfn._xlws.FILTER(tblBaseCFResult[EndTAV],
(tblBaseCFResult[Year]=$AI96)
*(tblBaseCFResult[Risk]=$AM$84)
*(tblBaseCFResult[PremTermScenario]=$AM$85)
*(tblBaseCFResult[IntRateScenario]=AN$90),0)*$AM$87</f>
        <v>0</v>
      </c>
      <c r="AO96" s="182" cm="1">
        <f t="array" ref="AO96">_xlfn._xlws.FILTER(tblBaseCFResult[Bonus],
(tblBaseCFResult[Year]=$AI96)
*(tblBaseCFResult[Risk]=$AM$84)
*(tblBaseCFResult[PremTermScenario]=$AM$85)
*(tblBaseCFResult[IntRateScenario]=AO$90),0)*$AM$87</f>
        <v>0</v>
      </c>
      <c r="AP96" s="182" cm="1">
        <f t="array" ref="AP96">_xlfn._xlws.FILTER(tblBaseCFResult[EndTAV],
(tblBaseCFResult[Year]=$AI96)
*(tblBaseCFResult[Risk]=$AM$84)
*(tblBaseCFResult[PremTermScenario]=$AM$85)
*(tblBaseCFResult[IntRateScenario]=AP$90),0)*$AM$87</f>
        <v>0</v>
      </c>
      <c r="AQ96" s="182" cm="1">
        <f t="array" ref="AQ96">_xlfn._xlws.FILTER(tblBaseCFResult[Bonus],
(tblBaseCFResult[Year]=$AI96)
*(tblBaseCFResult[Risk]=$AM$84)
*(tblBaseCFResult[PremTermScenario]=$AM$85)
*(tblBaseCFResult[IntRateScenario]=AQ$90),0)*$AM$87</f>
        <v>0</v>
      </c>
      <c r="AR96" s="182" cm="1">
        <f t="array" ref="AR96">_xlfn._xlws.FILTER(tblBaseCFResult[EndEAV],
(tblBaseCFResult[Year]=$AI96)
*(tblBaseCFResult[Risk]=$AM$84)
*(tblBaseCFResult[PremTermScenario]=$AM$85)
*(tblBaseCFResult[IntRateScenario]=AR$90),0)*$AM$88</f>
        <v>0</v>
      </c>
      <c r="AS96" s="182">
        <v>0</v>
      </c>
      <c r="AT96" s="182" cm="1">
        <f t="array" ref="AT96">_xlfn._xlws.FILTER(tblBaseCFResult[EndEAV],
(tblBaseCFResult[Year]=$AI96)
*(tblBaseCFResult[Risk]=$AM$84)
*(tblBaseCFResult[PremTermScenario]=$AM$85)
*(tblBaseCFResult[IntRateScenario]=AT$90),0)*$AM$88</f>
        <v>0</v>
      </c>
      <c r="AU96" s="182">
        <v>0</v>
      </c>
    </row>
    <row r="97" spans="1:47" x14ac:dyDescent="0.25">
      <c r="A97" s="155">
        <v>4</v>
      </c>
      <c r="B97" s="155">
        <f t="shared" ref="B97" si="17">mainLI_entry_age+A97-1</f>
        <v>3</v>
      </c>
      <c r="D97" s="153" t="str">
        <f t="shared" si="5"/>
        <v>4/3</v>
      </c>
      <c r="E97" s="180" cm="1">
        <f t="array" ref="E97">_xlfn._xlws.FILTER(tblBaseCFResult[TotalPrem]/1000,
(tblBaseCFResult[Year]=$A97)
*(tblBaseCFResult[IntRateScenario]=$E$84)
*(tblBaseCFResult[Risk]=$E$85)
*(tblBaseCFResult[PremTermScenario]=$E$86),"")</f>
        <v>6272</v>
      </c>
      <c r="F97" s="180" cm="1">
        <f t="array" ref="F97">_xlfn._xlws.FILTER(ROUND(tblBaseCFResult[Alloc],-3)/1000,
(tblBaseCFResult[Year]=$A97)
*(tblBaseCFResult[IntRateScenario]=$E$84)
*(tblBaseCFResult[Risk]=$E$85)
*(tblBaseCFResult[PremTermScenario]=$E$86),"")</f>
        <v>5954</v>
      </c>
      <c r="G97" s="180" cm="1">
        <f t="array" ref="G97">_xlfn._xlws.FILTER(ROUND(tblBaseCFResult[Ben],-3)/1000,
(tblBaseCFResult[Year]=$A97)
*(tblBaseCFResult[IntRateScenario]=$E$84)
*(tblBaseCFResult[Risk]=$E$85)
*(tblBaseCFResult[PremTermScenario]=$E$86),"")</f>
        <v>101000</v>
      </c>
      <c r="H97" s="180" cm="1">
        <f t="array" ref="H97">_xlfn._xlws.FILTER(ROUND(tblBaseCFResult[EndEAV],-3)/1000,
(tblBaseCFResult[Year]=$A97)
*(tblBaseCFResult[IntRateScenario]=$E$84)
*(tblBaseCFResult[Risk]=$E$85)
*(tblBaseCFResult[PremTermScenario]=$E$86),"") * $E$88
+
_xlfn._xlws.FILTER(ROUND(tblBaseCFResult[EndTAV],-3)/1000,
(tblBaseCFResult[Year]=$A97)
*(tblBaseCFResult[IntRateScenario]=$E$84)
*(tblBaseCFResult[Risk]=$E$85)
*(tblBaseCFResult[PremTermScenario]=$E$86),"") * $E$89</f>
        <v>23247</v>
      </c>
      <c r="I97" s="180" cm="1">
        <f t="array" ref="I97">_xlfn._xlws.FILTER(ROUND(tblBaseCFResult[Bonus],-3)/1000,
(tblBaseCFResult[Year]=$A97)
*(tblBaseCFResult[IntRateScenario]=$E$84)
*(tblBaseCFResult[Risk]=$E$85)
*(tblBaseCFResult[PremTermScenario]=$E$86),"") * $E$88</f>
        <v>64</v>
      </c>
      <c r="J97" s="180" cm="1">
        <f t="array" ref="J97">_xlfn._xlws.FILTER(ROUND(tblBaseCFResult[Withdrawal],-3)/1000,
(tblBaseCFResult[Year]=$A97)
*(tblBaseCFResult[IntRateScenario]=$E$84)
*(tblBaseCFResult[Risk]=$E$85)
*(tblBaseCFResult[PremTermScenario]=$E$86),"")</f>
        <v>0</v>
      </c>
      <c r="K97" s="180" cm="1">
        <f t="array" ref="K97">_xlfn._xlws.FILTER(ROUND(tblBaseCFResult[QuarterlyEMLoad],-3)/1000,
(tblBaseCFResult[Year]=$A97)
*(tblBaseCFResult[IntRateScenario]=$E$84)
*(tblBaseCFResult[Risk]=$E$85)
*(tblBaseCFResult[PremTermScenario]=$E$86),"")</f>
        <v>0</v>
      </c>
      <c r="L97" s="180" cm="1">
        <f t="array" ref="L97">_xlfn._xlws.FILTER(ROUND(tblBaseCFResult[SV],-3)/1000,
(tblBaseCFResult[Year]=$A97)
*(tblBaseCFResult[IntRateScenario]=$E$84)
*(tblBaseCFResult[Risk]=$E$85)
*(tblBaseCFResult[PremTermScenario]=$E$86),"")</f>
        <v>16563</v>
      </c>
      <c r="P97" s="169"/>
      <c r="Q97" s="155">
        <v>4</v>
      </c>
      <c r="R97" s="155">
        <f t="shared" ref="R97" si="18">mainLI_entry_age+Q97-1</f>
        <v>3</v>
      </c>
      <c r="T97" s="153" t="str">
        <f t="shared" si="7"/>
        <v>4/3</v>
      </c>
      <c r="U97" s="180" cm="1">
        <f t="array" ref="U97">_xlfn._xlws.FILTER(tblBaseCFResult[TP]/1000,
(tblBaseCFResult[Year]=$A97)
*(tblBaseCFResult[IntRateScenario]=$U$84)
*(tblBaseCFResult[Risk]=$U$85)
*(tblBaseCFResult[PremTermScenario]=$U$86),"")</f>
        <v>1072</v>
      </c>
      <c r="V97" s="180" cm="1">
        <f t="array" ref="V97">_xlfn._xlws.FILTER((tblBaseCFResult[EP]+tblBaseCFResult[Load])/1000,
(tblBaseCFResult[Year]=$A97)
*(tblBaseCFResult[IntRateScenario]=$U$84)
*(tblBaseCFResult[Risk]=$U$85)
*(tblBaseCFResult[PremTermScenario]=$U$86),"")</f>
        <v>5200</v>
      </c>
      <c r="W97" s="181">
        <f t="shared" si="8"/>
        <v>6272</v>
      </c>
      <c r="X97" s="180" cm="1">
        <f t="array" ref="X97">_xlfn._xlws.FILTER(ROUND(tblBaseCFResult[TPAllocChrg],-3)/1000,
(tblBaseCFResult[Year]=$A97)
*(tblBaseCFResult[IntRateScenario]=$U$84)
*(tblBaseCFResult[Risk]=$U$85)
*(tblBaseCFResult[PremTermScenario]=$U$86),"")</f>
        <v>214</v>
      </c>
      <c r="Y97" s="180" cm="1">
        <f t="array" ref="Y97">_xlfn._xlws.FILTER(ROUND(tblBaseCFResult[EPAllocChrg]+tblBaseCFResult[LoadAllocChrg],-3)/1000,
(tblBaseCFResult[Year]=$A97)
*(tblBaseCFResult[IntRateScenario]=$U$84)
*(tblBaseCFResult[Risk]=$U$85)
*(tblBaseCFResult[PremTermScenario]=$U$86),"")</f>
        <v>104</v>
      </c>
      <c r="Z97" s="181">
        <f t="shared" si="9"/>
        <v>318</v>
      </c>
      <c r="AA97" s="181">
        <f t="shared" si="10"/>
        <v>858</v>
      </c>
      <c r="AB97" s="181">
        <f t="shared" si="2"/>
        <v>5096</v>
      </c>
      <c r="AC97" s="181">
        <f t="shared" si="11"/>
        <v>5954</v>
      </c>
      <c r="AD97" s="180" cm="1">
        <f t="array" ref="AD97">_xlfn._xlws.FILTER(tblBaseCFResult[AdminChrg]/1000,
(tblBaseCFResult[Year]=$A97)
*(tblBaseCFResult[IntRateScenario]=$U$84)
*(tblBaseCFResult[Risk]=$U$85)
*(tblBaseCFResult[PremTermScenario]=$U$86),"")</f>
        <v>300</v>
      </c>
      <c r="AE97" s="180" cm="1">
        <f t="array" ref="AE97">_xlfn._xlws.FILTER(tblBaseCFResult[COI]/1000,
(tblBaseCFResult[Year]=$A97)
*(tblBaseCFResult[IntRateScenario]=$U$84)
*(tblBaseCFResult[Risk]=$U$85)
*(tblBaseCFResult[PremTermScenario]=$U$86),"")</f>
        <v>337.89417841441497</v>
      </c>
      <c r="AF97" s="18"/>
      <c r="AH97" s="169"/>
      <c r="AI97" s="155">
        <v>4</v>
      </c>
      <c r="AJ97" s="155">
        <f t="shared" ref="AJ97" si="19">mainLI_entry_age+AI97-1</f>
        <v>3</v>
      </c>
      <c r="AL97" s="153" t="str">
        <f t="shared" si="13"/>
        <v>4/3</v>
      </c>
      <c r="AM97" s="182" cm="1">
        <f t="array" ref="AM97">_xlfn._xlws.FILTER(
ROUND(tblBaseCFResult[TPAlloc]* $AM$87 +(tblBaseCFResult[EPAlloc] + tblBaseCFResult[LoadAlloc]) * $AM$88,-3)/1000,
(tblBaseCFResult[Year]=$AI97)
*(tblBaseCFResult[Risk]=$AM$84)
*(tblBaseCFResult[PremTermScenario]=$AM$85)
*(tblBaseCFResult[IntRateScenario]=AM$90),0)</f>
        <v>0</v>
      </c>
      <c r="AN97" s="182" cm="1">
        <f t="array" ref="AN97">_xlfn._xlws.FILTER(tblBaseCFResult[EndTAV],
(tblBaseCFResult[Year]=$AI97)
*(tblBaseCFResult[Risk]=$AM$84)
*(tblBaseCFResult[PremTermScenario]=$AM$85)
*(tblBaseCFResult[IntRateScenario]=AN$90),0)*$AM$87</f>
        <v>0</v>
      </c>
      <c r="AO97" s="182" cm="1">
        <f t="array" ref="AO97">_xlfn._xlws.FILTER(tblBaseCFResult[Bonus],
(tblBaseCFResult[Year]=$AI97)
*(tblBaseCFResult[Risk]=$AM$84)
*(tblBaseCFResult[PremTermScenario]=$AM$85)
*(tblBaseCFResult[IntRateScenario]=AO$90),0)*$AM$87</f>
        <v>0</v>
      </c>
      <c r="AP97" s="182" cm="1">
        <f t="array" ref="AP97">_xlfn._xlws.FILTER(tblBaseCFResult[EndTAV],
(tblBaseCFResult[Year]=$AI97)
*(tblBaseCFResult[Risk]=$AM$84)
*(tblBaseCFResult[PremTermScenario]=$AM$85)
*(tblBaseCFResult[IntRateScenario]=AP$90),0)*$AM$87</f>
        <v>0</v>
      </c>
      <c r="AQ97" s="182" cm="1">
        <f t="array" ref="AQ97">_xlfn._xlws.FILTER(tblBaseCFResult[Bonus],
(tblBaseCFResult[Year]=$AI97)
*(tblBaseCFResult[Risk]=$AM$84)
*(tblBaseCFResult[PremTermScenario]=$AM$85)
*(tblBaseCFResult[IntRateScenario]=AQ$90),0)*$AM$87</f>
        <v>0</v>
      </c>
      <c r="AR97" s="182" cm="1">
        <f t="array" ref="AR97">_xlfn._xlws.FILTER(tblBaseCFResult[EndEAV],
(tblBaseCFResult[Year]=$AI97)
*(tblBaseCFResult[Risk]=$AM$84)
*(tblBaseCFResult[PremTermScenario]=$AM$85)
*(tblBaseCFResult[IntRateScenario]=AR$90),0)*$AM$88</f>
        <v>0</v>
      </c>
      <c r="AS97" s="182">
        <v>0</v>
      </c>
      <c r="AT97" s="182" cm="1">
        <f t="array" ref="AT97">_xlfn._xlws.FILTER(tblBaseCFResult[EndEAV],
(tblBaseCFResult[Year]=$AI97)
*(tblBaseCFResult[Risk]=$AM$84)
*(tblBaseCFResult[PremTermScenario]=$AM$85)
*(tblBaseCFResult[IntRateScenario]=AT$90),0)*$AM$88</f>
        <v>0</v>
      </c>
      <c r="AU97" s="182">
        <v>0</v>
      </c>
    </row>
    <row r="98" spans="1:47" x14ac:dyDescent="0.25">
      <c r="A98" s="155">
        <v>5</v>
      </c>
      <c r="B98" s="155">
        <f t="shared" ref="B98" si="20">mainLI_entry_age+A98-1</f>
        <v>4</v>
      </c>
      <c r="D98" s="153" t="str">
        <f t="shared" si="5"/>
        <v>5/4</v>
      </c>
      <c r="E98" s="180" cm="1">
        <f t="array" ref="E98">_xlfn._xlws.FILTER(tblBaseCFResult[TotalPrem]/1000,
(tblBaseCFResult[Year]=$A98)
*(tblBaseCFResult[IntRateScenario]=$E$84)
*(tblBaseCFResult[Risk]=$E$85)
*(tblBaseCFResult[PremTermScenario]=$E$86),"")</f>
        <v>6272</v>
      </c>
      <c r="F98" s="180" cm="1">
        <f t="array" ref="F98">_xlfn._xlws.FILTER(ROUND(tblBaseCFResult[Alloc],-3)/1000,
(tblBaseCFResult[Year]=$A98)
*(tblBaseCFResult[IntRateScenario]=$E$84)
*(tblBaseCFResult[Risk]=$E$85)
*(tblBaseCFResult[PremTermScenario]=$E$86),"")</f>
        <v>6061</v>
      </c>
      <c r="G98" s="180" cm="1">
        <f t="array" ref="G98">_xlfn._xlws.FILTER(ROUND(tblBaseCFResult[Ben],-3)/1000,
(tblBaseCFResult[Year]=$A98)
*(tblBaseCFResult[IntRateScenario]=$E$84)
*(tblBaseCFResult[Risk]=$E$85)
*(tblBaseCFResult[PremTermScenario]=$E$86),"")</f>
        <v>101000</v>
      </c>
      <c r="H98" s="180" cm="1">
        <f t="array" ref="H98">_xlfn._xlws.FILTER(ROUND(tblBaseCFResult[EndEAV],-3)/1000,
(tblBaseCFResult[Year]=$A98)
*(tblBaseCFResult[IntRateScenario]=$E$84)
*(tblBaseCFResult[Risk]=$E$85)
*(tblBaseCFResult[PremTermScenario]=$E$86),"") * $E$88
+
_xlfn._xlws.FILTER(ROUND(tblBaseCFResult[EndTAV],-3)/1000,
(tblBaseCFResult[Year]=$A98)
*(tblBaseCFResult[IntRateScenario]=$E$84)
*(tblBaseCFResult[Risk]=$E$85)
*(tblBaseCFResult[PremTermScenario]=$E$86),"") * $E$89</f>
        <v>29074</v>
      </c>
      <c r="I98" s="180" cm="1">
        <f t="array" ref="I98">_xlfn._xlws.FILTER(ROUND(tblBaseCFResult[Bonus],-3)/1000,
(tblBaseCFResult[Year]=$A98)
*(tblBaseCFResult[IntRateScenario]=$E$84)
*(tblBaseCFResult[Risk]=$E$85)
*(tblBaseCFResult[PremTermScenario]=$E$86),"") * $E$88</f>
        <v>0</v>
      </c>
      <c r="J98" s="180" cm="1">
        <f t="array" ref="J98">_xlfn._xlws.FILTER(ROUND(tblBaseCFResult[Withdrawal],-3)/1000,
(tblBaseCFResult[Year]=$A98)
*(tblBaseCFResult[IntRateScenario]=$E$84)
*(tblBaseCFResult[Risk]=$E$85)
*(tblBaseCFResult[PremTermScenario]=$E$86),"")</f>
        <v>1000</v>
      </c>
      <c r="K98" s="180" cm="1">
        <f t="array" ref="K98">_xlfn._xlws.FILTER(ROUND(tblBaseCFResult[QuarterlyEMLoad],-3)/1000,
(tblBaseCFResult[Year]=$A98)
*(tblBaseCFResult[IntRateScenario]=$E$84)
*(tblBaseCFResult[Risk]=$E$85)
*(tblBaseCFResult[PremTermScenario]=$E$86),"")</f>
        <v>0</v>
      </c>
      <c r="L98" s="180" cm="1">
        <f t="array" ref="L98">_xlfn._xlws.FILTER(ROUND(tblBaseCFResult[SV],-3)/1000,
(tblBaseCFResult[Year]=$A98)
*(tblBaseCFResult[IntRateScenario]=$E$84)
*(tblBaseCFResult[Risk]=$E$85)
*(tblBaseCFResult[PremTermScenario]=$E$86),"")</f>
        <v>22742</v>
      </c>
      <c r="P98" s="169"/>
      <c r="Q98" s="155">
        <v>5</v>
      </c>
      <c r="R98" s="155">
        <f t="shared" ref="R98" si="21">mainLI_entry_age+Q98-1</f>
        <v>4</v>
      </c>
      <c r="T98" s="153" t="str">
        <f t="shared" si="7"/>
        <v>5/4</v>
      </c>
      <c r="U98" s="180" cm="1">
        <f t="array" ref="U98">_xlfn._xlws.FILTER(tblBaseCFResult[TP]/1000,
(tblBaseCFResult[Year]=$A98)
*(tblBaseCFResult[IntRateScenario]=$U$84)
*(tblBaseCFResult[Risk]=$U$85)
*(tblBaseCFResult[PremTermScenario]=$U$86),"")</f>
        <v>1072</v>
      </c>
      <c r="V98" s="180" cm="1">
        <f t="array" ref="V98">_xlfn._xlws.FILTER((tblBaseCFResult[EP]+tblBaseCFResult[Load])/1000,
(tblBaseCFResult[Year]=$A98)
*(tblBaseCFResult[IntRateScenario]=$U$84)
*(tblBaseCFResult[Risk]=$U$85)
*(tblBaseCFResult[PremTermScenario]=$U$86),"")</f>
        <v>5200</v>
      </c>
      <c r="W98" s="181">
        <f t="shared" si="8"/>
        <v>6272</v>
      </c>
      <c r="X98" s="180" cm="1">
        <f t="array" ref="X98">_xlfn._xlws.FILTER(ROUND(tblBaseCFResult[TPAllocChrg],-3)/1000,
(tblBaseCFResult[Year]=$A98)
*(tblBaseCFResult[IntRateScenario]=$U$84)
*(tblBaseCFResult[Risk]=$U$85)
*(tblBaseCFResult[PremTermScenario]=$U$86),"")</f>
        <v>107</v>
      </c>
      <c r="Y98" s="180" cm="1">
        <f t="array" ref="Y98">_xlfn._xlws.FILTER(ROUND(tblBaseCFResult[EPAllocChrg]+tblBaseCFResult[LoadAllocChrg],-3)/1000,
(tblBaseCFResult[Year]=$A98)
*(tblBaseCFResult[IntRateScenario]=$U$84)
*(tblBaseCFResult[Risk]=$U$85)
*(tblBaseCFResult[PremTermScenario]=$U$86),"")</f>
        <v>104</v>
      </c>
      <c r="Z98" s="181">
        <f t="shared" si="9"/>
        <v>211</v>
      </c>
      <c r="AA98" s="181">
        <f t="shared" si="10"/>
        <v>965</v>
      </c>
      <c r="AB98" s="181">
        <f t="shared" si="2"/>
        <v>5096</v>
      </c>
      <c r="AC98" s="181">
        <f t="shared" si="11"/>
        <v>6061</v>
      </c>
      <c r="AD98" s="180" cm="1">
        <f t="array" ref="AD98">_xlfn._xlws.FILTER(tblBaseCFResult[AdminChrg]/1000,
(tblBaseCFResult[Year]=$A98)
*(tblBaseCFResult[IntRateScenario]=$U$84)
*(tblBaseCFResult[Risk]=$U$85)
*(tblBaseCFResult[PremTermScenario]=$U$86),"")</f>
        <v>300</v>
      </c>
      <c r="AE98" s="180" cm="1">
        <f t="array" ref="AE98">_xlfn._xlws.FILTER(tblBaseCFResult[COI]/1000,
(tblBaseCFResult[Year]=$A98)
*(tblBaseCFResult[IntRateScenario]=$U$84)
*(tblBaseCFResult[Risk]=$U$85)
*(tblBaseCFResult[PremTermScenario]=$U$86),"")</f>
        <v>331.67445294163497</v>
      </c>
      <c r="AF98" s="18"/>
      <c r="AH98" s="169"/>
      <c r="AI98" s="155">
        <v>5</v>
      </c>
      <c r="AJ98" s="155">
        <f t="shared" ref="AJ98" si="22">mainLI_entry_age+AI98-1</f>
        <v>4</v>
      </c>
      <c r="AL98" s="153" t="str">
        <f t="shared" si="13"/>
        <v>5/4</v>
      </c>
      <c r="AM98" s="182" cm="1">
        <f t="array" ref="AM98">_xlfn._xlws.FILTER(
ROUND(tblBaseCFResult[TPAlloc]* $AM$87 +(tblBaseCFResult[EPAlloc] + tblBaseCFResult[LoadAlloc]) * $AM$88,-3)/1000,
(tblBaseCFResult[Year]=$AI98)
*(tblBaseCFResult[Risk]=$AM$84)
*(tblBaseCFResult[PremTermScenario]=$AM$85)
*(tblBaseCFResult[IntRateScenario]=AM$90),0)</f>
        <v>0</v>
      </c>
      <c r="AN98" s="182" cm="1">
        <f t="array" ref="AN98">_xlfn._xlws.FILTER(tblBaseCFResult[EndTAV],
(tblBaseCFResult[Year]=$AI98)
*(tblBaseCFResult[Risk]=$AM$84)
*(tblBaseCFResult[PremTermScenario]=$AM$85)
*(tblBaseCFResult[IntRateScenario]=AN$90),0)*$AM$87</f>
        <v>0</v>
      </c>
      <c r="AO98" s="182" cm="1">
        <f t="array" ref="AO98">_xlfn._xlws.FILTER(tblBaseCFResult[Bonus],
(tblBaseCFResult[Year]=$AI98)
*(tblBaseCFResult[Risk]=$AM$84)
*(tblBaseCFResult[PremTermScenario]=$AM$85)
*(tblBaseCFResult[IntRateScenario]=AO$90),0)*$AM$87</f>
        <v>0</v>
      </c>
      <c r="AP98" s="182" cm="1">
        <f t="array" ref="AP98">_xlfn._xlws.FILTER(tblBaseCFResult[EndTAV],
(tblBaseCFResult[Year]=$AI98)
*(tblBaseCFResult[Risk]=$AM$84)
*(tblBaseCFResult[PremTermScenario]=$AM$85)
*(tblBaseCFResult[IntRateScenario]=AP$90),0)*$AM$87</f>
        <v>0</v>
      </c>
      <c r="AQ98" s="182" cm="1">
        <f t="array" ref="AQ98">_xlfn._xlws.FILTER(tblBaseCFResult[Bonus],
(tblBaseCFResult[Year]=$AI98)
*(tblBaseCFResult[Risk]=$AM$84)
*(tblBaseCFResult[PremTermScenario]=$AM$85)
*(tblBaseCFResult[IntRateScenario]=AQ$90),0)*$AM$87</f>
        <v>0</v>
      </c>
      <c r="AR98" s="182" cm="1">
        <f t="array" ref="AR98">_xlfn._xlws.FILTER(tblBaseCFResult[EndEAV],
(tblBaseCFResult[Year]=$AI98)
*(tblBaseCFResult[Risk]=$AM$84)
*(tblBaseCFResult[PremTermScenario]=$AM$85)
*(tblBaseCFResult[IntRateScenario]=AR$90),0)*$AM$88</f>
        <v>0</v>
      </c>
      <c r="AS98" s="182">
        <v>0</v>
      </c>
      <c r="AT98" s="182" cm="1">
        <f t="array" ref="AT98">_xlfn._xlws.FILTER(tblBaseCFResult[EndEAV],
(tblBaseCFResult[Year]=$AI98)
*(tblBaseCFResult[Risk]=$AM$84)
*(tblBaseCFResult[PremTermScenario]=$AM$85)
*(tblBaseCFResult[IntRateScenario]=AT$90),0)*$AM$88</f>
        <v>0</v>
      </c>
      <c r="AU98" s="182">
        <v>0</v>
      </c>
    </row>
    <row r="99" spans="1:47" x14ac:dyDescent="0.25">
      <c r="A99" s="155">
        <v>6</v>
      </c>
      <c r="B99" s="155">
        <f t="shared" ref="B99" si="23">mainLI_entry_age+A99-1</f>
        <v>5</v>
      </c>
      <c r="D99" s="153" t="str">
        <f t="shared" si="5"/>
        <v>6/5</v>
      </c>
      <c r="E99" s="180" cm="1">
        <f t="array" ref="E99">_xlfn._xlws.FILTER(tblBaseCFResult[TotalPrem]/1000,
(tblBaseCFResult[Year]=$A99)
*(tblBaseCFResult[IntRateScenario]=$E$84)
*(tblBaseCFResult[Risk]=$E$85)
*(tblBaseCFResult[PremTermScenario]=$E$86),"")</f>
        <v>6272</v>
      </c>
      <c r="F99" s="180" cm="1">
        <f t="array" ref="F99">_xlfn._xlws.FILTER(ROUND(tblBaseCFResult[Alloc],-3)/1000,
(tblBaseCFResult[Year]=$A99)
*(tblBaseCFResult[IntRateScenario]=$E$84)
*(tblBaseCFResult[Risk]=$E$85)
*(tblBaseCFResult[PremTermScenario]=$E$86),"")</f>
        <v>6093</v>
      </c>
      <c r="G99" s="180" cm="1">
        <f t="array" ref="G99">_xlfn._xlws.FILTER(ROUND(tblBaseCFResult[Ben],-3)/1000,
(tblBaseCFResult[Year]=$A99)
*(tblBaseCFResult[IntRateScenario]=$E$84)
*(tblBaseCFResult[Risk]=$E$85)
*(tblBaseCFResult[PremTermScenario]=$E$86),"")</f>
        <v>101000</v>
      </c>
      <c r="H99" s="180" cm="1">
        <f t="array" ref="H99">_xlfn._xlws.FILTER(ROUND(tblBaseCFResult[EndEAV],-3)/1000,
(tblBaseCFResult[Year]=$A99)
*(tblBaseCFResult[IntRateScenario]=$E$84)
*(tblBaseCFResult[Risk]=$E$85)
*(tblBaseCFResult[PremTermScenario]=$E$86),"") * $E$88
+
_xlfn._xlws.FILTER(ROUND(tblBaseCFResult[EndTAV],-3)/1000,
(tblBaseCFResult[Year]=$A99)
*(tblBaseCFResult[IntRateScenario]=$E$84)
*(tblBaseCFResult[Risk]=$E$85)
*(tblBaseCFResult[PremTermScenario]=$E$86),"") * $E$89</f>
        <v>35232</v>
      </c>
      <c r="I99" s="180" cm="1">
        <f t="array" ref="I99">_xlfn._xlws.FILTER(ROUND(tblBaseCFResult[Bonus],-3)/1000,
(tblBaseCFResult[Year]=$A99)
*(tblBaseCFResult[IntRateScenario]=$E$84)
*(tblBaseCFResult[Risk]=$E$85)
*(tblBaseCFResult[PremTermScenario]=$E$86),"") * $E$88</f>
        <v>0</v>
      </c>
      <c r="J99" s="180" cm="1">
        <f t="array" ref="J99">_xlfn._xlws.FILTER(ROUND(tblBaseCFResult[Withdrawal],-3)/1000,
(tblBaseCFResult[Year]=$A99)
*(tblBaseCFResult[IntRateScenario]=$E$84)
*(tblBaseCFResult[Risk]=$E$85)
*(tblBaseCFResult[PremTermScenario]=$E$86),"")</f>
        <v>1000</v>
      </c>
      <c r="K99" s="180" cm="1">
        <f t="array" ref="K99">_xlfn._xlws.FILTER(ROUND(tblBaseCFResult[QuarterlyEMLoad],-3)/1000,
(tblBaseCFResult[Year]=$A99)
*(tblBaseCFResult[IntRateScenario]=$E$84)
*(tblBaseCFResult[Risk]=$E$85)
*(tblBaseCFResult[PremTermScenario]=$E$86),"")</f>
        <v>0</v>
      </c>
      <c r="L99" s="180" cm="1">
        <f t="array" ref="L99">_xlfn._xlws.FILTER(ROUND(tblBaseCFResult[SV],-3)/1000,
(tblBaseCFResult[Year]=$A99)
*(tblBaseCFResult[IntRateScenario]=$E$84)
*(tblBaseCFResult[Risk]=$E$85)
*(tblBaseCFResult[PremTermScenario]=$E$86),"")</f>
        <v>28431</v>
      </c>
      <c r="P99" s="169"/>
      <c r="Q99" s="155">
        <v>6</v>
      </c>
      <c r="R99" s="155">
        <f t="shared" ref="R99" si="24">mainLI_entry_age+Q99-1</f>
        <v>5</v>
      </c>
      <c r="T99" s="153" t="str">
        <f t="shared" si="7"/>
        <v>6/5</v>
      </c>
      <c r="U99" s="180" cm="1">
        <f t="array" ref="U99">_xlfn._xlws.FILTER(tblBaseCFResult[TP]/1000,
(tblBaseCFResult[Year]=$A99)
*(tblBaseCFResult[IntRateScenario]=$U$84)
*(tblBaseCFResult[Risk]=$U$85)
*(tblBaseCFResult[PremTermScenario]=$U$86),"")</f>
        <v>1072</v>
      </c>
      <c r="V99" s="180" cm="1">
        <f t="array" ref="V99">_xlfn._xlws.FILTER((tblBaseCFResult[EP]+tblBaseCFResult[Load])/1000,
(tblBaseCFResult[Year]=$A99)
*(tblBaseCFResult[IntRateScenario]=$U$84)
*(tblBaseCFResult[Risk]=$U$85)
*(tblBaseCFResult[PremTermScenario]=$U$86),"")</f>
        <v>5200</v>
      </c>
      <c r="W99" s="181">
        <f t="shared" si="8"/>
        <v>6272</v>
      </c>
      <c r="X99" s="180" cm="1">
        <f t="array" ref="X99">_xlfn._xlws.FILTER(ROUND(tblBaseCFResult[TPAllocChrg],-3)/1000,
(tblBaseCFResult[Year]=$A99)
*(tblBaseCFResult[IntRateScenario]=$U$84)
*(tblBaseCFResult[Risk]=$U$85)
*(tblBaseCFResult[PremTermScenario]=$U$86),"")</f>
        <v>75</v>
      </c>
      <c r="Y99" s="180" cm="1">
        <f t="array" ref="Y99">_xlfn._xlws.FILTER(ROUND(tblBaseCFResult[EPAllocChrg]+tblBaseCFResult[LoadAllocChrg],-3)/1000,
(tblBaseCFResult[Year]=$A99)
*(tblBaseCFResult[IntRateScenario]=$U$84)
*(tblBaseCFResult[Risk]=$U$85)
*(tblBaseCFResult[PremTermScenario]=$U$86),"")</f>
        <v>104</v>
      </c>
      <c r="Z99" s="181">
        <f t="shared" si="9"/>
        <v>179</v>
      </c>
      <c r="AA99" s="181">
        <f t="shared" si="10"/>
        <v>997</v>
      </c>
      <c r="AB99" s="181">
        <f t="shared" si="2"/>
        <v>5096</v>
      </c>
      <c r="AC99" s="181">
        <f t="shared" si="11"/>
        <v>6093</v>
      </c>
      <c r="AD99" s="180" cm="1">
        <f t="array" ref="AD99">_xlfn._xlws.FILTER(tblBaseCFResult[AdminChrg]/1000,
(tblBaseCFResult[Year]=$A99)
*(tblBaseCFResult[IntRateScenario]=$U$84)
*(tblBaseCFResult[Risk]=$U$85)
*(tblBaseCFResult[PremTermScenario]=$U$86),"")</f>
        <v>300</v>
      </c>
      <c r="AE99" s="180" cm="1">
        <f t="array" ref="AE99">_xlfn._xlws.FILTER(tblBaseCFResult[COI]/1000,
(tblBaseCFResult[Year]=$A99)
*(tblBaseCFResult[IntRateScenario]=$U$84)
*(tblBaseCFResult[Risk]=$U$85)
*(tblBaseCFResult[PremTermScenario]=$U$86),"")</f>
        <v>325.29137581185103</v>
      </c>
      <c r="AF99" s="18"/>
      <c r="AH99" s="169"/>
      <c r="AI99" s="155">
        <v>6</v>
      </c>
      <c r="AJ99" s="155">
        <f t="shared" ref="AJ99" si="25">mainLI_entry_age+AI99-1</f>
        <v>5</v>
      </c>
      <c r="AL99" s="153" t="str">
        <f t="shared" si="13"/>
        <v>6/5</v>
      </c>
      <c r="AM99" s="182" cm="1">
        <f t="array" ref="AM99">_xlfn._xlws.FILTER(
ROUND(tblBaseCFResult[TPAlloc]* $AM$87 +(tblBaseCFResult[EPAlloc] + tblBaseCFResult[LoadAlloc]) * $AM$88,-3)/1000,
(tblBaseCFResult[Year]=$AI99)
*(tblBaseCFResult[Risk]=$AM$84)
*(tblBaseCFResult[PremTermScenario]=$AM$85)
*(tblBaseCFResult[IntRateScenario]=AM$90),0)</f>
        <v>0</v>
      </c>
      <c r="AN99" s="182" cm="1">
        <f t="array" ref="AN99">_xlfn._xlws.FILTER(tblBaseCFResult[EndTAV],
(tblBaseCFResult[Year]=$AI99)
*(tblBaseCFResult[Risk]=$AM$84)
*(tblBaseCFResult[PremTermScenario]=$AM$85)
*(tblBaseCFResult[IntRateScenario]=AN$90),0)*$AM$87</f>
        <v>0</v>
      </c>
      <c r="AO99" s="182" cm="1">
        <f t="array" ref="AO99">_xlfn._xlws.FILTER(tblBaseCFResult[Bonus],
(tblBaseCFResult[Year]=$AI99)
*(tblBaseCFResult[Risk]=$AM$84)
*(tblBaseCFResult[PremTermScenario]=$AM$85)
*(tblBaseCFResult[IntRateScenario]=AO$90),0)*$AM$87</f>
        <v>0</v>
      </c>
      <c r="AP99" s="182" cm="1">
        <f t="array" ref="AP99">_xlfn._xlws.FILTER(tblBaseCFResult[EndTAV],
(tblBaseCFResult[Year]=$AI99)
*(tblBaseCFResult[Risk]=$AM$84)
*(tblBaseCFResult[PremTermScenario]=$AM$85)
*(tblBaseCFResult[IntRateScenario]=AP$90),0)*$AM$87</f>
        <v>0</v>
      </c>
      <c r="AQ99" s="182" cm="1">
        <f t="array" ref="AQ99">_xlfn._xlws.FILTER(tblBaseCFResult[Bonus],
(tblBaseCFResult[Year]=$AI99)
*(tblBaseCFResult[Risk]=$AM$84)
*(tblBaseCFResult[PremTermScenario]=$AM$85)
*(tblBaseCFResult[IntRateScenario]=AQ$90),0)*$AM$87</f>
        <v>0</v>
      </c>
      <c r="AR99" s="182" cm="1">
        <f t="array" ref="AR99">_xlfn._xlws.FILTER(tblBaseCFResult[EndEAV],
(tblBaseCFResult[Year]=$AI99)
*(tblBaseCFResult[Risk]=$AM$84)
*(tblBaseCFResult[PremTermScenario]=$AM$85)
*(tblBaseCFResult[IntRateScenario]=AR$90),0)*$AM$88</f>
        <v>0</v>
      </c>
      <c r="AS99" s="182">
        <v>0</v>
      </c>
      <c r="AT99" s="182" cm="1">
        <f t="array" ref="AT99">_xlfn._xlws.FILTER(tblBaseCFResult[EndEAV],
(tblBaseCFResult[Year]=$AI99)
*(tblBaseCFResult[Risk]=$AM$84)
*(tblBaseCFResult[PremTermScenario]=$AM$85)
*(tblBaseCFResult[IntRateScenario]=AT$90),0)*$AM$88</f>
        <v>0</v>
      </c>
      <c r="AU99" s="182">
        <v>0</v>
      </c>
    </row>
    <row r="100" spans="1:47" x14ac:dyDescent="0.25">
      <c r="A100" s="155">
        <v>7</v>
      </c>
      <c r="B100" s="155">
        <f t="shared" ref="B100" si="26">mainLI_entry_age+A100-1</f>
        <v>6</v>
      </c>
      <c r="D100" s="153" t="str">
        <f t="shared" si="5"/>
        <v>7/6</v>
      </c>
      <c r="E100" s="180" cm="1">
        <f t="array" ref="E100">_xlfn._xlws.FILTER(tblBaseCFResult[TotalPrem]/1000,
(tblBaseCFResult[Year]=$A100)
*(tblBaseCFResult[IntRateScenario]=$E$84)
*(tblBaseCFResult[Risk]=$E$85)
*(tblBaseCFResult[PremTermScenario]=$E$86),"")</f>
        <v>6272</v>
      </c>
      <c r="F100" s="180" cm="1">
        <f t="array" ref="F100">_xlfn._xlws.FILTER(ROUND(tblBaseCFResult[Alloc],-3)/1000,
(tblBaseCFResult[Year]=$A100)
*(tblBaseCFResult[IntRateScenario]=$E$84)
*(tblBaseCFResult[Risk]=$E$85)
*(tblBaseCFResult[PremTermScenario]=$E$86),"")</f>
        <v>6093</v>
      </c>
      <c r="G100" s="180" cm="1">
        <f t="array" ref="G100">_xlfn._xlws.FILTER(ROUND(tblBaseCFResult[Ben],-3)/1000,
(tblBaseCFResult[Year]=$A100)
*(tblBaseCFResult[IntRateScenario]=$E$84)
*(tblBaseCFResult[Risk]=$E$85)
*(tblBaseCFResult[PremTermScenario]=$E$86),"")</f>
        <v>101000</v>
      </c>
      <c r="H100" s="180" cm="1">
        <f t="array" ref="H100">_xlfn._xlws.FILTER(ROUND(tblBaseCFResult[EndEAV],-3)/1000,
(tblBaseCFResult[Year]=$A100)
*(tblBaseCFResult[IntRateScenario]=$E$84)
*(tblBaseCFResult[Risk]=$E$85)
*(tblBaseCFResult[PremTermScenario]=$E$86),"") * $E$88
+
_xlfn._xlws.FILTER(ROUND(tblBaseCFResult[EndTAV],-3)/1000,
(tblBaseCFResult[Year]=$A100)
*(tblBaseCFResult[IntRateScenario]=$E$84)
*(tblBaseCFResult[Risk]=$E$85)
*(tblBaseCFResult[PremTermScenario]=$E$86),"") * $E$89</f>
        <v>41704</v>
      </c>
      <c r="I100" s="180" cm="1">
        <f t="array" ref="I100">_xlfn._xlws.FILTER(ROUND(tblBaseCFResult[Bonus],-3)/1000,
(tblBaseCFResult[Year]=$A100)
*(tblBaseCFResult[IntRateScenario]=$E$84)
*(tblBaseCFResult[Risk]=$E$85)
*(tblBaseCFResult[PremTermScenario]=$E$86),"") * $E$88</f>
        <v>0</v>
      </c>
      <c r="J100" s="180" cm="1">
        <f t="array" ref="J100">_xlfn._xlws.FILTER(ROUND(tblBaseCFResult[Withdrawal],-3)/1000,
(tblBaseCFResult[Year]=$A100)
*(tblBaseCFResult[IntRateScenario]=$E$84)
*(tblBaseCFResult[Risk]=$E$85)
*(tblBaseCFResult[PremTermScenario]=$E$86),"")</f>
        <v>1000</v>
      </c>
      <c r="K100" s="180" cm="1">
        <f t="array" ref="K100">_xlfn._xlws.FILTER(ROUND(tblBaseCFResult[QuarterlyEMLoad],-3)/1000,
(tblBaseCFResult[Year]=$A100)
*(tblBaseCFResult[IntRateScenario]=$E$84)
*(tblBaseCFResult[Risk]=$E$85)
*(tblBaseCFResult[PremTermScenario]=$E$86),"")</f>
        <v>0</v>
      </c>
      <c r="L100" s="180" cm="1">
        <f t="array" ref="L100">_xlfn._xlws.FILTER(ROUND(tblBaseCFResult[SV],-3)/1000,
(tblBaseCFResult[Year]=$A100)
*(tblBaseCFResult[IntRateScenario]=$E$84)
*(tblBaseCFResult[Risk]=$E$85)
*(tblBaseCFResult[PremTermScenario]=$E$86),"")</f>
        <v>34803</v>
      </c>
      <c r="P100" s="169"/>
      <c r="Q100" s="155">
        <v>7</v>
      </c>
      <c r="R100" s="155">
        <f t="shared" ref="R100" si="27">mainLI_entry_age+Q100-1</f>
        <v>6</v>
      </c>
      <c r="T100" s="153" t="str">
        <f t="shared" si="7"/>
        <v>7/6</v>
      </c>
      <c r="U100" s="180" cm="1">
        <f t="array" ref="U100">_xlfn._xlws.FILTER(tblBaseCFResult[TP]/1000,
(tblBaseCFResult[Year]=$A100)
*(tblBaseCFResult[IntRateScenario]=$U$84)
*(tblBaseCFResult[Risk]=$U$85)
*(tblBaseCFResult[PremTermScenario]=$U$86),"")</f>
        <v>1072</v>
      </c>
      <c r="V100" s="180" cm="1">
        <f t="array" ref="V100">_xlfn._xlws.FILTER((tblBaseCFResult[EP]+tblBaseCFResult[Load])/1000,
(tblBaseCFResult[Year]=$A100)
*(tblBaseCFResult[IntRateScenario]=$U$84)
*(tblBaseCFResult[Risk]=$U$85)
*(tblBaseCFResult[PremTermScenario]=$U$86),"")</f>
        <v>5200</v>
      </c>
      <c r="W100" s="181">
        <f t="shared" si="8"/>
        <v>6272</v>
      </c>
      <c r="X100" s="180" cm="1">
        <f t="array" ref="X100">_xlfn._xlws.FILTER(ROUND(tblBaseCFResult[TPAllocChrg],-3)/1000,
(tblBaseCFResult[Year]=$A100)
*(tblBaseCFResult[IntRateScenario]=$U$84)
*(tblBaseCFResult[Risk]=$U$85)
*(tblBaseCFResult[PremTermScenario]=$U$86),"")</f>
        <v>75</v>
      </c>
      <c r="Y100" s="180" cm="1">
        <f t="array" ref="Y100">_xlfn._xlws.FILTER(ROUND(tblBaseCFResult[EPAllocChrg]+tblBaseCFResult[LoadAllocChrg],-3)/1000,
(tblBaseCFResult[Year]=$A100)
*(tblBaseCFResult[IntRateScenario]=$U$84)
*(tblBaseCFResult[Risk]=$U$85)
*(tblBaseCFResult[PremTermScenario]=$U$86),"")</f>
        <v>104</v>
      </c>
      <c r="Z100" s="181">
        <f t="shared" si="9"/>
        <v>179</v>
      </c>
      <c r="AA100" s="181">
        <f t="shared" si="10"/>
        <v>997</v>
      </c>
      <c r="AB100" s="181">
        <f t="shared" si="2"/>
        <v>5096</v>
      </c>
      <c r="AC100" s="181">
        <f t="shared" si="11"/>
        <v>6093</v>
      </c>
      <c r="AD100" s="180" cm="1">
        <f t="array" ref="AD100">_xlfn._xlws.FILTER(tblBaseCFResult[AdminChrg]/1000,
(tblBaseCFResult[Year]=$A100)
*(tblBaseCFResult[IntRateScenario]=$U$84)
*(tblBaseCFResult[Risk]=$U$85)
*(tblBaseCFResult[PremTermScenario]=$U$86),"")</f>
        <v>300</v>
      </c>
      <c r="AE100" s="180" cm="1">
        <f t="array" ref="AE100">_xlfn._xlws.FILTER(tblBaseCFResult[COI]/1000,
(tblBaseCFResult[Year]=$A100)
*(tblBaseCFResult[IntRateScenario]=$U$84)
*(tblBaseCFResult[Risk]=$U$85)
*(tblBaseCFResult[PremTermScenario]=$U$86),"")</f>
        <v>318.80654516493195</v>
      </c>
      <c r="AF100" s="18"/>
      <c r="AH100" s="169"/>
      <c r="AI100" s="155">
        <v>7</v>
      </c>
      <c r="AJ100" s="155">
        <f t="shared" ref="AJ100" si="28">mainLI_entry_age+AI100-1</f>
        <v>6</v>
      </c>
      <c r="AL100" s="153" t="str">
        <f t="shared" si="13"/>
        <v>7/6</v>
      </c>
      <c r="AM100" s="182" cm="1">
        <f t="array" ref="AM100">_xlfn._xlws.FILTER(
ROUND(tblBaseCFResult[TPAlloc]* $AM$87 +(tblBaseCFResult[EPAlloc] + tblBaseCFResult[LoadAlloc]) * $AM$88,-3)/1000,
(tblBaseCFResult[Year]=$AI100)
*(tblBaseCFResult[Risk]=$AM$84)
*(tblBaseCFResult[PremTermScenario]=$AM$85)
*(tblBaseCFResult[IntRateScenario]=AM$90),0)</f>
        <v>0</v>
      </c>
      <c r="AN100" s="182" cm="1">
        <f t="array" ref="AN100">_xlfn._xlws.FILTER(tblBaseCFResult[EndTAV],
(tblBaseCFResult[Year]=$AI100)
*(tblBaseCFResult[Risk]=$AM$84)
*(tblBaseCFResult[PremTermScenario]=$AM$85)
*(tblBaseCFResult[IntRateScenario]=AN$90),0)*$AM$87</f>
        <v>0</v>
      </c>
      <c r="AO100" s="182" cm="1">
        <f t="array" ref="AO100">_xlfn._xlws.FILTER(tblBaseCFResult[Bonus],
(tblBaseCFResult[Year]=$AI100)
*(tblBaseCFResult[Risk]=$AM$84)
*(tblBaseCFResult[PremTermScenario]=$AM$85)
*(tblBaseCFResult[IntRateScenario]=AO$90),0)*$AM$87</f>
        <v>0</v>
      </c>
      <c r="AP100" s="182" cm="1">
        <f t="array" ref="AP100">_xlfn._xlws.FILTER(tblBaseCFResult[EndTAV],
(tblBaseCFResult[Year]=$AI100)
*(tblBaseCFResult[Risk]=$AM$84)
*(tblBaseCFResult[PremTermScenario]=$AM$85)
*(tblBaseCFResult[IntRateScenario]=AP$90),0)*$AM$87</f>
        <v>0</v>
      </c>
      <c r="AQ100" s="182" cm="1">
        <f t="array" ref="AQ100">_xlfn._xlws.FILTER(tblBaseCFResult[Bonus],
(tblBaseCFResult[Year]=$AI100)
*(tblBaseCFResult[Risk]=$AM$84)
*(tblBaseCFResult[PremTermScenario]=$AM$85)
*(tblBaseCFResult[IntRateScenario]=AQ$90),0)*$AM$87</f>
        <v>0</v>
      </c>
      <c r="AR100" s="182" cm="1">
        <f t="array" ref="AR100">_xlfn._xlws.FILTER(tblBaseCFResult[EndEAV],
(tblBaseCFResult[Year]=$AI100)
*(tblBaseCFResult[Risk]=$AM$84)
*(tblBaseCFResult[PremTermScenario]=$AM$85)
*(tblBaseCFResult[IntRateScenario]=AR$90),0)*$AM$88</f>
        <v>0</v>
      </c>
      <c r="AS100" s="182">
        <v>0</v>
      </c>
      <c r="AT100" s="182" cm="1">
        <f t="array" ref="AT100">_xlfn._xlws.FILTER(tblBaseCFResult[EndEAV],
(tblBaseCFResult[Year]=$AI100)
*(tblBaseCFResult[Risk]=$AM$84)
*(tblBaseCFResult[PremTermScenario]=$AM$85)
*(tblBaseCFResult[IntRateScenario]=AT$90),0)*$AM$88</f>
        <v>0</v>
      </c>
      <c r="AU100" s="182">
        <v>0</v>
      </c>
    </row>
    <row r="101" spans="1:47" x14ac:dyDescent="0.25">
      <c r="A101" s="155">
        <v>8</v>
      </c>
      <c r="B101" s="155">
        <f t="shared" ref="B101" si="29">mainLI_entry_age+A101-1</f>
        <v>7</v>
      </c>
      <c r="D101" s="153" t="str">
        <f t="shared" si="5"/>
        <v>8/7</v>
      </c>
      <c r="E101" s="180" cm="1">
        <f t="array" ref="E101">_xlfn._xlws.FILTER(tblBaseCFResult[TotalPrem]/1000,
(tblBaseCFResult[Year]=$A101)
*(tblBaseCFResult[IntRateScenario]=$E$84)
*(tblBaseCFResult[Risk]=$E$85)
*(tblBaseCFResult[PremTermScenario]=$E$86),"")</f>
        <v>6272</v>
      </c>
      <c r="F101" s="180" cm="1">
        <f t="array" ref="F101">_xlfn._xlws.FILTER(ROUND(tblBaseCFResult[Alloc],-3)/1000,
(tblBaseCFResult[Year]=$A101)
*(tblBaseCFResult[IntRateScenario]=$E$84)
*(tblBaseCFResult[Risk]=$E$85)
*(tblBaseCFResult[PremTermScenario]=$E$86),"")</f>
        <v>6125</v>
      </c>
      <c r="G101" s="180" cm="1">
        <f t="array" ref="G101">_xlfn._xlws.FILTER(ROUND(tblBaseCFResult[Ben],-3)/1000,
(tblBaseCFResult[Year]=$A101)
*(tblBaseCFResult[IntRateScenario]=$E$84)
*(tblBaseCFResult[Risk]=$E$85)
*(tblBaseCFResult[PremTermScenario]=$E$86),"")</f>
        <v>101000</v>
      </c>
      <c r="H101" s="180" cm="1">
        <f t="array" ref="H101">_xlfn._xlws.FILTER(ROUND(tblBaseCFResult[EndEAV],-3)/1000,
(tblBaseCFResult[Year]=$A101)
*(tblBaseCFResult[IntRateScenario]=$E$84)
*(tblBaseCFResult[Risk]=$E$85)
*(tblBaseCFResult[PremTermScenario]=$E$86),"") * $E$88
+
_xlfn._xlws.FILTER(ROUND(tblBaseCFResult[EndTAV],-3)/1000,
(tblBaseCFResult[Year]=$A101)
*(tblBaseCFResult[IntRateScenario]=$E$84)
*(tblBaseCFResult[Risk]=$E$85)
*(tblBaseCFResult[PremTermScenario]=$E$86),"") * $E$89</f>
        <v>49718</v>
      </c>
      <c r="I101" s="180" cm="1">
        <f t="array" ref="I101">_xlfn._xlws.FILTER(ROUND(tblBaseCFResult[Bonus],-3)/1000,
(tblBaseCFResult[Year]=$A101)
*(tblBaseCFResult[IntRateScenario]=$E$84)
*(tblBaseCFResult[Risk]=$E$85)
*(tblBaseCFResult[PremTermScenario]=$E$86),"") * $E$88</f>
        <v>129</v>
      </c>
      <c r="J101" s="180" cm="1">
        <f t="array" ref="J101">_xlfn._xlws.FILTER(ROUND(tblBaseCFResult[Withdrawal],-3)/1000,
(tblBaseCFResult[Year]=$A101)
*(tblBaseCFResult[IntRateScenario]=$E$84)
*(tblBaseCFResult[Risk]=$E$85)
*(tblBaseCFResult[PremTermScenario]=$E$86),"")</f>
        <v>0</v>
      </c>
      <c r="K101" s="180" cm="1">
        <f t="array" ref="K101">_xlfn._xlws.FILTER(ROUND(tblBaseCFResult[QuarterlyEMLoad],-3)/1000,
(tblBaseCFResult[Year]=$A101)
*(tblBaseCFResult[IntRateScenario]=$E$84)
*(tblBaseCFResult[Risk]=$E$85)
*(tblBaseCFResult[PremTermScenario]=$E$86),"")</f>
        <v>0</v>
      </c>
      <c r="L101" s="180" cm="1">
        <f t="array" ref="L101">_xlfn._xlws.FILTER(ROUND(tblBaseCFResult[SV],-3)/1000,
(tblBaseCFResult[Year]=$A101)
*(tblBaseCFResult[IntRateScenario]=$E$84)
*(tblBaseCFResult[Risk]=$E$85)
*(tblBaseCFResult[PremTermScenario]=$E$86),"")</f>
        <v>41490</v>
      </c>
      <c r="P101" s="169"/>
      <c r="Q101" s="155">
        <v>8</v>
      </c>
      <c r="R101" s="155">
        <f t="shared" ref="R101" si="30">mainLI_entry_age+Q101-1</f>
        <v>7</v>
      </c>
      <c r="T101" s="153" t="str">
        <f t="shared" si="7"/>
        <v>8/7</v>
      </c>
      <c r="U101" s="180" cm="1">
        <f t="array" ref="U101">_xlfn._xlws.FILTER(tblBaseCFResult[TP]/1000,
(tblBaseCFResult[Year]=$A101)
*(tblBaseCFResult[IntRateScenario]=$U$84)
*(tblBaseCFResult[Risk]=$U$85)
*(tblBaseCFResult[PremTermScenario]=$U$86),"")</f>
        <v>1072</v>
      </c>
      <c r="V101" s="180" cm="1">
        <f t="array" ref="V101">_xlfn._xlws.FILTER((tblBaseCFResult[EP]+tblBaseCFResult[Load])/1000,
(tblBaseCFResult[Year]=$A101)
*(tblBaseCFResult[IntRateScenario]=$U$84)
*(tblBaseCFResult[Risk]=$U$85)
*(tblBaseCFResult[PremTermScenario]=$U$86),"")</f>
        <v>5200</v>
      </c>
      <c r="W101" s="181">
        <f t="shared" si="8"/>
        <v>6272</v>
      </c>
      <c r="X101" s="180" cm="1">
        <f t="array" ref="X101">_xlfn._xlws.FILTER(ROUND(tblBaseCFResult[TPAllocChrg],-3)/1000,
(tblBaseCFResult[Year]=$A101)
*(tblBaseCFResult[IntRateScenario]=$U$84)
*(tblBaseCFResult[Risk]=$U$85)
*(tblBaseCFResult[PremTermScenario]=$U$86),"")</f>
        <v>43</v>
      </c>
      <c r="Y101" s="180" cm="1">
        <f t="array" ref="Y101">_xlfn._xlws.FILTER(ROUND(tblBaseCFResult[EPAllocChrg]+tblBaseCFResult[LoadAllocChrg],-3)/1000,
(tblBaseCFResult[Year]=$A101)
*(tblBaseCFResult[IntRateScenario]=$U$84)
*(tblBaseCFResult[Risk]=$U$85)
*(tblBaseCFResult[PremTermScenario]=$U$86),"")</f>
        <v>104</v>
      </c>
      <c r="Z101" s="181">
        <f t="shared" si="9"/>
        <v>147</v>
      </c>
      <c r="AA101" s="181">
        <f t="shared" si="10"/>
        <v>1029</v>
      </c>
      <c r="AB101" s="181">
        <f t="shared" si="2"/>
        <v>5096</v>
      </c>
      <c r="AC101" s="181">
        <f t="shared" si="11"/>
        <v>6125</v>
      </c>
      <c r="AD101" s="180" cm="1">
        <f t="array" ref="AD101">_xlfn._xlws.FILTER(tblBaseCFResult[AdminChrg]/1000,
(tblBaseCFResult[Year]=$A101)
*(tblBaseCFResult[IntRateScenario]=$U$84)
*(tblBaseCFResult[Risk]=$U$85)
*(tblBaseCFResult[PremTermScenario]=$U$86),"")</f>
        <v>300</v>
      </c>
      <c r="AE101" s="180" cm="1">
        <f t="array" ref="AE101">_xlfn._xlws.FILTER(tblBaseCFResult[COI]/1000,
(tblBaseCFResult[Year]=$A101)
*(tblBaseCFResult[IntRateScenario]=$U$84)
*(tblBaseCFResult[Risk]=$U$85)
*(tblBaseCFResult[PremTermScenario]=$U$86),"")</f>
        <v>312.24940433562097</v>
      </c>
      <c r="AF101" s="18"/>
      <c r="AH101" s="169"/>
      <c r="AI101" s="155">
        <v>8</v>
      </c>
      <c r="AJ101" s="155">
        <f t="shared" ref="AJ101" si="31">mainLI_entry_age+AI101-1</f>
        <v>7</v>
      </c>
      <c r="AL101" s="153" t="str">
        <f t="shared" si="13"/>
        <v>8/7</v>
      </c>
      <c r="AM101" s="182" cm="1">
        <f t="array" ref="AM101">_xlfn._xlws.FILTER(
ROUND(tblBaseCFResult[TPAlloc]* $AM$87 +(tblBaseCFResult[EPAlloc] + tblBaseCFResult[LoadAlloc]) * $AM$88,-3)/1000,
(tblBaseCFResult[Year]=$AI101)
*(tblBaseCFResult[Risk]=$AM$84)
*(tblBaseCFResult[PremTermScenario]=$AM$85)
*(tblBaseCFResult[IntRateScenario]=AM$90),0)</f>
        <v>0</v>
      </c>
      <c r="AN101" s="182" cm="1">
        <f t="array" ref="AN101">_xlfn._xlws.FILTER(tblBaseCFResult[EndTAV],
(tblBaseCFResult[Year]=$AI101)
*(tblBaseCFResult[Risk]=$AM$84)
*(tblBaseCFResult[PremTermScenario]=$AM$85)
*(tblBaseCFResult[IntRateScenario]=AN$90),0)*$AM$87</f>
        <v>0</v>
      </c>
      <c r="AO101" s="182" cm="1">
        <f t="array" ref="AO101">_xlfn._xlws.FILTER(tblBaseCFResult[Bonus],
(tblBaseCFResult[Year]=$AI101)
*(tblBaseCFResult[Risk]=$AM$84)
*(tblBaseCFResult[PremTermScenario]=$AM$85)
*(tblBaseCFResult[IntRateScenario]=AO$90),0)*$AM$87</f>
        <v>0</v>
      </c>
      <c r="AP101" s="182" cm="1">
        <f t="array" ref="AP101">_xlfn._xlws.FILTER(tblBaseCFResult[EndTAV],
(tblBaseCFResult[Year]=$AI101)
*(tblBaseCFResult[Risk]=$AM$84)
*(tblBaseCFResult[PremTermScenario]=$AM$85)
*(tblBaseCFResult[IntRateScenario]=AP$90),0)*$AM$87</f>
        <v>0</v>
      </c>
      <c r="AQ101" s="182" cm="1">
        <f t="array" ref="AQ101">_xlfn._xlws.FILTER(tblBaseCFResult[Bonus],
(tblBaseCFResult[Year]=$AI101)
*(tblBaseCFResult[Risk]=$AM$84)
*(tblBaseCFResult[PremTermScenario]=$AM$85)
*(tblBaseCFResult[IntRateScenario]=AQ$90),0)*$AM$87</f>
        <v>0</v>
      </c>
      <c r="AR101" s="182" cm="1">
        <f t="array" ref="AR101">_xlfn._xlws.FILTER(tblBaseCFResult[EndEAV],
(tblBaseCFResult[Year]=$AI101)
*(tblBaseCFResult[Risk]=$AM$84)
*(tblBaseCFResult[PremTermScenario]=$AM$85)
*(tblBaseCFResult[IntRateScenario]=AR$90),0)*$AM$88</f>
        <v>0</v>
      </c>
      <c r="AS101" s="182">
        <v>0</v>
      </c>
      <c r="AT101" s="182" cm="1">
        <f t="array" ref="AT101">_xlfn._xlws.FILTER(tblBaseCFResult[EndEAV],
(tblBaseCFResult[Year]=$AI101)
*(tblBaseCFResult[Risk]=$AM$84)
*(tblBaseCFResult[PremTermScenario]=$AM$85)
*(tblBaseCFResult[IntRateScenario]=AT$90),0)*$AM$88</f>
        <v>0</v>
      </c>
      <c r="AU101" s="182">
        <v>0</v>
      </c>
    </row>
    <row r="102" spans="1:47" x14ac:dyDescent="0.25">
      <c r="A102" s="155">
        <v>9</v>
      </c>
      <c r="B102" s="155">
        <f t="shared" ref="B102" si="32">mainLI_entry_age+A102-1</f>
        <v>8</v>
      </c>
      <c r="D102" s="153" t="str">
        <f t="shared" si="5"/>
        <v>9/8</v>
      </c>
      <c r="E102" s="180" cm="1">
        <f t="array" ref="E102">_xlfn._xlws.FILTER(tblBaseCFResult[TotalPrem]/1000,
(tblBaseCFResult[Year]=$A102)
*(tblBaseCFResult[IntRateScenario]=$E$84)
*(tblBaseCFResult[Risk]=$E$85)
*(tblBaseCFResult[PremTermScenario]=$E$86),"")</f>
        <v>6272</v>
      </c>
      <c r="F102" s="180" cm="1">
        <f t="array" ref="F102">_xlfn._xlws.FILTER(ROUND(tblBaseCFResult[Alloc],-3)/1000,
(tblBaseCFResult[Year]=$A102)
*(tblBaseCFResult[IntRateScenario]=$E$84)
*(tblBaseCFResult[Risk]=$E$85)
*(tblBaseCFResult[PremTermScenario]=$E$86),"")</f>
        <v>6125</v>
      </c>
      <c r="G102" s="180" cm="1">
        <f t="array" ref="G102">_xlfn._xlws.FILTER(ROUND(tblBaseCFResult[Ben],-3)/1000,
(tblBaseCFResult[Year]=$A102)
*(tblBaseCFResult[IntRateScenario]=$E$84)
*(tblBaseCFResult[Risk]=$E$85)
*(tblBaseCFResult[PremTermScenario]=$E$86),"")</f>
        <v>101000</v>
      </c>
      <c r="H102" s="180" cm="1">
        <f t="array" ref="H102">_xlfn._xlws.FILTER(ROUND(tblBaseCFResult[EndEAV],-3)/1000,
(tblBaseCFResult[Year]=$A102)
*(tblBaseCFResult[IntRateScenario]=$E$84)
*(tblBaseCFResult[Risk]=$E$85)
*(tblBaseCFResult[PremTermScenario]=$E$86),"") * $E$88
+
_xlfn._xlws.FILTER(ROUND(tblBaseCFResult[EndTAV],-3)/1000,
(tblBaseCFResult[Year]=$A102)
*(tblBaseCFResult[IntRateScenario]=$E$84)
*(tblBaseCFResult[Risk]=$E$85)
*(tblBaseCFResult[PremTermScenario]=$E$86),"") * $E$89</f>
        <v>58010</v>
      </c>
      <c r="I102" s="180" cm="1">
        <f t="array" ref="I102">_xlfn._xlws.FILTER(ROUND(tblBaseCFResult[Bonus],-3)/1000,
(tblBaseCFResult[Year]=$A102)
*(tblBaseCFResult[IntRateScenario]=$E$84)
*(tblBaseCFResult[Risk]=$E$85)
*(tblBaseCFResult[PremTermScenario]=$E$86),"") * $E$88</f>
        <v>0</v>
      </c>
      <c r="J102" s="180" cm="1">
        <f t="array" ref="J102">_xlfn._xlws.FILTER(ROUND(tblBaseCFResult[Withdrawal],-3)/1000,
(tblBaseCFResult[Year]=$A102)
*(tblBaseCFResult[IntRateScenario]=$E$84)
*(tblBaseCFResult[Risk]=$E$85)
*(tblBaseCFResult[PremTermScenario]=$E$86),"")</f>
        <v>0</v>
      </c>
      <c r="K102" s="180" cm="1">
        <f t="array" ref="K102">_xlfn._xlws.FILTER(ROUND(tblBaseCFResult[QuarterlyEMLoad],-3)/1000,
(tblBaseCFResult[Year]=$A102)
*(tblBaseCFResult[IntRateScenario]=$E$84)
*(tblBaseCFResult[Risk]=$E$85)
*(tblBaseCFResult[PremTermScenario]=$E$86),"")</f>
        <v>0</v>
      </c>
      <c r="L102" s="180" cm="1">
        <f t="array" ref="L102">_xlfn._xlws.FILTER(ROUND(tblBaseCFResult[SV],-3)/1000,
(tblBaseCFResult[Year]=$A102)
*(tblBaseCFResult[IntRateScenario]=$E$84)
*(tblBaseCFResult[Risk]=$E$85)
*(tblBaseCFResult[PremTermScenario]=$E$86),"")</f>
        <v>49611</v>
      </c>
      <c r="P102" s="169"/>
      <c r="Q102" s="155">
        <v>9</v>
      </c>
      <c r="R102" s="155">
        <f t="shared" ref="R102" si="33">mainLI_entry_age+Q102-1</f>
        <v>8</v>
      </c>
      <c r="T102" s="153" t="str">
        <f t="shared" si="7"/>
        <v>9/8</v>
      </c>
      <c r="U102" s="180" cm="1">
        <f t="array" ref="U102">_xlfn._xlws.FILTER(tblBaseCFResult[TP]/1000,
(tblBaseCFResult[Year]=$A102)
*(tblBaseCFResult[IntRateScenario]=$U$84)
*(tblBaseCFResult[Risk]=$U$85)
*(tblBaseCFResult[PremTermScenario]=$U$86),"")</f>
        <v>1072</v>
      </c>
      <c r="V102" s="180" cm="1">
        <f t="array" ref="V102">_xlfn._xlws.FILTER((tblBaseCFResult[EP]+tblBaseCFResult[Load])/1000,
(tblBaseCFResult[Year]=$A102)
*(tblBaseCFResult[IntRateScenario]=$U$84)
*(tblBaseCFResult[Risk]=$U$85)
*(tblBaseCFResult[PremTermScenario]=$U$86),"")</f>
        <v>5200</v>
      </c>
      <c r="W102" s="181">
        <f t="shared" si="8"/>
        <v>6272</v>
      </c>
      <c r="X102" s="180" cm="1">
        <f t="array" ref="X102">_xlfn._xlws.FILTER(ROUND(tblBaseCFResult[TPAllocChrg],-3)/1000,
(tblBaseCFResult[Year]=$A102)
*(tblBaseCFResult[IntRateScenario]=$U$84)
*(tblBaseCFResult[Risk]=$U$85)
*(tblBaseCFResult[PremTermScenario]=$U$86),"")</f>
        <v>43</v>
      </c>
      <c r="Y102" s="180" cm="1">
        <f t="array" ref="Y102">_xlfn._xlws.FILTER(ROUND(tblBaseCFResult[EPAllocChrg]+tblBaseCFResult[LoadAllocChrg],-3)/1000,
(tblBaseCFResult[Year]=$A102)
*(tblBaseCFResult[IntRateScenario]=$U$84)
*(tblBaseCFResult[Risk]=$U$85)
*(tblBaseCFResult[PremTermScenario]=$U$86),"")</f>
        <v>104</v>
      </c>
      <c r="Z102" s="181">
        <f t="shared" si="9"/>
        <v>147</v>
      </c>
      <c r="AA102" s="181">
        <f t="shared" si="10"/>
        <v>1029</v>
      </c>
      <c r="AB102" s="181">
        <f t="shared" si="2"/>
        <v>5096</v>
      </c>
      <c r="AC102" s="181">
        <f t="shared" si="11"/>
        <v>6125</v>
      </c>
      <c r="AD102" s="180" cm="1">
        <f t="array" ref="AD102">_xlfn._xlws.FILTER(tblBaseCFResult[AdminChrg]/1000,
(tblBaseCFResult[Year]=$A102)
*(tblBaseCFResult[IntRateScenario]=$U$84)
*(tblBaseCFResult[Risk]=$U$85)
*(tblBaseCFResult[PremTermScenario]=$U$86),"")</f>
        <v>300</v>
      </c>
      <c r="AE102" s="180" cm="1">
        <f t="array" ref="AE102">_xlfn._xlws.FILTER(tblBaseCFResult[COI]/1000,
(tblBaseCFResult[Year]=$A102)
*(tblBaseCFResult[IntRateScenario]=$U$84)
*(tblBaseCFResult[Risk]=$U$85)
*(tblBaseCFResult[PremTermScenario]=$U$86),"")</f>
        <v>305.23973026707904</v>
      </c>
      <c r="AF102" s="18"/>
      <c r="AH102" s="169"/>
      <c r="AI102" s="155">
        <v>9</v>
      </c>
      <c r="AJ102" s="155">
        <f t="shared" ref="AJ102" si="34">mainLI_entry_age+AI102-1</f>
        <v>8</v>
      </c>
      <c r="AL102" s="153" t="str">
        <f t="shared" si="13"/>
        <v>9/8</v>
      </c>
      <c r="AM102" s="182" cm="1">
        <f t="array" ref="AM102">_xlfn._xlws.FILTER(
ROUND(tblBaseCFResult[TPAlloc]* $AM$87 +(tblBaseCFResult[EPAlloc] + tblBaseCFResult[LoadAlloc]) * $AM$88,-3)/1000,
(tblBaseCFResult[Year]=$AI102)
*(tblBaseCFResult[Risk]=$AM$84)
*(tblBaseCFResult[PremTermScenario]=$AM$85)
*(tblBaseCFResult[IntRateScenario]=AM$90),0)</f>
        <v>0</v>
      </c>
      <c r="AN102" s="182" cm="1">
        <f t="array" ref="AN102">_xlfn._xlws.FILTER(tblBaseCFResult[EndTAV],
(tblBaseCFResult[Year]=$AI102)
*(tblBaseCFResult[Risk]=$AM$84)
*(tblBaseCFResult[PremTermScenario]=$AM$85)
*(tblBaseCFResult[IntRateScenario]=AN$90),0)*$AM$87</f>
        <v>0</v>
      </c>
      <c r="AO102" s="182" cm="1">
        <f t="array" ref="AO102">_xlfn._xlws.FILTER(tblBaseCFResult[Bonus],
(tblBaseCFResult[Year]=$AI102)
*(tblBaseCFResult[Risk]=$AM$84)
*(tblBaseCFResult[PremTermScenario]=$AM$85)
*(tblBaseCFResult[IntRateScenario]=AO$90),0)*$AM$87</f>
        <v>0</v>
      </c>
      <c r="AP102" s="182" cm="1">
        <f t="array" ref="AP102">_xlfn._xlws.FILTER(tblBaseCFResult[EndTAV],
(tblBaseCFResult[Year]=$AI102)
*(tblBaseCFResult[Risk]=$AM$84)
*(tblBaseCFResult[PremTermScenario]=$AM$85)
*(tblBaseCFResult[IntRateScenario]=AP$90),0)*$AM$87</f>
        <v>0</v>
      </c>
      <c r="AQ102" s="182" cm="1">
        <f t="array" ref="AQ102">_xlfn._xlws.FILTER(tblBaseCFResult[Bonus],
(tblBaseCFResult[Year]=$AI102)
*(tblBaseCFResult[Risk]=$AM$84)
*(tblBaseCFResult[PremTermScenario]=$AM$85)
*(tblBaseCFResult[IntRateScenario]=AQ$90),0)*$AM$87</f>
        <v>0</v>
      </c>
      <c r="AR102" s="182" cm="1">
        <f t="array" ref="AR102">_xlfn._xlws.FILTER(tblBaseCFResult[EndEAV],
(tblBaseCFResult[Year]=$AI102)
*(tblBaseCFResult[Risk]=$AM$84)
*(tblBaseCFResult[PremTermScenario]=$AM$85)
*(tblBaseCFResult[IntRateScenario]=AR$90),0)*$AM$88</f>
        <v>0</v>
      </c>
      <c r="AS102" s="182">
        <v>0</v>
      </c>
      <c r="AT102" s="182" cm="1">
        <f t="array" ref="AT102">_xlfn._xlws.FILTER(tblBaseCFResult[EndEAV],
(tblBaseCFResult[Year]=$AI102)
*(tblBaseCFResult[Risk]=$AM$84)
*(tblBaseCFResult[PremTermScenario]=$AM$85)
*(tblBaseCFResult[IntRateScenario]=AT$90),0)*$AM$88</f>
        <v>0</v>
      </c>
      <c r="AU102" s="182">
        <v>0</v>
      </c>
    </row>
    <row r="103" spans="1:47" x14ac:dyDescent="0.25">
      <c r="A103" s="155">
        <v>10</v>
      </c>
      <c r="B103" s="155">
        <f t="shared" ref="B103" si="35">mainLI_entry_age+A103-1</f>
        <v>9</v>
      </c>
      <c r="D103" s="153" t="str">
        <f t="shared" si="5"/>
        <v>10/9</v>
      </c>
      <c r="E103" s="180" cm="1">
        <f t="array" ref="E103">_xlfn._xlws.FILTER(tblBaseCFResult[TotalPrem]/1000,
(tblBaseCFResult[Year]=$A103)
*(tblBaseCFResult[IntRateScenario]=$E$84)
*(tblBaseCFResult[Risk]=$E$85)
*(tblBaseCFResult[PremTermScenario]=$E$86),"")</f>
        <v>6272</v>
      </c>
      <c r="F103" s="180" cm="1">
        <f t="array" ref="F103">_xlfn._xlws.FILTER(ROUND(tblBaseCFResult[Alloc],-3)/1000,
(tblBaseCFResult[Year]=$A103)
*(tblBaseCFResult[IntRateScenario]=$E$84)
*(tblBaseCFResult[Risk]=$E$85)
*(tblBaseCFResult[PremTermScenario]=$E$86),"")</f>
        <v>6147</v>
      </c>
      <c r="G103" s="180" cm="1">
        <f t="array" ref="G103">_xlfn._xlws.FILTER(ROUND(tblBaseCFResult[Ben],-3)/1000,
(tblBaseCFResult[Year]=$A103)
*(tblBaseCFResult[IntRateScenario]=$E$84)
*(tblBaseCFResult[Risk]=$E$85)
*(tblBaseCFResult[PremTermScenario]=$E$86),"")</f>
        <v>101000</v>
      </c>
      <c r="H103" s="180" cm="1">
        <f t="array" ref="H103">_xlfn._xlws.FILTER(ROUND(tblBaseCFResult[EndEAV],-3)/1000,
(tblBaseCFResult[Year]=$A103)
*(tblBaseCFResult[IntRateScenario]=$E$84)
*(tblBaseCFResult[Risk]=$E$85)
*(tblBaseCFResult[PremTermScenario]=$E$86),"") * $E$88
+
_xlfn._xlws.FILTER(ROUND(tblBaseCFResult[EndTAV],-3)/1000,
(tblBaseCFResult[Year]=$A103)
*(tblBaseCFResult[IntRateScenario]=$E$84)
*(tblBaseCFResult[Risk]=$E$85)
*(tblBaseCFResult[PremTermScenario]=$E$86),"") * $E$89</f>
        <v>66746</v>
      </c>
      <c r="I103" s="180" cm="1">
        <f t="array" ref="I103">_xlfn._xlws.FILTER(ROUND(tblBaseCFResult[Bonus],-3)/1000,
(tblBaseCFResult[Year]=$A103)
*(tblBaseCFResult[IntRateScenario]=$E$84)
*(tblBaseCFResult[Risk]=$E$85)
*(tblBaseCFResult[PremTermScenario]=$E$86),"") * $E$88</f>
        <v>0</v>
      </c>
      <c r="J103" s="180" cm="1">
        <f t="array" ref="J103">_xlfn._xlws.FILTER(ROUND(tblBaseCFResult[Withdrawal],-3)/1000,
(tblBaseCFResult[Year]=$A103)
*(tblBaseCFResult[IntRateScenario]=$E$84)
*(tblBaseCFResult[Risk]=$E$85)
*(tblBaseCFResult[PremTermScenario]=$E$86),"")</f>
        <v>0</v>
      </c>
      <c r="K103" s="180" cm="1">
        <f t="array" ref="K103">_xlfn._xlws.FILTER(ROUND(tblBaseCFResult[QuarterlyEMLoad],-3)/1000,
(tblBaseCFResult[Year]=$A103)
*(tblBaseCFResult[IntRateScenario]=$E$84)
*(tblBaseCFResult[Risk]=$E$85)
*(tblBaseCFResult[PremTermScenario]=$E$86),"")</f>
        <v>0</v>
      </c>
      <c r="L103" s="180" cm="1">
        <f t="array" ref="L103">_xlfn._xlws.FILTER(ROUND(tblBaseCFResult[SV],-3)/1000,
(tblBaseCFResult[Year]=$A103)
*(tblBaseCFResult[IntRateScenario]=$E$84)
*(tblBaseCFResult[Risk]=$E$85)
*(tblBaseCFResult[PremTermScenario]=$E$86),"")</f>
        <v>58010</v>
      </c>
      <c r="P103" s="169"/>
      <c r="Q103" s="155">
        <v>10</v>
      </c>
      <c r="R103" s="155">
        <f t="shared" ref="R103" si="36">mainLI_entry_age+Q103-1</f>
        <v>9</v>
      </c>
      <c r="T103" s="153" t="str">
        <f t="shared" si="7"/>
        <v>10/9</v>
      </c>
      <c r="U103" s="180" cm="1">
        <f t="array" ref="U103">_xlfn._xlws.FILTER(tblBaseCFResult[TP]/1000,
(tblBaseCFResult[Year]=$A103)
*(tblBaseCFResult[IntRateScenario]=$U$84)
*(tblBaseCFResult[Risk]=$U$85)
*(tblBaseCFResult[PremTermScenario]=$U$86),"")</f>
        <v>1072</v>
      </c>
      <c r="V103" s="180" cm="1">
        <f t="array" ref="V103">_xlfn._xlws.FILTER((tblBaseCFResult[EP]+tblBaseCFResult[Load])/1000,
(tblBaseCFResult[Year]=$A103)
*(tblBaseCFResult[IntRateScenario]=$U$84)
*(tblBaseCFResult[Risk]=$U$85)
*(tblBaseCFResult[PremTermScenario]=$U$86),"")</f>
        <v>5200</v>
      </c>
      <c r="W103" s="181">
        <f t="shared" si="8"/>
        <v>6272</v>
      </c>
      <c r="X103" s="180" cm="1">
        <f t="array" ref="X103">_xlfn._xlws.FILTER(ROUND(tblBaseCFResult[TPAllocChrg],-3)/1000,
(tblBaseCFResult[Year]=$A103)
*(tblBaseCFResult[IntRateScenario]=$U$84)
*(tblBaseCFResult[Risk]=$U$85)
*(tblBaseCFResult[PremTermScenario]=$U$86),"")</f>
        <v>21</v>
      </c>
      <c r="Y103" s="180" cm="1">
        <f t="array" ref="Y103">_xlfn._xlws.FILTER(ROUND(tblBaseCFResult[EPAllocChrg]+tblBaseCFResult[LoadAllocChrg],-3)/1000,
(tblBaseCFResult[Year]=$A103)
*(tblBaseCFResult[IntRateScenario]=$U$84)
*(tblBaseCFResult[Risk]=$U$85)
*(tblBaseCFResult[PremTermScenario]=$U$86),"")</f>
        <v>104</v>
      </c>
      <c r="Z103" s="181">
        <f t="shared" si="9"/>
        <v>125</v>
      </c>
      <c r="AA103" s="181">
        <f t="shared" si="10"/>
        <v>1051</v>
      </c>
      <c r="AB103" s="181">
        <f t="shared" si="2"/>
        <v>5096</v>
      </c>
      <c r="AC103" s="181">
        <f t="shared" si="11"/>
        <v>6147</v>
      </c>
      <c r="AD103" s="180" cm="1">
        <f t="array" ref="AD103">_xlfn._xlws.FILTER(tblBaseCFResult[AdminChrg]/1000,
(tblBaseCFResult[Year]=$A103)
*(tblBaseCFResult[IntRateScenario]=$U$84)
*(tblBaseCFResult[Risk]=$U$85)
*(tblBaseCFResult[PremTermScenario]=$U$86),"")</f>
        <v>300</v>
      </c>
      <c r="AE103" s="180" cm="1">
        <f t="array" ref="AE103">_xlfn._xlws.FILTER(tblBaseCFResult[COI]/1000,
(tblBaseCFResult[Year]=$A103)
*(tblBaseCFResult[IntRateScenario]=$U$84)
*(tblBaseCFResult[Risk]=$U$85)
*(tblBaseCFResult[PremTermScenario]=$U$86),"")</f>
        <v>298.05292860292604</v>
      </c>
      <c r="AF103" s="18"/>
      <c r="AH103" s="169"/>
      <c r="AI103" s="155">
        <v>10</v>
      </c>
      <c r="AJ103" s="155">
        <f t="shared" ref="AJ103" si="37">mainLI_entry_age+AI103-1</f>
        <v>9</v>
      </c>
      <c r="AL103" s="153" t="str">
        <f t="shared" si="13"/>
        <v>10/9</v>
      </c>
      <c r="AM103" s="182" cm="1">
        <f t="array" ref="AM103">_xlfn._xlws.FILTER(
ROUND(tblBaseCFResult[TPAlloc]* $AM$87 +(tblBaseCFResult[EPAlloc] + tblBaseCFResult[LoadAlloc]) * $AM$88,-3)/1000,
(tblBaseCFResult[Year]=$AI103)
*(tblBaseCFResult[Risk]=$AM$84)
*(tblBaseCFResult[PremTermScenario]=$AM$85)
*(tblBaseCFResult[IntRateScenario]=AM$90),0)</f>
        <v>0</v>
      </c>
      <c r="AN103" s="182" cm="1">
        <f t="array" ref="AN103">_xlfn._xlws.FILTER(tblBaseCFResult[EndTAV],
(tblBaseCFResult[Year]=$AI103)
*(tblBaseCFResult[Risk]=$AM$84)
*(tblBaseCFResult[PremTermScenario]=$AM$85)
*(tblBaseCFResult[IntRateScenario]=AN$90),0)*$AM$87</f>
        <v>0</v>
      </c>
      <c r="AO103" s="182" cm="1">
        <f t="array" ref="AO103">_xlfn._xlws.FILTER(tblBaseCFResult[Bonus],
(tblBaseCFResult[Year]=$AI103)
*(tblBaseCFResult[Risk]=$AM$84)
*(tblBaseCFResult[PremTermScenario]=$AM$85)
*(tblBaseCFResult[IntRateScenario]=AO$90),0)*$AM$87</f>
        <v>0</v>
      </c>
      <c r="AP103" s="182" cm="1">
        <f t="array" ref="AP103">_xlfn._xlws.FILTER(tblBaseCFResult[EndTAV],
(tblBaseCFResult[Year]=$AI103)
*(tblBaseCFResult[Risk]=$AM$84)
*(tblBaseCFResult[PremTermScenario]=$AM$85)
*(tblBaseCFResult[IntRateScenario]=AP$90),0)*$AM$87</f>
        <v>0</v>
      </c>
      <c r="AQ103" s="182" cm="1">
        <f t="array" ref="AQ103">_xlfn._xlws.FILTER(tblBaseCFResult[Bonus],
(tblBaseCFResult[Year]=$AI103)
*(tblBaseCFResult[Risk]=$AM$84)
*(tblBaseCFResult[PremTermScenario]=$AM$85)
*(tblBaseCFResult[IntRateScenario]=AQ$90),0)*$AM$87</f>
        <v>0</v>
      </c>
      <c r="AR103" s="182" cm="1">
        <f t="array" ref="AR103">_xlfn._xlws.FILTER(tblBaseCFResult[EndEAV],
(tblBaseCFResult[Year]=$AI103)
*(tblBaseCFResult[Risk]=$AM$84)
*(tblBaseCFResult[PremTermScenario]=$AM$85)
*(tblBaseCFResult[IntRateScenario]=AR$90),0)*$AM$88</f>
        <v>0</v>
      </c>
      <c r="AS103" s="182">
        <v>0</v>
      </c>
      <c r="AT103" s="182" cm="1">
        <f t="array" ref="AT103">_xlfn._xlws.FILTER(tblBaseCFResult[EndEAV],
(tblBaseCFResult[Year]=$AI103)
*(tblBaseCFResult[Risk]=$AM$84)
*(tblBaseCFResult[PremTermScenario]=$AM$85)
*(tblBaseCFResult[IntRateScenario]=AT$90),0)*$AM$88</f>
        <v>0</v>
      </c>
      <c r="AU103" s="182">
        <v>0</v>
      </c>
    </row>
    <row r="104" spans="1:47" x14ac:dyDescent="0.25">
      <c r="A104" s="155">
        <v>11</v>
      </c>
      <c r="B104" s="155">
        <f t="shared" ref="B104" si="38">mainLI_entry_age+A104-1</f>
        <v>10</v>
      </c>
      <c r="D104" s="153" t="str">
        <f t="shared" si="5"/>
        <v>11/10</v>
      </c>
      <c r="E104" s="180" cm="1">
        <f t="array" ref="E104">_xlfn._xlws.FILTER(tblBaseCFResult[TotalPrem]/1000,
(tblBaseCFResult[Year]=$A104)
*(tblBaseCFResult[IntRateScenario]=$E$84)
*(tblBaseCFResult[Risk]=$E$85)
*(tblBaseCFResult[PremTermScenario]=$E$86),"")</f>
        <v>6272</v>
      </c>
      <c r="F104" s="180" cm="1">
        <f t="array" ref="F104">_xlfn._xlws.FILTER(ROUND(tblBaseCFResult[Alloc],-3)/1000,
(tblBaseCFResult[Year]=$A104)
*(tblBaseCFResult[IntRateScenario]=$E$84)
*(tblBaseCFResult[Risk]=$E$85)
*(tblBaseCFResult[PremTermScenario]=$E$86),"")</f>
        <v>6147</v>
      </c>
      <c r="G104" s="180" cm="1">
        <f t="array" ref="G104">_xlfn._xlws.FILTER(ROUND(tblBaseCFResult[Ben],-3)/1000,
(tblBaseCFResult[Year]=$A104)
*(tblBaseCFResult[IntRateScenario]=$E$84)
*(tblBaseCFResult[Risk]=$E$85)
*(tblBaseCFResult[PremTermScenario]=$E$86),"")</f>
        <v>101000</v>
      </c>
      <c r="H104" s="180" cm="1">
        <f t="array" ref="H104">_xlfn._xlws.FILTER(ROUND(tblBaseCFResult[EndEAV],-3)/1000,
(tblBaseCFResult[Year]=$A104)
*(tblBaseCFResult[IntRateScenario]=$E$84)
*(tblBaseCFResult[Risk]=$E$85)
*(tblBaseCFResult[PremTermScenario]=$E$86),"") * $E$88
+
_xlfn._xlws.FILTER(ROUND(tblBaseCFResult[EndTAV],-3)/1000,
(tblBaseCFResult[Year]=$A104)
*(tblBaseCFResult[IntRateScenario]=$E$84)
*(tblBaseCFResult[Risk]=$E$85)
*(tblBaseCFResult[PremTermScenario]=$E$86),"") * $E$89</f>
        <v>75925</v>
      </c>
      <c r="I104" s="180" cm="1">
        <f t="array" ref="I104">_xlfn._xlws.FILTER(ROUND(tblBaseCFResult[Bonus],-3)/1000,
(tblBaseCFResult[Year]=$A104)
*(tblBaseCFResult[IntRateScenario]=$E$84)
*(tblBaseCFResult[Risk]=$E$85)
*(tblBaseCFResult[PremTermScenario]=$E$86),"") * $E$88</f>
        <v>0</v>
      </c>
      <c r="J104" s="180" cm="1">
        <f t="array" ref="J104">_xlfn._xlws.FILTER(ROUND(tblBaseCFResult[Withdrawal],-3)/1000,
(tblBaseCFResult[Year]=$A104)
*(tblBaseCFResult[IntRateScenario]=$E$84)
*(tblBaseCFResult[Risk]=$E$85)
*(tblBaseCFResult[PremTermScenario]=$E$86),"")</f>
        <v>0</v>
      </c>
      <c r="K104" s="180" cm="1">
        <f t="array" ref="K104">_xlfn._xlws.FILTER(ROUND(tblBaseCFResult[QuarterlyEMLoad],-3)/1000,
(tblBaseCFResult[Year]=$A104)
*(tblBaseCFResult[IntRateScenario]=$E$84)
*(tblBaseCFResult[Risk]=$E$85)
*(tblBaseCFResult[PremTermScenario]=$E$86),"")</f>
        <v>0</v>
      </c>
      <c r="L104" s="180" cm="1">
        <f t="array" ref="L104">_xlfn._xlws.FILTER(ROUND(tblBaseCFResult[SV],-3)/1000,
(tblBaseCFResult[Year]=$A104)
*(tblBaseCFResult[IntRateScenario]=$E$84)
*(tblBaseCFResult[Risk]=$E$85)
*(tblBaseCFResult[PremTermScenario]=$E$86),"")</f>
        <v>66746</v>
      </c>
      <c r="P104" s="169"/>
      <c r="Q104" s="155">
        <v>11</v>
      </c>
      <c r="R104" s="155">
        <f t="shared" ref="R104" si="39">mainLI_entry_age+Q104-1</f>
        <v>10</v>
      </c>
      <c r="T104" s="153" t="str">
        <f t="shared" si="7"/>
        <v>11/10</v>
      </c>
      <c r="U104" s="180" cm="1">
        <f t="array" ref="U104">_xlfn._xlws.FILTER(tblBaseCFResult[TP]/1000,
(tblBaseCFResult[Year]=$A104)
*(tblBaseCFResult[IntRateScenario]=$U$84)
*(tblBaseCFResult[Risk]=$U$85)
*(tblBaseCFResult[PremTermScenario]=$U$86),"")</f>
        <v>1072</v>
      </c>
      <c r="V104" s="180" cm="1">
        <f t="array" ref="V104">_xlfn._xlws.FILTER((tblBaseCFResult[EP]+tblBaseCFResult[Load])/1000,
(tblBaseCFResult[Year]=$A104)
*(tblBaseCFResult[IntRateScenario]=$U$84)
*(tblBaseCFResult[Risk]=$U$85)
*(tblBaseCFResult[PremTermScenario]=$U$86),"")</f>
        <v>5200</v>
      </c>
      <c r="W104" s="181">
        <f t="shared" si="8"/>
        <v>6272</v>
      </c>
      <c r="X104" s="180" cm="1">
        <f t="array" ref="X104">_xlfn._xlws.FILTER(ROUND(tblBaseCFResult[TPAllocChrg],-3)/1000,
(tblBaseCFResult[Year]=$A104)
*(tblBaseCFResult[IntRateScenario]=$U$84)
*(tblBaseCFResult[Risk]=$U$85)
*(tblBaseCFResult[PremTermScenario]=$U$86),"")</f>
        <v>21</v>
      </c>
      <c r="Y104" s="180" cm="1">
        <f t="array" ref="Y104">_xlfn._xlws.FILTER(ROUND(tblBaseCFResult[EPAllocChrg]+tblBaseCFResult[LoadAllocChrg],-3)/1000,
(tblBaseCFResult[Year]=$A104)
*(tblBaseCFResult[IntRateScenario]=$U$84)
*(tblBaseCFResult[Risk]=$U$85)
*(tblBaseCFResult[PremTermScenario]=$U$86),"")</f>
        <v>104</v>
      </c>
      <c r="Z104" s="181">
        <f t="shared" si="9"/>
        <v>125</v>
      </c>
      <c r="AA104" s="181">
        <f t="shared" si="10"/>
        <v>1051</v>
      </c>
      <c r="AB104" s="181">
        <f t="shared" si="2"/>
        <v>5096</v>
      </c>
      <c r="AC104" s="181">
        <f t="shared" si="11"/>
        <v>6147</v>
      </c>
      <c r="AD104" s="180" cm="1">
        <f t="array" ref="AD104">_xlfn._xlws.FILTER(tblBaseCFResult[AdminChrg]/1000,
(tblBaseCFResult[Year]=$A104)
*(tblBaseCFResult[IntRateScenario]=$U$84)
*(tblBaseCFResult[Risk]=$U$85)
*(tblBaseCFResult[PremTermScenario]=$U$86),"")</f>
        <v>300</v>
      </c>
      <c r="AE104" s="180" cm="1">
        <f t="array" ref="AE104">_xlfn._xlws.FILTER(tblBaseCFResult[COI]/1000,
(tblBaseCFResult[Year]=$A104)
*(tblBaseCFResult[IntRateScenario]=$U$84)
*(tblBaseCFResult[Risk]=$U$85)
*(tblBaseCFResult[PremTermScenario]=$U$86),"")</f>
        <v>290.57657885020399</v>
      </c>
      <c r="AF104" s="18"/>
      <c r="AH104" s="169"/>
      <c r="AI104" s="155">
        <v>11</v>
      </c>
      <c r="AJ104" s="155">
        <f t="shared" ref="AJ104" si="40">mainLI_entry_age+AI104-1</f>
        <v>10</v>
      </c>
      <c r="AL104" s="153" t="str">
        <f t="shared" si="13"/>
        <v>11/10</v>
      </c>
      <c r="AM104" s="182" cm="1">
        <f t="array" ref="AM104">_xlfn._xlws.FILTER(
ROUND(tblBaseCFResult[TPAlloc]* $AM$87 +(tblBaseCFResult[EPAlloc] + tblBaseCFResult[LoadAlloc]) * $AM$88,-3)/1000,
(tblBaseCFResult[Year]=$AI104)
*(tblBaseCFResult[Risk]=$AM$84)
*(tblBaseCFResult[PremTermScenario]=$AM$85)
*(tblBaseCFResult[IntRateScenario]=AM$90),0)</f>
        <v>0</v>
      </c>
      <c r="AN104" s="182" cm="1">
        <f t="array" ref="AN104">_xlfn._xlws.FILTER(tblBaseCFResult[EndTAV],
(tblBaseCFResult[Year]=$AI104)
*(tblBaseCFResult[Risk]=$AM$84)
*(tblBaseCFResult[PremTermScenario]=$AM$85)
*(tblBaseCFResult[IntRateScenario]=AN$90),0)*$AM$87</f>
        <v>0</v>
      </c>
      <c r="AO104" s="182" cm="1">
        <f t="array" ref="AO104">_xlfn._xlws.FILTER(tblBaseCFResult[Bonus],
(tblBaseCFResult[Year]=$AI104)
*(tblBaseCFResult[Risk]=$AM$84)
*(tblBaseCFResult[PremTermScenario]=$AM$85)
*(tblBaseCFResult[IntRateScenario]=AO$90),0)*$AM$87</f>
        <v>0</v>
      </c>
      <c r="AP104" s="182" cm="1">
        <f t="array" ref="AP104">_xlfn._xlws.FILTER(tblBaseCFResult[EndTAV],
(tblBaseCFResult[Year]=$AI104)
*(tblBaseCFResult[Risk]=$AM$84)
*(tblBaseCFResult[PremTermScenario]=$AM$85)
*(tblBaseCFResult[IntRateScenario]=AP$90),0)*$AM$87</f>
        <v>0</v>
      </c>
      <c r="AQ104" s="182" cm="1">
        <f t="array" ref="AQ104">_xlfn._xlws.FILTER(tblBaseCFResult[Bonus],
(tblBaseCFResult[Year]=$AI104)
*(tblBaseCFResult[Risk]=$AM$84)
*(tblBaseCFResult[PremTermScenario]=$AM$85)
*(tblBaseCFResult[IntRateScenario]=AQ$90),0)*$AM$87</f>
        <v>0</v>
      </c>
      <c r="AR104" s="182" cm="1">
        <f t="array" ref="AR104">_xlfn._xlws.FILTER(tblBaseCFResult[EndEAV],
(tblBaseCFResult[Year]=$AI104)
*(tblBaseCFResult[Risk]=$AM$84)
*(tblBaseCFResult[PremTermScenario]=$AM$85)
*(tblBaseCFResult[IntRateScenario]=AR$90),0)*$AM$88</f>
        <v>0</v>
      </c>
      <c r="AS104" s="182">
        <v>0</v>
      </c>
      <c r="AT104" s="182" cm="1">
        <f t="array" ref="AT104">_xlfn._xlws.FILTER(tblBaseCFResult[EndEAV],
(tblBaseCFResult[Year]=$AI104)
*(tblBaseCFResult[Risk]=$AM$84)
*(tblBaseCFResult[PremTermScenario]=$AM$85)
*(tblBaseCFResult[IntRateScenario]=AT$90),0)*$AM$88</f>
        <v>0</v>
      </c>
      <c r="AU104" s="182">
        <v>0</v>
      </c>
    </row>
    <row r="105" spans="1:47" x14ac:dyDescent="0.25">
      <c r="A105" s="155">
        <v>12</v>
      </c>
      <c r="B105" s="155">
        <f t="shared" ref="B105" si="41">mainLI_entry_age+A105-1</f>
        <v>11</v>
      </c>
      <c r="D105" s="153" t="str">
        <f t="shared" si="5"/>
        <v>12/11</v>
      </c>
      <c r="E105" s="180" cm="1">
        <f t="array" ref="E105">_xlfn._xlws.FILTER(tblBaseCFResult[TotalPrem]/1000,
(tblBaseCFResult[Year]=$A105)
*(tblBaseCFResult[IntRateScenario]=$E$84)
*(tblBaseCFResult[Risk]=$E$85)
*(tblBaseCFResult[PremTermScenario]=$E$86),"")</f>
        <v>6272</v>
      </c>
      <c r="F105" s="180" cm="1">
        <f t="array" ref="F105">_xlfn._xlws.FILTER(ROUND(tblBaseCFResult[Alloc],-3)/1000,
(tblBaseCFResult[Year]=$A105)
*(tblBaseCFResult[IntRateScenario]=$E$84)
*(tblBaseCFResult[Risk]=$E$85)
*(tblBaseCFResult[PremTermScenario]=$E$86),"")</f>
        <v>6147</v>
      </c>
      <c r="G105" s="180" cm="1">
        <f t="array" ref="G105">_xlfn._xlws.FILTER(ROUND(tblBaseCFResult[Ben],-3)/1000,
(tblBaseCFResult[Year]=$A105)
*(tblBaseCFResult[IntRateScenario]=$E$84)
*(tblBaseCFResult[Risk]=$E$85)
*(tblBaseCFResult[PremTermScenario]=$E$86),"")</f>
        <v>101000</v>
      </c>
      <c r="H105" s="180" cm="1">
        <f t="array" ref="H105">_xlfn._xlws.FILTER(ROUND(tblBaseCFResult[EndEAV],-3)/1000,
(tblBaseCFResult[Year]=$A105)
*(tblBaseCFResult[IntRateScenario]=$E$84)
*(tblBaseCFResult[Risk]=$E$85)
*(tblBaseCFResult[PremTermScenario]=$E$86),"") * $E$88
+
_xlfn._xlws.FILTER(ROUND(tblBaseCFResult[EndTAV],-3)/1000,
(tblBaseCFResult[Year]=$A105)
*(tblBaseCFResult[IntRateScenario]=$E$84)
*(tblBaseCFResult[Risk]=$E$85)
*(tblBaseCFResult[PremTermScenario]=$E$86),"") * $E$89</f>
        <v>80512</v>
      </c>
      <c r="I105" s="180" cm="1">
        <f t="array" ref="I105">_xlfn._xlws.FILTER(ROUND(tblBaseCFResult[Bonus],-3)/1000,
(tblBaseCFResult[Year]=$A105)
*(tblBaseCFResult[IntRateScenario]=$E$84)
*(tblBaseCFResult[Risk]=$E$85)
*(tblBaseCFResult[PremTermScenario]=$E$86),"") * $E$88</f>
        <v>193</v>
      </c>
      <c r="J105" s="180" cm="1">
        <f t="array" ref="J105">_xlfn._xlws.FILTER(ROUND(tblBaseCFResult[Withdrawal],-3)/1000,
(tblBaseCFResult[Year]=$A105)
*(tblBaseCFResult[IntRateScenario]=$E$84)
*(tblBaseCFResult[Risk]=$E$85)
*(tblBaseCFResult[PremTermScenario]=$E$86),"")</f>
        <v>5000</v>
      </c>
      <c r="K105" s="180" cm="1">
        <f t="array" ref="K105">_xlfn._xlws.FILTER(ROUND(tblBaseCFResult[QuarterlyEMLoad],-3)/1000,
(tblBaseCFResult[Year]=$A105)
*(tblBaseCFResult[IntRateScenario]=$E$84)
*(tblBaseCFResult[Risk]=$E$85)
*(tblBaseCFResult[PremTermScenario]=$E$86),"")</f>
        <v>0</v>
      </c>
      <c r="L105" s="180" cm="1">
        <f t="array" ref="L105">_xlfn._xlws.FILTER(ROUND(tblBaseCFResult[SV],-3)/1000,
(tblBaseCFResult[Year]=$A105)
*(tblBaseCFResult[IntRateScenario]=$E$84)
*(tblBaseCFResult[Risk]=$E$85)
*(tblBaseCFResult[PremTermScenario]=$E$86),"")</f>
        <v>75925</v>
      </c>
      <c r="P105" s="169"/>
      <c r="Q105" s="155">
        <v>12</v>
      </c>
      <c r="R105" s="155">
        <f t="shared" ref="R105" si="42">mainLI_entry_age+Q105-1</f>
        <v>11</v>
      </c>
      <c r="T105" s="153" t="str">
        <f t="shared" si="7"/>
        <v>12/11</v>
      </c>
      <c r="U105" s="180" cm="1">
        <f t="array" ref="U105">_xlfn._xlws.FILTER(tblBaseCFResult[TP]/1000,
(tblBaseCFResult[Year]=$A105)
*(tblBaseCFResult[IntRateScenario]=$U$84)
*(tblBaseCFResult[Risk]=$U$85)
*(tblBaseCFResult[PremTermScenario]=$U$86),"")</f>
        <v>1072</v>
      </c>
      <c r="V105" s="180" cm="1">
        <f t="array" ref="V105">_xlfn._xlws.FILTER((tblBaseCFResult[EP]+tblBaseCFResult[Load])/1000,
(tblBaseCFResult[Year]=$A105)
*(tblBaseCFResult[IntRateScenario]=$U$84)
*(tblBaseCFResult[Risk]=$U$85)
*(tblBaseCFResult[PremTermScenario]=$U$86),"")</f>
        <v>5200</v>
      </c>
      <c r="W105" s="181">
        <f t="shared" si="8"/>
        <v>6272</v>
      </c>
      <c r="X105" s="180" cm="1">
        <f t="array" ref="X105">_xlfn._xlws.FILTER(ROUND(tblBaseCFResult[TPAllocChrg],-3)/1000,
(tblBaseCFResult[Year]=$A105)
*(tblBaseCFResult[IntRateScenario]=$U$84)
*(tblBaseCFResult[Risk]=$U$85)
*(tblBaseCFResult[PremTermScenario]=$U$86),"")</f>
        <v>21</v>
      </c>
      <c r="Y105" s="180" cm="1">
        <f t="array" ref="Y105">_xlfn._xlws.FILTER(ROUND(tblBaseCFResult[EPAllocChrg]+tblBaseCFResult[LoadAllocChrg],-3)/1000,
(tblBaseCFResult[Year]=$A105)
*(tblBaseCFResult[IntRateScenario]=$U$84)
*(tblBaseCFResult[Risk]=$U$85)
*(tblBaseCFResult[PremTermScenario]=$U$86),"")</f>
        <v>104</v>
      </c>
      <c r="Z105" s="181">
        <f t="shared" si="9"/>
        <v>125</v>
      </c>
      <c r="AA105" s="181">
        <f t="shared" si="10"/>
        <v>1051</v>
      </c>
      <c r="AB105" s="181">
        <f t="shared" si="2"/>
        <v>5096</v>
      </c>
      <c r="AC105" s="181">
        <f t="shared" si="11"/>
        <v>6147</v>
      </c>
      <c r="AD105" s="180" cm="1">
        <f t="array" ref="AD105">_xlfn._xlws.FILTER(tblBaseCFResult[AdminChrg]/1000,
(tblBaseCFResult[Year]=$A105)
*(tblBaseCFResult[IntRateScenario]=$U$84)
*(tblBaseCFResult[Risk]=$U$85)
*(tblBaseCFResult[PremTermScenario]=$U$86),"")</f>
        <v>300</v>
      </c>
      <c r="AE105" s="180" cm="1">
        <f t="array" ref="AE105">_xlfn._xlws.FILTER(tblBaseCFResult[COI]/1000,
(tblBaseCFResult[Year]=$A105)
*(tblBaseCFResult[IntRateScenario]=$U$84)
*(tblBaseCFResult[Risk]=$U$85)
*(tblBaseCFResult[PremTermScenario]=$U$86),"")</f>
        <v>283.26666885891103</v>
      </c>
      <c r="AF105" s="18"/>
      <c r="AH105" s="169"/>
      <c r="AI105" s="155">
        <v>12</v>
      </c>
      <c r="AJ105" s="155">
        <f t="shared" ref="AJ105" si="43">mainLI_entry_age+AI105-1</f>
        <v>11</v>
      </c>
      <c r="AL105" s="153" t="str">
        <f t="shared" si="13"/>
        <v>12/11</v>
      </c>
      <c r="AM105" s="182" cm="1">
        <f t="array" ref="AM105">_xlfn._xlws.FILTER(
ROUND(tblBaseCFResult[TPAlloc]* $AM$87 +(tblBaseCFResult[EPAlloc] + tblBaseCFResult[LoadAlloc]) * $AM$88,-3)/1000,
(tblBaseCFResult[Year]=$AI105)
*(tblBaseCFResult[Risk]=$AM$84)
*(tblBaseCFResult[PremTermScenario]=$AM$85)
*(tblBaseCFResult[IntRateScenario]=AM$90),0)</f>
        <v>0</v>
      </c>
      <c r="AN105" s="182" cm="1">
        <f t="array" ref="AN105">_xlfn._xlws.FILTER(tblBaseCFResult[EndTAV],
(tblBaseCFResult[Year]=$AI105)
*(tblBaseCFResult[Risk]=$AM$84)
*(tblBaseCFResult[PremTermScenario]=$AM$85)
*(tblBaseCFResult[IntRateScenario]=AN$90),0)*$AM$87</f>
        <v>0</v>
      </c>
      <c r="AO105" s="182" cm="1">
        <f t="array" ref="AO105">_xlfn._xlws.FILTER(tblBaseCFResult[Bonus],
(tblBaseCFResult[Year]=$AI105)
*(tblBaseCFResult[Risk]=$AM$84)
*(tblBaseCFResult[PremTermScenario]=$AM$85)
*(tblBaseCFResult[IntRateScenario]=AO$90),0)*$AM$87</f>
        <v>0</v>
      </c>
      <c r="AP105" s="182" cm="1">
        <f t="array" ref="AP105">_xlfn._xlws.FILTER(tblBaseCFResult[EndTAV],
(tblBaseCFResult[Year]=$AI105)
*(tblBaseCFResult[Risk]=$AM$84)
*(tblBaseCFResult[PremTermScenario]=$AM$85)
*(tblBaseCFResult[IntRateScenario]=AP$90),0)*$AM$87</f>
        <v>0</v>
      </c>
      <c r="AQ105" s="182" cm="1">
        <f t="array" ref="AQ105">_xlfn._xlws.FILTER(tblBaseCFResult[Bonus],
(tblBaseCFResult[Year]=$AI105)
*(tblBaseCFResult[Risk]=$AM$84)
*(tblBaseCFResult[PremTermScenario]=$AM$85)
*(tblBaseCFResult[IntRateScenario]=AQ$90),0)*$AM$87</f>
        <v>0</v>
      </c>
      <c r="AR105" s="182" cm="1">
        <f t="array" ref="AR105">_xlfn._xlws.FILTER(tblBaseCFResult[EndEAV],
(tblBaseCFResult[Year]=$AI105)
*(tblBaseCFResult[Risk]=$AM$84)
*(tblBaseCFResult[PremTermScenario]=$AM$85)
*(tblBaseCFResult[IntRateScenario]=AR$90),0)*$AM$88</f>
        <v>0</v>
      </c>
      <c r="AS105" s="182">
        <v>0</v>
      </c>
      <c r="AT105" s="182" cm="1">
        <f t="array" ref="AT105">_xlfn._xlws.FILTER(tblBaseCFResult[EndEAV],
(tblBaseCFResult[Year]=$AI105)
*(tblBaseCFResult[Risk]=$AM$84)
*(tblBaseCFResult[PremTermScenario]=$AM$85)
*(tblBaseCFResult[IntRateScenario]=AT$90),0)*$AM$88</f>
        <v>0</v>
      </c>
      <c r="AU105" s="182">
        <v>0</v>
      </c>
    </row>
    <row r="106" spans="1:47" x14ac:dyDescent="0.25">
      <c r="A106" s="155">
        <v>13</v>
      </c>
      <c r="B106" s="155">
        <f t="shared" ref="B106" si="44">mainLI_entry_age+A106-1</f>
        <v>12</v>
      </c>
      <c r="D106" s="153" t="str">
        <f t="shared" si="5"/>
        <v>13/12</v>
      </c>
      <c r="E106" s="180" cm="1">
        <f t="array" ref="E106">_xlfn._xlws.FILTER(tblBaseCFResult[TotalPrem]/1000,
(tblBaseCFResult[Year]=$A106)
*(tblBaseCFResult[IntRateScenario]=$E$84)
*(tblBaseCFResult[Risk]=$E$85)
*(tblBaseCFResult[PremTermScenario]=$E$86),"")</f>
        <v>6272</v>
      </c>
      <c r="F106" s="180" cm="1">
        <f t="array" ref="F106">_xlfn._xlws.FILTER(ROUND(tblBaseCFResult[Alloc],-3)/1000,
(tblBaseCFResult[Year]=$A106)
*(tblBaseCFResult[IntRateScenario]=$E$84)
*(tblBaseCFResult[Risk]=$E$85)
*(tblBaseCFResult[PremTermScenario]=$E$86),"")</f>
        <v>6147</v>
      </c>
      <c r="G106" s="180" cm="1">
        <f t="array" ref="G106">_xlfn._xlws.FILTER(ROUND(tblBaseCFResult[Ben],-3)/1000,
(tblBaseCFResult[Year]=$A106)
*(tblBaseCFResult[IntRateScenario]=$E$84)
*(tblBaseCFResult[Risk]=$E$85)
*(tblBaseCFResult[PremTermScenario]=$E$86),"")</f>
        <v>101000</v>
      </c>
      <c r="H106" s="180" cm="1">
        <f t="array" ref="H106">_xlfn._xlws.FILTER(ROUND(tblBaseCFResult[EndEAV],-3)/1000,
(tblBaseCFResult[Year]=$A106)
*(tblBaseCFResult[IntRateScenario]=$E$84)
*(tblBaseCFResult[Risk]=$E$85)
*(tblBaseCFResult[PremTermScenario]=$E$86),"") * $E$88
+
_xlfn._xlws.FILTER(ROUND(tblBaseCFResult[EndTAV],-3)/1000,
(tblBaseCFResult[Year]=$A106)
*(tblBaseCFResult[IntRateScenario]=$E$84)
*(tblBaseCFResult[Risk]=$E$85)
*(tblBaseCFResult[PremTermScenario]=$E$86),"") * $E$89</f>
        <v>85139</v>
      </c>
      <c r="I106" s="180" cm="1">
        <f t="array" ref="I106">_xlfn._xlws.FILTER(ROUND(tblBaseCFResult[Bonus],-3)/1000,
(tblBaseCFResult[Year]=$A106)
*(tblBaseCFResult[IntRateScenario]=$E$84)
*(tblBaseCFResult[Risk]=$E$85)
*(tblBaseCFResult[PremTermScenario]=$E$86),"") * $E$88</f>
        <v>0</v>
      </c>
      <c r="J106" s="180" cm="1">
        <f t="array" ref="J106">_xlfn._xlws.FILTER(ROUND(tblBaseCFResult[Withdrawal],-3)/1000,
(tblBaseCFResult[Year]=$A106)
*(tblBaseCFResult[IntRateScenario]=$E$84)
*(tblBaseCFResult[Risk]=$E$85)
*(tblBaseCFResult[PremTermScenario]=$E$86),"")</f>
        <v>5000</v>
      </c>
      <c r="K106" s="180" cm="1">
        <f t="array" ref="K106">_xlfn._xlws.FILTER(ROUND(tblBaseCFResult[QuarterlyEMLoad],-3)/1000,
(tblBaseCFResult[Year]=$A106)
*(tblBaseCFResult[IntRateScenario]=$E$84)
*(tblBaseCFResult[Risk]=$E$85)
*(tblBaseCFResult[PremTermScenario]=$E$86),"")</f>
        <v>0</v>
      </c>
      <c r="L106" s="180" cm="1">
        <f t="array" ref="L106">_xlfn._xlws.FILTER(ROUND(tblBaseCFResult[SV],-3)/1000,
(tblBaseCFResult[Year]=$A106)
*(tblBaseCFResult[IntRateScenario]=$E$84)
*(tblBaseCFResult[Risk]=$E$85)
*(tblBaseCFResult[PremTermScenario]=$E$86),"")</f>
        <v>80512</v>
      </c>
      <c r="P106" s="169"/>
      <c r="Q106" s="155">
        <v>13</v>
      </c>
      <c r="R106" s="155">
        <f t="shared" ref="R106" si="45">mainLI_entry_age+Q106-1</f>
        <v>12</v>
      </c>
      <c r="T106" s="153" t="str">
        <f t="shared" si="7"/>
        <v>13/12</v>
      </c>
      <c r="U106" s="180" cm="1">
        <f t="array" ref="U106">_xlfn._xlws.FILTER(tblBaseCFResult[TP]/1000,
(tblBaseCFResult[Year]=$A106)
*(tblBaseCFResult[IntRateScenario]=$U$84)
*(tblBaseCFResult[Risk]=$U$85)
*(tblBaseCFResult[PremTermScenario]=$U$86),"")</f>
        <v>1072</v>
      </c>
      <c r="V106" s="180" cm="1">
        <f t="array" ref="V106">_xlfn._xlws.FILTER((tblBaseCFResult[EP]+tblBaseCFResult[Load])/1000,
(tblBaseCFResult[Year]=$A106)
*(tblBaseCFResult[IntRateScenario]=$U$84)
*(tblBaseCFResult[Risk]=$U$85)
*(tblBaseCFResult[PremTermScenario]=$U$86),"")</f>
        <v>5200</v>
      </c>
      <c r="W106" s="181">
        <f t="shared" si="8"/>
        <v>6272</v>
      </c>
      <c r="X106" s="180" cm="1">
        <f t="array" ref="X106">_xlfn._xlws.FILTER(ROUND(tblBaseCFResult[TPAllocChrg],-3)/1000,
(tblBaseCFResult[Year]=$A106)
*(tblBaseCFResult[IntRateScenario]=$U$84)
*(tblBaseCFResult[Risk]=$U$85)
*(tblBaseCFResult[PremTermScenario]=$U$86),"")</f>
        <v>21</v>
      </c>
      <c r="Y106" s="180" cm="1">
        <f t="array" ref="Y106">_xlfn._xlws.FILTER(ROUND(tblBaseCFResult[EPAllocChrg]+tblBaseCFResult[LoadAllocChrg],-3)/1000,
(tblBaseCFResult[Year]=$A106)
*(tblBaseCFResult[IntRateScenario]=$U$84)
*(tblBaseCFResult[Risk]=$U$85)
*(tblBaseCFResult[PremTermScenario]=$U$86),"")</f>
        <v>104</v>
      </c>
      <c r="Z106" s="181">
        <f t="shared" si="9"/>
        <v>125</v>
      </c>
      <c r="AA106" s="181">
        <f t="shared" si="10"/>
        <v>1051</v>
      </c>
      <c r="AB106" s="181">
        <f t="shared" si="2"/>
        <v>5096</v>
      </c>
      <c r="AC106" s="181">
        <f t="shared" si="11"/>
        <v>6147</v>
      </c>
      <c r="AD106" s="180" cm="1">
        <f t="array" ref="AD106">_xlfn._xlws.FILTER(tblBaseCFResult[AdminChrg]/1000,
(tblBaseCFResult[Year]=$A106)
*(tblBaseCFResult[IntRateScenario]=$U$84)
*(tblBaseCFResult[Risk]=$U$85)
*(tblBaseCFResult[PremTermScenario]=$U$86),"")</f>
        <v>300</v>
      </c>
      <c r="AE106" s="180" cm="1">
        <f t="array" ref="AE106">_xlfn._xlws.FILTER(tblBaseCFResult[COI]/1000,
(tblBaseCFResult[Year]=$A106)
*(tblBaseCFResult[IntRateScenario]=$U$84)
*(tblBaseCFResult[Risk]=$U$85)
*(tblBaseCFResult[PremTermScenario]=$U$86),"")</f>
        <v>278.73511624308298</v>
      </c>
      <c r="AF106" s="18"/>
      <c r="AH106" s="169"/>
      <c r="AI106" s="155">
        <v>13</v>
      </c>
      <c r="AJ106" s="155">
        <f t="shared" ref="AJ106" si="46">mainLI_entry_age+AI106-1</f>
        <v>12</v>
      </c>
      <c r="AL106" s="153" t="str">
        <f t="shared" si="13"/>
        <v>13/12</v>
      </c>
      <c r="AM106" s="182" cm="1">
        <f t="array" ref="AM106">_xlfn._xlws.FILTER(
ROUND(tblBaseCFResult[TPAlloc]* $AM$87 +(tblBaseCFResult[EPAlloc] + tblBaseCFResult[LoadAlloc]) * $AM$88,-3)/1000,
(tblBaseCFResult[Year]=$AI106)
*(tblBaseCFResult[Risk]=$AM$84)
*(tblBaseCFResult[PremTermScenario]=$AM$85)
*(tblBaseCFResult[IntRateScenario]=AM$90),0)</f>
        <v>0</v>
      </c>
      <c r="AN106" s="182" cm="1">
        <f t="array" ref="AN106">_xlfn._xlws.FILTER(tblBaseCFResult[EndTAV],
(tblBaseCFResult[Year]=$AI106)
*(tblBaseCFResult[Risk]=$AM$84)
*(tblBaseCFResult[PremTermScenario]=$AM$85)
*(tblBaseCFResult[IntRateScenario]=AN$90),0)*$AM$87</f>
        <v>0</v>
      </c>
      <c r="AO106" s="182" cm="1">
        <f t="array" ref="AO106">_xlfn._xlws.FILTER(tblBaseCFResult[Bonus],
(tblBaseCFResult[Year]=$AI106)
*(tblBaseCFResult[Risk]=$AM$84)
*(tblBaseCFResult[PremTermScenario]=$AM$85)
*(tblBaseCFResult[IntRateScenario]=AO$90),0)*$AM$87</f>
        <v>0</v>
      </c>
      <c r="AP106" s="182" cm="1">
        <f t="array" ref="AP106">_xlfn._xlws.FILTER(tblBaseCFResult[EndTAV],
(tblBaseCFResult[Year]=$AI106)
*(tblBaseCFResult[Risk]=$AM$84)
*(tblBaseCFResult[PremTermScenario]=$AM$85)
*(tblBaseCFResult[IntRateScenario]=AP$90),0)*$AM$87</f>
        <v>0</v>
      </c>
      <c r="AQ106" s="182" cm="1">
        <f t="array" ref="AQ106">_xlfn._xlws.FILTER(tblBaseCFResult[Bonus],
(tblBaseCFResult[Year]=$AI106)
*(tblBaseCFResult[Risk]=$AM$84)
*(tblBaseCFResult[PremTermScenario]=$AM$85)
*(tblBaseCFResult[IntRateScenario]=AQ$90),0)*$AM$87</f>
        <v>0</v>
      </c>
      <c r="AR106" s="182" cm="1">
        <f t="array" ref="AR106">_xlfn._xlws.FILTER(tblBaseCFResult[EndEAV],
(tblBaseCFResult[Year]=$AI106)
*(tblBaseCFResult[Risk]=$AM$84)
*(tblBaseCFResult[PremTermScenario]=$AM$85)
*(tblBaseCFResult[IntRateScenario]=AR$90),0)*$AM$88</f>
        <v>0</v>
      </c>
      <c r="AS106" s="182">
        <v>0</v>
      </c>
      <c r="AT106" s="182" cm="1">
        <f t="array" ref="AT106">_xlfn._xlws.FILTER(tblBaseCFResult[EndEAV],
(tblBaseCFResult[Year]=$AI106)
*(tblBaseCFResult[Risk]=$AM$84)
*(tblBaseCFResult[PremTermScenario]=$AM$85)
*(tblBaseCFResult[IntRateScenario]=AT$90),0)*$AM$88</f>
        <v>0</v>
      </c>
      <c r="AU106" s="182">
        <v>0</v>
      </c>
    </row>
    <row r="107" spans="1:47" x14ac:dyDescent="0.25">
      <c r="A107" s="155">
        <v>14</v>
      </c>
      <c r="B107" s="155">
        <f t="shared" ref="B107" si="47">mainLI_entry_age+A107-1</f>
        <v>13</v>
      </c>
      <c r="D107" s="153" t="str">
        <f t="shared" si="5"/>
        <v>14/13</v>
      </c>
      <c r="E107" s="180" cm="1">
        <f t="array" ref="E107">_xlfn._xlws.FILTER(tblBaseCFResult[TotalPrem]/1000,
(tblBaseCFResult[Year]=$A107)
*(tblBaseCFResult[IntRateScenario]=$E$84)
*(tblBaseCFResult[Risk]=$E$85)
*(tblBaseCFResult[PremTermScenario]=$E$86),"")</f>
        <v>6272</v>
      </c>
      <c r="F107" s="180" cm="1">
        <f t="array" ref="F107">_xlfn._xlws.FILTER(ROUND(tblBaseCFResult[Alloc],-3)/1000,
(tblBaseCFResult[Year]=$A107)
*(tblBaseCFResult[IntRateScenario]=$E$84)
*(tblBaseCFResult[Risk]=$E$85)
*(tblBaseCFResult[PremTermScenario]=$E$86),"")</f>
        <v>6147</v>
      </c>
      <c r="G107" s="180" cm="1">
        <f t="array" ref="G107">_xlfn._xlws.FILTER(ROUND(tblBaseCFResult[Ben],-3)/1000,
(tblBaseCFResult[Year]=$A107)
*(tblBaseCFResult[IntRateScenario]=$E$84)
*(tblBaseCFResult[Risk]=$E$85)
*(tblBaseCFResult[PremTermScenario]=$E$86),"")</f>
        <v>101000</v>
      </c>
      <c r="H107" s="180" cm="1">
        <f t="array" ref="H107">_xlfn._xlws.FILTER(ROUND(tblBaseCFResult[EndEAV],-3)/1000,
(tblBaseCFResult[Year]=$A107)
*(tblBaseCFResult[IntRateScenario]=$E$84)
*(tblBaseCFResult[Risk]=$E$85)
*(tblBaseCFResult[PremTermScenario]=$E$86),"") * $E$88
+
_xlfn._xlws.FILTER(ROUND(tblBaseCFResult[EndTAV],-3)/1000,
(tblBaseCFResult[Year]=$A107)
*(tblBaseCFResult[IntRateScenario]=$E$84)
*(tblBaseCFResult[Risk]=$E$85)
*(tblBaseCFResult[PremTermScenario]=$E$86),"") * $E$89</f>
        <v>89999</v>
      </c>
      <c r="I107" s="180" cm="1">
        <f t="array" ref="I107">_xlfn._xlws.FILTER(ROUND(tblBaseCFResult[Bonus],-3)/1000,
(tblBaseCFResult[Year]=$A107)
*(tblBaseCFResult[IntRateScenario]=$E$84)
*(tblBaseCFResult[Risk]=$E$85)
*(tblBaseCFResult[PremTermScenario]=$E$86),"") * $E$88</f>
        <v>0</v>
      </c>
      <c r="J107" s="180" cm="1">
        <f t="array" ref="J107">_xlfn._xlws.FILTER(ROUND(tblBaseCFResult[Withdrawal],-3)/1000,
(tblBaseCFResult[Year]=$A107)
*(tblBaseCFResult[IntRateScenario]=$E$84)
*(tblBaseCFResult[Risk]=$E$85)
*(tblBaseCFResult[PremTermScenario]=$E$86),"")</f>
        <v>5000</v>
      </c>
      <c r="K107" s="180" cm="1">
        <f t="array" ref="K107">_xlfn._xlws.FILTER(ROUND(tblBaseCFResult[QuarterlyEMLoad],-3)/1000,
(tblBaseCFResult[Year]=$A107)
*(tblBaseCFResult[IntRateScenario]=$E$84)
*(tblBaseCFResult[Risk]=$E$85)
*(tblBaseCFResult[PremTermScenario]=$E$86),"")</f>
        <v>0</v>
      </c>
      <c r="L107" s="180" cm="1">
        <f t="array" ref="L107">_xlfn._xlws.FILTER(ROUND(tblBaseCFResult[SV],-3)/1000,
(tblBaseCFResult[Year]=$A107)
*(tblBaseCFResult[IntRateScenario]=$E$84)
*(tblBaseCFResult[Risk]=$E$85)
*(tblBaseCFResult[PremTermScenario]=$E$86),"")</f>
        <v>85138</v>
      </c>
      <c r="P107" s="169"/>
      <c r="Q107" s="155">
        <v>14</v>
      </c>
      <c r="R107" s="155">
        <f t="shared" ref="R107" si="48">mainLI_entry_age+Q107-1</f>
        <v>13</v>
      </c>
      <c r="T107" s="153" t="str">
        <f t="shared" si="7"/>
        <v>14/13</v>
      </c>
      <c r="U107" s="180" cm="1">
        <f t="array" ref="U107">_xlfn._xlws.FILTER(tblBaseCFResult[TP]/1000,
(tblBaseCFResult[Year]=$A107)
*(tblBaseCFResult[IntRateScenario]=$U$84)
*(tblBaseCFResult[Risk]=$U$85)
*(tblBaseCFResult[PremTermScenario]=$U$86),"")</f>
        <v>1072</v>
      </c>
      <c r="V107" s="180" cm="1">
        <f t="array" ref="V107">_xlfn._xlws.FILTER((tblBaseCFResult[EP]+tblBaseCFResult[Load])/1000,
(tblBaseCFResult[Year]=$A107)
*(tblBaseCFResult[IntRateScenario]=$U$84)
*(tblBaseCFResult[Risk]=$U$85)
*(tblBaseCFResult[PremTermScenario]=$U$86),"")</f>
        <v>5200</v>
      </c>
      <c r="W107" s="181">
        <f t="shared" si="8"/>
        <v>6272</v>
      </c>
      <c r="X107" s="180" cm="1">
        <f t="array" ref="X107">_xlfn._xlws.FILTER(ROUND(tblBaseCFResult[TPAllocChrg],-3)/1000,
(tblBaseCFResult[Year]=$A107)
*(tblBaseCFResult[IntRateScenario]=$U$84)
*(tblBaseCFResult[Risk]=$U$85)
*(tblBaseCFResult[PremTermScenario]=$U$86),"")</f>
        <v>21</v>
      </c>
      <c r="Y107" s="180" cm="1">
        <f t="array" ref="Y107">_xlfn._xlws.FILTER(ROUND(tblBaseCFResult[EPAllocChrg]+tblBaseCFResult[LoadAllocChrg],-3)/1000,
(tblBaseCFResult[Year]=$A107)
*(tblBaseCFResult[IntRateScenario]=$U$84)
*(tblBaseCFResult[Risk]=$U$85)
*(tblBaseCFResult[PremTermScenario]=$U$86),"")</f>
        <v>104</v>
      </c>
      <c r="Z107" s="181">
        <f t="shared" si="9"/>
        <v>125</v>
      </c>
      <c r="AA107" s="181">
        <f t="shared" si="10"/>
        <v>1051</v>
      </c>
      <c r="AB107" s="181">
        <f t="shared" si="2"/>
        <v>5096</v>
      </c>
      <c r="AC107" s="181">
        <f t="shared" si="11"/>
        <v>6147</v>
      </c>
      <c r="AD107" s="180" cm="1">
        <f t="array" ref="AD107">_xlfn._xlws.FILTER(tblBaseCFResult[AdminChrg]/1000,
(tblBaseCFResult[Year]=$A107)
*(tblBaseCFResult[IntRateScenario]=$U$84)
*(tblBaseCFResult[Risk]=$U$85)
*(tblBaseCFResult[PremTermScenario]=$U$86),"")</f>
        <v>300</v>
      </c>
      <c r="AE107" s="180" cm="1">
        <f t="array" ref="AE107">_xlfn._xlws.FILTER(tblBaseCFResult[COI]/1000,
(tblBaseCFResult[Year]=$A107)
*(tblBaseCFResult[IntRateScenario]=$U$84)
*(tblBaseCFResult[Risk]=$U$85)
*(tblBaseCFResult[PremTermScenario]=$U$86),"")</f>
        <v>273.58521133879503</v>
      </c>
      <c r="AF107" s="18"/>
      <c r="AH107" s="169"/>
      <c r="AI107" s="155">
        <v>14</v>
      </c>
      <c r="AJ107" s="155">
        <f t="shared" ref="AJ107" si="49">mainLI_entry_age+AI107-1</f>
        <v>13</v>
      </c>
      <c r="AL107" s="153" t="str">
        <f t="shared" si="13"/>
        <v>14/13</v>
      </c>
      <c r="AM107" s="182" cm="1">
        <f t="array" ref="AM107">_xlfn._xlws.FILTER(
ROUND(tblBaseCFResult[TPAlloc]* $AM$87 +(tblBaseCFResult[EPAlloc] + tblBaseCFResult[LoadAlloc]) * $AM$88,-3)/1000,
(tblBaseCFResult[Year]=$AI107)
*(tblBaseCFResult[Risk]=$AM$84)
*(tblBaseCFResult[PremTermScenario]=$AM$85)
*(tblBaseCFResult[IntRateScenario]=AM$90),0)</f>
        <v>0</v>
      </c>
      <c r="AN107" s="182" cm="1">
        <f t="array" ref="AN107">_xlfn._xlws.FILTER(tblBaseCFResult[EndTAV],
(tblBaseCFResult[Year]=$AI107)
*(tblBaseCFResult[Risk]=$AM$84)
*(tblBaseCFResult[PremTermScenario]=$AM$85)
*(tblBaseCFResult[IntRateScenario]=AN$90),0)*$AM$87</f>
        <v>0</v>
      </c>
      <c r="AO107" s="182" cm="1">
        <f t="array" ref="AO107">_xlfn._xlws.FILTER(tblBaseCFResult[Bonus],
(tblBaseCFResult[Year]=$AI107)
*(tblBaseCFResult[Risk]=$AM$84)
*(tblBaseCFResult[PremTermScenario]=$AM$85)
*(tblBaseCFResult[IntRateScenario]=AO$90),0)*$AM$87</f>
        <v>0</v>
      </c>
      <c r="AP107" s="182" cm="1">
        <f t="array" ref="AP107">_xlfn._xlws.FILTER(tblBaseCFResult[EndTAV],
(tblBaseCFResult[Year]=$AI107)
*(tblBaseCFResult[Risk]=$AM$84)
*(tblBaseCFResult[PremTermScenario]=$AM$85)
*(tblBaseCFResult[IntRateScenario]=AP$90),0)*$AM$87</f>
        <v>0</v>
      </c>
      <c r="AQ107" s="182" cm="1">
        <f t="array" ref="AQ107">_xlfn._xlws.FILTER(tblBaseCFResult[Bonus],
(tblBaseCFResult[Year]=$AI107)
*(tblBaseCFResult[Risk]=$AM$84)
*(tblBaseCFResult[PremTermScenario]=$AM$85)
*(tblBaseCFResult[IntRateScenario]=AQ$90),0)*$AM$87</f>
        <v>0</v>
      </c>
      <c r="AR107" s="182" cm="1">
        <f t="array" ref="AR107">_xlfn._xlws.FILTER(tblBaseCFResult[EndEAV],
(tblBaseCFResult[Year]=$AI107)
*(tblBaseCFResult[Risk]=$AM$84)
*(tblBaseCFResult[PremTermScenario]=$AM$85)
*(tblBaseCFResult[IntRateScenario]=AR$90),0)*$AM$88</f>
        <v>0</v>
      </c>
      <c r="AS107" s="182">
        <v>0</v>
      </c>
      <c r="AT107" s="182" cm="1">
        <f t="array" ref="AT107">_xlfn._xlws.FILTER(tblBaseCFResult[EndEAV],
(tblBaseCFResult[Year]=$AI107)
*(tblBaseCFResult[Risk]=$AM$84)
*(tblBaseCFResult[PremTermScenario]=$AM$85)
*(tblBaseCFResult[IntRateScenario]=AT$90),0)*$AM$88</f>
        <v>0</v>
      </c>
      <c r="AU107" s="182">
        <v>0</v>
      </c>
    </row>
    <row r="108" spans="1:47" x14ac:dyDescent="0.25">
      <c r="A108" s="155">
        <v>15</v>
      </c>
      <c r="B108" s="155">
        <f t="shared" ref="B108" si="50">mainLI_entry_age+A108-1</f>
        <v>14</v>
      </c>
      <c r="D108" s="153" t="str">
        <f t="shared" si="5"/>
        <v>15/14</v>
      </c>
      <c r="E108" s="180" cm="1">
        <f t="array" ref="E108">_xlfn._xlws.FILTER(tblBaseCFResult[TotalPrem]/1000,
(tblBaseCFResult[Year]=$A108)
*(tblBaseCFResult[IntRateScenario]=$E$84)
*(tblBaseCFResult[Risk]=$E$85)
*(tblBaseCFResult[PremTermScenario]=$E$86),"")</f>
        <v>6272</v>
      </c>
      <c r="F108" s="180" cm="1">
        <f t="array" ref="F108">_xlfn._xlws.FILTER(ROUND(tblBaseCFResult[Alloc],-3)/1000,
(tblBaseCFResult[Year]=$A108)
*(tblBaseCFResult[IntRateScenario]=$E$84)
*(tblBaseCFResult[Risk]=$E$85)
*(tblBaseCFResult[PremTermScenario]=$E$86),"")</f>
        <v>6147</v>
      </c>
      <c r="G108" s="180" cm="1">
        <f t="array" ref="G108">_xlfn._xlws.FILTER(ROUND(tblBaseCFResult[Ben],-3)/1000,
(tblBaseCFResult[Year]=$A108)
*(tblBaseCFResult[IntRateScenario]=$E$84)
*(tblBaseCFResult[Risk]=$E$85)
*(tblBaseCFResult[PremTermScenario]=$E$86),"")</f>
        <v>101000</v>
      </c>
      <c r="H108" s="180" cm="1">
        <f t="array" ref="H108">_xlfn._xlws.FILTER(ROUND(tblBaseCFResult[EndEAV],-3)/1000,
(tblBaseCFResult[Year]=$A108)
*(tblBaseCFResult[IntRateScenario]=$E$84)
*(tblBaseCFResult[Risk]=$E$85)
*(tblBaseCFResult[PremTermScenario]=$E$86),"") * $E$88
+
_xlfn._xlws.FILTER(ROUND(tblBaseCFResult[EndTAV],-3)/1000,
(tblBaseCFResult[Year]=$A108)
*(tblBaseCFResult[IntRateScenario]=$E$84)
*(tblBaseCFResult[Risk]=$E$85)
*(tblBaseCFResult[PremTermScenario]=$E$86),"") * $E$89</f>
        <v>95105</v>
      </c>
      <c r="I108" s="180" cm="1">
        <f t="array" ref="I108">_xlfn._xlws.FILTER(ROUND(tblBaseCFResult[Bonus],-3)/1000,
(tblBaseCFResult[Year]=$A108)
*(tblBaseCFResult[IntRateScenario]=$E$84)
*(tblBaseCFResult[Risk]=$E$85)
*(tblBaseCFResult[PremTermScenario]=$E$86),"") * $E$88</f>
        <v>0</v>
      </c>
      <c r="J108" s="180" cm="1">
        <f t="array" ref="J108">_xlfn._xlws.FILTER(ROUND(tblBaseCFResult[Withdrawal],-3)/1000,
(tblBaseCFResult[Year]=$A108)
*(tblBaseCFResult[IntRateScenario]=$E$84)
*(tblBaseCFResult[Risk]=$E$85)
*(tblBaseCFResult[PremTermScenario]=$E$86),"")</f>
        <v>5000</v>
      </c>
      <c r="K108" s="180" cm="1">
        <f t="array" ref="K108">_xlfn._xlws.FILTER(ROUND(tblBaseCFResult[QuarterlyEMLoad],-3)/1000,
(tblBaseCFResult[Year]=$A108)
*(tblBaseCFResult[IntRateScenario]=$E$84)
*(tblBaseCFResult[Risk]=$E$85)
*(tblBaseCFResult[PremTermScenario]=$E$86),"")</f>
        <v>0</v>
      </c>
      <c r="L108" s="180" cm="1">
        <f t="array" ref="L108">_xlfn._xlws.FILTER(ROUND(tblBaseCFResult[SV],-3)/1000,
(tblBaseCFResult[Year]=$A108)
*(tblBaseCFResult[IntRateScenario]=$E$84)
*(tblBaseCFResult[Risk]=$E$85)
*(tblBaseCFResult[PremTermScenario]=$E$86),"")</f>
        <v>89998</v>
      </c>
      <c r="P108" s="169"/>
      <c r="Q108" s="155">
        <v>15</v>
      </c>
      <c r="R108" s="155">
        <f t="shared" ref="R108" si="51">mainLI_entry_age+Q108-1</f>
        <v>14</v>
      </c>
      <c r="T108" s="153" t="str">
        <f t="shared" si="7"/>
        <v>15/14</v>
      </c>
      <c r="U108" s="180" cm="1">
        <f t="array" ref="U108">_xlfn._xlws.FILTER(tblBaseCFResult[TP]/1000,
(tblBaseCFResult[Year]=$A108)
*(tblBaseCFResult[IntRateScenario]=$U$84)
*(tblBaseCFResult[Risk]=$U$85)
*(tblBaseCFResult[PremTermScenario]=$U$86),"")</f>
        <v>1072</v>
      </c>
      <c r="V108" s="180" cm="1">
        <f t="array" ref="V108">_xlfn._xlws.FILTER((tblBaseCFResult[EP]+tblBaseCFResult[Load])/1000,
(tblBaseCFResult[Year]=$A108)
*(tblBaseCFResult[IntRateScenario]=$U$84)
*(tblBaseCFResult[Risk]=$U$85)
*(tblBaseCFResult[PremTermScenario]=$U$86),"")</f>
        <v>5200</v>
      </c>
      <c r="W108" s="181">
        <f t="shared" si="8"/>
        <v>6272</v>
      </c>
      <c r="X108" s="180" cm="1">
        <f t="array" ref="X108">_xlfn._xlws.FILTER(ROUND(tblBaseCFResult[TPAllocChrg],-3)/1000,
(tblBaseCFResult[Year]=$A108)
*(tblBaseCFResult[IntRateScenario]=$U$84)
*(tblBaseCFResult[Risk]=$U$85)
*(tblBaseCFResult[PremTermScenario]=$U$86),"")</f>
        <v>21</v>
      </c>
      <c r="Y108" s="180" cm="1">
        <f t="array" ref="Y108">_xlfn._xlws.FILTER(ROUND(tblBaseCFResult[EPAllocChrg]+tblBaseCFResult[LoadAllocChrg],-3)/1000,
(tblBaseCFResult[Year]=$A108)
*(tblBaseCFResult[IntRateScenario]=$U$84)
*(tblBaseCFResult[Risk]=$U$85)
*(tblBaseCFResult[PremTermScenario]=$U$86),"")</f>
        <v>104</v>
      </c>
      <c r="Z108" s="181">
        <f t="shared" si="9"/>
        <v>125</v>
      </c>
      <c r="AA108" s="181">
        <f t="shared" si="10"/>
        <v>1051</v>
      </c>
      <c r="AB108" s="181">
        <f t="shared" si="2"/>
        <v>5096</v>
      </c>
      <c r="AC108" s="181">
        <f t="shared" si="11"/>
        <v>6147</v>
      </c>
      <c r="AD108" s="180" cm="1">
        <f t="array" ref="AD108">_xlfn._xlws.FILTER(tblBaseCFResult[AdminChrg]/1000,
(tblBaseCFResult[Year]=$A108)
*(tblBaseCFResult[IntRateScenario]=$U$84)
*(tblBaseCFResult[Risk]=$U$85)
*(tblBaseCFResult[PremTermScenario]=$U$86),"")</f>
        <v>300</v>
      </c>
      <c r="AE108" s="180" cm="1">
        <f t="array" ref="AE108">_xlfn._xlws.FILTER(tblBaseCFResult[COI]/1000,
(tblBaseCFResult[Year]=$A108)
*(tblBaseCFResult[IntRateScenario]=$U$84)
*(tblBaseCFResult[Risk]=$U$85)
*(tblBaseCFResult[PremTermScenario]=$U$86),"")</f>
        <v>272.7</v>
      </c>
      <c r="AF108" s="18"/>
      <c r="AH108" s="169"/>
      <c r="AI108" s="155">
        <v>15</v>
      </c>
      <c r="AJ108" s="155">
        <f t="shared" ref="AJ108" si="52">mainLI_entry_age+AI108-1</f>
        <v>14</v>
      </c>
      <c r="AL108" s="153" t="str">
        <f t="shared" si="13"/>
        <v>15/14</v>
      </c>
      <c r="AM108" s="182" cm="1">
        <f t="array" ref="AM108">_xlfn._xlws.FILTER(
ROUND(tblBaseCFResult[TPAlloc]* $AM$87 +(tblBaseCFResult[EPAlloc] + tblBaseCFResult[LoadAlloc]) * $AM$88,-3)/1000,
(tblBaseCFResult[Year]=$AI108)
*(tblBaseCFResult[Risk]=$AM$84)
*(tblBaseCFResult[PremTermScenario]=$AM$85)
*(tblBaseCFResult[IntRateScenario]=AM$90),0)</f>
        <v>0</v>
      </c>
      <c r="AN108" s="182" cm="1">
        <f t="array" ref="AN108">_xlfn._xlws.FILTER(tblBaseCFResult[EndTAV],
(tblBaseCFResult[Year]=$AI108)
*(tblBaseCFResult[Risk]=$AM$84)
*(tblBaseCFResult[PremTermScenario]=$AM$85)
*(tblBaseCFResult[IntRateScenario]=AN$90),0)*$AM$87</f>
        <v>0</v>
      </c>
      <c r="AO108" s="182" cm="1">
        <f t="array" ref="AO108">_xlfn._xlws.FILTER(tblBaseCFResult[Bonus],
(tblBaseCFResult[Year]=$AI108)
*(tblBaseCFResult[Risk]=$AM$84)
*(tblBaseCFResult[PremTermScenario]=$AM$85)
*(tblBaseCFResult[IntRateScenario]=AO$90),0)*$AM$87</f>
        <v>0</v>
      </c>
      <c r="AP108" s="182" cm="1">
        <f t="array" ref="AP108">_xlfn._xlws.FILTER(tblBaseCFResult[EndTAV],
(tblBaseCFResult[Year]=$AI108)
*(tblBaseCFResult[Risk]=$AM$84)
*(tblBaseCFResult[PremTermScenario]=$AM$85)
*(tblBaseCFResult[IntRateScenario]=AP$90),0)*$AM$87</f>
        <v>0</v>
      </c>
      <c r="AQ108" s="182" cm="1">
        <f t="array" ref="AQ108">_xlfn._xlws.FILTER(tblBaseCFResult[Bonus],
(tblBaseCFResult[Year]=$AI108)
*(tblBaseCFResult[Risk]=$AM$84)
*(tblBaseCFResult[PremTermScenario]=$AM$85)
*(tblBaseCFResult[IntRateScenario]=AQ$90),0)*$AM$87</f>
        <v>0</v>
      </c>
      <c r="AR108" s="182" cm="1">
        <f t="array" ref="AR108">_xlfn._xlws.FILTER(tblBaseCFResult[EndEAV],
(tblBaseCFResult[Year]=$AI108)
*(tblBaseCFResult[Risk]=$AM$84)
*(tblBaseCFResult[PremTermScenario]=$AM$85)
*(tblBaseCFResult[IntRateScenario]=AR$90),0)*$AM$88</f>
        <v>0</v>
      </c>
      <c r="AS108" s="182">
        <v>0</v>
      </c>
      <c r="AT108" s="182" cm="1">
        <f t="array" ref="AT108">_xlfn._xlws.FILTER(tblBaseCFResult[EndEAV],
(tblBaseCFResult[Year]=$AI108)
*(tblBaseCFResult[Risk]=$AM$84)
*(tblBaseCFResult[PremTermScenario]=$AM$85)
*(tblBaseCFResult[IntRateScenario]=AT$90),0)*$AM$88</f>
        <v>0</v>
      </c>
      <c r="AU108" s="182">
        <v>0</v>
      </c>
    </row>
    <row r="109" spans="1:47" x14ac:dyDescent="0.25">
      <c r="A109" s="155">
        <v>16</v>
      </c>
      <c r="B109" s="155">
        <f t="shared" ref="B109" si="53">mainLI_entry_age+A109-1</f>
        <v>15</v>
      </c>
      <c r="D109" s="153" t="str">
        <f t="shared" si="5"/>
        <v>16/15</v>
      </c>
      <c r="E109" s="180" cm="1">
        <f t="array" ref="E109">_xlfn._xlws.FILTER(tblBaseCFResult[TotalPrem]/1000,
(tblBaseCFResult[Year]=$A109)
*(tblBaseCFResult[IntRateScenario]=$E$84)
*(tblBaseCFResult[Risk]=$E$85)
*(tblBaseCFResult[PremTermScenario]=$E$86),"")</f>
        <v>6272</v>
      </c>
      <c r="F109" s="180" cm="1">
        <f t="array" ref="F109">_xlfn._xlws.FILTER(ROUND(tblBaseCFResult[Alloc],-3)/1000,
(tblBaseCFResult[Year]=$A109)
*(tblBaseCFResult[IntRateScenario]=$E$84)
*(tblBaseCFResult[Risk]=$E$85)
*(tblBaseCFResult[PremTermScenario]=$E$86),"")</f>
        <v>6147</v>
      </c>
      <c r="G109" s="180" cm="1">
        <f t="array" ref="G109">_xlfn._xlws.FILTER(ROUND(tblBaseCFResult[Ben],-3)/1000,
(tblBaseCFResult[Year]=$A109)
*(tblBaseCFResult[IntRateScenario]=$E$84)
*(tblBaseCFResult[Risk]=$E$85)
*(tblBaseCFResult[PremTermScenario]=$E$86),"")</f>
        <v>101000</v>
      </c>
      <c r="H109" s="180" cm="1">
        <f t="array" ref="H109">_xlfn._xlws.FILTER(ROUND(tblBaseCFResult[EndEAV],-3)/1000,
(tblBaseCFResult[Year]=$A109)
*(tblBaseCFResult[IntRateScenario]=$E$84)
*(tblBaseCFResult[Risk]=$E$85)
*(tblBaseCFResult[PremTermScenario]=$E$86),"") * $E$88
+
_xlfn._xlws.FILTER(ROUND(tblBaseCFResult[EndTAV],-3)/1000,
(tblBaseCFResult[Year]=$A109)
*(tblBaseCFResult[IntRateScenario]=$E$84)
*(tblBaseCFResult[Risk]=$E$85)
*(tblBaseCFResult[PremTermScenario]=$E$86),"") * $E$89</f>
        <v>105978</v>
      </c>
      <c r="I109" s="180" cm="1">
        <f t="array" ref="I109">_xlfn._xlws.FILTER(ROUND(tblBaseCFResult[Bonus],-3)/1000,
(tblBaseCFResult[Year]=$A109)
*(tblBaseCFResult[IntRateScenario]=$E$84)
*(tblBaseCFResult[Risk]=$E$85)
*(tblBaseCFResult[PremTermScenario]=$E$86),"") * $E$88</f>
        <v>257</v>
      </c>
      <c r="J109" s="180" cm="1">
        <f t="array" ref="J109">_xlfn._xlws.FILTER(ROUND(tblBaseCFResult[Withdrawal],-3)/1000,
(tblBaseCFResult[Year]=$A109)
*(tblBaseCFResult[IntRateScenario]=$E$84)
*(tblBaseCFResult[Risk]=$E$85)
*(tblBaseCFResult[PremTermScenario]=$E$86),"")</f>
        <v>0</v>
      </c>
      <c r="K109" s="180" cm="1">
        <f t="array" ref="K109">_xlfn._xlws.FILTER(ROUND(tblBaseCFResult[QuarterlyEMLoad],-3)/1000,
(tblBaseCFResult[Year]=$A109)
*(tblBaseCFResult[IntRateScenario]=$E$84)
*(tblBaseCFResult[Risk]=$E$85)
*(tblBaseCFResult[PremTermScenario]=$E$86),"")</f>
        <v>0</v>
      </c>
      <c r="L109" s="180" cm="1">
        <f t="array" ref="L109">_xlfn._xlws.FILTER(ROUND(tblBaseCFResult[SV],-3)/1000,
(tblBaseCFResult[Year]=$A109)
*(tblBaseCFResult[IntRateScenario]=$E$84)
*(tblBaseCFResult[Risk]=$E$85)
*(tblBaseCFResult[PremTermScenario]=$E$86),"")</f>
        <v>95105</v>
      </c>
      <c r="P109" s="169"/>
      <c r="Q109" s="155">
        <v>16</v>
      </c>
      <c r="R109" s="155">
        <f t="shared" ref="R109" si="54">mainLI_entry_age+Q109-1</f>
        <v>15</v>
      </c>
      <c r="T109" s="153" t="str">
        <f t="shared" si="7"/>
        <v>16/15</v>
      </c>
      <c r="U109" s="180" cm="1">
        <f t="array" ref="U109">_xlfn._xlws.FILTER(tblBaseCFResult[TP]/1000,
(tblBaseCFResult[Year]=$A109)
*(tblBaseCFResult[IntRateScenario]=$U$84)
*(tblBaseCFResult[Risk]=$U$85)
*(tblBaseCFResult[PremTermScenario]=$U$86),"")</f>
        <v>1072</v>
      </c>
      <c r="V109" s="180" cm="1">
        <f t="array" ref="V109">_xlfn._xlws.FILTER((tblBaseCFResult[EP]+tblBaseCFResult[Load])/1000,
(tblBaseCFResult[Year]=$A109)
*(tblBaseCFResult[IntRateScenario]=$U$84)
*(tblBaseCFResult[Risk]=$U$85)
*(tblBaseCFResult[PremTermScenario]=$U$86),"")</f>
        <v>5200</v>
      </c>
      <c r="W109" s="181">
        <f t="shared" si="8"/>
        <v>6272</v>
      </c>
      <c r="X109" s="180" cm="1">
        <f t="array" ref="X109">_xlfn._xlws.FILTER(ROUND(tblBaseCFResult[TPAllocChrg],-3)/1000,
(tblBaseCFResult[Year]=$A109)
*(tblBaseCFResult[IntRateScenario]=$U$84)
*(tblBaseCFResult[Risk]=$U$85)
*(tblBaseCFResult[PremTermScenario]=$U$86),"")</f>
        <v>21</v>
      </c>
      <c r="Y109" s="180" cm="1">
        <f t="array" ref="Y109">_xlfn._xlws.FILTER(ROUND(tblBaseCFResult[EPAllocChrg]+tblBaseCFResult[LoadAllocChrg],-3)/1000,
(tblBaseCFResult[Year]=$A109)
*(tblBaseCFResult[IntRateScenario]=$U$84)
*(tblBaseCFResult[Risk]=$U$85)
*(tblBaseCFResult[PremTermScenario]=$U$86),"")</f>
        <v>104</v>
      </c>
      <c r="Z109" s="181">
        <f t="shared" si="9"/>
        <v>125</v>
      </c>
      <c r="AA109" s="181">
        <f t="shared" si="10"/>
        <v>1051</v>
      </c>
      <c r="AB109" s="181">
        <f t="shared" si="2"/>
        <v>5096</v>
      </c>
      <c r="AC109" s="181">
        <f t="shared" si="11"/>
        <v>6147</v>
      </c>
      <c r="AD109" s="180" cm="1">
        <f t="array" ref="AD109">_xlfn._xlws.FILTER(tblBaseCFResult[AdminChrg]/1000,
(tblBaseCFResult[Year]=$A109)
*(tblBaseCFResult[IntRateScenario]=$U$84)
*(tblBaseCFResult[Risk]=$U$85)
*(tblBaseCFResult[PremTermScenario]=$U$86),"")</f>
        <v>300</v>
      </c>
      <c r="AE109" s="180" cm="1">
        <f t="array" ref="AE109">_xlfn._xlws.FILTER(tblBaseCFResult[COI]/1000,
(tblBaseCFResult[Year]=$A109)
*(tblBaseCFResult[IntRateScenario]=$U$84)
*(tblBaseCFResult[Risk]=$U$85)
*(tblBaseCFResult[PremTermScenario]=$U$86),"")</f>
        <v>272.7</v>
      </c>
      <c r="AF109" s="18"/>
      <c r="AH109" s="169"/>
      <c r="AI109" s="155">
        <v>16</v>
      </c>
      <c r="AJ109" s="155">
        <f t="shared" ref="AJ109" si="55">mainLI_entry_age+AI109-1</f>
        <v>15</v>
      </c>
      <c r="AL109" s="153" t="str">
        <f t="shared" si="13"/>
        <v>16/15</v>
      </c>
      <c r="AM109" s="182" cm="1">
        <f t="array" ref="AM109">_xlfn._xlws.FILTER(
ROUND(tblBaseCFResult[TPAlloc]* $AM$87 +(tblBaseCFResult[EPAlloc] + tblBaseCFResult[LoadAlloc]) * $AM$88,-3)/1000,
(tblBaseCFResult[Year]=$AI109)
*(tblBaseCFResult[Risk]=$AM$84)
*(tblBaseCFResult[PremTermScenario]=$AM$85)
*(tblBaseCFResult[IntRateScenario]=AM$90),0)</f>
        <v>0</v>
      </c>
      <c r="AN109" s="182" cm="1">
        <f t="array" ref="AN109">_xlfn._xlws.FILTER(tblBaseCFResult[EndTAV],
(tblBaseCFResult[Year]=$AI109)
*(tblBaseCFResult[Risk]=$AM$84)
*(tblBaseCFResult[PremTermScenario]=$AM$85)
*(tblBaseCFResult[IntRateScenario]=AN$90),0)*$AM$87</f>
        <v>0</v>
      </c>
      <c r="AO109" s="182" cm="1">
        <f t="array" ref="AO109">_xlfn._xlws.FILTER(tblBaseCFResult[Bonus],
(tblBaseCFResult[Year]=$AI109)
*(tblBaseCFResult[Risk]=$AM$84)
*(tblBaseCFResult[PremTermScenario]=$AM$85)
*(tblBaseCFResult[IntRateScenario]=AO$90),0)*$AM$87</f>
        <v>0</v>
      </c>
      <c r="AP109" s="182" cm="1">
        <f t="array" ref="AP109">_xlfn._xlws.FILTER(tblBaseCFResult[EndTAV],
(tblBaseCFResult[Year]=$AI109)
*(tblBaseCFResult[Risk]=$AM$84)
*(tblBaseCFResult[PremTermScenario]=$AM$85)
*(tblBaseCFResult[IntRateScenario]=AP$90),0)*$AM$87</f>
        <v>0</v>
      </c>
      <c r="AQ109" s="182" cm="1">
        <f t="array" ref="AQ109">_xlfn._xlws.FILTER(tblBaseCFResult[Bonus],
(tblBaseCFResult[Year]=$AI109)
*(tblBaseCFResult[Risk]=$AM$84)
*(tblBaseCFResult[PremTermScenario]=$AM$85)
*(tblBaseCFResult[IntRateScenario]=AQ$90),0)*$AM$87</f>
        <v>0</v>
      </c>
      <c r="AR109" s="182" cm="1">
        <f t="array" ref="AR109">_xlfn._xlws.FILTER(tblBaseCFResult[EndEAV],
(tblBaseCFResult[Year]=$AI109)
*(tblBaseCFResult[Risk]=$AM$84)
*(tblBaseCFResult[PremTermScenario]=$AM$85)
*(tblBaseCFResult[IntRateScenario]=AR$90),0)*$AM$88</f>
        <v>0</v>
      </c>
      <c r="AS109" s="182">
        <v>0</v>
      </c>
      <c r="AT109" s="182" cm="1">
        <f t="array" ref="AT109">_xlfn._xlws.FILTER(tblBaseCFResult[EndEAV],
(tblBaseCFResult[Year]=$AI109)
*(tblBaseCFResult[Risk]=$AM$84)
*(tblBaseCFResult[PremTermScenario]=$AM$85)
*(tblBaseCFResult[IntRateScenario]=AT$90),0)*$AM$88</f>
        <v>0</v>
      </c>
      <c r="AU109" s="182">
        <v>0</v>
      </c>
    </row>
    <row r="110" spans="1:47" x14ac:dyDescent="0.25">
      <c r="A110" s="155">
        <v>17</v>
      </c>
      <c r="B110" s="155">
        <f t="shared" ref="B110" si="56">mainLI_entry_age+A110-1</f>
        <v>16</v>
      </c>
      <c r="D110" s="153" t="str">
        <f t="shared" si="5"/>
        <v>17/16</v>
      </c>
      <c r="E110" s="180" cm="1">
        <f t="array" ref="E110">_xlfn._xlws.FILTER(tblBaseCFResult[TotalPrem]/1000,
(tblBaseCFResult[Year]=$A110)
*(tblBaseCFResult[IntRateScenario]=$E$84)
*(tblBaseCFResult[Risk]=$E$85)
*(tblBaseCFResult[PremTermScenario]=$E$86),"")</f>
        <v>6272</v>
      </c>
      <c r="F110" s="180" cm="1">
        <f t="array" ref="F110">_xlfn._xlws.FILTER(ROUND(tblBaseCFResult[Alloc],-3)/1000,
(tblBaseCFResult[Year]=$A110)
*(tblBaseCFResult[IntRateScenario]=$E$84)
*(tblBaseCFResult[Risk]=$E$85)
*(tblBaseCFResult[PremTermScenario]=$E$86),"")</f>
        <v>6147</v>
      </c>
      <c r="G110" s="180" cm="1">
        <f t="array" ref="G110">_xlfn._xlws.FILTER(ROUND(tblBaseCFResult[Ben],-3)/1000,
(tblBaseCFResult[Year]=$A110)
*(tblBaseCFResult[IntRateScenario]=$E$84)
*(tblBaseCFResult[Risk]=$E$85)
*(tblBaseCFResult[PremTermScenario]=$E$86),"")</f>
        <v>105978</v>
      </c>
      <c r="H110" s="180" cm="1">
        <f t="array" ref="H110">_xlfn._xlws.FILTER(ROUND(tblBaseCFResult[EndEAV],-3)/1000,
(tblBaseCFResult[Year]=$A110)
*(tblBaseCFResult[IntRateScenario]=$E$84)
*(tblBaseCFResult[Risk]=$E$85)
*(tblBaseCFResult[PremTermScenario]=$E$86),"") * $E$88
+
_xlfn._xlws.FILTER(ROUND(tblBaseCFResult[EndTAV],-3)/1000,
(tblBaseCFResult[Year]=$A110)
*(tblBaseCFResult[IntRateScenario]=$E$84)
*(tblBaseCFResult[Risk]=$E$85)
*(tblBaseCFResult[PremTermScenario]=$E$86),"") * $E$89</f>
        <v>117143</v>
      </c>
      <c r="I110" s="180" cm="1">
        <f t="array" ref="I110">_xlfn._xlws.FILTER(ROUND(tblBaseCFResult[Bonus],-3)/1000,
(tblBaseCFResult[Year]=$A110)
*(tblBaseCFResult[IntRateScenario]=$E$84)
*(tblBaseCFResult[Risk]=$E$85)
*(tblBaseCFResult[PremTermScenario]=$E$86),"") * $E$88</f>
        <v>0</v>
      </c>
      <c r="J110" s="180" cm="1">
        <f t="array" ref="J110">_xlfn._xlws.FILTER(ROUND(tblBaseCFResult[Withdrawal],-3)/1000,
(tblBaseCFResult[Year]=$A110)
*(tblBaseCFResult[IntRateScenario]=$E$84)
*(tblBaseCFResult[Risk]=$E$85)
*(tblBaseCFResult[PremTermScenario]=$E$86),"")</f>
        <v>0</v>
      </c>
      <c r="K110" s="180" cm="1">
        <f t="array" ref="K110">_xlfn._xlws.FILTER(ROUND(tblBaseCFResult[QuarterlyEMLoad],-3)/1000,
(tblBaseCFResult[Year]=$A110)
*(tblBaseCFResult[IntRateScenario]=$E$84)
*(tblBaseCFResult[Risk]=$E$85)
*(tblBaseCFResult[PremTermScenario]=$E$86),"")</f>
        <v>0</v>
      </c>
      <c r="L110" s="180" cm="1">
        <f t="array" ref="L110">_xlfn._xlws.FILTER(ROUND(tblBaseCFResult[SV],-3)/1000,
(tblBaseCFResult[Year]=$A110)
*(tblBaseCFResult[IntRateScenario]=$E$84)
*(tblBaseCFResult[Risk]=$E$85)
*(tblBaseCFResult[PremTermScenario]=$E$86),"")</f>
        <v>105978</v>
      </c>
      <c r="P110" s="169"/>
      <c r="Q110" s="155">
        <v>17</v>
      </c>
      <c r="R110" s="155">
        <f t="shared" ref="R110" si="57">mainLI_entry_age+Q110-1</f>
        <v>16</v>
      </c>
      <c r="T110" s="153" t="str">
        <f t="shared" si="7"/>
        <v>17/16</v>
      </c>
      <c r="U110" s="180" cm="1">
        <f t="array" ref="U110">_xlfn._xlws.FILTER(tblBaseCFResult[TP]/1000,
(tblBaseCFResult[Year]=$A110)
*(tblBaseCFResult[IntRateScenario]=$U$84)
*(tblBaseCFResult[Risk]=$U$85)
*(tblBaseCFResult[PremTermScenario]=$U$86),"")</f>
        <v>1072</v>
      </c>
      <c r="V110" s="180" cm="1">
        <f t="array" ref="V110">_xlfn._xlws.FILTER((tblBaseCFResult[EP]+tblBaseCFResult[Load])/1000,
(tblBaseCFResult[Year]=$A110)
*(tblBaseCFResult[IntRateScenario]=$U$84)
*(tblBaseCFResult[Risk]=$U$85)
*(tblBaseCFResult[PremTermScenario]=$U$86),"")</f>
        <v>5200</v>
      </c>
      <c r="W110" s="181">
        <f t="shared" si="8"/>
        <v>6272</v>
      </c>
      <c r="X110" s="180" cm="1">
        <f t="array" ref="X110">_xlfn._xlws.FILTER(ROUND(tblBaseCFResult[TPAllocChrg],-3)/1000,
(tblBaseCFResult[Year]=$A110)
*(tblBaseCFResult[IntRateScenario]=$U$84)
*(tblBaseCFResult[Risk]=$U$85)
*(tblBaseCFResult[PremTermScenario]=$U$86),"")</f>
        <v>21</v>
      </c>
      <c r="Y110" s="180" cm="1">
        <f t="array" ref="Y110">_xlfn._xlws.FILTER(ROUND(tblBaseCFResult[EPAllocChrg]+tblBaseCFResult[LoadAllocChrg],-3)/1000,
(tblBaseCFResult[Year]=$A110)
*(tblBaseCFResult[IntRateScenario]=$U$84)
*(tblBaseCFResult[Risk]=$U$85)
*(tblBaseCFResult[PremTermScenario]=$U$86),"")</f>
        <v>104</v>
      </c>
      <c r="Z110" s="181">
        <f t="shared" si="9"/>
        <v>125</v>
      </c>
      <c r="AA110" s="181">
        <f t="shared" si="10"/>
        <v>1051</v>
      </c>
      <c r="AB110" s="181">
        <f t="shared" si="2"/>
        <v>5096</v>
      </c>
      <c r="AC110" s="181">
        <f t="shared" si="11"/>
        <v>6147</v>
      </c>
      <c r="AD110" s="180" cm="1">
        <f t="array" ref="AD110">_xlfn._xlws.FILTER(tblBaseCFResult[AdminChrg]/1000,
(tblBaseCFResult[Year]=$A110)
*(tblBaseCFResult[IntRateScenario]=$U$84)
*(tblBaseCFResult[Risk]=$U$85)
*(tblBaseCFResult[PremTermScenario]=$U$86),"")</f>
        <v>300</v>
      </c>
      <c r="AE110" s="180" cm="1">
        <f t="array" ref="AE110">_xlfn._xlws.FILTER(tblBaseCFResult[COI]/1000,
(tblBaseCFResult[Year]=$A110)
*(tblBaseCFResult[IntRateScenario]=$U$84)
*(tblBaseCFResult[Risk]=$U$85)
*(tblBaseCFResult[PremTermScenario]=$U$86),"")</f>
        <v>272.7</v>
      </c>
      <c r="AF110" s="18"/>
      <c r="AH110" s="169"/>
      <c r="AI110" s="155">
        <v>17</v>
      </c>
      <c r="AJ110" s="155">
        <f t="shared" ref="AJ110" si="58">mainLI_entry_age+AI110-1</f>
        <v>16</v>
      </c>
      <c r="AL110" s="153" t="str">
        <f t="shared" si="13"/>
        <v>17/16</v>
      </c>
      <c r="AM110" s="182" cm="1">
        <f t="array" ref="AM110">_xlfn._xlws.FILTER(
ROUND(tblBaseCFResult[TPAlloc]* $AM$87 +(tblBaseCFResult[EPAlloc] + tblBaseCFResult[LoadAlloc]) * $AM$88,-3)/1000,
(tblBaseCFResult[Year]=$AI110)
*(tblBaseCFResult[Risk]=$AM$84)
*(tblBaseCFResult[PremTermScenario]=$AM$85)
*(tblBaseCFResult[IntRateScenario]=AM$90),0)</f>
        <v>0</v>
      </c>
      <c r="AN110" s="182" cm="1">
        <f t="array" ref="AN110">_xlfn._xlws.FILTER(tblBaseCFResult[EndTAV],
(tblBaseCFResult[Year]=$AI110)
*(tblBaseCFResult[Risk]=$AM$84)
*(tblBaseCFResult[PremTermScenario]=$AM$85)
*(tblBaseCFResult[IntRateScenario]=AN$90),0)*$AM$87</f>
        <v>0</v>
      </c>
      <c r="AO110" s="182" cm="1">
        <f t="array" ref="AO110">_xlfn._xlws.FILTER(tblBaseCFResult[Bonus],
(tblBaseCFResult[Year]=$AI110)
*(tblBaseCFResult[Risk]=$AM$84)
*(tblBaseCFResult[PremTermScenario]=$AM$85)
*(tblBaseCFResult[IntRateScenario]=AO$90),0)*$AM$87</f>
        <v>0</v>
      </c>
      <c r="AP110" s="182" cm="1">
        <f t="array" ref="AP110">_xlfn._xlws.FILTER(tblBaseCFResult[EndTAV],
(tblBaseCFResult[Year]=$AI110)
*(tblBaseCFResult[Risk]=$AM$84)
*(tblBaseCFResult[PremTermScenario]=$AM$85)
*(tblBaseCFResult[IntRateScenario]=AP$90),0)*$AM$87</f>
        <v>0</v>
      </c>
      <c r="AQ110" s="182" cm="1">
        <f t="array" ref="AQ110">_xlfn._xlws.FILTER(tblBaseCFResult[Bonus],
(tblBaseCFResult[Year]=$AI110)
*(tblBaseCFResult[Risk]=$AM$84)
*(tblBaseCFResult[PremTermScenario]=$AM$85)
*(tblBaseCFResult[IntRateScenario]=AQ$90),0)*$AM$87</f>
        <v>0</v>
      </c>
      <c r="AR110" s="182" cm="1">
        <f t="array" ref="AR110">_xlfn._xlws.FILTER(tblBaseCFResult[EndEAV],
(tblBaseCFResult[Year]=$AI110)
*(tblBaseCFResult[Risk]=$AM$84)
*(tblBaseCFResult[PremTermScenario]=$AM$85)
*(tblBaseCFResult[IntRateScenario]=AR$90),0)*$AM$88</f>
        <v>0</v>
      </c>
      <c r="AS110" s="182">
        <v>0</v>
      </c>
      <c r="AT110" s="182" cm="1">
        <f t="array" ref="AT110">_xlfn._xlws.FILTER(tblBaseCFResult[EndEAV],
(tblBaseCFResult[Year]=$AI110)
*(tblBaseCFResult[Risk]=$AM$84)
*(tblBaseCFResult[PremTermScenario]=$AM$85)
*(tblBaseCFResult[IntRateScenario]=AT$90),0)*$AM$88</f>
        <v>0</v>
      </c>
      <c r="AU110" s="182">
        <v>0</v>
      </c>
    </row>
    <row r="111" spans="1:47" x14ac:dyDescent="0.25">
      <c r="A111" s="155">
        <v>18</v>
      </c>
      <c r="B111" s="155">
        <f t="shared" ref="B111" si="59">mainLI_entry_age+A111-1</f>
        <v>17</v>
      </c>
      <c r="D111" s="153" t="str">
        <f t="shared" si="5"/>
        <v>18/17</v>
      </c>
      <c r="E111" s="180" cm="1">
        <f t="array" ref="E111">_xlfn._xlws.FILTER(tblBaseCFResult[TotalPrem]/1000,
(tblBaseCFResult[Year]=$A111)
*(tblBaseCFResult[IntRateScenario]=$E$84)
*(tblBaseCFResult[Risk]=$E$85)
*(tblBaseCFResult[PremTermScenario]=$E$86),"")</f>
        <v>6272</v>
      </c>
      <c r="F111" s="180" cm="1">
        <f t="array" ref="F111">_xlfn._xlws.FILTER(ROUND(tblBaseCFResult[Alloc],-3)/1000,
(tblBaseCFResult[Year]=$A111)
*(tblBaseCFResult[IntRateScenario]=$E$84)
*(tblBaseCFResult[Risk]=$E$85)
*(tblBaseCFResult[PremTermScenario]=$E$86),"")</f>
        <v>6147</v>
      </c>
      <c r="G111" s="180" cm="1">
        <f t="array" ref="G111">_xlfn._xlws.FILTER(ROUND(tblBaseCFResult[Ben],-3)/1000,
(tblBaseCFResult[Year]=$A111)
*(tblBaseCFResult[IntRateScenario]=$E$84)
*(tblBaseCFResult[Risk]=$E$85)
*(tblBaseCFResult[PremTermScenario]=$E$86),"")</f>
        <v>117143</v>
      </c>
      <c r="H111" s="180" cm="1">
        <f t="array" ref="H111">_xlfn._xlws.FILTER(ROUND(tblBaseCFResult[EndEAV],-3)/1000,
(tblBaseCFResult[Year]=$A111)
*(tblBaseCFResult[IntRateScenario]=$E$84)
*(tblBaseCFResult[Risk]=$E$85)
*(tblBaseCFResult[PremTermScenario]=$E$86),"") * $E$88
+
_xlfn._xlws.FILTER(ROUND(tblBaseCFResult[EndTAV],-3)/1000,
(tblBaseCFResult[Year]=$A111)
*(tblBaseCFResult[IntRateScenario]=$E$84)
*(tblBaseCFResult[Risk]=$E$85)
*(tblBaseCFResult[PremTermScenario]=$E$86),"") * $E$89</f>
        <v>128866</v>
      </c>
      <c r="I111" s="180" cm="1">
        <f t="array" ref="I111">_xlfn._xlws.FILTER(ROUND(tblBaseCFResult[Bonus],-3)/1000,
(tblBaseCFResult[Year]=$A111)
*(tblBaseCFResult[IntRateScenario]=$E$84)
*(tblBaseCFResult[Risk]=$E$85)
*(tblBaseCFResult[PremTermScenario]=$E$86),"") * $E$88</f>
        <v>0</v>
      </c>
      <c r="J111" s="180" cm="1">
        <f t="array" ref="J111">_xlfn._xlws.FILTER(ROUND(tblBaseCFResult[Withdrawal],-3)/1000,
(tblBaseCFResult[Year]=$A111)
*(tblBaseCFResult[IntRateScenario]=$E$84)
*(tblBaseCFResult[Risk]=$E$85)
*(tblBaseCFResult[PremTermScenario]=$E$86),"")</f>
        <v>0</v>
      </c>
      <c r="K111" s="180" cm="1">
        <f t="array" ref="K111">_xlfn._xlws.FILTER(ROUND(tblBaseCFResult[QuarterlyEMLoad],-3)/1000,
(tblBaseCFResult[Year]=$A111)
*(tblBaseCFResult[IntRateScenario]=$E$84)
*(tblBaseCFResult[Risk]=$E$85)
*(tblBaseCFResult[PremTermScenario]=$E$86),"")</f>
        <v>0</v>
      </c>
      <c r="L111" s="180" cm="1">
        <f t="array" ref="L111">_xlfn._xlws.FILTER(ROUND(tblBaseCFResult[SV],-3)/1000,
(tblBaseCFResult[Year]=$A111)
*(tblBaseCFResult[IntRateScenario]=$E$84)
*(tblBaseCFResult[Risk]=$E$85)
*(tblBaseCFResult[PremTermScenario]=$E$86),"")</f>
        <v>117143</v>
      </c>
      <c r="P111" s="169"/>
      <c r="Q111" s="155">
        <v>18</v>
      </c>
      <c r="R111" s="155">
        <f t="shared" ref="R111" si="60">mainLI_entry_age+Q111-1</f>
        <v>17</v>
      </c>
      <c r="T111" s="153" t="str">
        <f t="shared" si="7"/>
        <v>18/17</v>
      </c>
      <c r="U111" s="180" cm="1">
        <f t="array" ref="U111">_xlfn._xlws.FILTER(tblBaseCFResult[TP]/1000,
(tblBaseCFResult[Year]=$A111)
*(tblBaseCFResult[IntRateScenario]=$U$84)
*(tblBaseCFResult[Risk]=$U$85)
*(tblBaseCFResult[PremTermScenario]=$U$86),"")</f>
        <v>1072</v>
      </c>
      <c r="V111" s="180" cm="1">
        <f t="array" ref="V111">_xlfn._xlws.FILTER((tblBaseCFResult[EP]+tblBaseCFResult[Load])/1000,
(tblBaseCFResult[Year]=$A111)
*(tblBaseCFResult[IntRateScenario]=$U$84)
*(tblBaseCFResult[Risk]=$U$85)
*(tblBaseCFResult[PremTermScenario]=$U$86),"")</f>
        <v>5200</v>
      </c>
      <c r="W111" s="181">
        <f t="shared" si="8"/>
        <v>6272</v>
      </c>
      <c r="X111" s="180" cm="1">
        <f t="array" ref="X111">_xlfn._xlws.FILTER(ROUND(tblBaseCFResult[TPAllocChrg],-3)/1000,
(tblBaseCFResult[Year]=$A111)
*(tblBaseCFResult[IntRateScenario]=$U$84)
*(tblBaseCFResult[Risk]=$U$85)
*(tblBaseCFResult[PremTermScenario]=$U$86),"")</f>
        <v>21</v>
      </c>
      <c r="Y111" s="180" cm="1">
        <f t="array" ref="Y111">_xlfn._xlws.FILTER(ROUND(tblBaseCFResult[EPAllocChrg]+tblBaseCFResult[LoadAllocChrg],-3)/1000,
(tblBaseCFResult[Year]=$A111)
*(tblBaseCFResult[IntRateScenario]=$U$84)
*(tblBaseCFResult[Risk]=$U$85)
*(tblBaseCFResult[PremTermScenario]=$U$86),"")</f>
        <v>104</v>
      </c>
      <c r="Z111" s="181">
        <f t="shared" si="9"/>
        <v>125</v>
      </c>
      <c r="AA111" s="181">
        <f t="shared" si="10"/>
        <v>1051</v>
      </c>
      <c r="AB111" s="181">
        <f t="shared" si="2"/>
        <v>5096</v>
      </c>
      <c r="AC111" s="181">
        <f t="shared" si="11"/>
        <v>6147</v>
      </c>
      <c r="AD111" s="180" cm="1">
        <f t="array" ref="AD111">_xlfn._xlws.FILTER(tblBaseCFResult[AdminChrg]/1000,
(tblBaseCFResult[Year]=$A111)
*(tblBaseCFResult[IntRateScenario]=$U$84)
*(tblBaseCFResult[Risk]=$U$85)
*(tblBaseCFResult[PremTermScenario]=$U$86),"")</f>
        <v>300</v>
      </c>
      <c r="AE111" s="180" cm="1">
        <f t="array" ref="AE111">_xlfn._xlws.FILTER(tblBaseCFResult[COI]/1000,
(tblBaseCFResult[Year]=$A111)
*(tblBaseCFResult[IntRateScenario]=$U$84)
*(tblBaseCFResult[Risk]=$U$85)
*(tblBaseCFResult[PremTermScenario]=$U$86),"")</f>
        <v>272.7</v>
      </c>
      <c r="AF111" s="18"/>
      <c r="AH111" s="169"/>
      <c r="AI111" s="155">
        <v>18</v>
      </c>
      <c r="AJ111" s="155">
        <f t="shared" ref="AJ111" si="61">mainLI_entry_age+AI111-1</f>
        <v>17</v>
      </c>
      <c r="AL111" s="153" t="str">
        <f t="shared" si="13"/>
        <v>18/17</v>
      </c>
      <c r="AM111" s="182" cm="1">
        <f t="array" ref="AM111">_xlfn._xlws.FILTER(
ROUND(tblBaseCFResult[TPAlloc]* $AM$87 +(tblBaseCFResult[EPAlloc] + tblBaseCFResult[LoadAlloc]) * $AM$88,-3)/1000,
(tblBaseCFResult[Year]=$AI111)
*(tblBaseCFResult[Risk]=$AM$84)
*(tblBaseCFResult[PremTermScenario]=$AM$85)
*(tblBaseCFResult[IntRateScenario]=AM$90),0)</f>
        <v>0</v>
      </c>
      <c r="AN111" s="182" cm="1">
        <f t="array" ref="AN111">_xlfn._xlws.FILTER(tblBaseCFResult[EndTAV],
(tblBaseCFResult[Year]=$AI111)
*(tblBaseCFResult[Risk]=$AM$84)
*(tblBaseCFResult[PremTermScenario]=$AM$85)
*(tblBaseCFResult[IntRateScenario]=AN$90),0)*$AM$87</f>
        <v>0</v>
      </c>
      <c r="AO111" s="182" cm="1">
        <f t="array" ref="AO111">_xlfn._xlws.FILTER(tblBaseCFResult[Bonus],
(tblBaseCFResult[Year]=$AI111)
*(tblBaseCFResult[Risk]=$AM$84)
*(tblBaseCFResult[PremTermScenario]=$AM$85)
*(tblBaseCFResult[IntRateScenario]=AO$90),0)*$AM$87</f>
        <v>0</v>
      </c>
      <c r="AP111" s="182" cm="1">
        <f t="array" ref="AP111">_xlfn._xlws.FILTER(tblBaseCFResult[EndTAV],
(tblBaseCFResult[Year]=$AI111)
*(tblBaseCFResult[Risk]=$AM$84)
*(tblBaseCFResult[PremTermScenario]=$AM$85)
*(tblBaseCFResult[IntRateScenario]=AP$90),0)*$AM$87</f>
        <v>0</v>
      </c>
      <c r="AQ111" s="182" cm="1">
        <f t="array" ref="AQ111">_xlfn._xlws.FILTER(tblBaseCFResult[Bonus],
(tblBaseCFResult[Year]=$AI111)
*(tblBaseCFResult[Risk]=$AM$84)
*(tblBaseCFResult[PremTermScenario]=$AM$85)
*(tblBaseCFResult[IntRateScenario]=AQ$90),0)*$AM$87</f>
        <v>0</v>
      </c>
      <c r="AR111" s="182" cm="1">
        <f t="array" ref="AR111">_xlfn._xlws.FILTER(tblBaseCFResult[EndEAV],
(tblBaseCFResult[Year]=$AI111)
*(tblBaseCFResult[Risk]=$AM$84)
*(tblBaseCFResult[PremTermScenario]=$AM$85)
*(tblBaseCFResult[IntRateScenario]=AR$90),0)*$AM$88</f>
        <v>0</v>
      </c>
      <c r="AS111" s="182">
        <v>0</v>
      </c>
      <c r="AT111" s="182" cm="1">
        <f t="array" ref="AT111">_xlfn._xlws.FILTER(tblBaseCFResult[EndEAV],
(tblBaseCFResult[Year]=$AI111)
*(tblBaseCFResult[Risk]=$AM$84)
*(tblBaseCFResult[PremTermScenario]=$AM$85)
*(tblBaseCFResult[IntRateScenario]=AT$90),0)*$AM$88</f>
        <v>0</v>
      </c>
      <c r="AU111" s="182">
        <v>0</v>
      </c>
    </row>
    <row r="112" spans="1:47" x14ac:dyDescent="0.25">
      <c r="A112" s="155">
        <v>19</v>
      </c>
      <c r="B112" s="155">
        <f t="shared" ref="B112" si="62">mainLI_entry_age+A112-1</f>
        <v>18</v>
      </c>
      <c r="D112" s="153" t="str">
        <f t="shared" si="5"/>
        <v>19/18</v>
      </c>
      <c r="E112" s="180" cm="1">
        <f t="array" ref="E112">_xlfn._xlws.FILTER(tblBaseCFResult[TotalPrem]/1000,
(tblBaseCFResult[Year]=$A112)
*(tblBaseCFResult[IntRateScenario]=$E$84)
*(tblBaseCFResult[Risk]=$E$85)
*(tblBaseCFResult[PremTermScenario]=$E$86),"")</f>
        <v>6272</v>
      </c>
      <c r="F112" s="180" cm="1">
        <f t="array" ref="F112">_xlfn._xlws.FILTER(ROUND(tblBaseCFResult[Alloc],-3)/1000,
(tblBaseCFResult[Year]=$A112)
*(tblBaseCFResult[IntRateScenario]=$E$84)
*(tblBaseCFResult[Risk]=$E$85)
*(tblBaseCFResult[PremTermScenario]=$E$86),"")</f>
        <v>6147</v>
      </c>
      <c r="G112" s="180" cm="1">
        <f t="array" ref="G112">_xlfn._xlws.FILTER(ROUND(tblBaseCFResult[Ben],-3)/1000,
(tblBaseCFResult[Year]=$A112)
*(tblBaseCFResult[IntRateScenario]=$E$84)
*(tblBaseCFResult[Risk]=$E$85)
*(tblBaseCFResult[PremTermScenario]=$E$86),"")</f>
        <v>128866</v>
      </c>
      <c r="H112" s="180" cm="1">
        <f t="array" ref="H112">_xlfn._xlws.FILTER(ROUND(tblBaseCFResult[EndEAV],-3)/1000,
(tblBaseCFResult[Year]=$A112)
*(tblBaseCFResult[IntRateScenario]=$E$84)
*(tblBaseCFResult[Risk]=$E$85)
*(tblBaseCFResult[PremTermScenario]=$E$86),"") * $E$88
+
_xlfn._xlws.FILTER(ROUND(tblBaseCFResult[EndTAV],-3)/1000,
(tblBaseCFResult[Year]=$A112)
*(tblBaseCFResult[IntRateScenario]=$E$84)
*(tblBaseCFResult[Risk]=$E$85)
*(tblBaseCFResult[PremTermScenario]=$E$86),"") * $E$89</f>
        <v>141174</v>
      </c>
      <c r="I112" s="180" cm="1">
        <f t="array" ref="I112">_xlfn._xlws.FILTER(ROUND(tblBaseCFResult[Bonus],-3)/1000,
(tblBaseCFResult[Year]=$A112)
*(tblBaseCFResult[IntRateScenario]=$E$84)
*(tblBaseCFResult[Risk]=$E$85)
*(tblBaseCFResult[PremTermScenario]=$E$86),"") * $E$88</f>
        <v>0</v>
      </c>
      <c r="J112" s="180" cm="1">
        <f t="array" ref="J112">_xlfn._xlws.FILTER(ROUND(tblBaseCFResult[Withdrawal],-3)/1000,
(tblBaseCFResult[Year]=$A112)
*(tblBaseCFResult[IntRateScenario]=$E$84)
*(tblBaseCFResult[Risk]=$E$85)
*(tblBaseCFResult[PremTermScenario]=$E$86),"")</f>
        <v>0</v>
      </c>
      <c r="K112" s="180" cm="1">
        <f t="array" ref="K112">_xlfn._xlws.FILTER(ROUND(tblBaseCFResult[QuarterlyEMLoad],-3)/1000,
(tblBaseCFResult[Year]=$A112)
*(tblBaseCFResult[IntRateScenario]=$E$84)
*(tblBaseCFResult[Risk]=$E$85)
*(tblBaseCFResult[PremTermScenario]=$E$86),"")</f>
        <v>0</v>
      </c>
      <c r="L112" s="180" cm="1">
        <f t="array" ref="L112">_xlfn._xlws.FILTER(ROUND(tblBaseCFResult[SV],-3)/1000,
(tblBaseCFResult[Year]=$A112)
*(tblBaseCFResult[IntRateScenario]=$E$84)
*(tblBaseCFResult[Risk]=$E$85)
*(tblBaseCFResult[PremTermScenario]=$E$86),"")</f>
        <v>128866</v>
      </c>
      <c r="P112" s="169"/>
      <c r="Q112" s="155">
        <v>19</v>
      </c>
      <c r="R112" s="155">
        <f t="shared" ref="R112" si="63">mainLI_entry_age+Q112-1</f>
        <v>18</v>
      </c>
      <c r="T112" s="153" t="str">
        <f t="shared" si="7"/>
        <v>19/18</v>
      </c>
      <c r="U112" s="180" cm="1">
        <f t="array" ref="U112">_xlfn._xlws.FILTER(tblBaseCFResult[TP]/1000,
(tblBaseCFResult[Year]=$A112)
*(tblBaseCFResult[IntRateScenario]=$U$84)
*(tblBaseCFResult[Risk]=$U$85)
*(tblBaseCFResult[PremTermScenario]=$U$86),"")</f>
        <v>1072</v>
      </c>
      <c r="V112" s="180" cm="1">
        <f t="array" ref="V112">_xlfn._xlws.FILTER((tblBaseCFResult[EP]+tblBaseCFResult[Load])/1000,
(tblBaseCFResult[Year]=$A112)
*(tblBaseCFResult[IntRateScenario]=$U$84)
*(tblBaseCFResult[Risk]=$U$85)
*(tblBaseCFResult[PremTermScenario]=$U$86),"")</f>
        <v>5200</v>
      </c>
      <c r="W112" s="181">
        <f t="shared" si="8"/>
        <v>6272</v>
      </c>
      <c r="X112" s="180" cm="1">
        <f t="array" ref="X112">_xlfn._xlws.FILTER(ROUND(tblBaseCFResult[TPAllocChrg],-3)/1000,
(tblBaseCFResult[Year]=$A112)
*(tblBaseCFResult[IntRateScenario]=$U$84)
*(tblBaseCFResult[Risk]=$U$85)
*(tblBaseCFResult[PremTermScenario]=$U$86),"")</f>
        <v>21</v>
      </c>
      <c r="Y112" s="180" cm="1">
        <f t="array" ref="Y112">_xlfn._xlws.FILTER(ROUND(tblBaseCFResult[EPAllocChrg]+tblBaseCFResult[LoadAllocChrg],-3)/1000,
(tblBaseCFResult[Year]=$A112)
*(tblBaseCFResult[IntRateScenario]=$U$84)
*(tblBaseCFResult[Risk]=$U$85)
*(tblBaseCFResult[PremTermScenario]=$U$86),"")</f>
        <v>104</v>
      </c>
      <c r="Z112" s="181">
        <f t="shared" si="9"/>
        <v>125</v>
      </c>
      <c r="AA112" s="181">
        <f t="shared" si="10"/>
        <v>1051</v>
      </c>
      <c r="AB112" s="181">
        <f t="shared" si="2"/>
        <v>5096</v>
      </c>
      <c r="AC112" s="181">
        <f t="shared" si="11"/>
        <v>6147</v>
      </c>
      <c r="AD112" s="180" cm="1">
        <f t="array" ref="AD112">_xlfn._xlws.FILTER(tblBaseCFResult[AdminChrg]/1000,
(tblBaseCFResult[Year]=$A112)
*(tblBaseCFResult[IntRateScenario]=$U$84)
*(tblBaseCFResult[Risk]=$U$85)
*(tblBaseCFResult[PremTermScenario]=$U$86),"")</f>
        <v>300</v>
      </c>
      <c r="AE112" s="180" cm="1">
        <f t="array" ref="AE112">_xlfn._xlws.FILTER(tblBaseCFResult[COI]/1000,
(tblBaseCFResult[Year]=$A112)
*(tblBaseCFResult[IntRateScenario]=$U$84)
*(tblBaseCFResult[Risk]=$U$85)
*(tblBaseCFResult[PremTermScenario]=$U$86),"")</f>
        <v>272.7</v>
      </c>
      <c r="AF112" s="18"/>
      <c r="AH112" s="169"/>
      <c r="AI112" s="155">
        <v>19</v>
      </c>
      <c r="AJ112" s="155">
        <f t="shared" ref="AJ112" si="64">mainLI_entry_age+AI112-1</f>
        <v>18</v>
      </c>
      <c r="AL112" s="153" t="str">
        <f t="shared" si="13"/>
        <v>19/18</v>
      </c>
      <c r="AM112" s="182" cm="1">
        <f t="array" ref="AM112">_xlfn._xlws.FILTER(
ROUND(tblBaseCFResult[TPAlloc]* $AM$87 +(tblBaseCFResult[EPAlloc] + tblBaseCFResult[LoadAlloc]) * $AM$88,-3)/1000,
(tblBaseCFResult[Year]=$AI112)
*(tblBaseCFResult[Risk]=$AM$84)
*(tblBaseCFResult[PremTermScenario]=$AM$85)
*(tblBaseCFResult[IntRateScenario]=AM$90),0)</f>
        <v>0</v>
      </c>
      <c r="AN112" s="182" cm="1">
        <f t="array" ref="AN112">_xlfn._xlws.FILTER(tblBaseCFResult[EndTAV],
(tblBaseCFResult[Year]=$AI112)
*(tblBaseCFResult[Risk]=$AM$84)
*(tblBaseCFResult[PremTermScenario]=$AM$85)
*(tblBaseCFResult[IntRateScenario]=AN$90),0)*$AM$87</f>
        <v>0</v>
      </c>
      <c r="AO112" s="182" cm="1">
        <f t="array" ref="AO112">_xlfn._xlws.FILTER(tblBaseCFResult[Bonus],
(tblBaseCFResult[Year]=$AI112)
*(tblBaseCFResult[Risk]=$AM$84)
*(tblBaseCFResult[PremTermScenario]=$AM$85)
*(tblBaseCFResult[IntRateScenario]=AO$90),0)*$AM$87</f>
        <v>0</v>
      </c>
      <c r="AP112" s="182" cm="1">
        <f t="array" ref="AP112">_xlfn._xlws.FILTER(tblBaseCFResult[EndTAV],
(tblBaseCFResult[Year]=$AI112)
*(tblBaseCFResult[Risk]=$AM$84)
*(tblBaseCFResult[PremTermScenario]=$AM$85)
*(tblBaseCFResult[IntRateScenario]=AP$90),0)*$AM$87</f>
        <v>0</v>
      </c>
      <c r="AQ112" s="182" cm="1">
        <f t="array" ref="AQ112">_xlfn._xlws.FILTER(tblBaseCFResult[Bonus],
(tblBaseCFResult[Year]=$AI112)
*(tblBaseCFResult[Risk]=$AM$84)
*(tblBaseCFResult[PremTermScenario]=$AM$85)
*(tblBaseCFResult[IntRateScenario]=AQ$90),0)*$AM$87</f>
        <v>0</v>
      </c>
      <c r="AR112" s="182" cm="1">
        <f t="array" ref="AR112">_xlfn._xlws.FILTER(tblBaseCFResult[EndEAV],
(tblBaseCFResult[Year]=$AI112)
*(tblBaseCFResult[Risk]=$AM$84)
*(tblBaseCFResult[PremTermScenario]=$AM$85)
*(tblBaseCFResult[IntRateScenario]=AR$90),0)*$AM$88</f>
        <v>0</v>
      </c>
      <c r="AS112" s="182">
        <v>0</v>
      </c>
      <c r="AT112" s="182" cm="1">
        <f t="array" ref="AT112">_xlfn._xlws.FILTER(tblBaseCFResult[EndEAV],
(tblBaseCFResult[Year]=$AI112)
*(tblBaseCFResult[Risk]=$AM$84)
*(tblBaseCFResult[PremTermScenario]=$AM$85)
*(tblBaseCFResult[IntRateScenario]=AT$90),0)*$AM$88</f>
        <v>0</v>
      </c>
      <c r="AU112" s="182">
        <v>0</v>
      </c>
    </row>
    <row r="113" spans="1:47" x14ac:dyDescent="0.25">
      <c r="A113" s="155">
        <v>20</v>
      </c>
      <c r="B113" s="155">
        <f t="shared" ref="B113" si="65">mainLI_entry_age+A113-1</f>
        <v>19</v>
      </c>
      <c r="D113" s="153" t="str">
        <f t="shared" si="5"/>
        <v>20/19</v>
      </c>
      <c r="E113" s="180" cm="1">
        <f t="array" ref="E113">_xlfn._xlws.FILTER(tblBaseCFResult[TotalPrem]/1000,
(tblBaseCFResult[Year]=$A113)
*(tblBaseCFResult[IntRateScenario]=$E$84)
*(tblBaseCFResult[Risk]=$E$85)
*(tblBaseCFResult[PremTermScenario]=$E$86),"")</f>
        <v>6272</v>
      </c>
      <c r="F113" s="180" cm="1">
        <f t="array" ref="F113">_xlfn._xlws.FILTER(ROUND(tblBaseCFResult[Alloc],-3)/1000,
(tblBaseCFResult[Year]=$A113)
*(tblBaseCFResult[IntRateScenario]=$E$84)
*(tblBaseCFResult[Risk]=$E$85)
*(tblBaseCFResult[PremTermScenario]=$E$86),"")</f>
        <v>6147</v>
      </c>
      <c r="G113" s="180" cm="1">
        <f t="array" ref="G113">_xlfn._xlws.FILTER(ROUND(tblBaseCFResult[Ben],-3)/1000,
(tblBaseCFResult[Year]=$A113)
*(tblBaseCFResult[IntRateScenario]=$E$84)
*(tblBaseCFResult[Risk]=$E$85)
*(tblBaseCFResult[PremTermScenario]=$E$86),"")</f>
        <v>141175</v>
      </c>
      <c r="H113" s="180" cm="1">
        <f t="array" ref="H113">_xlfn._xlws.FILTER(ROUND(tblBaseCFResult[EndEAV],-3)/1000,
(tblBaseCFResult[Year]=$A113)
*(tblBaseCFResult[IntRateScenario]=$E$84)
*(tblBaseCFResult[Risk]=$E$85)
*(tblBaseCFResult[PremTermScenario]=$E$86),"") * $E$88
+
_xlfn._xlws.FILTER(ROUND(tblBaseCFResult[EndTAV],-3)/1000,
(tblBaseCFResult[Year]=$A113)
*(tblBaseCFResult[IntRateScenario]=$E$84)
*(tblBaseCFResult[Risk]=$E$85)
*(tblBaseCFResult[PremTermScenario]=$E$86),"") * $E$89</f>
        <v>143921</v>
      </c>
      <c r="I113" s="180" cm="1">
        <f t="array" ref="I113">_xlfn._xlws.FILTER(ROUND(tblBaseCFResult[Bonus],-3)/1000,
(tblBaseCFResult[Year]=$A113)
*(tblBaseCFResult[IntRateScenario]=$E$84)
*(tblBaseCFResult[Risk]=$E$85)
*(tblBaseCFResult[PremTermScenario]=$E$86),"") * $E$88</f>
        <v>322</v>
      </c>
      <c r="J113" s="180" cm="1">
        <f t="array" ref="J113">_xlfn._xlws.FILTER(ROUND(tblBaseCFResult[Withdrawal],-3)/1000,
(tblBaseCFResult[Year]=$A113)
*(tblBaseCFResult[IntRateScenario]=$E$84)
*(tblBaseCFResult[Risk]=$E$85)
*(tblBaseCFResult[PremTermScenario]=$E$86),"")</f>
        <v>10000</v>
      </c>
      <c r="K113" s="180" cm="1">
        <f t="array" ref="K113">_xlfn._xlws.FILTER(ROUND(tblBaseCFResult[QuarterlyEMLoad],-3)/1000,
(tblBaseCFResult[Year]=$A113)
*(tblBaseCFResult[IntRateScenario]=$E$84)
*(tblBaseCFResult[Risk]=$E$85)
*(tblBaseCFResult[PremTermScenario]=$E$86),"")</f>
        <v>0</v>
      </c>
      <c r="L113" s="180" cm="1">
        <f t="array" ref="L113">_xlfn._xlws.FILTER(ROUND(tblBaseCFResult[SV],-3)/1000,
(tblBaseCFResult[Year]=$A113)
*(tblBaseCFResult[IntRateScenario]=$E$84)
*(tblBaseCFResult[Risk]=$E$85)
*(tblBaseCFResult[PremTermScenario]=$E$86),"")</f>
        <v>141175</v>
      </c>
      <c r="P113" s="169"/>
      <c r="Q113" s="155">
        <v>20</v>
      </c>
      <c r="R113" s="155">
        <f t="shared" ref="R113" si="66">mainLI_entry_age+Q113-1</f>
        <v>19</v>
      </c>
      <c r="T113" s="153" t="str">
        <f t="shared" si="7"/>
        <v>20/19</v>
      </c>
      <c r="U113" s="180" cm="1">
        <f t="array" ref="U113">_xlfn._xlws.FILTER(tblBaseCFResult[TP]/1000,
(tblBaseCFResult[Year]=$A113)
*(tblBaseCFResult[IntRateScenario]=$U$84)
*(tblBaseCFResult[Risk]=$U$85)
*(tblBaseCFResult[PremTermScenario]=$U$86),"")</f>
        <v>1072</v>
      </c>
      <c r="V113" s="180" cm="1">
        <f t="array" ref="V113">_xlfn._xlws.FILTER((tblBaseCFResult[EP]+tblBaseCFResult[Load])/1000,
(tblBaseCFResult[Year]=$A113)
*(tblBaseCFResult[IntRateScenario]=$U$84)
*(tblBaseCFResult[Risk]=$U$85)
*(tblBaseCFResult[PremTermScenario]=$U$86),"")</f>
        <v>5200</v>
      </c>
      <c r="W113" s="181">
        <f t="shared" si="8"/>
        <v>6272</v>
      </c>
      <c r="X113" s="180" cm="1">
        <f t="array" ref="X113">_xlfn._xlws.FILTER(ROUND(tblBaseCFResult[TPAllocChrg],-3)/1000,
(tblBaseCFResult[Year]=$A113)
*(tblBaseCFResult[IntRateScenario]=$U$84)
*(tblBaseCFResult[Risk]=$U$85)
*(tblBaseCFResult[PremTermScenario]=$U$86),"")</f>
        <v>21</v>
      </c>
      <c r="Y113" s="180" cm="1">
        <f t="array" ref="Y113">_xlfn._xlws.FILTER(ROUND(tblBaseCFResult[EPAllocChrg]+tblBaseCFResult[LoadAllocChrg],-3)/1000,
(tblBaseCFResult[Year]=$A113)
*(tblBaseCFResult[IntRateScenario]=$U$84)
*(tblBaseCFResult[Risk]=$U$85)
*(tblBaseCFResult[PremTermScenario]=$U$86),"")</f>
        <v>104</v>
      </c>
      <c r="Z113" s="181">
        <f t="shared" si="9"/>
        <v>125</v>
      </c>
      <c r="AA113" s="181">
        <f t="shared" si="10"/>
        <v>1051</v>
      </c>
      <c r="AB113" s="181">
        <f t="shared" si="2"/>
        <v>5096</v>
      </c>
      <c r="AC113" s="181">
        <f t="shared" si="11"/>
        <v>6147</v>
      </c>
      <c r="AD113" s="180" cm="1">
        <f t="array" ref="AD113">_xlfn._xlws.FILTER(tblBaseCFResult[AdminChrg]/1000,
(tblBaseCFResult[Year]=$A113)
*(tblBaseCFResult[IntRateScenario]=$U$84)
*(tblBaseCFResult[Risk]=$U$85)
*(tblBaseCFResult[PremTermScenario]=$U$86),"")</f>
        <v>300</v>
      </c>
      <c r="AE113" s="180" cm="1">
        <f t="array" ref="AE113">_xlfn._xlws.FILTER(tblBaseCFResult[COI]/1000,
(tblBaseCFResult[Year]=$A113)
*(tblBaseCFResult[IntRateScenario]=$U$84)
*(tblBaseCFResult[Risk]=$U$85)
*(tblBaseCFResult[PremTermScenario]=$U$86),"")</f>
        <v>272.7</v>
      </c>
      <c r="AF113" s="18"/>
      <c r="AH113" s="169"/>
      <c r="AI113" s="155">
        <v>20</v>
      </c>
      <c r="AJ113" s="155">
        <f t="shared" ref="AJ113" si="67">mainLI_entry_age+AI113-1</f>
        <v>19</v>
      </c>
      <c r="AL113" s="153" t="str">
        <f t="shared" si="13"/>
        <v>20/19</v>
      </c>
      <c r="AM113" s="182" cm="1">
        <f t="array" ref="AM113">_xlfn._xlws.FILTER(
ROUND(tblBaseCFResult[TPAlloc]* $AM$87 +(tblBaseCFResult[EPAlloc] + tblBaseCFResult[LoadAlloc]) * $AM$88,-3)/1000,
(tblBaseCFResult[Year]=$AI113)
*(tblBaseCFResult[Risk]=$AM$84)
*(tblBaseCFResult[PremTermScenario]=$AM$85)
*(tblBaseCFResult[IntRateScenario]=AM$90),0)</f>
        <v>0</v>
      </c>
      <c r="AN113" s="182" cm="1">
        <f t="array" ref="AN113">_xlfn._xlws.FILTER(tblBaseCFResult[EndTAV],
(tblBaseCFResult[Year]=$AI113)
*(tblBaseCFResult[Risk]=$AM$84)
*(tblBaseCFResult[PremTermScenario]=$AM$85)
*(tblBaseCFResult[IntRateScenario]=AN$90),0)*$AM$87</f>
        <v>0</v>
      </c>
      <c r="AO113" s="182" cm="1">
        <f t="array" ref="AO113">_xlfn._xlws.FILTER(tblBaseCFResult[Bonus],
(tblBaseCFResult[Year]=$AI113)
*(tblBaseCFResult[Risk]=$AM$84)
*(tblBaseCFResult[PremTermScenario]=$AM$85)
*(tblBaseCFResult[IntRateScenario]=AO$90),0)*$AM$87</f>
        <v>0</v>
      </c>
      <c r="AP113" s="182" cm="1">
        <f t="array" ref="AP113">_xlfn._xlws.FILTER(tblBaseCFResult[EndTAV],
(tblBaseCFResult[Year]=$AI113)
*(tblBaseCFResult[Risk]=$AM$84)
*(tblBaseCFResult[PremTermScenario]=$AM$85)
*(tblBaseCFResult[IntRateScenario]=AP$90),0)*$AM$87</f>
        <v>0</v>
      </c>
      <c r="AQ113" s="182" cm="1">
        <f t="array" ref="AQ113">_xlfn._xlws.FILTER(tblBaseCFResult[Bonus],
(tblBaseCFResult[Year]=$AI113)
*(tblBaseCFResult[Risk]=$AM$84)
*(tblBaseCFResult[PremTermScenario]=$AM$85)
*(tblBaseCFResult[IntRateScenario]=AQ$90),0)*$AM$87</f>
        <v>0</v>
      </c>
      <c r="AR113" s="182" cm="1">
        <f t="array" ref="AR113">_xlfn._xlws.FILTER(tblBaseCFResult[EndEAV],
(tblBaseCFResult[Year]=$AI113)
*(tblBaseCFResult[Risk]=$AM$84)
*(tblBaseCFResult[PremTermScenario]=$AM$85)
*(tblBaseCFResult[IntRateScenario]=AR$90),0)*$AM$88</f>
        <v>0</v>
      </c>
      <c r="AS113" s="182">
        <v>0</v>
      </c>
      <c r="AT113" s="182" cm="1">
        <f t="array" ref="AT113">_xlfn._xlws.FILTER(tblBaseCFResult[EndEAV],
(tblBaseCFResult[Year]=$AI113)
*(tblBaseCFResult[Risk]=$AM$84)
*(tblBaseCFResult[PremTermScenario]=$AM$85)
*(tblBaseCFResult[IntRateScenario]=AT$90),0)*$AM$88</f>
        <v>0</v>
      </c>
      <c r="AU113" s="182">
        <v>0</v>
      </c>
    </row>
  </sheetData>
  <mergeCells count="24">
    <mergeCell ref="AN92:AO92"/>
    <mergeCell ref="AP92:AQ92"/>
    <mergeCell ref="D92:D93"/>
    <mergeCell ref="E92:E93"/>
    <mergeCell ref="F92:F93"/>
    <mergeCell ref="G92:G93"/>
    <mergeCell ref="J92:J93"/>
    <mergeCell ref="K92:K93"/>
    <mergeCell ref="J1:O1"/>
    <mergeCell ref="T82:AF82"/>
    <mergeCell ref="AL82:AU82"/>
    <mergeCell ref="AL91:AL93"/>
    <mergeCell ref="AM91:AM93"/>
    <mergeCell ref="AN91:AQ91"/>
    <mergeCell ref="AR91:AU91"/>
    <mergeCell ref="L92:L93"/>
    <mergeCell ref="T92:T93"/>
    <mergeCell ref="U92:W92"/>
    <mergeCell ref="AR92:AS92"/>
    <mergeCell ref="AT92:AU92"/>
    <mergeCell ref="X92:Z92"/>
    <mergeCell ref="AA92:AC92"/>
    <mergeCell ref="AD92:AD93"/>
    <mergeCell ref="AE92:AF92"/>
  </mergeCells>
  <dataValidations disablePrompts="1" count="7">
    <dataValidation type="list" allowBlank="1" showInputMessage="1" showErrorMessage="1" sqref="AM84 U85 E85" xr:uid="{DDF2FE0C-CFC9-4952-BD15-6392F440FE16}">
      <formula1>"Standard,Sub-standard"</formula1>
    </dataValidation>
    <dataValidation type="list" allowBlank="1" showInputMessage="1" showErrorMessage="1" sqref="E5" xr:uid="{651DA1F0-8E67-44E5-8105-FB92E7795C10}">
      <formula1>"High,Low"</formula1>
    </dataValidation>
    <dataValidation type="whole" allowBlank="1" showInputMessage="1" showErrorMessage="1" sqref="K4" xr:uid="{441603CB-154A-43F7-8668-B7C21DABB01A}">
      <formula1>1</formula1>
      <formula2>opted_tp_term</formula2>
    </dataValidation>
    <dataValidation type="list" allowBlank="1" showInputMessage="1" showErrorMessage="1" sqref="AM85" xr:uid="{B1BD97C7-5B00-47B4-A00B-D2E8A2174A45}">
      <formula1>"Must-pay term, Input term"</formula1>
    </dataValidation>
    <dataValidation type="list" allowBlank="1" showInputMessage="1" showErrorMessage="1" sqref="E84 U84" xr:uid="{6AB93B79-3BC2-4133-9F87-7EA016AE51A5}">
      <formula1>"High, Low"</formula1>
    </dataValidation>
    <dataValidation type="list" allowBlank="1" showInputMessage="1" showErrorMessage="1" sqref="E7 E86 U86" xr:uid="{B1476CE7-A2AF-4955-8B4F-15F4D049E4F1}">
      <formula1>"Must-pay term, Opted term"</formula1>
    </dataValidation>
    <dataValidation type="list" allowBlank="1" showInputMessage="1" showErrorMessage="1" sqref="K3 E6" xr:uid="{B0A8E505-9A02-4ABA-B35C-6E91B205C439}">
      <formula1>"Standard,Subrisk"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F1518-3C0A-4F82-83DB-CF44F6892D4B}">
  <sheetPr codeName="Sheet7"/>
  <dimension ref="B1:EA109"/>
  <sheetViews>
    <sheetView zoomScale="70" zoomScaleNormal="70" workbookViewId="0">
      <selection activeCell="A2" sqref="A2"/>
    </sheetView>
  </sheetViews>
  <sheetFormatPr defaultColWidth="9.140625" defaultRowHeight="15" x14ac:dyDescent="0.25"/>
  <cols>
    <col min="1" max="1" width="9.140625" style="184"/>
    <col min="2" max="2" width="11.140625" style="249" bestFit="1" customWidth="1"/>
    <col min="3" max="3" width="11.7109375" style="249" bestFit="1" customWidth="1"/>
    <col min="4" max="4" width="22.140625" style="184" bestFit="1" customWidth="1"/>
    <col min="5" max="5" width="25.28515625" style="184" bestFit="1" customWidth="1"/>
    <col min="6" max="6" width="22.5703125" style="184" bestFit="1" customWidth="1"/>
    <col min="7" max="7" width="25.7109375" style="184" bestFit="1" customWidth="1"/>
    <col min="8" max="8" width="22.5703125" style="184" bestFit="1" customWidth="1"/>
    <col min="9" max="9" width="25.7109375" style="184" bestFit="1" customWidth="1"/>
    <col min="10" max="10" width="21.140625" style="184" bestFit="1" customWidth="1"/>
    <col min="11" max="11" width="24.28515625" style="184" bestFit="1" customWidth="1"/>
    <col min="12" max="13" width="9.140625" style="184"/>
    <col min="14" max="14" width="6.28515625" style="184" bestFit="1" customWidth="1"/>
    <col min="15" max="15" width="12" style="184" bestFit="1" customWidth="1"/>
    <col min="16" max="16" width="15.7109375" style="184" bestFit="1" customWidth="1"/>
    <col min="17" max="17" width="18.7109375" style="184" bestFit="1" customWidth="1"/>
    <col min="18" max="18" width="16" style="184" bestFit="1" customWidth="1"/>
    <col min="19" max="19" width="19.140625" style="184" bestFit="1" customWidth="1"/>
    <col min="20" max="20" width="16" style="184" bestFit="1" customWidth="1"/>
    <col min="21" max="21" width="19.140625" style="184" bestFit="1" customWidth="1"/>
    <col min="22" max="22" width="14.5703125" style="184" customWidth="1"/>
    <col min="23" max="23" width="17.7109375" style="184" bestFit="1" customWidth="1"/>
    <col min="24" max="25" width="9.140625" style="184"/>
    <col min="26" max="30" width="10" style="184" bestFit="1" customWidth="1"/>
    <col min="31" max="32" width="9.140625" style="184"/>
    <col min="33" max="34" width="7.140625" style="184" bestFit="1" customWidth="1"/>
    <col min="35" max="35" width="8.85546875" style="184" bestFit="1" customWidth="1"/>
    <col min="36" max="37" width="9.28515625" style="184" bestFit="1" customWidth="1"/>
    <col min="38" max="38" width="7.85546875" style="184" bestFit="1" customWidth="1"/>
    <col min="39" max="40" width="9.140625" style="184"/>
    <col min="41" max="42" width="7.140625" style="184" bestFit="1" customWidth="1"/>
    <col min="43" max="43" width="8.85546875" style="184" bestFit="1" customWidth="1"/>
    <col min="44" max="45" width="9.28515625" style="184" bestFit="1" customWidth="1"/>
    <col min="46" max="46" width="7.85546875" style="184" bestFit="1" customWidth="1"/>
    <col min="47" max="48" width="9" style="184" customWidth="1"/>
    <col min="49" max="49" width="7.140625" style="184" customWidth="1"/>
    <col min="50" max="50" width="8.28515625" style="184" bestFit="1" customWidth="1"/>
    <col min="51" max="51" width="8.85546875" style="184" bestFit="1" customWidth="1"/>
    <col min="52" max="53" width="9.28515625" style="184" bestFit="1" customWidth="1"/>
    <col min="54" max="54" width="7.85546875" style="184" bestFit="1" customWidth="1"/>
    <col min="55" max="56" width="9.140625" style="184"/>
    <col min="57" max="57" width="7.140625" style="184" bestFit="1" customWidth="1"/>
    <col min="58" max="58" width="7.42578125" style="184" bestFit="1" customWidth="1"/>
    <col min="59" max="59" width="8.85546875" style="184" bestFit="1" customWidth="1"/>
    <col min="60" max="61" width="9.28515625" style="184" bestFit="1" customWidth="1"/>
    <col min="62" max="62" width="7.85546875" style="184" bestFit="1" customWidth="1"/>
    <col min="63" max="64" width="9.140625" style="184"/>
    <col min="65" max="65" width="17.28515625" style="184" bestFit="1" customWidth="1"/>
    <col min="66" max="66" width="31" style="184" bestFit="1" customWidth="1"/>
    <col min="67" max="67" width="14" style="184" bestFit="1" customWidth="1"/>
    <col min="68" max="68" width="13.5703125" style="184" bestFit="1" customWidth="1"/>
    <col min="69" max="69" width="14.42578125" style="184" bestFit="1" customWidth="1"/>
    <col min="70" max="70" width="13.5703125" style="184" bestFit="1" customWidth="1"/>
    <col min="71" max="72" width="9.140625" style="184"/>
    <col min="73" max="73" width="18.7109375" style="184" bestFit="1" customWidth="1"/>
    <col min="74" max="74" width="16.85546875" style="184" bestFit="1" customWidth="1"/>
    <col min="75" max="75" width="15.42578125" style="184" bestFit="1" customWidth="1"/>
    <col min="76" max="77" width="15.85546875" style="184" bestFit="1" customWidth="1"/>
    <col min="78" max="78" width="14.42578125" style="184" bestFit="1" customWidth="1"/>
    <col min="79" max="80" width="9.140625" style="184"/>
    <col min="81" max="81" width="13.85546875" style="184" bestFit="1" customWidth="1"/>
    <col min="82" max="82" width="13.5703125" style="184" bestFit="1" customWidth="1"/>
    <col min="83" max="83" width="15.42578125" style="184" bestFit="1" customWidth="1"/>
    <col min="84" max="85" width="15.85546875" style="184" bestFit="1" customWidth="1"/>
    <col min="86" max="86" width="14.42578125" style="184" bestFit="1" customWidth="1"/>
    <col min="87" max="88" width="9.140625" style="184"/>
    <col min="89" max="89" width="12.85546875" style="184" bestFit="1" customWidth="1"/>
    <col min="90" max="90" width="13.5703125" style="184" bestFit="1" customWidth="1"/>
    <col min="91" max="91" width="15.42578125" style="184" bestFit="1" customWidth="1"/>
    <col min="92" max="93" width="15.85546875" style="184" bestFit="1" customWidth="1"/>
    <col min="94" max="94" width="14.42578125" style="184" bestFit="1" customWidth="1"/>
    <col min="95" max="96" width="9.140625" style="184"/>
    <col min="97" max="97" width="24.5703125" style="184" bestFit="1" customWidth="1"/>
    <col min="98" max="98" width="18.140625" style="184" bestFit="1" customWidth="1"/>
    <col min="99" max="99" width="15.42578125" style="184" bestFit="1" customWidth="1"/>
    <col min="100" max="101" width="15.85546875" style="184" bestFit="1" customWidth="1"/>
    <col min="102" max="102" width="15.28515625" style="184" bestFit="1" customWidth="1"/>
    <col min="103" max="104" width="9.140625" style="184"/>
    <col min="105" max="105" width="10.7109375" style="184" bestFit="1" customWidth="1"/>
    <col min="106" max="106" width="9.7109375" style="184" bestFit="1" customWidth="1"/>
    <col min="107" max="107" width="16.42578125" style="184" bestFit="1" customWidth="1"/>
    <col min="108" max="108" width="12.140625" style="184" bestFit="1" customWidth="1"/>
    <col min="109" max="109" width="10.5703125" style="184" bestFit="1" customWidth="1"/>
    <col min="110" max="111" width="9.140625" style="184"/>
    <col min="112" max="112" width="17.28515625" style="184" bestFit="1" customWidth="1"/>
    <col min="113" max="113" width="12.140625" style="184" bestFit="1" customWidth="1"/>
    <col min="114" max="114" width="12.85546875" style="184" bestFit="1" customWidth="1"/>
    <col min="115" max="115" width="17.28515625" style="184" bestFit="1" customWidth="1"/>
    <col min="116" max="117" width="10.140625" style="184" customWidth="1"/>
    <col min="118" max="131" width="9.140625" style="3"/>
    <col min="132" max="16384" width="9.140625" style="184"/>
  </cols>
  <sheetData>
    <row r="1" spans="2:115" s="183" customFormat="1" ht="19.5" x14ac:dyDescent="0.3">
      <c r="B1" s="390" t="s">
        <v>335</v>
      </c>
      <c r="C1" s="390"/>
      <c r="D1" s="390"/>
      <c r="E1" s="390"/>
      <c r="F1" s="390"/>
      <c r="G1" s="390"/>
      <c r="H1" s="390"/>
      <c r="I1" s="390"/>
      <c r="J1" s="390"/>
      <c r="K1" s="390"/>
      <c r="N1" s="389" t="s">
        <v>336</v>
      </c>
      <c r="O1" s="389"/>
      <c r="P1" s="389"/>
      <c r="Q1" s="389"/>
      <c r="R1" s="389"/>
      <c r="S1" s="389"/>
      <c r="T1" s="389"/>
      <c r="U1" s="389"/>
      <c r="V1" s="389"/>
      <c r="W1" s="389"/>
      <c r="X1" s="184"/>
      <c r="Y1" s="184"/>
      <c r="Z1" s="391" t="s">
        <v>337</v>
      </c>
      <c r="AA1" s="391"/>
      <c r="AB1" s="391"/>
      <c r="AC1" s="391"/>
      <c r="AD1" s="391"/>
      <c r="AG1" s="389" t="s">
        <v>338</v>
      </c>
      <c r="AH1" s="389"/>
      <c r="AI1" s="389"/>
      <c r="AJ1" s="389"/>
      <c r="AK1" s="389"/>
      <c r="AL1" s="389"/>
      <c r="AM1" s="184"/>
      <c r="AN1" s="184"/>
      <c r="AO1" s="389" t="s">
        <v>339</v>
      </c>
      <c r="AP1" s="389"/>
      <c r="AQ1" s="389"/>
      <c r="AR1" s="389"/>
      <c r="AS1" s="389"/>
      <c r="AT1" s="389"/>
      <c r="AW1" s="389" t="s">
        <v>340</v>
      </c>
      <c r="AX1" s="389"/>
      <c r="AY1" s="389"/>
      <c r="AZ1" s="389"/>
      <c r="BA1" s="389"/>
      <c r="BB1" s="389"/>
      <c r="BE1" s="392" t="s">
        <v>341</v>
      </c>
      <c r="BF1" s="392"/>
      <c r="BG1" s="392"/>
      <c r="BH1" s="392"/>
      <c r="BI1" s="392"/>
      <c r="BJ1" s="392"/>
      <c r="BM1" s="393" t="s">
        <v>342</v>
      </c>
      <c r="BN1" s="393"/>
      <c r="BO1" s="393"/>
      <c r="BP1" s="393"/>
      <c r="BQ1" s="393"/>
      <c r="BR1" s="393"/>
      <c r="BU1" s="394" t="s">
        <v>343</v>
      </c>
      <c r="BV1" s="394"/>
      <c r="BW1" s="394"/>
      <c r="BX1" s="394"/>
      <c r="BY1" s="394"/>
      <c r="BZ1" s="394"/>
      <c r="CC1" s="394" t="s">
        <v>344</v>
      </c>
      <c r="CD1" s="394"/>
      <c r="CE1" s="394"/>
      <c r="CF1" s="394"/>
      <c r="CG1" s="394"/>
      <c r="CH1" s="394"/>
      <c r="CK1" s="394" t="s">
        <v>345</v>
      </c>
      <c r="CL1" s="394"/>
      <c r="CM1" s="394"/>
      <c r="CN1" s="394"/>
      <c r="CO1" s="394"/>
      <c r="CP1" s="394"/>
      <c r="CS1" s="394" t="s">
        <v>346</v>
      </c>
      <c r="CT1" s="394"/>
      <c r="CU1" s="394"/>
      <c r="CV1" s="394"/>
      <c r="CW1" s="394"/>
      <c r="CX1" s="394"/>
      <c r="DA1" s="389" t="s">
        <v>347</v>
      </c>
      <c r="DB1" s="389"/>
      <c r="DC1" s="389"/>
      <c r="DD1" s="389"/>
      <c r="DE1" s="389"/>
      <c r="DH1" s="392" t="s">
        <v>348</v>
      </c>
      <c r="DI1" s="392"/>
      <c r="DJ1" s="392"/>
      <c r="DK1" s="392"/>
    </row>
    <row r="2" spans="2:115" s="183" customFormat="1" x14ac:dyDescent="0.25">
      <c r="B2" s="185" t="s">
        <v>20</v>
      </c>
      <c r="C2" s="186" t="s">
        <v>349</v>
      </c>
      <c r="D2" s="187" t="s">
        <v>350</v>
      </c>
      <c r="E2" s="187" t="s">
        <v>351</v>
      </c>
      <c r="F2" s="187" t="s">
        <v>352</v>
      </c>
      <c r="G2" s="187" t="s">
        <v>353</v>
      </c>
      <c r="H2" s="187" t="s">
        <v>354</v>
      </c>
      <c r="I2" s="187" t="s">
        <v>355</v>
      </c>
      <c r="J2" s="187" t="s">
        <v>356</v>
      </c>
      <c r="K2" s="187" t="s">
        <v>357</v>
      </c>
      <c r="N2" s="188" t="s">
        <v>20</v>
      </c>
      <c r="O2" s="187" t="s">
        <v>349</v>
      </c>
      <c r="P2" s="187" t="s">
        <v>350</v>
      </c>
      <c r="Q2" s="187" t="s">
        <v>351</v>
      </c>
      <c r="R2" s="187" t="s">
        <v>352</v>
      </c>
      <c r="S2" s="187" t="s">
        <v>353</v>
      </c>
      <c r="T2" s="187" t="s">
        <v>354</v>
      </c>
      <c r="U2" s="187" t="s">
        <v>355</v>
      </c>
      <c r="V2" s="187" t="s">
        <v>356</v>
      </c>
      <c r="W2" s="189" t="s">
        <v>357</v>
      </c>
      <c r="Z2" s="190" t="s">
        <v>349</v>
      </c>
      <c r="AA2" s="190" t="s">
        <v>358</v>
      </c>
      <c r="AB2" s="190" t="s">
        <v>359</v>
      </c>
      <c r="AC2" s="190" t="s">
        <v>360</v>
      </c>
      <c r="AD2" s="190" t="s">
        <v>161</v>
      </c>
      <c r="AG2" s="191" t="s">
        <v>17</v>
      </c>
      <c r="AH2" s="192" t="s">
        <v>349</v>
      </c>
      <c r="AI2" s="192" t="s">
        <v>358</v>
      </c>
      <c r="AJ2" s="192" t="s">
        <v>359</v>
      </c>
      <c r="AK2" s="193" t="s">
        <v>360</v>
      </c>
      <c r="AL2" s="193" t="s">
        <v>161</v>
      </c>
      <c r="AO2" s="191" t="s">
        <v>17</v>
      </c>
      <c r="AP2" s="192" t="s">
        <v>349</v>
      </c>
      <c r="AQ2" s="192" t="s">
        <v>358</v>
      </c>
      <c r="AR2" s="192" t="s">
        <v>359</v>
      </c>
      <c r="AS2" s="193" t="s">
        <v>360</v>
      </c>
      <c r="AT2" s="193" t="s">
        <v>161</v>
      </c>
      <c r="AW2" s="191" t="s">
        <v>17</v>
      </c>
      <c r="AX2" s="192" t="s">
        <v>349</v>
      </c>
      <c r="AY2" s="192" t="s">
        <v>358</v>
      </c>
      <c r="AZ2" s="192" t="s">
        <v>359</v>
      </c>
      <c r="BA2" s="193" t="s">
        <v>360</v>
      </c>
      <c r="BB2" s="193" t="s">
        <v>161</v>
      </c>
      <c r="BE2" s="191" t="s">
        <v>17</v>
      </c>
      <c r="BF2" s="192" t="s">
        <v>349</v>
      </c>
      <c r="BG2" s="192" t="s">
        <v>358</v>
      </c>
      <c r="BH2" s="192" t="s">
        <v>359</v>
      </c>
      <c r="BI2" s="193" t="s">
        <v>360</v>
      </c>
      <c r="BJ2" s="193" t="s">
        <v>161</v>
      </c>
      <c r="BM2" s="191" t="s">
        <v>160</v>
      </c>
      <c r="BN2" s="191" t="s">
        <v>509</v>
      </c>
      <c r="BO2" s="191" t="s">
        <v>361</v>
      </c>
      <c r="BP2" s="191" t="s">
        <v>17</v>
      </c>
      <c r="BQ2" s="191" t="s">
        <v>319</v>
      </c>
      <c r="BR2" s="191" t="s">
        <v>349</v>
      </c>
      <c r="BU2" s="194" t="s">
        <v>362</v>
      </c>
      <c r="BV2" s="195" t="s">
        <v>241</v>
      </c>
      <c r="BW2" s="195" t="s">
        <v>358</v>
      </c>
      <c r="BX2" s="195" t="s">
        <v>359</v>
      </c>
      <c r="BY2" s="196" t="s">
        <v>360</v>
      </c>
      <c r="BZ2" s="196" t="s">
        <v>161</v>
      </c>
      <c r="CC2" s="196" t="s">
        <v>363</v>
      </c>
      <c r="CD2" s="196" t="s">
        <v>349</v>
      </c>
      <c r="CE2" s="196" t="s">
        <v>358</v>
      </c>
      <c r="CF2" s="196" t="s">
        <v>359</v>
      </c>
      <c r="CG2" s="196" t="s">
        <v>360</v>
      </c>
      <c r="CH2" s="196" t="s">
        <v>161</v>
      </c>
      <c r="CK2" s="194" t="s">
        <v>20</v>
      </c>
      <c r="CL2" s="195" t="s">
        <v>349</v>
      </c>
      <c r="CM2" s="195" t="s">
        <v>358</v>
      </c>
      <c r="CN2" s="195" t="s">
        <v>359</v>
      </c>
      <c r="CO2" s="196" t="s">
        <v>360</v>
      </c>
      <c r="CP2" s="196" t="s">
        <v>161</v>
      </c>
      <c r="CS2" s="194" t="s">
        <v>364</v>
      </c>
      <c r="CT2" s="195" t="s">
        <v>365</v>
      </c>
      <c r="CU2" s="195" t="s">
        <v>358</v>
      </c>
      <c r="CV2" s="195" t="s">
        <v>359</v>
      </c>
      <c r="CW2" s="195" t="s">
        <v>360</v>
      </c>
      <c r="CX2" s="195" t="s">
        <v>161</v>
      </c>
      <c r="DA2" s="188" t="s">
        <v>160</v>
      </c>
      <c r="DB2" s="187" t="s">
        <v>220</v>
      </c>
      <c r="DC2" s="187" t="s">
        <v>223</v>
      </c>
      <c r="DD2" s="187" t="s">
        <v>224</v>
      </c>
      <c r="DE2" s="189" t="s">
        <v>225</v>
      </c>
      <c r="DH2" s="188" t="s">
        <v>160</v>
      </c>
      <c r="DI2" s="187" t="s">
        <v>366</v>
      </c>
      <c r="DJ2" s="187" t="s">
        <v>367</v>
      </c>
      <c r="DK2" s="189" t="s">
        <v>368</v>
      </c>
    </row>
    <row r="3" spans="2:115" x14ac:dyDescent="0.25">
      <c r="B3" s="197">
        <v>0</v>
      </c>
      <c r="C3" s="198">
        <f ca="1">OFFSET(tblTPRate[[#This Row],[UVL01_Male]],0,MATCH(base&amp;"_"&amp;mainLI_gender,tblTPRate[#Headers],0)-3)</f>
        <v>10.6128</v>
      </c>
      <c r="D3" s="199">
        <v>10.6128</v>
      </c>
      <c r="E3" s="199">
        <v>10.6128</v>
      </c>
      <c r="F3" s="199">
        <v>10.6128</v>
      </c>
      <c r="G3" s="199">
        <v>10.6128</v>
      </c>
      <c r="H3" s="199">
        <v>10.6128</v>
      </c>
      <c r="I3" s="199">
        <v>10.6128</v>
      </c>
      <c r="J3" s="199">
        <v>10.6128</v>
      </c>
      <c r="K3" s="199">
        <v>10.6128</v>
      </c>
      <c r="N3" s="200">
        <v>0</v>
      </c>
      <c r="O3" s="201">
        <f ca="1">OFFSET(tblBaseCOIRate[[#This Row],[UVL01_Male]],0,MATCH(base&amp;"_"&amp;mainLI_gender,tblBaseCOIRate[#Headers],0)-3)</f>
        <v>1.87999999999999E-3</v>
      </c>
      <c r="P3" s="202">
        <v>2.6300000000000199E-3</v>
      </c>
      <c r="Q3" s="202">
        <v>1.87999999999999E-3</v>
      </c>
      <c r="R3" s="202">
        <v>2.1040000000000199E-3</v>
      </c>
      <c r="S3" s="202">
        <v>1.5039999999999899E-3</v>
      </c>
      <c r="T3" s="202">
        <v>2.1040000000000199E-3</v>
      </c>
      <c r="U3" s="202">
        <v>1.5039999999999899E-3</v>
      </c>
      <c r="V3" s="202">
        <f>tblBaseCOIRate[[#This Row],[UVL01_Male]]</f>
        <v>2.6300000000000199E-3</v>
      </c>
      <c r="W3" s="203">
        <f>tblBaseCOIRate[[#This Row],[UVL01_Female]]</f>
        <v>1.87999999999999E-3</v>
      </c>
      <c r="Z3" s="204">
        <f ca="1">OFFSET($AA$3,0,MATCH(base,$Z$2:$AD$2,0)-3)</f>
        <v>7.4999999999999993E-5</v>
      </c>
      <c r="AA3" s="202">
        <f>0.0075%</f>
        <v>7.4999999999999993E-5</v>
      </c>
      <c r="AB3" s="202">
        <f t="shared" ref="AB3:AC3" si="0">0.0075%</f>
        <v>7.4999999999999993E-5</v>
      </c>
      <c r="AC3" s="202">
        <f t="shared" si="0"/>
        <v>7.4999999999999993E-5</v>
      </c>
      <c r="AD3" s="202">
        <f ca="1">monthly_acc_coi</f>
        <v>7.4999999999999993E-5</v>
      </c>
      <c r="AG3" s="200">
        <v>1</v>
      </c>
      <c r="AH3" s="205">
        <f ca="1">OFFSET(tblTPAllocChrgRate[[#This Row],[UVL01]],0,MATCH(base,tblTPAllocChrgRate[#Headers],0)-3)</f>
        <v>0.55000000000000004</v>
      </c>
      <c r="AI3" s="206">
        <v>0.55000000000000004</v>
      </c>
      <c r="AJ3" s="207">
        <v>0.7</v>
      </c>
      <c r="AK3" s="208">
        <v>0.3</v>
      </c>
      <c r="AL3" s="208">
        <f>tblTPAllocChrgRate[[#This Row],[UVL01]]</f>
        <v>0.55000000000000004</v>
      </c>
      <c r="AO3" s="200">
        <v>1</v>
      </c>
      <c r="AP3" s="209">
        <f ca="1">OFFSET(tblEPAllocChrgRate[[#This Row],[UVL01]],0,MATCH(base,tblEPAllocChrgRate[#Headers],0)-3)</f>
        <v>0.02</v>
      </c>
      <c r="AQ3" s="210">
        <v>0.02</v>
      </c>
      <c r="AR3" s="211">
        <v>1.4999999999999999E-2</v>
      </c>
      <c r="AS3" s="212">
        <v>0.01</v>
      </c>
      <c r="AT3" s="212">
        <f>tblEPAllocChrgRate[[#This Row],[UVL01]]</f>
        <v>0.02</v>
      </c>
      <c r="AW3" s="200">
        <v>1</v>
      </c>
      <c r="AX3" s="209">
        <f ca="1">OFFSET(tblSurrChrgRate[[#This Row],[UVL01]],0,MATCH(base,tblSurrChrgRate[#Headers],0)-3)</f>
        <v>1</v>
      </c>
      <c r="AY3" s="206">
        <v>1</v>
      </c>
      <c r="AZ3" s="207">
        <v>1</v>
      </c>
      <c r="BA3" s="208">
        <v>0.45</v>
      </c>
      <c r="BB3" s="213">
        <f>tblSurrChrgRate[[#This Row],[UVL01]]</f>
        <v>1</v>
      </c>
      <c r="BE3" s="200">
        <v>1</v>
      </c>
      <c r="BF3" s="209">
        <f ca="1">OFFSET(tblLBRate[[#This Row],[UVL01]],0,MATCH(base,tblLBRate[#Headers],0)-3)</f>
        <v>0</v>
      </c>
      <c r="BG3" s="210">
        <v>0</v>
      </c>
      <c r="BH3" s="210">
        <v>0</v>
      </c>
      <c r="BI3" s="405">
        <v>0</v>
      </c>
      <c r="BJ3" s="405">
        <f>tblLBRate[[#This Row],[UVL01]]</f>
        <v>0</v>
      </c>
      <c r="BM3" s="214" t="s">
        <v>358</v>
      </c>
      <c r="BN3" s="215" t="s">
        <v>369</v>
      </c>
      <c r="BO3" s="216">
        <v>1</v>
      </c>
      <c r="BP3" s="216">
        <v>10</v>
      </c>
      <c r="BQ3" s="216" t="str">
        <f>tblSBRate[[#This Row],[Product]]&amp;"_"&amp;tblSBRate[[#This Row],[Case]]&amp;"_"&amp;tblSBRate[[#This Row],[Year]]</f>
        <v>UVL01_1_10</v>
      </c>
      <c r="BR3" s="217">
        <v>0</v>
      </c>
      <c r="BU3" s="200">
        <f t="shared" ref="BU3:BU9" si="1">BU4-1</f>
        <v>2016</v>
      </c>
      <c r="BV3" s="218">
        <f ca="1">OFFSET(tblAdminChrg[[#This Row],[UVL01]],0,MATCH(base,tblAdminChrg[#Headers],0)-3)</f>
        <v>25000</v>
      </c>
      <c r="BW3" s="215">
        <v>25000</v>
      </c>
      <c r="BX3" s="215">
        <v>0</v>
      </c>
      <c r="BY3" s="219">
        <v>0</v>
      </c>
      <c r="BZ3" s="219">
        <v>0</v>
      </c>
      <c r="CC3" s="214" t="s">
        <v>134</v>
      </c>
      <c r="CD3" s="400">
        <f ca="1">OFFSET(tblIntRate[[#This Row],[UVL01]],0,MATCH(base,tblIntRate[#Headers],0)-3)</f>
        <v>7.0000000000000007E-2</v>
      </c>
      <c r="CE3" s="220">
        <v>7.0000000000000007E-2</v>
      </c>
      <c r="CF3" s="220">
        <v>7.0000000000000007E-2</v>
      </c>
      <c r="CG3" s="220">
        <v>7.0000000000000007E-2</v>
      </c>
      <c r="CH3" s="220">
        <v>0.09</v>
      </c>
      <c r="CK3" s="200">
        <v>0</v>
      </c>
      <c r="CL3" s="209">
        <f ca="1">OFFSET(tblJuvenileLienRate[[#This Row],[UVL01]],0,MATCH(base,tblJuvenileLienRate[#Headers],0)-3)</f>
        <v>1</v>
      </c>
      <c r="CM3" s="211">
        <v>1</v>
      </c>
      <c r="CN3" s="211">
        <v>0.2</v>
      </c>
      <c r="CO3" s="212">
        <v>0.2</v>
      </c>
      <c r="CP3" s="212">
        <f>tblJuvenileLienRate[[#This Row],[UVL02]]</f>
        <v>0.2</v>
      </c>
      <c r="CS3" s="221" t="s">
        <v>370</v>
      </c>
      <c r="CT3" s="222">
        <f ca="1">OFFSET(tblOtherSetting[[#This Row],[UVL01]],0,MATCH(base,tblOtherSetting[#Headers],0)-3)</f>
        <v>4</v>
      </c>
      <c r="CU3" s="223">
        <v>4</v>
      </c>
      <c r="CV3" s="223">
        <v>3</v>
      </c>
      <c r="CW3" s="223">
        <v>3</v>
      </c>
      <c r="CX3" s="223">
        <v>5</v>
      </c>
      <c r="DA3" s="224" t="s">
        <v>358</v>
      </c>
      <c r="DB3" s="225">
        <v>1</v>
      </c>
      <c r="DC3" s="225">
        <v>0.5</v>
      </c>
      <c r="DD3" s="225">
        <v>0.25</v>
      </c>
      <c r="DE3" s="226">
        <v>8.3333333333333301E-2</v>
      </c>
      <c r="DH3" s="200" t="s">
        <v>358</v>
      </c>
      <c r="DI3" s="401">
        <v>-1</v>
      </c>
      <c r="DJ3" s="401">
        <v>65</v>
      </c>
      <c r="DK3" s="402">
        <v>-1</v>
      </c>
    </row>
    <row r="4" spans="2:115" x14ac:dyDescent="0.25">
      <c r="B4" s="197">
        <v>1</v>
      </c>
      <c r="C4" s="198">
        <f ca="1">OFFSET(tblTPRate[[#This Row],[UVL01_Male]],0,MATCH(base&amp;"_"&amp;mainLI_gender,tblTPRate[#Headers],0)-3)</f>
        <v>10.70627</v>
      </c>
      <c r="D4" s="199">
        <v>10.70627</v>
      </c>
      <c r="E4" s="199">
        <v>10.70627</v>
      </c>
      <c r="F4" s="199">
        <v>10.70627</v>
      </c>
      <c r="G4" s="199">
        <v>10.70627</v>
      </c>
      <c r="H4" s="199">
        <v>10.70627</v>
      </c>
      <c r="I4" s="199">
        <v>10.70627</v>
      </c>
      <c r="J4" s="199">
        <v>10.70627</v>
      </c>
      <c r="K4" s="199">
        <v>10.70627</v>
      </c>
      <c r="N4" s="200">
        <v>1</v>
      </c>
      <c r="O4" s="201">
        <f ca="1">OFFSET(tblBaseCOIRate[[#This Row],[UVL01_Male]],0,MATCH(base&amp;"_"&amp;mainLI_gender,tblBaseCOIRate[#Headers],0)-3)</f>
        <v>8.39999999999952E-4</v>
      </c>
      <c r="P4" s="202">
        <v>1.0300000000000901E-3</v>
      </c>
      <c r="Q4" s="202">
        <v>8.39999999999952E-4</v>
      </c>
      <c r="R4" s="202">
        <v>8.2400000000006903E-4</v>
      </c>
      <c r="S4" s="202">
        <v>6.7199999999996202E-4</v>
      </c>
      <c r="T4" s="202">
        <v>8.2400000000006903E-4</v>
      </c>
      <c r="U4" s="202">
        <v>6.7199999999996202E-4</v>
      </c>
      <c r="V4" s="202">
        <f>tblBaseCOIRate[[#This Row],[UVL01_Male]]</f>
        <v>1.0300000000000901E-3</v>
      </c>
      <c r="W4" s="203">
        <f>tblBaseCOIRate[[#This Row],[UVL01_Female]]</f>
        <v>8.39999999999952E-4</v>
      </c>
      <c r="AG4" s="200">
        <v>2</v>
      </c>
      <c r="AH4" s="205">
        <f ca="1">OFFSET(tblTPAllocChrgRate[[#This Row],[UVL01]],0,MATCH(base,tblTPAllocChrgRate[#Headers],0)-3)</f>
        <v>0.4</v>
      </c>
      <c r="AI4" s="206">
        <v>0.4</v>
      </c>
      <c r="AJ4" s="207">
        <v>0.45</v>
      </c>
      <c r="AK4" s="208">
        <v>0.15</v>
      </c>
      <c r="AL4" s="208">
        <f>tblTPAllocChrgRate[[#This Row],[UVL01]]</f>
        <v>0.4</v>
      </c>
      <c r="AO4" s="200">
        <v>2</v>
      </c>
      <c r="AP4" s="209">
        <f ca="1">OFFSET(tblEPAllocChrgRate[[#This Row],[UVL01]],0,MATCH(base,tblEPAllocChrgRate[#Headers],0)-3)</f>
        <v>0.02</v>
      </c>
      <c r="AQ4" s="210">
        <v>0.02</v>
      </c>
      <c r="AR4" s="211">
        <v>1.4999999999999999E-2</v>
      </c>
      <c r="AS4" s="212">
        <v>0.01</v>
      </c>
      <c r="AT4" s="212">
        <f>tblEPAllocChrgRate[[#This Row],[UVL01]]</f>
        <v>0.02</v>
      </c>
      <c r="AW4" s="200">
        <v>2</v>
      </c>
      <c r="AX4" s="209">
        <f ca="1">OFFSET(tblSurrChrgRate[[#This Row],[UVL01]],0,MATCH(base,tblSurrChrgRate[#Headers],0)-3)</f>
        <v>1</v>
      </c>
      <c r="AY4" s="206">
        <v>1</v>
      </c>
      <c r="AZ4" s="207">
        <v>1</v>
      </c>
      <c r="BA4" s="208">
        <v>0.4</v>
      </c>
      <c r="BB4" s="213">
        <f>tblSurrChrgRate[[#This Row],[UVL01]]</f>
        <v>1</v>
      </c>
      <c r="BE4" s="200">
        <v>2</v>
      </c>
      <c r="BF4" s="209">
        <f ca="1">OFFSET(tblLBRate[[#This Row],[UVL01]],0,MATCH(base,tblLBRate[#Headers],0)-3)</f>
        <v>0</v>
      </c>
      <c r="BG4" s="210">
        <v>0</v>
      </c>
      <c r="BH4" s="210">
        <v>0</v>
      </c>
      <c r="BI4" s="405">
        <v>0</v>
      </c>
      <c r="BJ4" s="405">
        <f>tblLBRate[[#This Row],[UVL01]]</f>
        <v>0</v>
      </c>
      <c r="BM4" s="214" t="s">
        <v>358</v>
      </c>
      <c r="BN4" s="215" t="s">
        <v>371</v>
      </c>
      <c r="BO4" s="216">
        <v>2</v>
      </c>
      <c r="BP4" s="216">
        <v>10</v>
      </c>
      <c r="BQ4" s="216" t="str">
        <f>tblSBRate[[#This Row],[Product]]&amp;"_"&amp;tblSBRate[[#This Row],[Case]]&amp;"_"&amp;tblSBRate[[#This Row],[Year]]</f>
        <v>UVL01_2_10</v>
      </c>
      <c r="BR4" s="217">
        <v>0</v>
      </c>
      <c r="BU4" s="200">
        <f t="shared" si="1"/>
        <v>2017</v>
      </c>
      <c r="BV4" s="218">
        <f ca="1">OFFSET(tblAdminChrg[[#This Row],[UVL01]],0,MATCH(base,tblAdminChrg[#Headers],0)-3)</f>
        <v>25000</v>
      </c>
      <c r="BW4" s="215">
        <v>25000</v>
      </c>
      <c r="BX4" s="215">
        <v>0</v>
      </c>
      <c r="BY4" s="219">
        <v>0</v>
      </c>
      <c r="BZ4" s="219">
        <v>0</v>
      </c>
      <c r="CC4" s="214" t="s">
        <v>144</v>
      </c>
      <c r="CD4" s="400">
        <f ca="1">OFFSET(tblIntRate[[#This Row],[UVL01]],0,MATCH(base,tblIntRate[#Headers],0)-3)</f>
        <v>0.05</v>
      </c>
      <c r="CE4" s="220">
        <v>0.05</v>
      </c>
      <c r="CF4" s="220">
        <v>0.05</v>
      </c>
      <c r="CG4" s="220">
        <v>0.05</v>
      </c>
      <c r="CH4" s="220">
        <v>0.05</v>
      </c>
      <c r="CK4" s="200">
        <v>1</v>
      </c>
      <c r="CL4" s="209">
        <f ca="1">OFFSET(tblJuvenileLienRate[[#This Row],[UVL01]],0,MATCH(base,tblJuvenileLienRate[#Headers],0)-3)</f>
        <v>1</v>
      </c>
      <c r="CM4" s="211">
        <v>1</v>
      </c>
      <c r="CN4" s="211">
        <v>0.2</v>
      </c>
      <c r="CO4" s="212">
        <v>0.2</v>
      </c>
      <c r="CP4" s="212">
        <f>tblJuvenileLienRate[[#This Row],[UVL02]]</f>
        <v>0.2</v>
      </c>
      <c r="CS4" s="200" t="s">
        <v>372</v>
      </c>
      <c r="CT4" s="222">
        <f ca="1">OFFSET(tblOtherSetting[[#This Row],[UVL01]],0,MATCH(base,tblOtherSetting[#Headers],0)-3)</f>
        <v>4</v>
      </c>
      <c r="CU4" s="223">
        <v>4</v>
      </c>
      <c r="CV4" s="223">
        <v>3</v>
      </c>
      <c r="CW4" s="223">
        <v>3</v>
      </c>
      <c r="CX4" s="223">
        <v>5</v>
      </c>
      <c r="DA4" s="224" t="s">
        <v>359</v>
      </c>
      <c r="DB4" s="225">
        <v>1</v>
      </c>
      <c r="DC4" s="225">
        <v>0.5</v>
      </c>
      <c r="DD4" s="225">
        <v>0.25</v>
      </c>
      <c r="DE4" s="226">
        <v>8.3333333333333301E-2</v>
      </c>
      <c r="DH4" s="200" t="s">
        <v>359</v>
      </c>
      <c r="DI4" s="401">
        <v>-1</v>
      </c>
      <c r="DJ4" s="401">
        <v>65</v>
      </c>
      <c r="DK4" s="402">
        <v>-1</v>
      </c>
    </row>
    <row r="5" spans="2:115" x14ac:dyDescent="0.25">
      <c r="B5" s="197">
        <v>2</v>
      </c>
      <c r="C5" s="198">
        <f ca="1">OFFSET(tblTPRate[[#This Row],[UVL01_Male]],0,MATCH(base&amp;"_"&amp;mainLI_gender,tblTPRate[#Headers],0)-3)</f>
        <v>10.85802</v>
      </c>
      <c r="D5" s="199">
        <v>10.85802</v>
      </c>
      <c r="E5" s="199">
        <v>10.85802</v>
      </c>
      <c r="F5" s="199">
        <v>10.85802</v>
      </c>
      <c r="G5" s="199">
        <v>10.85802</v>
      </c>
      <c r="H5" s="199">
        <v>10.85802</v>
      </c>
      <c r="I5" s="199">
        <v>10.85802</v>
      </c>
      <c r="J5" s="199">
        <v>10.85802</v>
      </c>
      <c r="K5" s="199">
        <v>10.85802</v>
      </c>
      <c r="N5" s="200">
        <v>2</v>
      </c>
      <c r="O5" s="201">
        <f ca="1">OFFSET(tblBaseCOIRate[[#This Row],[UVL01_Male]],0,MATCH(base&amp;"_"&amp;mainLI_gender,tblBaseCOIRate[#Headers],0)-3)</f>
        <v>8.0000000000002302E-4</v>
      </c>
      <c r="P5" s="202">
        <v>9.8999999999993494E-4</v>
      </c>
      <c r="Q5" s="202">
        <v>8.0000000000002302E-4</v>
      </c>
      <c r="R5" s="202">
        <v>7.9199999999994802E-4</v>
      </c>
      <c r="S5" s="202">
        <v>6.4000000000001805E-4</v>
      </c>
      <c r="T5" s="202">
        <v>7.9199999999994802E-4</v>
      </c>
      <c r="U5" s="202">
        <v>6.4000000000001805E-4</v>
      </c>
      <c r="V5" s="202">
        <f>tblBaseCOIRate[[#This Row],[UVL01_Male]]</f>
        <v>9.8999999999993494E-4</v>
      </c>
      <c r="W5" s="203">
        <f>tblBaseCOIRate[[#This Row],[UVL01_Female]]</f>
        <v>8.0000000000002302E-4</v>
      </c>
      <c r="AG5" s="200">
        <v>3</v>
      </c>
      <c r="AH5" s="205">
        <f ca="1">OFFSET(tblTPAllocChrgRate[[#This Row],[UVL01]],0,MATCH(base,tblTPAllocChrgRate[#Headers],0)-3)</f>
        <v>0.25</v>
      </c>
      <c r="AI5" s="206">
        <v>0.25</v>
      </c>
      <c r="AJ5" s="207">
        <v>0.25</v>
      </c>
      <c r="AK5" s="208">
        <v>0.1</v>
      </c>
      <c r="AL5" s="208">
        <f>tblTPAllocChrgRate[[#This Row],[UVL01]]</f>
        <v>0.25</v>
      </c>
      <c r="AO5" s="200">
        <v>3</v>
      </c>
      <c r="AP5" s="209">
        <f ca="1">OFFSET(tblEPAllocChrgRate[[#This Row],[UVL01]],0,MATCH(base,tblEPAllocChrgRate[#Headers],0)-3)</f>
        <v>0.02</v>
      </c>
      <c r="AQ5" s="210">
        <v>0.02</v>
      </c>
      <c r="AR5" s="211">
        <v>1.4999999999999999E-2</v>
      </c>
      <c r="AS5" s="212">
        <v>0.01</v>
      </c>
      <c r="AT5" s="212">
        <f>tblEPAllocChrgRate[[#This Row],[UVL01]]</f>
        <v>0.02</v>
      </c>
      <c r="AW5" s="200">
        <v>3</v>
      </c>
      <c r="AX5" s="209">
        <f ca="1">OFFSET(tblSurrChrgRate[[#This Row],[UVL01]],0,MATCH(base,tblSurrChrgRate[#Headers],0)-3)</f>
        <v>1</v>
      </c>
      <c r="AY5" s="206">
        <v>1</v>
      </c>
      <c r="AZ5" s="207">
        <v>1</v>
      </c>
      <c r="BA5" s="208">
        <v>0.3</v>
      </c>
      <c r="BB5" s="213">
        <f>tblSurrChrgRate[[#This Row],[UVL01]]</f>
        <v>1</v>
      </c>
      <c r="BE5" s="200">
        <v>3</v>
      </c>
      <c r="BF5" s="209">
        <f ca="1">OFFSET(tblLBRate[[#This Row],[UVL01]],0,MATCH(base,tblLBRate[#Headers],0)-3)</f>
        <v>0</v>
      </c>
      <c r="BG5" s="210">
        <v>0</v>
      </c>
      <c r="BH5" s="210">
        <v>0.03</v>
      </c>
      <c r="BI5" s="405">
        <v>0.03</v>
      </c>
      <c r="BJ5" s="405">
        <f>tblLBRate[[#This Row],[UVL01]]</f>
        <v>0</v>
      </c>
      <c r="BM5" s="214" t="s">
        <v>358</v>
      </c>
      <c r="BN5" s="215" t="s">
        <v>373</v>
      </c>
      <c r="BO5" s="216">
        <v>3</v>
      </c>
      <c r="BP5" s="216">
        <v>10</v>
      </c>
      <c r="BQ5" s="216" t="str">
        <f>tblSBRate[[#This Row],[Product]]&amp;"_"&amp;tblSBRate[[#This Row],[Case]]&amp;"_"&amp;tblSBRate[[#This Row],[Year]]</f>
        <v>UVL01_3_10</v>
      </c>
      <c r="BR5" s="217">
        <v>0</v>
      </c>
      <c r="BU5" s="200">
        <f t="shared" si="1"/>
        <v>2018</v>
      </c>
      <c r="BV5" s="218">
        <f ca="1">OFFSET(tblAdminChrg[[#This Row],[UVL01]],0,MATCH(base,tblAdminChrg[#Headers],0)-3)</f>
        <v>25000</v>
      </c>
      <c r="BW5" s="215">
        <v>25000</v>
      </c>
      <c r="BX5" s="215">
        <v>0</v>
      </c>
      <c r="BY5" s="219">
        <v>0</v>
      </c>
      <c r="BZ5" s="219">
        <v>0</v>
      </c>
      <c r="CC5" s="214" t="s">
        <v>139</v>
      </c>
      <c r="CD5" s="400">
        <f ca="1">OFFSET(tblIntRate[[#This Row],[UVL01]],0,MATCH(base,tblIntRate[#Headers],0)-3)</f>
        <v>0.02</v>
      </c>
      <c r="CE5" s="220">
        <v>0.02</v>
      </c>
      <c r="CF5" s="220">
        <v>0.02</v>
      </c>
      <c r="CG5" s="220">
        <v>0.02</v>
      </c>
      <c r="CH5" s="399">
        <v>0</v>
      </c>
      <c r="CK5" s="200">
        <v>2</v>
      </c>
      <c r="CL5" s="209">
        <f ca="1">OFFSET(tblJuvenileLienRate[[#This Row],[UVL01]],0,MATCH(base,tblJuvenileLienRate[#Headers],0)-3)</f>
        <v>1</v>
      </c>
      <c r="CM5" s="211">
        <v>1</v>
      </c>
      <c r="CN5" s="211">
        <v>0.4</v>
      </c>
      <c r="CO5" s="212">
        <v>0.4</v>
      </c>
      <c r="CP5" s="212">
        <f>tblJuvenileLienRate[[#This Row],[UVL02]]</f>
        <v>0.4</v>
      </c>
      <c r="CS5" s="200" t="s">
        <v>374</v>
      </c>
      <c r="CT5" s="222">
        <f ca="1">OFFSET(tblOtherSetting[[#This Row],[UVL01]],0,MATCH(base,tblOtherSetting[#Headers],0)-3)</f>
        <v>4</v>
      </c>
      <c r="CU5" s="223">
        <v>4</v>
      </c>
      <c r="CV5" s="223">
        <v>3</v>
      </c>
      <c r="CW5" s="223">
        <v>3</v>
      </c>
      <c r="CX5" s="223">
        <v>0</v>
      </c>
      <c r="DA5" s="224" t="s">
        <v>360</v>
      </c>
      <c r="DB5" s="225">
        <v>1</v>
      </c>
      <c r="DC5" s="225">
        <v>0.5</v>
      </c>
      <c r="DD5" s="225">
        <v>0.25</v>
      </c>
      <c r="DE5" s="226">
        <v>8.3333333333333301E-2</v>
      </c>
      <c r="DH5" s="200" t="s">
        <v>360</v>
      </c>
      <c r="DI5" s="401">
        <v>-1</v>
      </c>
      <c r="DJ5" s="401">
        <v>65</v>
      </c>
      <c r="DK5" s="402">
        <v>-1</v>
      </c>
    </row>
    <row r="6" spans="2:115" x14ac:dyDescent="0.25">
      <c r="B6" s="197">
        <v>3</v>
      </c>
      <c r="C6" s="198">
        <f ca="1">OFFSET(tblTPRate[[#This Row],[UVL01_Male]],0,MATCH(base&amp;"_"&amp;mainLI_gender,tblTPRate[#Headers],0)-3)</f>
        <v>11.01681</v>
      </c>
      <c r="D6" s="199">
        <v>11.01681</v>
      </c>
      <c r="E6" s="199">
        <v>11.01681</v>
      </c>
      <c r="F6" s="199">
        <v>11.01681</v>
      </c>
      <c r="G6" s="199">
        <v>11.01681</v>
      </c>
      <c r="H6" s="199">
        <v>11.01681</v>
      </c>
      <c r="I6" s="199">
        <v>11.01681</v>
      </c>
      <c r="J6" s="199">
        <v>11.01681</v>
      </c>
      <c r="K6" s="199">
        <v>11.01681</v>
      </c>
      <c r="N6" s="200">
        <v>3</v>
      </c>
      <c r="O6" s="201">
        <f ca="1">OFFSET(tblBaseCOIRate[[#This Row],[UVL01_Male]],0,MATCH(base&amp;"_"&amp;mainLI_gender,tblBaseCOIRate[#Headers],0)-3)</f>
        <v>7.8000000000000302E-4</v>
      </c>
      <c r="P6" s="202">
        <v>9.7000000000002596E-4</v>
      </c>
      <c r="Q6" s="202">
        <v>7.8000000000000302E-4</v>
      </c>
      <c r="R6" s="202">
        <v>7.7600000000002103E-4</v>
      </c>
      <c r="S6" s="202">
        <v>6.2400000000000205E-4</v>
      </c>
      <c r="T6" s="202">
        <v>7.7600000000002103E-4</v>
      </c>
      <c r="U6" s="202">
        <v>6.2400000000000205E-4</v>
      </c>
      <c r="V6" s="202">
        <f>tblBaseCOIRate[[#This Row],[UVL01_Male]]</f>
        <v>9.7000000000002596E-4</v>
      </c>
      <c r="W6" s="203">
        <f>tblBaseCOIRate[[#This Row],[UVL01_Female]]</f>
        <v>7.8000000000000302E-4</v>
      </c>
      <c r="AG6" s="200">
        <v>4</v>
      </c>
      <c r="AH6" s="205">
        <f ca="1">OFFSET(tblTPAllocChrgRate[[#This Row],[UVL01]],0,MATCH(base,tblTPAllocChrgRate[#Headers],0)-3)</f>
        <v>0.2</v>
      </c>
      <c r="AI6" s="206">
        <v>0.2</v>
      </c>
      <c r="AJ6" s="207">
        <v>0</v>
      </c>
      <c r="AK6" s="208">
        <v>0</v>
      </c>
      <c r="AL6" s="208">
        <f>tblTPAllocChrgRate[[#This Row],[UVL01]]</f>
        <v>0.2</v>
      </c>
      <c r="AO6" s="200">
        <v>4</v>
      </c>
      <c r="AP6" s="209">
        <f ca="1">OFFSET(tblEPAllocChrgRate[[#This Row],[UVL01]],0,MATCH(base,tblEPAllocChrgRate[#Headers],0)-3)</f>
        <v>0.02</v>
      </c>
      <c r="AQ6" s="210">
        <v>0.02</v>
      </c>
      <c r="AR6" s="211">
        <v>1.4999999999999999E-2</v>
      </c>
      <c r="AS6" s="212">
        <v>0.01</v>
      </c>
      <c r="AT6" s="212">
        <f>tblEPAllocChrgRate[[#This Row],[UVL01]]</f>
        <v>0.02</v>
      </c>
      <c r="AW6" s="200">
        <v>4</v>
      </c>
      <c r="AX6" s="209">
        <f ca="1">OFFSET(tblSurrChrgRate[[#This Row],[UVL01]],0,MATCH(base,tblSurrChrgRate[#Headers],0)-3)</f>
        <v>1</v>
      </c>
      <c r="AY6" s="206">
        <v>1</v>
      </c>
      <c r="AZ6" s="207">
        <v>0.85</v>
      </c>
      <c r="BA6" s="208">
        <v>0.2</v>
      </c>
      <c r="BB6" s="213">
        <f>tblSurrChrgRate[[#This Row],[UVL01]]</f>
        <v>1</v>
      </c>
      <c r="BE6" s="200">
        <v>4</v>
      </c>
      <c r="BF6" s="209">
        <f ca="1">OFFSET(tblLBRate[[#This Row],[UVL01]],0,MATCH(base,tblLBRate[#Headers],0)-3)</f>
        <v>0.06</v>
      </c>
      <c r="BG6" s="210">
        <v>0.06</v>
      </c>
      <c r="BH6" s="210">
        <v>0</v>
      </c>
      <c r="BI6" s="405">
        <v>0</v>
      </c>
      <c r="BJ6" s="405">
        <f>tblLBRate[[#This Row],[UVL01]]</f>
        <v>0.06</v>
      </c>
      <c r="BM6" s="214" t="s">
        <v>358</v>
      </c>
      <c r="BN6" s="215" t="s">
        <v>369</v>
      </c>
      <c r="BO6" s="216">
        <v>1</v>
      </c>
      <c r="BP6" s="216">
        <v>20</v>
      </c>
      <c r="BQ6" s="216" t="str">
        <f>tblSBRate[[#This Row],[Product]]&amp;"_"&amp;tblSBRate[[#This Row],[Case]]&amp;"_"&amp;tblSBRate[[#This Row],[Year]]</f>
        <v>UVL01_1_20</v>
      </c>
      <c r="BR6" s="217">
        <v>0</v>
      </c>
      <c r="BU6" s="200">
        <f t="shared" si="1"/>
        <v>2019</v>
      </c>
      <c r="BV6" s="218">
        <f ca="1">OFFSET(tblAdminChrg[[#This Row],[UVL01]],0,MATCH(base,tblAdminChrg[#Headers],0)-3)</f>
        <v>25000</v>
      </c>
      <c r="BW6" s="215">
        <v>25000</v>
      </c>
      <c r="BX6" s="215">
        <v>0</v>
      </c>
      <c r="BY6" s="219">
        <v>0</v>
      </c>
      <c r="BZ6" s="219">
        <v>0</v>
      </c>
      <c r="CK6" s="200">
        <v>3</v>
      </c>
      <c r="CL6" s="209">
        <f ca="1">OFFSET(tblJuvenileLienRate[[#This Row],[UVL01]],0,MATCH(base,tblJuvenileLienRate[#Headers],0)-3)</f>
        <v>1</v>
      </c>
      <c r="CM6" s="211">
        <v>1</v>
      </c>
      <c r="CN6" s="211">
        <v>0.6</v>
      </c>
      <c r="CO6" s="212">
        <v>0.6</v>
      </c>
      <c r="CP6" s="212">
        <f>tblJuvenileLienRate[[#This Row],[UVL02]]</f>
        <v>0.6</v>
      </c>
      <c r="CS6" s="200" t="s">
        <v>375</v>
      </c>
      <c r="CT6" s="231">
        <f ca="1">OFFSET(tblOtherSetting[[#This Row],[UVL01]],0,MATCH(base,tblOtherSetting[#Headers],0)-3)</f>
        <v>1000000</v>
      </c>
      <c r="CU6" s="215">
        <v>1000000</v>
      </c>
      <c r="CV6" s="215">
        <v>1000000</v>
      </c>
      <c r="CW6" s="215">
        <v>1000000</v>
      </c>
      <c r="CX6" s="215">
        <v>2000000</v>
      </c>
      <c r="DA6" s="224" t="s">
        <v>161</v>
      </c>
      <c r="DB6" s="225">
        <v>1</v>
      </c>
      <c r="DC6" s="225">
        <v>0.5</v>
      </c>
      <c r="DD6" s="225">
        <v>0.25</v>
      </c>
      <c r="DE6" s="226">
        <v>8.3333333333333301E-2</v>
      </c>
      <c r="DH6" s="200" t="s">
        <v>161</v>
      </c>
      <c r="DI6" s="401">
        <v>-1</v>
      </c>
      <c r="DJ6" s="401">
        <v>65</v>
      </c>
      <c r="DK6" s="402">
        <v>-1</v>
      </c>
    </row>
    <row r="7" spans="2:115" x14ac:dyDescent="0.25">
      <c r="B7" s="197">
        <v>4</v>
      </c>
      <c r="C7" s="198">
        <f ca="1">OFFSET(tblTPRate[[#This Row],[UVL01_Male]],0,MATCH(base&amp;"_"&amp;mainLI_gender,tblTPRate[#Headers],0)-3)</f>
        <v>11.182639999999999</v>
      </c>
      <c r="D7" s="199">
        <v>11.182639999999999</v>
      </c>
      <c r="E7" s="199">
        <v>11.182639999999999</v>
      </c>
      <c r="F7" s="199">
        <v>11.182639999999999</v>
      </c>
      <c r="G7" s="199">
        <v>11.182639999999999</v>
      </c>
      <c r="H7" s="199">
        <v>11.182639999999999</v>
      </c>
      <c r="I7" s="199">
        <v>11.182639999999999</v>
      </c>
      <c r="J7" s="199">
        <v>11.182639999999999</v>
      </c>
      <c r="K7" s="199">
        <v>11.182639999999999</v>
      </c>
      <c r="N7" s="200">
        <v>4</v>
      </c>
      <c r="O7" s="201">
        <f ca="1">OFFSET(tblBaseCOIRate[[#This Row],[UVL01_Male]],0,MATCH(base&amp;"_"&amp;mainLI_gender,tblBaseCOIRate[#Headers],0)-3)</f>
        <v>7.7000000000004799E-4</v>
      </c>
      <c r="P7" s="202">
        <v>9.2999999999998596E-4</v>
      </c>
      <c r="Q7" s="202">
        <v>7.7000000000004799E-4</v>
      </c>
      <c r="R7" s="202">
        <v>7.4399999999998903E-4</v>
      </c>
      <c r="S7" s="202">
        <v>6.1600000000003904E-4</v>
      </c>
      <c r="T7" s="202">
        <v>7.4399999999998903E-4</v>
      </c>
      <c r="U7" s="202">
        <v>6.1600000000003904E-4</v>
      </c>
      <c r="V7" s="202">
        <f>tblBaseCOIRate[[#This Row],[UVL01_Male]]</f>
        <v>9.2999999999998596E-4</v>
      </c>
      <c r="W7" s="203">
        <f>tblBaseCOIRate[[#This Row],[UVL01_Female]]</f>
        <v>7.7000000000004799E-4</v>
      </c>
      <c r="AG7" s="200">
        <v>5</v>
      </c>
      <c r="AH7" s="205">
        <f ca="1">OFFSET(tblTPAllocChrgRate[[#This Row],[UVL01]],0,MATCH(base,tblTPAllocChrgRate[#Headers],0)-3)</f>
        <v>0.1</v>
      </c>
      <c r="AI7" s="206">
        <v>0.1</v>
      </c>
      <c r="AJ7" s="207">
        <v>0</v>
      </c>
      <c r="AK7" s="208">
        <v>0</v>
      </c>
      <c r="AL7" s="208">
        <f>tblTPAllocChrgRate[[#This Row],[UVL01]]</f>
        <v>0.1</v>
      </c>
      <c r="AO7" s="200">
        <v>5</v>
      </c>
      <c r="AP7" s="209">
        <f ca="1">OFFSET(tblEPAllocChrgRate[[#This Row],[UVL01]],0,MATCH(base,tblEPAllocChrgRate[#Headers],0)-3)</f>
        <v>0.02</v>
      </c>
      <c r="AQ7" s="210">
        <v>0.02</v>
      </c>
      <c r="AR7" s="211">
        <v>1.4999999999999999E-2</v>
      </c>
      <c r="AS7" s="212">
        <v>0.01</v>
      </c>
      <c r="AT7" s="212">
        <f>tblEPAllocChrgRate[[#This Row],[UVL01]]</f>
        <v>0.02</v>
      </c>
      <c r="AW7" s="200">
        <v>5</v>
      </c>
      <c r="AX7" s="209">
        <f ca="1">OFFSET(tblSurrChrgRate[[#This Row],[UVL01]],0,MATCH(base,tblSurrChrgRate[#Headers],0)-3)</f>
        <v>0.8</v>
      </c>
      <c r="AY7" s="206">
        <v>0.8</v>
      </c>
      <c r="AZ7" s="207">
        <v>0.65</v>
      </c>
      <c r="BA7" s="208">
        <v>0.1</v>
      </c>
      <c r="BB7" s="213">
        <f>tblSurrChrgRate[[#This Row],[UVL01]]</f>
        <v>0.8</v>
      </c>
      <c r="BE7" s="200">
        <v>5</v>
      </c>
      <c r="BF7" s="209">
        <f ca="1">OFFSET(tblLBRate[[#This Row],[UVL01]],0,MATCH(base,tblLBRate[#Headers],0)-3)</f>
        <v>0</v>
      </c>
      <c r="BG7" s="210">
        <v>0</v>
      </c>
      <c r="BH7" s="210">
        <v>0</v>
      </c>
      <c r="BI7" s="405">
        <v>0</v>
      </c>
      <c r="BJ7" s="405">
        <f>tblLBRate[[#This Row],[UVL01]]</f>
        <v>0</v>
      </c>
      <c r="BM7" s="214" t="s">
        <v>358</v>
      </c>
      <c r="BN7" s="215" t="s">
        <v>371</v>
      </c>
      <c r="BO7" s="216">
        <v>2</v>
      </c>
      <c r="BP7" s="216">
        <v>20</v>
      </c>
      <c r="BQ7" s="216" t="str">
        <f>tblSBRate[[#This Row],[Product]]&amp;"_"&amp;tblSBRate[[#This Row],[Case]]&amp;"_"&amp;tblSBRate[[#This Row],[Year]]</f>
        <v>UVL01_2_20</v>
      </c>
      <c r="BR7" s="217">
        <v>0</v>
      </c>
      <c r="BU7" s="200">
        <f t="shared" si="1"/>
        <v>2020</v>
      </c>
      <c r="BV7" s="218">
        <f ca="1">OFFSET(tblAdminChrg[[#This Row],[UVL01]],0,MATCH(base,tblAdminChrg[#Headers],0)-3)</f>
        <v>25000</v>
      </c>
      <c r="BW7" s="215">
        <v>25000</v>
      </c>
      <c r="BX7" s="215">
        <v>0</v>
      </c>
      <c r="BY7" s="219">
        <v>0</v>
      </c>
      <c r="BZ7" s="219">
        <v>0</v>
      </c>
      <c r="CK7" s="227">
        <v>4</v>
      </c>
      <c r="CL7" s="228">
        <f ca="1">OFFSET(tblJuvenileLienRate[[#This Row],[UVL01]],0,MATCH(base,tblJuvenileLienRate[#Headers],0)-3)</f>
        <v>1</v>
      </c>
      <c r="CM7" s="211">
        <v>1</v>
      </c>
      <c r="CN7" s="229">
        <v>0.8</v>
      </c>
      <c r="CO7" s="230">
        <v>0.8</v>
      </c>
      <c r="CP7" s="230">
        <f>tblJuvenileLienRate[[#This Row],[UVL02]]</f>
        <v>0.8</v>
      </c>
      <c r="CS7" s="221" t="s">
        <v>376</v>
      </c>
      <c r="CT7" s="231">
        <f ca="1">OFFSET(tblOtherSetting[[#This Row],[UVL01]],0,MATCH(base,tblOtherSetting[#Headers],0)-3)</f>
        <v>5360000</v>
      </c>
      <c r="CU7" s="215">
        <f ca="1">Base_CF!tp*5</f>
        <v>5360000</v>
      </c>
      <c r="CV7" s="215">
        <f ca="1">Base_CF!tp*5</f>
        <v>5360000</v>
      </c>
      <c r="CW7" s="215">
        <f ca="1">Base_CF!tp*5</f>
        <v>5360000</v>
      </c>
      <c r="CX7" s="215">
        <f ca="1">Base_CF!tp*5</f>
        <v>5360000</v>
      </c>
      <c r="DA7" s="200" t="s">
        <v>480</v>
      </c>
      <c r="DB7" s="225">
        <v>1</v>
      </c>
      <c r="DC7" s="225">
        <v>0.5</v>
      </c>
      <c r="DD7" s="225">
        <v>0.25</v>
      </c>
      <c r="DE7" s="226">
        <v>8.3333333333333301E-2</v>
      </c>
      <c r="DH7" s="200" t="s">
        <v>480</v>
      </c>
      <c r="DI7" s="401">
        <v>18</v>
      </c>
      <c r="DJ7" s="401">
        <v>60</v>
      </c>
      <c r="DK7" s="402">
        <v>61</v>
      </c>
    </row>
    <row r="8" spans="2:115" x14ac:dyDescent="0.25">
      <c r="B8" s="197">
        <v>5</v>
      </c>
      <c r="C8" s="198">
        <f ca="1">OFFSET(tblTPRate[[#This Row],[UVL01_Male]],0,MATCH(base&amp;"_"&amp;mainLI_gender,tblTPRate[#Headers],0)-3)</f>
        <v>11.35751</v>
      </c>
      <c r="D8" s="199">
        <v>11.35751</v>
      </c>
      <c r="E8" s="199">
        <v>11.35751</v>
      </c>
      <c r="F8" s="199">
        <v>11.35751</v>
      </c>
      <c r="G8" s="199">
        <v>11.35751</v>
      </c>
      <c r="H8" s="199">
        <v>11.35751</v>
      </c>
      <c r="I8" s="199">
        <v>11.35751</v>
      </c>
      <c r="J8" s="199">
        <v>11.35751</v>
      </c>
      <c r="K8" s="199">
        <v>11.35751</v>
      </c>
      <c r="N8" s="200">
        <v>5</v>
      </c>
      <c r="O8" s="201">
        <f ca="1">OFFSET(tblBaseCOIRate[[#This Row],[UVL01_Male]],0,MATCH(base&amp;"_"&amp;mainLI_gender,tblBaseCOIRate[#Headers],0)-3)</f>
        <v>7.4999999999991697E-4</v>
      </c>
      <c r="P8" s="202">
        <v>8.7999999999999201E-4</v>
      </c>
      <c r="Q8" s="202">
        <v>7.4999999999991697E-4</v>
      </c>
      <c r="R8" s="202">
        <v>7.0399999999999402E-4</v>
      </c>
      <c r="S8" s="202">
        <v>5.9999999999993403E-4</v>
      </c>
      <c r="T8" s="202">
        <v>7.0399999999999402E-4</v>
      </c>
      <c r="U8" s="202">
        <v>5.9999999999993403E-4</v>
      </c>
      <c r="V8" s="202">
        <f>tblBaseCOIRate[[#This Row],[UVL01_Male]]</f>
        <v>8.7999999999999201E-4</v>
      </c>
      <c r="W8" s="203">
        <f>tblBaseCOIRate[[#This Row],[UVL01_Female]]</f>
        <v>7.4999999999991697E-4</v>
      </c>
      <c r="AG8" s="200">
        <v>6</v>
      </c>
      <c r="AH8" s="205">
        <f ca="1">OFFSET(tblTPAllocChrgRate[[#This Row],[UVL01]],0,MATCH(base,tblTPAllocChrgRate[#Headers],0)-3)</f>
        <v>7.0000000000000007E-2</v>
      </c>
      <c r="AI8" s="206">
        <v>7.0000000000000007E-2</v>
      </c>
      <c r="AJ8" s="207">
        <v>0</v>
      </c>
      <c r="AK8" s="208">
        <v>0</v>
      </c>
      <c r="AL8" s="208">
        <f>tblTPAllocChrgRate[[#This Row],[UVL01]]</f>
        <v>7.0000000000000007E-2</v>
      </c>
      <c r="AO8" s="200">
        <v>6</v>
      </c>
      <c r="AP8" s="209">
        <f ca="1">OFFSET(tblEPAllocChrgRate[[#This Row],[UVL01]],0,MATCH(base,tblEPAllocChrgRate[#Headers],0)-3)</f>
        <v>0.02</v>
      </c>
      <c r="AQ8" s="210">
        <v>0.02</v>
      </c>
      <c r="AR8" s="211">
        <v>1.4999999999999999E-2</v>
      </c>
      <c r="AS8" s="212">
        <v>0.01</v>
      </c>
      <c r="AT8" s="212">
        <f>tblEPAllocChrgRate[[#This Row],[UVL01]]</f>
        <v>0.02</v>
      </c>
      <c r="AW8" s="200">
        <v>6</v>
      </c>
      <c r="AX8" s="209">
        <f ca="1">OFFSET(tblSurrChrgRate[[#This Row],[UVL01]],0,MATCH(base,tblSurrChrgRate[#Headers],0)-3)</f>
        <v>0.6</v>
      </c>
      <c r="AY8" s="206">
        <v>0.6</v>
      </c>
      <c r="AZ8" s="207">
        <v>0.45</v>
      </c>
      <c r="BA8" s="208">
        <v>0</v>
      </c>
      <c r="BB8" s="213">
        <f>tblSurrChrgRate[[#This Row],[UVL01]]</f>
        <v>0.6</v>
      </c>
      <c r="BE8" s="200">
        <v>6</v>
      </c>
      <c r="BF8" s="209">
        <f ca="1">OFFSET(tblLBRate[[#This Row],[UVL01]],0,MATCH(base,tblLBRate[#Headers],0)-3)</f>
        <v>0</v>
      </c>
      <c r="BG8" s="210">
        <v>0</v>
      </c>
      <c r="BH8" s="210">
        <v>0.06</v>
      </c>
      <c r="BI8" s="405">
        <v>0.04</v>
      </c>
      <c r="BJ8" s="405">
        <f>tblLBRate[[#This Row],[UVL01]]</f>
        <v>0</v>
      </c>
      <c r="BM8" s="232" t="s">
        <v>358</v>
      </c>
      <c r="BN8" s="233" t="s">
        <v>373</v>
      </c>
      <c r="BO8" s="234">
        <v>3</v>
      </c>
      <c r="BP8" s="234">
        <v>20</v>
      </c>
      <c r="BQ8" s="234" t="str">
        <f>tblSBRate[[#This Row],[Product]]&amp;"_"&amp;tblSBRate[[#This Row],[Case]]&amp;"_"&amp;tblSBRate[[#This Row],[Year]]</f>
        <v>UVL01_3_20</v>
      </c>
      <c r="BR8" s="217">
        <v>0</v>
      </c>
      <c r="BU8" s="200">
        <f t="shared" si="1"/>
        <v>2021</v>
      </c>
      <c r="BV8" s="218">
        <f ca="1">OFFSET(tblAdminChrg[[#This Row],[UVL01]],0,MATCH(base,tblAdminChrg[#Headers],0)-3)</f>
        <v>25000</v>
      </c>
      <c r="BW8" s="215">
        <v>25000</v>
      </c>
      <c r="BX8" s="215">
        <v>0</v>
      </c>
      <c r="BY8" s="219">
        <v>0</v>
      </c>
      <c r="BZ8" s="219">
        <v>0</v>
      </c>
      <c r="CS8" s="221" t="s">
        <v>377</v>
      </c>
      <c r="CT8" s="231">
        <f ca="1">OFFSET(tblOtherSetting[[#This Row],[UVL01]],0,MATCH(base,tblOtherSetting[#Headers],0)-3)</f>
        <v>100000000</v>
      </c>
      <c r="CU8" s="215">
        <v>100000000</v>
      </c>
      <c r="CV8" s="215">
        <v>100000000</v>
      </c>
      <c r="CW8" s="215">
        <v>100000000</v>
      </c>
      <c r="CX8" s="215">
        <v>100000000</v>
      </c>
      <c r="DA8" s="200" t="s">
        <v>485</v>
      </c>
      <c r="DB8" s="235">
        <v>1</v>
      </c>
      <c r="DC8" s="235">
        <v>0.52</v>
      </c>
      <c r="DD8" s="235">
        <v>0.26500000000000001</v>
      </c>
      <c r="DE8" s="236">
        <v>0.09</v>
      </c>
      <c r="DH8" s="200" t="s">
        <v>485</v>
      </c>
      <c r="DI8" s="401">
        <v>-1</v>
      </c>
      <c r="DJ8" s="401">
        <v>70</v>
      </c>
      <c r="DK8" s="402">
        <v>71</v>
      </c>
    </row>
    <row r="9" spans="2:115" x14ac:dyDescent="0.25">
      <c r="B9" s="197">
        <v>6</v>
      </c>
      <c r="C9" s="198">
        <f ca="1">OFFSET(tblTPRate[[#This Row],[UVL01_Male]],0,MATCH(base&amp;"_"&amp;mainLI_gender,tblTPRate[#Headers],0)-3)</f>
        <v>11.540419999999999</v>
      </c>
      <c r="D9" s="199">
        <v>11.540419999999999</v>
      </c>
      <c r="E9" s="199">
        <v>11.540419999999999</v>
      </c>
      <c r="F9" s="199">
        <v>11.540419999999999</v>
      </c>
      <c r="G9" s="199">
        <v>11.540419999999999</v>
      </c>
      <c r="H9" s="199">
        <v>11.540419999999999</v>
      </c>
      <c r="I9" s="199">
        <v>11.540419999999999</v>
      </c>
      <c r="J9" s="199">
        <v>11.540419999999999</v>
      </c>
      <c r="K9" s="199">
        <v>11.540419999999999</v>
      </c>
      <c r="N9" s="200">
        <v>6</v>
      </c>
      <c r="O9" s="201">
        <f ca="1">OFFSET(tblBaseCOIRate[[#This Row],[UVL01_Male]],0,MATCH(base&amp;"_"&amp;mainLI_gender,tblBaseCOIRate[#Headers],0)-3)</f>
        <v>7.3000000000000799E-4</v>
      </c>
      <c r="P9" s="202">
        <v>8.2999999999999697E-4</v>
      </c>
      <c r="Q9" s="202">
        <v>7.3000000000000799E-4</v>
      </c>
      <c r="R9" s="202">
        <v>6.6399999999999803E-4</v>
      </c>
      <c r="S9" s="202">
        <v>5.8400000000000704E-4</v>
      </c>
      <c r="T9" s="202">
        <v>6.6399999999999803E-4</v>
      </c>
      <c r="U9" s="202">
        <v>5.8400000000000704E-4</v>
      </c>
      <c r="V9" s="202">
        <f>tblBaseCOIRate[[#This Row],[UVL01_Male]]</f>
        <v>8.2999999999999697E-4</v>
      </c>
      <c r="W9" s="203">
        <f>tblBaseCOIRate[[#This Row],[UVL01_Female]]</f>
        <v>7.3000000000000799E-4</v>
      </c>
      <c r="AG9" s="200">
        <v>7</v>
      </c>
      <c r="AH9" s="205">
        <f ca="1">OFFSET(tblTPAllocChrgRate[[#This Row],[UVL01]],0,MATCH(base,tblTPAllocChrgRate[#Headers],0)-3)</f>
        <v>7.0000000000000007E-2</v>
      </c>
      <c r="AI9" s="206">
        <v>7.0000000000000007E-2</v>
      </c>
      <c r="AJ9" s="207">
        <v>0</v>
      </c>
      <c r="AK9" s="208">
        <v>0</v>
      </c>
      <c r="AL9" s="208">
        <f>tblTPAllocChrgRate[[#This Row],[UVL01]]</f>
        <v>7.0000000000000007E-2</v>
      </c>
      <c r="AO9" s="200">
        <v>7</v>
      </c>
      <c r="AP9" s="209">
        <f ca="1">OFFSET(tblEPAllocChrgRate[[#This Row],[UVL01]],0,MATCH(base,tblEPAllocChrgRate[#Headers],0)-3)</f>
        <v>0.02</v>
      </c>
      <c r="AQ9" s="210">
        <v>0.02</v>
      </c>
      <c r="AR9" s="211">
        <v>1.4999999999999999E-2</v>
      </c>
      <c r="AS9" s="212">
        <v>0.01</v>
      </c>
      <c r="AT9" s="212">
        <f>tblEPAllocChrgRate[[#This Row],[UVL01]]</f>
        <v>0.02</v>
      </c>
      <c r="AW9" s="200">
        <v>7</v>
      </c>
      <c r="AX9" s="209">
        <f ca="1">OFFSET(tblSurrChrgRate[[#This Row],[UVL01]],0,MATCH(base,tblSurrChrgRate[#Headers],0)-3)</f>
        <v>0.4</v>
      </c>
      <c r="AY9" s="206">
        <v>0.4</v>
      </c>
      <c r="AZ9" s="207">
        <v>0.25</v>
      </c>
      <c r="BA9" s="208">
        <v>0</v>
      </c>
      <c r="BB9" s="213">
        <f>tblSurrChrgRate[[#This Row],[UVL01]]</f>
        <v>0.4</v>
      </c>
      <c r="BE9" s="200">
        <v>7</v>
      </c>
      <c r="BF9" s="209">
        <f ca="1">OFFSET(tblLBRate[[#This Row],[UVL01]],0,MATCH(base,tblLBRate[#Headers],0)-3)</f>
        <v>0</v>
      </c>
      <c r="BG9" s="210">
        <v>0</v>
      </c>
      <c r="BH9" s="210">
        <v>0</v>
      </c>
      <c r="BI9" s="405">
        <v>0</v>
      </c>
      <c r="BJ9" s="405">
        <f>tblLBRate[[#This Row],[UVL01]]</f>
        <v>0</v>
      </c>
      <c r="BM9" s="214" t="s">
        <v>359</v>
      </c>
      <c r="BN9" s="215" t="s">
        <v>369</v>
      </c>
      <c r="BO9" s="216">
        <v>1</v>
      </c>
      <c r="BP9" s="216">
        <v>10</v>
      </c>
      <c r="BQ9" s="216" t="str">
        <f>tblSBRate[[#This Row],[Product]]&amp;"_"&amp;tblSBRate[[#This Row],[Case]]&amp;"_"&amp;tblSBRate[[#This Row],[Year]]</f>
        <v>UVL02_1_10</v>
      </c>
      <c r="BR9" s="217">
        <v>0.2</v>
      </c>
      <c r="BU9" s="200">
        <f t="shared" si="1"/>
        <v>2022</v>
      </c>
      <c r="BV9" s="218">
        <f ca="1">OFFSET(tblAdminChrg[[#This Row],[UVL01]],0,MATCH(base,tblAdminChrg[#Headers],0)-3)</f>
        <v>25000</v>
      </c>
      <c r="BW9" s="215">
        <v>25000</v>
      </c>
      <c r="BX9" s="215">
        <v>0</v>
      </c>
      <c r="BY9" s="219">
        <v>0</v>
      </c>
      <c r="BZ9" s="219">
        <v>0</v>
      </c>
      <c r="CS9" s="221" t="s">
        <v>378</v>
      </c>
      <c r="CT9" s="231">
        <f ca="1">OFFSET(tblOtherSetting[[#This Row],[UVL01]],0,MATCH(base,tblOtherSetting[#Headers],0)-3)</f>
        <v>0</v>
      </c>
      <c r="CU9" s="215">
        <v>0</v>
      </c>
      <c r="CV9" s="215">
        <v>3000000</v>
      </c>
      <c r="CW9" s="215">
        <v>3000000</v>
      </c>
      <c r="CX9" s="215">
        <v>3000000</v>
      </c>
      <c r="DA9" s="200" t="s">
        <v>486</v>
      </c>
      <c r="DB9" s="225">
        <v>1</v>
      </c>
      <c r="DC9" s="225">
        <v>0.5</v>
      </c>
      <c r="DD9" s="225">
        <v>0.25</v>
      </c>
      <c r="DE9" s="226">
        <v>8.3333333333333301E-2</v>
      </c>
      <c r="DH9" s="200" t="s">
        <v>486</v>
      </c>
      <c r="DI9" s="401">
        <v>2</v>
      </c>
      <c r="DJ9" s="401">
        <v>59</v>
      </c>
      <c r="DK9" s="402">
        <v>60</v>
      </c>
    </row>
    <row r="10" spans="2:115" x14ac:dyDescent="0.25">
      <c r="B10" s="197">
        <v>7</v>
      </c>
      <c r="C10" s="198">
        <f ca="1">OFFSET(tblTPRate[[#This Row],[UVL01_Male]],0,MATCH(base&amp;"_"&amp;mainLI_gender,tblTPRate[#Headers],0)-3)</f>
        <v>11.73237</v>
      </c>
      <c r="D10" s="199">
        <v>11.73237</v>
      </c>
      <c r="E10" s="199">
        <v>11.73237</v>
      </c>
      <c r="F10" s="199">
        <v>11.73237</v>
      </c>
      <c r="G10" s="199">
        <v>11.73237</v>
      </c>
      <c r="H10" s="199">
        <v>11.73237</v>
      </c>
      <c r="I10" s="199">
        <v>11.73237</v>
      </c>
      <c r="J10" s="199">
        <v>11.73237</v>
      </c>
      <c r="K10" s="199">
        <v>11.73237</v>
      </c>
      <c r="N10" s="200">
        <v>7</v>
      </c>
      <c r="O10" s="201">
        <f ca="1">OFFSET(tblBaseCOIRate[[#This Row],[UVL01_Male]],0,MATCH(base&amp;"_"&amp;mainLI_gender,tblBaseCOIRate[#Headers],0)-3)</f>
        <v>7.0999999999998798E-4</v>
      </c>
      <c r="P10" s="202">
        <v>7.8000000000000302E-4</v>
      </c>
      <c r="Q10" s="202">
        <v>7.0999999999998798E-4</v>
      </c>
      <c r="R10" s="202">
        <v>6.2400000000000205E-4</v>
      </c>
      <c r="S10" s="202">
        <v>5.6799999999999104E-4</v>
      </c>
      <c r="T10" s="202">
        <v>6.2400000000000205E-4</v>
      </c>
      <c r="U10" s="202">
        <v>5.6799999999999104E-4</v>
      </c>
      <c r="V10" s="202">
        <f>tblBaseCOIRate[[#This Row],[UVL01_Male]]</f>
        <v>7.8000000000000302E-4</v>
      </c>
      <c r="W10" s="203">
        <f>tblBaseCOIRate[[#This Row],[UVL01_Female]]</f>
        <v>7.0999999999998798E-4</v>
      </c>
      <c r="AG10" s="200">
        <v>8</v>
      </c>
      <c r="AH10" s="205">
        <f ca="1">OFFSET(tblTPAllocChrgRate[[#This Row],[UVL01]],0,MATCH(base,tblTPAllocChrgRate[#Headers],0)-3)</f>
        <v>0.04</v>
      </c>
      <c r="AI10" s="206">
        <v>0.04</v>
      </c>
      <c r="AJ10" s="207">
        <v>0</v>
      </c>
      <c r="AK10" s="208">
        <v>0</v>
      </c>
      <c r="AL10" s="208">
        <f>tblTPAllocChrgRate[[#This Row],[UVL01]]</f>
        <v>0.04</v>
      </c>
      <c r="AO10" s="200">
        <v>8</v>
      </c>
      <c r="AP10" s="209">
        <f ca="1">OFFSET(tblEPAllocChrgRate[[#This Row],[UVL01]],0,MATCH(base,tblEPAllocChrgRate[#Headers],0)-3)</f>
        <v>0.02</v>
      </c>
      <c r="AQ10" s="210">
        <v>0.02</v>
      </c>
      <c r="AR10" s="211">
        <v>1.4999999999999999E-2</v>
      </c>
      <c r="AS10" s="212">
        <v>0.01</v>
      </c>
      <c r="AT10" s="212">
        <f>tblEPAllocChrgRate[[#This Row],[UVL01]]</f>
        <v>0.02</v>
      </c>
      <c r="AW10" s="200">
        <v>8</v>
      </c>
      <c r="AX10" s="209">
        <f ca="1">OFFSET(tblSurrChrgRate[[#This Row],[UVL01]],0,MATCH(base,tblSurrChrgRate[#Headers],0)-3)</f>
        <v>0.2</v>
      </c>
      <c r="AY10" s="206">
        <v>0.2</v>
      </c>
      <c r="AZ10" s="206">
        <v>0</v>
      </c>
      <c r="BA10" s="213">
        <v>0</v>
      </c>
      <c r="BB10" s="213">
        <f>tblSurrChrgRate[[#This Row],[UVL01]]</f>
        <v>0.2</v>
      </c>
      <c r="BE10" s="200">
        <v>8</v>
      </c>
      <c r="BF10" s="209">
        <f ca="1">OFFSET(tblLBRate[[#This Row],[UVL01]],0,MATCH(base,tblLBRate[#Headers],0)-3)</f>
        <v>0.12</v>
      </c>
      <c r="BG10" s="210">
        <v>0.12</v>
      </c>
      <c r="BH10" s="210">
        <v>0</v>
      </c>
      <c r="BI10" s="405">
        <v>0</v>
      </c>
      <c r="BJ10" s="405">
        <f>tblLBRate[[#This Row],[UVL01]]</f>
        <v>0.12</v>
      </c>
      <c r="BM10" s="214" t="s">
        <v>359</v>
      </c>
      <c r="BN10" s="215" t="s">
        <v>371</v>
      </c>
      <c r="BO10" s="216">
        <v>2</v>
      </c>
      <c r="BP10" s="216">
        <v>10</v>
      </c>
      <c r="BQ10" s="216" t="str">
        <f>tblSBRate[[#This Row],[Product]]&amp;"_"&amp;tblSBRate[[#This Row],[Case]]&amp;"_"&amp;tblSBRate[[#This Row],[Year]]</f>
        <v>UVL02_2_10</v>
      </c>
      <c r="BR10" s="217">
        <v>0.3</v>
      </c>
      <c r="BU10" s="200">
        <v>2023</v>
      </c>
      <c r="BV10" s="218">
        <f ca="1">OFFSET(tblAdminChrg[[#This Row],[UVL01]],0,MATCH(base,tblAdminChrg[#Headers],0)-3)</f>
        <v>25000</v>
      </c>
      <c r="BW10" s="215">
        <v>25000</v>
      </c>
      <c r="BX10" s="215">
        <v>40000</v>
      </c>
      <c r="BY10" s="219">
        <v>40000</v>
      </c>
      <c r="BZ10" s="219">
        <v>40000</v>
      </c>
      <c r="CS10" s="221" t="s">
        <v>379</v>
      </c>
      <c r="CT10" s="238">
        <f ca="1">OFFSET(tblOtherSetting[[#This Row],[UVL01]],0,MATCH(base,tblOtherSetting[#Headers],0)-3)</f>
        <v>2</v>
      </c>
      <c r="CU10" s="215">
        <v>2</v>
      </c>
      <c r="CV10" s="215">
        <v>2</v>
      </c>
      <c r="CW10" s="215">
        <v>2</v>
      </c>
      <c r="CX10" s="215">
        <v>2</v>
      </c>
      <c r="DA10" s="200" t="s">
        <v>483</v>
      </c>
      <c r="DB10" s="235">
        <v>1</v>
      </c>
      <c r="DC10" s="235">
        <v>0.53</v>
      </c>
      <c r="DD10" s="235">
        <v>0.27</v>
      </c>
      <c r="DE10" s="236">
        <v>0.09</v>
      </c>
      <c r="DH10" s="200" t="s">
        <v>483</v>
      </c>
      <c r="DI10" s="401">
        <v>1</v>
      </c>
      <c r="DJ10" s="401">
        <v>65</v>
      </c>
      <c r="DK10" s="402">
        <v>75</v>
      </c>
    </row>
    <row r="11" spans="2:115" x14ac:dyDescent="0.25">
      <c r="B11" s="197">
        <v>8</v>
      </c>
      <c r="C11" s="198">
        <f ca="1">OFFSET(tblTPRate[[#This Row],[UVL01_Male]],0,MATCH(base&amp;"_"&amp;mainLI_gender,tblTPRate[#Headers],0)-3)</f>
        <v>11.934380000000001</v>
      </c>
      <c r="D11" s="199">
        <v>11.934380000000001</v>
      </c>
      <c r="E11" s="199">
        <v>11.934380000000001</v>
      </c>
      <c r="F11" s="199">
        <v>11.934380000000001</v>
      </c>
      <c r="G11" s="199">
        <v>11.934380000000001</v>
      </c>
      <c r="H11" s="199">
        <v>11.934380000000001</v>
      </c>
      <c r="I11" s="199">
        <v>11.934380000000001</v>
      </c>
      <c r="J11" s="199">
        <v>11.934380000000001</v>
      </c>
      <c r="K11" s="199">
        <v>11.934380000000001</v>
      </c>
      <c r="N11" s="200">
        <v>8</v>
      </c>
      <c r="O11" s="201">
        <f ca="1">OFFSET(tblBaseCOIRate[[#This Row],[UVL01_Male]],0,MATCH(base&amp;"_"&amp;mainLI_gender,tblBaseCOIRate[#Headers],0)-3)</f>
        <v>7.0000000000003404E-4</v>
      </c>
      <c r="P11" s="202">
        <v>7.5000000000002799E-4</v>
      </c>
      <c r="Q11" s="202">
        <v>7.0000000000003404E-4</v>
      </c>
      <c r="R11" s="202">
        <v>6.0000000000002304E-4</v>
      </c>
      <c r="S11" s="202">
        <v>5.6000000000002695E-4</v>
      </c>
      <c r="T11" s="202">
        <v>6.0000000000002304E-4</v>
      </c>
      <c r="U11" s="202">
        <v>5.6000000000002695E-4</v>
      </c>
      <c r="V11" s="202">
        <f>tblBaseCOIRate[[#This Row],[UVL01_Male]]</f>
        <v>7.5000000000002799E-4</v>
      </c>
      <c r="W11" s="203">
        <f>tblBaseCOIRate[[#This Row],[UVL01_Female]]</f>
        <v>7.0000000000003404E-4</v>
      </c>
      <c r="AG11" s="200">
        <v>9</v>
      </c>
      <c r="AH11" s="205">
        <f ca="1">OFFSET(tblTPAllocChrgRate[[#This Row],[UVL01]],0,MATCH(base,tblTPAllocChrgRate[#Headers],0)-3)</f>
        <v>0.04</v>
      </c>
      <c r="AI11" s="206">
        <v>0.04</v>
      </c>
      <c r="AJ11" s="207">
        <v>0</v>
      </c>
      <c r="AK11" s="208">
        <v>0</v>
      </c>
      <c r="AL11" s="208">
        <f>tblTPAllocChrgRate[[#This Row],[UVL01]]</f>
        <v>0.04</v>
      </c>
      <c r="AO11" s="200">
        <v>9</v>
      </c>
      <c r="AP11" s="209">
        <f ca="1">OFFSET(tblEPAllocChrgRate[[#This Row],[UVL01]],0,MATCH(base,tblEPAllocChrgRate[#Headers],0)-3)</f>
        <v>0.02</v>
      </c>
      <c r="AQ11" s="210">
        <v>0.02</v>
      </c>
      <c r="AR11" s="211">
        <v>1.4999999999999999E-2</v>
      </c>
      <c r="AS11" s="212">
        <v>0.01</v>
      </c>
      <c r="AT11" s="212">
        <f>tblEPAllocChrgRate[[#This Row],[UVL01]]</f>
        <v>0.02</v>
      </c>
      <c r="AW11" s="200">
        <v>9</v>
      </c>
      <c r="AX11" s="209">
        <f ca="1">OFFSET(tblSurrChrgRate[[#This Row],[UVL01]],0,MATCH(base,tblSurrChrgRate[#Headers],0)-3)</f>
        <v>0.1</v>
      </c>
      <c r="AY11" s="206">
        <v>0.1</v>
      </c>
      <c r="AZ11" s="206">
        <v>0</v>
      </c>
      <c r="BA11" s="213">
        <v>0</v>
      </c>
      <c r="BB11" s="213">
        <f>tblSurrChrgRate[[#This Row],[UVL01]]</f>
        <v>0.1</v>
      </c>
      <c r="BE11" s="200">
        <v>9</v>
      </c>
      <c r="BF11" s="209">
        <f ca="1">OFFSET(tblLBRate[[#This Row],[UVL01]],0,MATCH(base,tblLBRate[#Headers],0)-3)</f>
        <v>0</v>
      </c>
      <c r="BG11" s="210">
        <v>0</v>
      </c>
      <c r="BH11" s="210">
        <v>0.09</v>
      </c>
      <c r="BI11" s="405">
        <v>0.05</v>
      </c>
      <c r="BJ11" s="405">
        <f>tblLBRate[[#This Row],[UVL01]]</f>
        <v>0</v>
      </c>
      <c r="BM11" s="214" t="s">
        <v>359</v>
      </c>
      <c r="BN11" s="215" t="s">
        <v>373</v>
      </c>
      <c r="BO11" s="216">
        <v>3</v>
      </c>
      <c r="BP11" s="216">
        <v>10</v>
      </c>
      <c r="BQ11" s="216" t="str">
        <f>tblSBRate[[#This Row],[Product]]&amp;"_"&amp;tblSBRate[[#This Row],[Case]]&amp;"_"&amp;tblSBRate[[#This Row],[Year]]</f>
        <v>UVL02_3_10</v>
      </c>
      <c r="BR11" s="217">
        <v>0.4</v>
      </c>
      <c r="BU11" s="200">
        <v>2024</v>
      </c>
      <c r="BV11" s="218">
        <f ca="1">OFFSET(tblAdminChrg[[#This Row],[UVL01]],0,MATCH(base,tblAdminChrg[#Headers],0)-3)</f>
        <v>25000</v>
      </c>
      <c r="BW11" s="215">
        <v>25000</v>
      </c>
      <c r="BX11" s="215">
        <v>42000</v>
      </c>
      <c r="BY11" s="219">
        <v>42000</v>
      </c>
      <c r="BZ11" s="219">
        <v>40000</v>
      </c>
      <c r="CK11" s="237"/>
      <c r="CL11" s="237"/>
      <c r="CS11" s="221" t="s">
        <v>380</v>
      </c>
      <c r="CT11" s="231">
        <f ca="1">OFFSET(tblOtherSetting[[#This Row],[UVL01]],0,MATCH(base,tblOtherSetting[#Headers],0)-3)</f>
        <v>1000000</v>
      </c>
      <c r="CU11" s="215">
        <v>1000000</v>
      </c>
      <c r="CV11" s="215">
        <v>1000000</v>
      </c>
      <c r="CW11" s="215">
        <v>1000000</v>
      </c>
      <c r="CX11" s="215">
        <v>1000000</v>
      </c>
      <c r="DA11" s="200" t="s">
        <v>487</v>
      </c>
      <c r="DB11" s="235">
        <v>1</v>
      </c>
      <c r="DC11" s="235">
        <v>0.52</v>
      </c>
      <c r="DD11" s="235">
        <v>0.26500000000000001</v>
      </c>
      <c r="DE11" s="236">
        <v>0.09</v>
      </c>
      <c r="DH11" s="200" t="s">
        <v>487</v>
      </c>
      <c r="DI11" s="401">
        <v>1</v>
      </c>
      <c r="DJ11" s="401">
        <v>58</v>
      </c>
      <c r="DK11" s="402">
        <v>65</v>
      </c>
    </row>
    <row r="12" spans="2:115" x14ac:dyDescent="0.25">
      <c r="B12" s="197">
        <v>9</v>
      </c>
      <c r="C12" s="198">
        <f ca="1">OFFSET(tblTPRate[[#This Row],[UVL01_Male]],0,MATCH(base&amp;"_"&amp;mainLI_gender,tblTPRate[#Headers],0)-3)</f>
        <v>12.146430000000001</v>
      </c>
      <c r="D12" s="199">
        <v>12.146430000000001</v>
      </c>
      <c r="E12" s="199">
        <v>12.146430000000001</v>
      </c>
      <c r="F12" s="199">
        <v>12.146430000000001</v>
      </c>
      <c r="G12" s="199">
        <v>12.146430000000001</v>
      </c>
      <c r="H12" s="199">
        <v>12.146430000000001</v>
      </c>
      <c r="I12" s="199">
        <v>12.146430000000001</v>
      </c>
      <c r="J12" s="199">
        <v>12.146430000000001</v>
      </c>
      <c r="K12" s="199">
        <v>12.146430000000001</v>
      </c>
      <c r="N12" s="200">
        <v>9</v>
      </c>
      <c r="O12" s="201">
        <f ca="1">OFFSET(tblBaseCOIRate[[#This Row],[UVL01_Male]],0,MATCH(base&amp;"_"&amp;mainLI_gender,tblBaseCOIRate[#Headers],0)-3)</f>
        <v>6.8999999999996798E-4</v>
      </c>
      <c r="P12" s="202">
        <v>7.3999999999996302E-4</v>
      </c>
      <c r="Q12" s="202">
        <v>6.8999999999996798E-4</v>
      </c>
      <c r="R12" s="202">
        <v>5.9199999999997005E-4</v>
      </c>
      <c r="S12" s="202">
        <v>5.5199999999997504E-4</v>
      </c>
      <c r="T12" s="202">
        <v>5.9199999999997005E-4</v>
      </c>
      <c r="U12" s="202">
        <v>5.5199999999997504E-4</v>
      </c>
      <c r="V12" s="202">
        <f>tblBaseCOIRate[[#This Row],[UVL01_Male]]</f>
        <v>7.3999999999996302E-4</v>
      </c>
      <c r="W12" s="203">
        <f>tblBaseCOIRate[[#This Row],[UVL01_Female]]</f>
        <v>6.8999999999996798E-4</v>
      </c>
      <c r="AG12" s="200">
        <v>10</v>
      </c>
      <c r="AH12" s="205">
        <f ca="1">OFFSET(tblTPAllocChrgRate[[#This Row],[UVL01]],0,MATCH(base,tblTPAllocChrgRate[#Headers],0)-3)</f>
        <v>0.02</v>
      </c>
      <c r="AI12" s="206">
        <v>0.02</v>
      </c>
      <c r="AJ12" s="207">
        <v>0</v>
      </c>
      <c r="AK12" s="208">
        <v>0</v>
      </c>
      <c r="AL12" s="208">
        <f>tblTPAllocChrgRate[[#This Row],[UVL01]]</f>
        <v>0.02</v>
      </c>
      <c r="AO12" s="200">
        <v>10</v>
      </c>
      <c r="AP12" s="209">
        <f ca="1">OFFSET(tblEPAllocChrgRate[[#This Row],[UVL01]],0,MATCH(base,tblEPAllocChrgRate[#Headers],0)-3)</f>
        <v>0.02</v>
      </c>
      <c r="AQ12" s="210">
        <v>0.02</v>
      </c>
      <c r="AR12" s="211">
        <v>1.4999999999999999E-2</v>
      </c>
      <c r="AS12" s="212">
        <v>0.01</v>
      </c>
      <c r="AT12" s="212">
        <f>tblEPAllocChrgRate[[#This Row],[UVL01]]</f>
        <v>0.02</v>
      </c>
      <c r="AW12" s="200">
        <v>10</v>
      </c>
      <c r="AX12" s="209">
        <f ca="1">OFFSET(tblSurrChrgRate[[#This Row],[UVL01]],0,MATCH(base,tblSurrChrgRate[#Headers],0)-3)</f>
        <v>0</v>
      </c>
      <c r="AY12" s="206">
        <v>0</v>
      </c>
      <c r="AZ12" s="206">
        <v>0</v>
      </c>
      <c r="BA12" s="213">
        <v>0</v>
      </c>
      <c r="BB12" s="213">
        <f>tblSurrChrgRate[[#This Row],[UVL01]]</f>
        <v>0</v>
      </c>
      <c r="BE12" s="200">
        <v>10</v>
      </c>
      <c r="BF12" s="209">
        <f ca="1">OFFSET(tblLBRate[[#This Row],[UVL01]],0,MATCH(base,tblLBRate[#Headers],0)-3)</f>
        <v>0</v>
      </c>
      <c r="BG12" s="210">
        <v>0</v>
      </c>
      <c r="BH12" s="210">
        <v>0</v>
      </c>
      <c r="BI12" s="405">
        <v>0</v>
      </c>
      <c r="BJ12" s="405">
        <f>tblLBRate[[#This Row],[UVL01]]</f>
        <v>0</v>
      </c>
      <c r="BM12" s="214" t="s">
        <v>359</v>
      </c>
      <c r="BN12" s="215" t="s">
        <v>369</v>
      </c>
      <c r="BO12" s="216">
        <v>1</v>
      </c>
      <c r="BP12" s="216">
        <v>20</v>
      </c>
      <c r="BQ12" s="216" t="str">
        <f>tblSBRate[[#This Row],[Product]]&amp;"_"&amp;tblSBRate[[#This Row],[Case]]&amp;"_"&amp;tblSBRate[[#This Row],[Year]]</f>
        <v>UVL02_1_20</v>
      </c>
      <c r="BR12" s="217">
        <v>0.8</v>
      </c>
      <c r="BU12" s="200">
        <v>2025</v>
      </c>
      <c r="BV12" s="218">
        <f ca="1">OFFSET(tblAdminChrg[[#This Row],[UVL01]],0,MATCH(base,tblAdminChrg[#Headers],0)-3)</f>
        <v>25000</v>
      </c>
      <c r="BW12" s="215">
        <v>25000</v>
      </c>
      <c r="BX12" s="215">
        <v>44000</v>
      </c>
      <c r="BY12" s="219">
        <v>44000</v>
      </c>
      <c r="BZ12" s="219">
        <v>40000</v>
      </c>
      <c r="CK12" s="237"/>
      <c r="CL12" s="237"/>
      <c r="CS12" s="239" t="s">
        <v>381</v>
      </c>
      <c r="CT12" s="240">
        <f ca="1">OFFSET(tblOtherSetting[[#This Row],[UVL01]],0,MATCH(base,tblOtherSetting[#Headers],0)-3)</f>
        <v>1072000</v>
      </c>
      <c r="CU12" s="215">
        <f ca="1">Base_CF!tp</f>
        <v>1072000</v>
      </c>
      <c r="CV12" s="233">
        <v>5000000</v>
      </c>
      <c r="CW12" s="233">
        <v>5000000</v>
      </c>
      <c r="CX12" s="233">
        <v>5000000</v>
      </c>
      <c r="DA12" s="200" t="s">
        <v>484</v>
      </c>
      <c r="DB12" s="235">
        <v>1</v>
      </c>
      <c r="DC12" s="235">
        <v>0.53</v>
      </c>
      <c r="DD12" s="235">
        <v>0.27</v>
      </c>
      <c r="DE12" s="236">
        <v>0.09</v>
      </c>
      <c r="DH12" s="200" t="s">
        <v>484</v>
      </c>
      <c r="DI12" s="401">
        <v>20</v>
      </c>
      <c r="DJ12" s="401">
        <v>59</v>
      </c>
      <c r="DK12" s="402">
        <v>60</v>
      </c>
    </row>
    <row r="13" spans="2:115" x14ac:dyDescent="0.25">
      <c r="B13" s="197">
        <v>10</v>
      </c>
      <c r="C13" s="198">
        <f ca="1">OFFSET(tblTPRate[[#This Row],[UVL01_Male]],0,MATCH(base&amp;"_"&amp;mainLI_gender,tblTPRate[#Headers],0)-3)</f>
        <v>12.36753</v>
      </c>
      <c r="D13" s="199">
        <v>12.36753</v>
      </c>
      <c r="E13" s="199">
        <v>12.36753</v>
      </c>
      <c r="F13" s="199">
        <v>12.36753</v>
      </c>
      <c r="G13" s="199">
        <v>12.36753</v>
      </c>
      <c r="H13" s="199">
        <v>12.36753</v>
      </c>
      <c r="I13" s="199">
        <v>12.36753</v>
      </c>
      <c r="J13" s="199">
        <v>12.36753</v>
      </c>
      <c r="K13" s="199">
        <v>12.36753</v>
      </c>
      <c r="N13" s="200">
        <v>10</v>
      </c>
      <c r="O13" s="201">
        <f ca="1">OFFSET(tblBaseCOIRate[[#This Row],[UVL01_Male]],0,MATCH(base&amp;"_"&amp;mainLI_gender,tblBaseCOIRate[#Headers],0)-3)</f>
        <v>6.8000000000001404E-4</v>
      </c>
      <c r="P13" s="202">
        <v>7.5000000000002799E-4</v>
      </c>
      <c r="Q13" s="202">
        <v>6.8000000000001404E-4</v>
      </c>
      <c r="R13" s="202">
        <v>6.0000000000002304E-4</v>
      </c>
      <c r="S13" s="202">
        <v>5.4400000000001095E-4</v>
      </c>
      <c r="T13" s="202">
        <v>6.0000000000002304E-4</v>
      </c>
      <c r="U13" s="202">
        <v>5.4400000000001095E-4</v>
      </c>
      <c r="V13" s="202">
        <f>tblBaseCOIRate[[#This Row],[UVL01_Male]]</f>
        <v>7.5000000000002799E-4</v>
      </c>
      <c r="W13" s="203">
        <f>tblBaseCOIRate[[#This Row],[UVL01_Female]]</f>
        <v>6.8000000000001404E-4</v>
      </c>
      <c r="AG13" s="200">
        <v>11</v>
      </c>
      <c r="AH13" s="205">
        <f ca="1">OFFSET(tblTPAllocChrgRate[[#This Row],[UVL01]],0,MATCH(base,tblTPAllocChrgRate[#Headers],0)-3)</f>
        <v>0.02</v>
      </c>
      <c r="AI13" s="206">
        <v>0.02</v>
      </c>
      <c r="AJ13" s="207">
        <v>0</v>
      </c>
      <c r="AK13" s="208">
        <v>0</v>
      </c>
      <c r="AL13" s="208">
        <f>tblTPAllocChrgRate[[#This Row],[UVL01]]</f>
        <v>0.02</v>
      </c>
      <c r="AO13" s="200">
        <v>11</v>
      </c>
      <c r="AP13" s="209">
        <f ca="1">OFFSET(tblEPAllocChrgRate[[#This Row],[UVL01]],0,MATCH(base,tblEPAllocChrgRate[#Headers],0)-3)</f>
        <v>0.02</v>
      </c>
      <c r="AQ13" s="210">
        <v>0.02</v>
      </c>
      <c r="AR13" s="211">
        <v>0</v>
      </c>
      <c r="AS13" s="212">
        <v>0</v>
      </c>
      <c r="AT13" s="212">
        <f>tblEPAllocChrgRate[[#This Row],[UVL01]]</f>
        <v>0.02</v>
      </c>
      <c r="AW13" s="200">
        <v>11</v>
      </c>
      <c r="AX13" s="209">
        <f ca="1">OFFSET(tblSurrChrgRate[[#This Row],[UVL01]],0,MATCH(base,tblSurrChrgRate[#Headers],0)-3)</f>
        <v>0</v>
      </c>
      <c r="AY13" s="206">
        <v>0</v>
      </c>
      <c r="AZ13" s="206">
        <v>0</v>
      </c>
      <c r="BA13" s="213">
        <v>0</v>
      </c>
      <c r="BB13" s="213">
        <f>tblSurrChrgRate[[#This Row],[UVL01]]</f>
        <v>0</v>
      </c>
      <c r="BE13" s="200">
        <v>11</v>
      </c>
      <c r="BF13" s="209">
        <f ca="1">OFFSET(tblLBRate[[#This Row],[UVL01]],0,MATCH(base,tblLBRate[#Headers],0)-3)</f>
        <v>0</v>
      </c>
      <c r="BG13" s="210">
        <v>0</v>
      </c>
      <c r="BH13" s="210">
        <v>0</v>
      </c>
      <c r="BI13" s="405">
        <v>0</v>
      </c>
      <c r="BJ13" s="405">
        <f>tblLBRate[[#This Row],[UVL01]]</f>
        <v>0</v>
      </c>
      <c r="BM13" s="214" t="s">
        <v>359</v>
      </c>
      <c r="BN13" s="215" t="s">
        <v>371</v>
      </c>
      <c r="BO13" s="216">
        <v>2</v>
      </c>
      <c r="BP13" s="216">
        <v>20</v>
      </c>
      <c r="BQ13" s="216" t="str">
        <f>tblSBRate[[#This Row],[Product]]&amp;"_"&amp;tblSBRate[[#This Row],[Case]]&amp;"_"&amp;tblSBRate[[#This Row],[Year]]</f>
        <v>UVL02_2_20</v>
      </c>
      <c r="BR13" s="217">
        <v>1</v>
      </c>
      <c r="BU13" s="200">
        <v>2026</v>
      </c>
      <c r="BV13" s="218">
        <f ca="1">OFFSET(tblAdminChrg[[#This Row],[UVL01]],0,MATCH(base,tblAdminChrg[#Headers],0)-3)</f>
        <v>25000</v>
      </c>
      <c r="BW13" s="215">
        <v>25000</v>
      </c>
      <c r="BX13" s="215">
        <v>46000</v>
      </c>
      <c r="BY13" s="219">
        <v>46000</v>
      </c>
      <c r="BZ13" s="219">
        <v>40000</v>
      </c>
      <c r="CK13" s="237"/>
      <c r="CL13" s="237"/>
      <c r="DA13" s="200" t="s">
        <v>482</v>
      </c>
      <c r="DB13" s="235">
        <v>1</v>
      </c>
      <c r="DC13" s="235">
        <v>0.53</v>
      </c>
      <c r="DD13" s="235">
        <v>0.27</v>
      </c>
      <c r="DE13" s="236">
        <v>0.09</v>
      </c>
      <c r="DH13" s="200" t="s">
        <v>482</v>
      </c>
      <c r="DI13" s="401">
        <v>18</v>
      </c>
      <c r="DJ13" s="401">
        <v>60</v>
      </c>
      <c r="DK13" s="402">
        <v>65</v>
      </c>
    </row>
    <row r="14" spans="2:115" x14ac:dyDescent="0.25">
      <c r="B14" s="197">
        <v>11</v>
      </c>
      <c r="C14" s="198">
        <f ca="1">OFFSET(tblTPRate[[#This Row],[UVL01_Male]],0,MATCH(base&amp;"_"&amp;mainLI_gender,tblTPRate[#Headers],0)-3)</f>
        <v>12.59768</v>
      </c>
      <c r="D14" s="199">
        <v>12.59768</v>
      </c>
      <c r="E14" s="199">
        <v>12.59768</v>
      </c>
      <c r="F14" s="199">
        <v>12.59768</v>
      </c>
      <c r="G14" s="199">
        <v>12.59768</v>
      </c>
      <c r="H14" s="199">
        <v>12.59768</v>
      </c>
      <c r="I14" s="199">
        <v>12.59768</v>
      </c>
      <c r="J14" s="199">
        <v>12.59768</v>
      </c>
      <c r="K14" s="199">
        <v>12.59768</v>
      </c>
      <c r="N14" s="200">
        <v>11</v>
      </c>
      <c r="O14" s="201">
        <f ca="1">OFFSET(tblBaseCOIRate[[#This Row],[UVL01_Male]],0,MATCH(base&amp;"_"&amp;mainLI_gender,tblBaseCOIRate[#Headers],0)-3)</f>
        <v>7.0000000000003404E-4</v>
      </c>
      <c r="P14" s="202">
        <v>8.1000000000008799E-4</v>
      </c>
      <c r="Q14" s="202">
        <v>7.0000000000003404E-4</v>
      </c>
      <c r="R14" s="202">
        <v>6.4800000000007105E-4</v>
      </c>
      <c r="S14" s="202">
        <v>5.6000000000002695E-4</v>
      </c>
      <c r="T14" s="202">
        <v>6.4800000000007105E-4</v>
      </c>
      <c r="U14" s="202">
        <v>5.6000000000002695E-4</v>
      </c>
      <c r="V14" s="202">
        <f>tblBaseCOIRate[[#This Row],[UVL01_Male]]</f>
        <v>8.1000000000008799E-4</v>
      </c>
      <c r="W14" s="203">
        <f>tblBaseCOIRate[[#This Row],[UVL01_Female]]</f>
        <v>7.0000000000003404E-4</v>
      </c>
      <c r="AG14" s="200">
        <v>12</v>
      </c>
      <c r="AH14" s="205">
        <f ca="1">OFFSET(tblTPAllocChrgRate[[#This Row],[UVL01]],0,MATCH(base,tblTPAllocChrgRate[#Headers],0)-3)</f>
        <v>0.02</v>
      </c>
      <c r="AI14" s="206">
        <v>0.02</v>
      </c>
      <c r="AJ14" s="207">
        <v>0</v>
      </c>
      <c r="AK14" s="208">
        <v>0</v>
      </c>
      <c r="AL14" s="208">
        <f>tblTPAllocChrgRate[[#This Row],[UVL01]]</f>
        <v>0.02</v>
      </c>
      <c r="AO14" s="200">
        <v>12</v>
      </c>
      <c r="AP14" s="209">
        <f ca="1">OFFSET(tblEPAllocChrgRate[[#This Row],[UVL01]],0,MATCH(base,tblEPAllocChrgRate[#Headers],0)-3)</f>
        <v>0.02</v>
      </c>
      <c r="AQ14" s="210">
        <v>0.02</v>
      </c>
      <c r="AR14" s="211">
        <v>0</v>
      </c>
      <c r="AS14" s="212">
        <v>0</v>
      </c>
      <c r="AT14" s="212">
        <f>tblEPAllocChrgRate[[#This Row],[UVL01]]</f>
        <v>0.02</v>
      </c>
      <c r="AW14" s="200">
        <v>12</v>
      </c>
      <c r="AX14" s="209">
        <f ca="1">OFFSET(tblSurrChrgRate[[#This Row],[UVL01]],0,MATCH(base,tblSurrChrgRate[#Headers],0)-3)</f>
        <v>0</v>
      </c>
      <c r="AY14" s="206">
        <v>0</v>
      </c>
      <c r="AZ14" s="206">
        <v>0</v>
      </c>
      <c r="BA14" s="213">
        <v>0</v>
      </c>
      <c r="BB14" s="213">
        <f>tblSurrChrgRate[[#This Row],[UVL01]]</f>
        <v>0</v>
      </c>
      <c r="BE14" s="200">
        <v>12</v>
      </c>
      <c r="BF14" s="209">
        <f ca="1">OFFSET(tblLBRate[[#This Row],[UVL01]],0,MATCH(base,tblLBRate[#Headers],0)-3)</f>
        <v>0.18</v>
      </c>
      <c r="BG14" s="210">
        <v>0.18</v>
      </c>
      <c r="BH14" s="210">
        <v>0.12</v>
      </c>
      <c r="BI14" s="405">
        <v>0.06</v>
      </c>
      <c r="BJ14" s="405">
        <f>tblLBRate[[#This Row],[UVL01]]</f>
        <v>0.18</v>
      </c>
      <c r="BM14" s="214" t="s">
        <v>359</v>
      </c>
      <c r="BN14" s="233" t="s">
        <v>373</v>
      </c>
      <c r="BO14" s="234">
        <v>3</v>
      </c>
      <c r="BP14" s="234">
        <v>20</v>
      </c>
      <c r="BQ14" s="234" t="str">
        <f>tblSBRate[[#This Row],[Product]]&amp;"_"&amp;tblSBRate[[#This Row],[Case]]&amp;"_"&amp;tblSBRate[[#This Row],[Year]]</f>
        <v>UVL02_3_20</v>
      </c>
      <c r="BR14" s="241">
        <v>1.2</v>
      </c>
      <c r="BU14" s="200">
        <v>2027</v>
      </c>
      <c r="BV14" s="218">
        <f ca="1">OFFSET(tblAdminChrg[[#This Row],[UVL01]],0,MATCH(base,tblAdminChrg[#Headers],0)-3)</f>
        <v>25000</v>
      </c>
      <c r="BW14" s="215">
        <v>25000</v>
      </c>
      <c r="BX14" s="215">
        <v>48000</v>
      </c>
      <c r="BY14" s="219">
        <v>48000</v>
      </c>
      <c r="BZ14" s="219">
        <v>40000</v>
      </c>
      <c r="CK14" s="237"/>
      <c r="CL14" s="237"/>
      <c r="DA14" s="227" t="s">
        <v>481</v>
      </c>
      <c r="DB14" s="242">
        <v>1</v>
      </c>
      <c r="DC14" s="242">
        <v>0.53</v>
      </c>
      <c r="DD14" s="242">
        <v>0.27</v>
      </c>
      <c r="DE14" s="243">
        <v>0.09</v>
      </c>
      <c r="DH14" s="227" t="s">
        <v>481</v>
      </c>
      <c r="DI14" s="403">
        <v>18</v>
      </c>
      <c r="DJ14" s="403">
        <v>60</v>
      </c>
      <c r="DK14" s="404">
        <v>65</v>
      </c>
    </row>
    <row r="15" spans="2:115" x14ac:dyDescent="0.25">
      <c r="B15" s="197">
        <v>12</v>
      </c>
      <c r="C15" s="198">
        <f ca="1">OFFSET(tblTPRate[[#This Row],[UVL01_Male]],0,MATCH(base&amp;"_"&amp;mainLI_gender,tblTPRate[#Headers],0)-3)</f>
        <v>12.83586</v>
      </c>
      <c r="D15" s="199">
        <v>12.83586</v>
      </c>
      <c r="E15" s="199">
        <v>12.83586</v>
      </c>
      <c r="F15" s="199">
        <v>12.83586</v>
      </c>
      <c r="G15" s="199">
        <v>12.83586</v>
      </c>
      <c r="H15" s="199">
        <v>12.83586</v>
      </c>
      <c r="I15" s="199">
        <v>12.83586</v>
      </c>
      <c r="J15" s="199">
        <v>12.83586</v>
      </c>
      <c r="K15" s="199">
        <v>12.83586</v>
      </c>
      <c r="N15" s="200">
        <v>12</v>
      </c>
      <c r="O15" s="201">
        <f ca="1">OFFSET(tblBaseCOIRate[[#This Row],[UVL01_Male]],0,MATCH(base&amp;"_"&amp;mainLI_gender,tblBaseCOIRate[#Headers],0)-3)</f>
        <v>7.3000000000000799E-4</v>
      </c>
      <c r="P15" s="202">
        <v>9.1999999999992099E-4</v>
      </c>
      <c r="Q15" s="202">
        <v>7.3000000000000799E-4</v>
      </c>
      <c r="R15" s="202">
        <v>7.3599999999993701E-4</v>
      </c>
      <c r="S15" s="202">
        <v>5.8400000000000704E-4</v>
      </c>
      <c r="T15" s="202">
        <v>7.3599999999993701E-4</v>
      </c>
      <c r="U15" s="202">
        <v>5.8400000000000704E-4</v>
      </c>
      <c r="V15" s="202">
        <f>tblBaseCOIRate[[#This Row],[UVL01_Male]]</f>
        <v>9.1999999999992099E-4</v>
      </c>
      <c r="W15" s="203">
        <f>tblBaseCOIRate[[#This Row],[UVL01_Female]]</f>
        <v>7.3000000000000799E-4</v>
      </c>
      <c r="AG15" s="200">
        <v>13</v>
      </c>
      <c r="AH15" s="205">
        <f ca="1">OFFSET(tblTPAllocChrgRate[[#This Row],[UVL01]],0,MATCH(base,tblTPAllocChrgRate[#Headers],0)-3)</f>
        <v>0.02</v>
      </c>
      <c r="AI15" s="206">
        <v>0.02</v>
      </c>
      <c r="AJ15" s="207">
        <v>0</v>
      </c>
      <c r="AK15" s="208">
        <v>0</v>
      </c>
      <c r="AL15" s="208">
        <f>tblTPAllocChrgRate[[#This Row],[UVL01]]</f>
        <v>0.02</v>
      </c>
      <c r="AO15" s="200">
        <v>13</v>
      </c>
      <c r="AP15" s="209">
        <f ca="1">OFFSET(tblEPAllocChrgRate[[#This Row],[UVL01]],0,MATCH(base,tblEPAllocChrgRate[#Headers],0)-3)</f>
        <v>0.02</v>
      </c>
      <c r="AQ15" s="210">
        <v>0.02</v>
      </c>
      <c r="AR15" s="211">
        <v>0</v>
      </c>
      <c r="AS15" s="212">
        <v>0</v>
      </c>
      <c r="AT15" s="212">
        <f>tblEPAllocChrgRate[[#This Row],[UVL01]]</f>
        <v>0.02</v>
      </c>
      <c r="AW15" s="200">
        <v>13</v>
      </c>
      <c r="AX15" s="209">
        <f ca="1">OFFSET(tblSurrChrgRate[[#This Row],[UVL01]],0,MATCH(base,tblSurrChrgRate[#Headers],0)-3)</f>
        <v>0</v>
      </c>
      <c r="AY15" s="206">
        <v>0</v>
      </c>
      <c r="AZ15" s="206">
        <v>0</v>
      </c>
      <c r="BA15" s="213">
        <v>0</v>
      </c>
      <c r="BB15" s="213">
        <f>tblSurrChrgRate[[#This Row],[UVL01]]</f>
        <v>0</v>
      </c>
      <c r="BE15" s="200">
        <v>13</v>
      </c>
      <c r="BF15" s="209">
        <f ca="1">OFFSET(tblLBRate[[#This Row],[UVL01]],0,MATCH(base,tblLBRate[#Headers],0)-3)</f>
        <v>0</v>
      </c>
      <c r="BG15" s="210">
        <v>0</v>
      </c>
      <c r="BH15" s="210">
        <v>0</v>
      </c>
      <c r="BI15" s="405">
        <v>0</v>
      </c>
      <c r="BJ15" s="405">
        <f>tblLBRate[[#This Row],[UVL01]]</f>
        <v>0</v>
      </c>
      <c r="BM15" s="214" t="s">
        <v>360</v>
      </c>
      <c r="BN15" s="215" t="s">
        <v>369</v>
      </c>
      <c r="BO15" s="216">
        <v>1</v>
      </c>
      <c r="BP15" s="216">
        <v>10</v>
      </c>
      <c r="BQ15" s="216" t="str">
        <f>tblSBRate[[#This Row],[Product]]&amp;"_"&amp;tblSBRate[[#This Row],[Case]]&amp;"_"&amp;tblSBRate[[#This Row],[Year]]</f>
        <v>UVL03_1_10</v>
      </c>
      <c r="BR15" s="217">
        <v>0.2</v>
      </c>
      <c r="BU15" s="200">
        <v>2028</v>
      </c>
      <c r="BV15" s="218">
        <f ca="1">OFFSET(tblAdminChrg[[#This Row],[UVL01]],0,MATCH(base,tblAdminChrg[#Headers],0)-3)</f>
        <v>25000</v>
      </c>
      <c r="BW15" s="215">
        <v>25000</v>
      </c>
      <c r="BX15" s="215">
        <v>50000</v>
      </c>
      <c r="BY15" s="219">
        <v>50000</v>
      </c>
      <c r="BZ15" s="219">
        <v>40000</v>
      </c>
      <c r="CK15" s="237"/>
      <c r="CL15" s="237"/>
      <c r="DH15" s="244"/>
      <c r="DI15" s="244"/>
      <c r="DJ15" s="244"/>
      <c r="DK15" s="244"/>
    </row>
    <row r="16" spans="2:115" x14ac:dyDescent="0.25">
      <c r="B16" s="197">
        <v>13</v>
      </c>
      <c r="C16" s="198">
        <f ca="1">OFFSET(tblTPRate[[#This Row],[UVL01_Male]],0,MATCH(base&amp;"_"&amp;mainLI_gender,tblTPRate[#Headers],0)-3)</f>
        <v>13.080080000000001</v>
      </c>
      <c r="D16" s="199">
        <v>13.080080000000001</v>
      </c>
      <c r="E16" s="199">
        <v>13.080080000000001</v>
      </c>
      <c r="F16" s="199">
        <v>13.080080000000001</v>
      </c>
      <c r="G16" s="199">
        <v>13.080080000000001</v>
      </c>
      <c r="H16" s="199">
        <v>13.080080000000001</v>
      </c>
      <c r="I16" s="199">
        <v>13.080080000000001</v>
      </c>
      <c r="J16" s="199">
        <v>13.080080000000001</v>
      </c>
      <c r="K16" s="199">
        <v>13.080080000000001</v>
      </c>
      <c r="N16" s="200">
        <v>13</v>
      </c>
      <c r="O16" s="201">
        <f ca="1">OFFSET(tblBaseCOIRate[[#This Row],[UVL01_Male]],0,MATCH(base&amp;"_"&amp;mainLI_gender,tblBaseCOIRate[#Headers],0)-3)</f>
        <v>7.6999999999993697E-4</v>
      </c>
      <c r="P16" s="202">
        <v>1.0700000000000199E-3</v>
      </c>
      <c r="Q16" s="202">
        <v>7.6999999999993697E-4</v>
      </c>
      <c r="R16" s="202">
        <v>8.5600000000001202E-4</v>
      </c>
      <c r="S16" s="202">
        <v>6.1599999999995003E-4</v>
      </c>
      <c r="T16" s="202">
        <v>8.5600000000001202E-4</v>
      </c>
      <c r="U16" s="202">
        <v>6.1599999999995003E-4</v>
      </c>
      <c r="V16" s="202">
        <f>tblBaseCOIRate[[#This Row],[UVL01_Male]]</f>
        <v>1.0700000000000199E-3</v>
      </c>
      <c r="W16" s="203">
        <f>tblBaseCOIRate[[#This Row],[UVL01_Female]]</f>
        <v>7.6999999999993697E-4</v>
      </c>
      <c r="AG16" s="200">
        <v>14</v>
      </c>
      <c r="AH16" s="205">
        <f ca="1">OFFSET(tblTPAllocChrgRate[[#This Row],[UVL01]],0,MATCH(base,tblTPAllocChrgRate[#Headers],0)-3)</f>
        <v>0.02</v>
      </c>
      <c r="AI16" s="206">
        <v>0.02</v>
      </c>
      <c r="AJ16" s="207">
        <v>0</v>
      </c>
      <c r="AK16" s="208">
        <v>0</v>
      </c>
      <c r="AL16" s="208">
        <f>tblTPAllocChrgRate[[#This Row],[UVL01]]</f>
        <v>0.02</v>
      </c>
      <c r="AO16" s="200">
        <v>14</v>
      </c>
      <c r="AP16" s="209">
        <f ca="1">OFFSET(tblEPAllocChrgRate[[#This Row],[UVL01]],0,MATCH(base,tblEPAllocChrgRate[#Headers],0)-3)</f>
        <v>0.02</v>
      </c>
      <c r="AQ16" s="210">
        <v>0.02</v>
      </c>
      <c r="AR16" s="211">
        <v>0</v>
      </c>
      <c r="AS16" s="212">
        <v>0</v>
      </c>
      <c r="AT16" s="212">
        <f>tblEPAllocChrgRate[[#This Row],[UVL01]]</f>
        <v>0.02</v>
      </c>
      <c r="AW16" s="200">
        <v>14</v>
      </c>
      <c r="AX16" s="209">
        <f ca="1">OFFSET(tblSurrChrgRate[[#This Row],[UVL01]],0,MATCH(base,tblSurrChrgRate[#Headers],0)-3)</f>
        <v>0</v>
      </c>
      <c r="AY16" s="206">
        <v>0</v>
      </c>
      <c r="AZ16" s="206">
        <v>0</v>
      </c>
      <c r="BA16" s="213">
        <v>0</v>
      </c>
      <c r="BB16" s="213">
        <f>tblSurrChrgRate[[#This Row],[UVL01]]</f>
        <v>0</v>
      </c>
      <c r="BE16" s="200">
        <v>14</v>
      </c>
      <c r="BF16" s="209">
        <f ca="1">OFFSET(tblLBRate[[#This Row],[UVL01]],0,MATCH(base,tblLBRate[#Headers],0)-3)</f>
        <v>0</v>
      </c>
      <c r="BG16" s="210">
        <v>0</v>
      </c>
      <c r="BH16" s="210">
        <v>0</v>
      </c>
      <c r="BI16" s="405">
        <v>0</v>
      </c>
      <c r="BJ16" s="405">
        <f>tblLBRate[[#This Row],[UVL01]]</f>
        <v>0</v>
      </c>
      <c r="BM16" s="214" t="s">
        <v>360</v>
      </c>
      <c r="BN16" s="215" t="s">
        <v>371</v>
      </c>
      <c r="BO16" s="216">
        <v>2</v>
      </c>
      <c r="BP16" s="216">
        <v>10</v>
      </c>
      <c r="BQ16" s="216" t="str">
        <f>tblSBRate[[#This Row],[Product]]&amp;"_"&amp;tblSBRate[[#This Row],[Case]]&amp;"_"&amp;tblSBRate[[#This Row],[Year]]</f>
        <v>UVL03_2_10</v>
      </c>
      <c r="BR16" s="217">
        <v>0.3</v>
      </c>
      <c r="BU16" s="200">
        <v>2029</v>
      </c>
      <c r="BV16" s="218">
        <f ca="1">OFFSET(tblAdminChrg[[#This Row],[UVL01]],0,MATCH(base,tblAdminChrg[#Headers],0)-3)</f>
        <v>25000</v>
      </c>
      <c r="BW16" s="215">
        <v>25000</v>
      </c>
      <c r="BX16" s="215">
        <v>52000</v>
      </c>
      <c r="BY16" s="219">
        <v>52000</v>
      </c>
      <c r="BZ16" s="219">
        <v>40000</v>
      </c>
      <c r="CK16" s="237"/>
      <c r="CL16" s="237"/>
      <c r="DH16" s="244"/>
      <c r="DI16" s="244"/>
      <c r="DJ16" s="244"/>
      <c r="DK16" s="244"/>
    </row>
    <row r="17" spans="2:115" x14ac:dyDescent="0.25">
      <c r="B17" s="197">
        <v>14</v>
      </c>
      <c r="C17" s="198">
        <f ca="1">OFFSET(tblTPRate[[#This Row],[UVL01_Male]],0,MATCH(base&amp;"_"&amp;mainLI_gender,tblTPRate[#Headers],0)-3)</f>
        <v>13.33032</v>
      </c>
      <c r="D17" s="199">
        <v>13.33032</v>
      </c>
      <c r="E17" s="199">
        <v>13.33032</v>
      </c>
      <c r="F17" s="199">
        <v>13.33032</v>
      </c>
      <c r="G17" s="199">
        <v>13.33032</v>
      </c>
      <c r="H17" s="199">
        <v>13.33032</v>
      </c>
      <c r="I17" s="199">
        <v>13.33032</v>
      </c>
      <c r="J17" s="199">
        <v>13.33032</v>
      </c>
      <c r="K17" s="199">
        <v>13.33032</v>
      </c>
      <c r="N17" s="200">
        <v>14</v>
      </c>
      <c r="O17" s="201">
        <f ca="1">OFFSET(tblBaseCOIRate[[#This Row],[UVL01_Male]],0,MATCH(base&amp;"_"&amp;mainLI_gender,tblBaseCOIRate[#Headers],0)-3)</f>
        <v>8.2000000000004303E-4</v>
      </c>
      <c r="P17" s="202">
        <v>1.2400000000000199E-3</v>
      </c>
      <c r="Q17" s="202">
        <v>8.2000000000004303E-4</v>
      </c>
      <c r="R17" s="202">
        <v>9.9200000000001501E-4</v>
      </c>
      <c r="S17" s="202">
        <v>6.5600000000003405E-4</v>
      </c>
      <c r="T17" s="202">
        <v>9.9200000000001501E-4</v>
      </c>
      <c r="U17" s="202">
        <v>6.5600000000003405E-4</v>
      </c>
      <c r="V17" s="202">
        <f>tblBaseCOIRate[[#This Row],[UVL01_Male]]</f>
        <v>1.2400000000000199E-3</v>
      </c>
      <c r="W17" s="203">
        <f>tblBaseCOIRate[[#This Row],[UVL01_Female]]</f>
        <v>8.2000000000004303E-4</v>
      </c>
      <c r="AG17" s="200">
        <v>15</v>
      </c>
      <c r="AH17" s="205">
        <f ca="1">OFFSET(tblTPAllocChrgRate[[#This Row],[UVL01]],0,MATCH(base,tblTPAllocChrgRate[#Headers],0)-3)</f>
        <v>0.02</v>
      </c>
      <c r="AI17" s="206">
        <v>0.02</v>
      </c>
      <c r="AJ17" s="207">
        <v>0</v>
      </c>
      <c r="AK17" s="208">
        <v>0</v>
      </c>
      <c r="AL17" s="208">
        <f>tblTPAllocChrgRate[[#This Row],[UVL01]]</f>
        <v>0.02</v>
      </c>
      <c r="AO17" s="200">
        <v>15</v>
      </c>
      <c r="AP17" s="209">
        <f ca="1">OFFSET(tblEPAllocChrgRate[[#This Row],[UVL01]],0,MATCH(base,tblEPAllocChrgRate[#Headers],0)-3)</f>
        <v>0.02</v>
      </c>
      <c r="AQ17" s="210">
        <v>0.02</v>
      </c>
      <c r="AR17" s="211">
        <v>0</v>
      </c>
      <c r="AS17" s="212">
        <v>0</v>
      </c>
      <c r="AT17" s="212">
        <f>tblEPAllocChrgRate[[#This Row],[UVL01]]</f>
        <v>0.02</v>
      </c>
      <c r="AW17" s="200">
        <v>15</v>
      </c>
      <c r="AX17" s="209">
        <f ca="1">OFFSET(tblSurrChrgRate[[#This Row],[UVL01]],0,MATCH(base,tblSurrChrgRate[#Headers],0)-3)</f>
        <v>0</v>
      </c>
      <c r="AY17" s="206">
        <v>0</v>
      </c>
      <c r="AZ17" s="206">
        <v>0</v>
      </c>
      <c r="BA17" s="213">
        <v>0</v>
      </c>
      <c r="BB17" s="213">
        <f>tblSurrChrgRate[[#This Row],[UVL01]]</f>
        <v>0</v>
      </c>
      <c r="BE17" s="200">
        <v>15</v>
      </c>
      <c r="BF17" s="209">
        <f ca="1">OFFSET(tblLBRate[[#This Row],[UVL01]],0,MATCH(base,tblLBRate[#Headers],0)-3)</f>
        <v>0</v>
      </c>
      <c r="BG17" s="210">
        <v>0</v>
      </c>
      <c r="BH17" s="210">
        <v>0.15</v>
      </c>
      <c r="BI17" s="405">
        <v>7.0000000000000007E-2</v>
      </c>
      <c r="BJ17" s="405">
        <f>tblLBRate[[#This Row],[UVL01]]</f>
        <v>0</v>
      </c>
      <c r="BM17" s="214" t="s">
        <v>360</v>
      </c>
      <c r="BN17" s="215" t="s">
        <v>373</v>
      </c>
      <c r="BO17" s="216">
        <v>3</v>
      </c>
      <c r="BP17" s="216">
        <v>10</v>
      </c>
      <c r="BQ17" s="216" t="str">
        <f>tblSBRate[[#This Row],[Product]]&amp;"_"&amp;tblSBRate[[#This Row],[Case]]&amp;"_"&amp;tblSBRate[[#This Row],[Year]]</f>
        <v>UVL03_3_10</v>
      </c>
      <c r="BR17" s="217">
        <v>0.4</v>
      </c>
      <c r="BU17" s="200">
        <v>2030</v>
      </c>
      <c r="BV17" s="218">
        <f ca="1">OFFSET(tblAdminChrg[[#This Row],[UVL01]],0,MATCH(base,tblAdminChrg[#Headers],0)-3)</f>
        <v>25000</v>
      </c>
      <c r="BW17" s="215">
        <v>25000</v>
      </c>
      <c r="BX17" s="215">
        <v>54000</v>
      </c>
      <c r="BY17" s="219">
        <v>54000</v>
      </c>
      <c r="BZ17" s="219">
        <v>40000</v>
      </c>
      <c r="CK17" s="237"/>
      <c r="CL17" s="237"/>
      <c r="DH17" s="244"/>
      <c r="DI17" s="244"/>
      <c r="DJ17" s="244"/>
      <c r="DK17" s="244"/>
    </row>
    <row r="18" spans="2:115" x14ac:dyDescent="0.25">
      <c r="B18" s="197">
        <v>15</v>
      </c>
      <c r="C18" s="198">
        <f ca="1">OFFSET(tblTPRate[[#This Row],[UVL01_Male]],0,MATCH(base&amp;"_"&amp;mainLI_gender,tblTPRate[#Headers],0)-3)</f>
        <v>13.58559</v>
      </c>
      <c r="D18" s="199">
        <v>13.58559</v>
      </c>
      <c r="E18" s="199">
        <v>13.58559</v>
      </c>
      <c r="F18" s="199">
        <v>13.58559</v>
      </c>
      <c r="G18" s="199">
        <v>13.58559</v>
      </c>
      <c r="H18" s="199">
        <v>13.58559</v>
      </c>
      <c r="I18" s="199">
        <v>13.58559</v>
      </c>
      <c r="J18" s="199">
        <v>13.58559</v>
      </c>
      <c r="K18" s="199">
        <v>13.58559</v>
      </c>
      <c r="N18" s="200">
        <v>15</v>
      </c>
      <c r="O18" s="201">
        <f ca="1">OFFSET(tblBaseCOIRate[[#This Row],[UVL01_Male]],0,MATCH(base&amp;"_"&amp;mainLI_gender,tblBaseCOIRate[#Headers],0)-3)</f>
        <v>8.7000000000003698E-4</v>
      </c>
      <c r="P18" s="202">
        <v>1.4199999999999801E-3</v>
      </c>
      <c r="Q18" s="202">
        <v>8.7000000000003698E-4</v>
      </c>
      <c r="R18" s="202">
        <v>1.1359999999999799E-3</v>
      </c>
      <c r="S18" s="202">
        <v>6.9600000000003004E-4</v>
      </c>
      <c r="T18" s="202">
        <v>1.1359999999999799E-3</v>
      </c>
      <c r="U18" s="202">
        <v>6.9600000000003004E-4</v>
      </c>
      <c r="V18" s="202">
        <f>tblBaseCOIRate[[#This Row],[UVL01_Male]]</f>
        <v>1.4199999999999801E-3</v>
      </c>
      <c r="W18" s="203">
        <f>tblBaseCOIRate[[#This Row],[UVL01_Female]]</f>
        <v>8.7000000000003698E-4</v>
      </c>
      <c r="AG18" s="200">
        <v>16</v>
      </c>
      <c r="AH18" s="205">
        <f ca="1">OFFSET(tblTPAllocChrgRate[[#This Row],[UVL01]],0,MATCH(base,tblTPAllocChrgRate[#Headers],0)-3)</f>
        <v>0.02</v>
      </c>
      <c r="AI18" s="206">
        <v>0.02</v>
      </c>
      <c r="AJ18" s="207">
        <v>0</v>
      </c>
      <c r="AK18" s="208">
        <v>0</v>
      </c>
      <c r="AL18" s="208">
        <f>tblTPAllocChrgRate[[#This Row],[UVL01]]</f>
        <v>0.02</v>
      </c>
      <c r="AO18" s="200">
        <v>16</v>
      </c>
      <c r="AP18" s="209">
        <f ca="1">OFFSET(tblEPAllocChrgRate[[#This Row],[UVL01]],0,MATCH(base,tblEPAllocChrgRate[#Headers],0)-3)</f>
        <v>0.02</v>
      </c>
      <c r="AQ18" s="210">
        <v>0.02</v>
      </c>
      <c r="AR18" s="211">
        <v>0</v>
      </c>
      <c r="AS18" s="212">
        <v>0</v>
      </c>
      <c r="AT18" s="212">
        <f>tblEPAllocChrgRate[[#This Row],[UVL01]]</f>
        <v>0.02</v>
      </c>
      <c r="AW18" s="200">
        <v>16</v>
      </c>
      <c r="AX18" s="209">
        <f ca="1">OFFSET(tblSurrChrgRate[[#This Row],[UVL01]],0,MATCH(base,tblSurrChrgRate[#Headers],0)-3)</f>
        <v>0</v>
      </c>
      <c r="AY18" s="206">
        <v>0</v>
      </c>
      <c r="AZ18" s="206">
        <v>0</v>
      </c>
      <c r="BA18" s="213">
        <v>0</v>
      </c>
      <c r="BB18" s="213">
        <f>tblSurrChrgRate[[#This Row],[UVL01]]</f>
        <v>0</v>
      </c>
      <c r="BE18" s="200">
        <v>16</v>
      </c>
      <c r="BF18" s="209">
        <f ca="1">OFFSET(tblLBRate[[#This Row],[UVL01]],0,MATCH(base,tblLBRate[#Headers],0)-3)</f>
        <v>0.24</v>
      </c>
      <c r="BG18" s="210">
        <v>0.24</v>
      </c>
      <c r="BH18" s="210">
        <v>0</v>
      </c>
      <c r="BI18" s="405">
        <v>0</v>
      </c>
      <c r="BJ18" s="405">
        <f>tblLBRate[[#This Row],[UVL01]]</f>
        <v>0.24</v>
      </c>
      <c r="BM18" s="214" t="s">
        <v>360</v>
      </c>
      <c r="BN18" s="215" t="s">
        <v>369</v>
      </c>
      <c r="BO18" s="216">
        <v>1</v>
      </c>
      <c r="BP18" s="216">
        <v>20</v>
      </c>
      <c r="BQ18" s="216" t="str">
        <f>tblSBRate[[#This Row],[Product]]&amp;"_"&amp;tblSBRate[[#This Row],[Case]]&amp;"_"&amp;tblSBRate[[#This Row],[Year]]</f>
        <v>UVL03_1_20</v>
      </c>
      <c r="BR18" s="217">
        <v>0.8</v>
      </c>
      <c r="BU18" s="200">
        <v>2031</v>
      </c>
      <c r="BV18" s="218">
        <f ca="1">OFFSET(tblAdminChrg[[#This Row],[UVL01]],0,MATCH(base,tblAdminChrg[#Headers],0)-3)</f>
        <v>25000</v>
      </c>
      <c r="BW18" s="215">
        <v>25000</v>
      </c>
      <c r="BX18" s="215">
        <v>56000</v>
      </c>
      <c r="BY18" s="219">
        <v>56000</v>
      </c>
      <c r="BZ18" s="219">
        <v>40000</v>
      </c>
      <c r="DH18" s="244"/>
      <c r="DI18" s="244"/>
      <c r="DJ18" s="244"/>
      <c r="DK18" s="244"/>
    </row>
    <row r="19" spans="2:115" x14ac:dyDescent="0.25">
      <c r="B19" s="197">
        <v>16</v>
      </c>
      <c r="C19" s="198">
        <f ca="1">OFFSET(tblTPRate[[#This Row],[UVL01_Male]],0,MATCH(base&amp;"_"&amp;mainLI_gender,tblTPRate[#Headers],0)-3)</f>
        <v>13.84488</v>
      </c>
      <c r="D19" s="199">
        <v>13.84488</v>
      </c>
      <c r="E19" s="199">
        <v>13.84488</v>
      </c>
      <c r="F19" s="199">
        <v>13.84488</v>
      </c>
      <c r="G19" s="199">
        <v>13.84488</v>
      </c>
      <c r="H19" s="199">
        <v>13.84488</v>
      </c>
      <c r="I19" s="199">
        <v>13.84488</v>
      </c>
      <c r="J19" s="199">
        <v>13.84488</v>
      </c>
      <c r="K19" s="199">
        <v>13.84488</v>
      </c>
      <c r="N19" s="200">
        <v>16</v>
      </c>
      <c r="O19" s="201">
        <f ca="1">OFFSET(tblBaseCOIRate[[#This Row],[UVL01_Male]],0,MATCH(base&amp;"_"&amp;mainLI_gender,tblBaseCOIRate[#Headers],0)-3)</f>
        <v>9.2000000000003201E-4</v>
      </c>
      <c r="P19" s="202">
        <v>1.59000000000009E-3</v>
      </c>
      <c r="Q19" s="202">
        <v>9.2000000000003201E-4</v>
      </c>
      <c r="R19" s="202">
        <v>1.2720000000000699E-3</v>
      </c>
      <c r="S19" s="202">
        <v>7.3600000000002602E-4</v>
      </c>
      <c r="T19" s="202">
        <v>1.2720000000000699E-3</v>
      </c>
      <c r="U19" s="202">
        <v>7.3600000000002602E-4</v>
      </c>
      <c r="V19" s="202">
        <f>tblBaseCOIRate[[#This Row],[UVL01_Male]]</f>
        <v>1.59000000000009E-3</v>
      </c>
      <c r="W19" s="203">
        <f>tblBaseCOIRate[[#This Row],[UVL01_Female]]</f>
        <v>9.2000000000003201E-4</v>
      </c>
      <c r="AG19" s="200">
        <v>17</v>
      </c>
      <c r="AH19" s="205">
        <f ca="1">OFFSET(tblTPAllocChrgRate[[#This Row],[UVL01]],0,MATCH(base,tblTPAllocChrgRate[#Headers],0)-3)</f>
        <v>0.02</v>
      </c>
      <c r="AI19" s="206">
        <v>0.02</v>
      </c>
      <c r="AJ19" s="207">
        <v>0</v>
      </c>
      <c r="AK19" s="208">
        <v>0</v>
      </c>
      <c r="AL19" s="208">
        <f>tblTPAllocChrgRate[[#This Row],[UVL01]]</f>
        <v>0.02</v>
      </c>
      <c r="AO19" s="200">
        <v>17</v>
      </c>
      <c r="AP19" s="209">
        <f ca="1">OFFSET(tblEPAllocChrgRate[[#This Row],[UVL01]],0,MATCH(base,tblEPAllocChrgRate[#Headers],0)-3)</f>
        <v>0.02</v>
      </c>
      <c r="AQ19" s="210">
        <v>0.02</v>
      </c>
      <c r="AR19" s="211">
        <v>0</v>
      </c>
      <c r="AS19" s="212">
        <v>0</v>
      </c>
      <c r="AT19" s="212">
        <f>tblEPAllocChrgRate[[#This Row],[UVL01]]</f>
        <v>0.02</v>
      </c>
      <c r="AW19" s="200">
        <v>17</v>
      </c>
      <c r="AX19" s="209">
        <f ca="1">OFFSET(tblSurrChrgRate[[#This Row],[UVL01]],0,MATCH(base,tblSurrChrgRate[#Headers],0)-3)</f>
        <v>0</v>
      </c>
      <c r="AY19" s="206">
        <v>0</v>
      </c>
      <c r="AZ19" s="206">
        <v>0</v>
      </c>
      <c r="BA19" s="213">
        <v>0</v>
      </c>
      <c r="BB19" s="213">
        <f>tblSurrChrgRate[[#This Row],[UVL01]]</f>
        <v>0</v>
      </c>
      <c r="BE19" s="200">
        <v>17</v>
      </c>
      <c r="BF19" s="209">
        <f ca="1">OFFSET(tblLBRate[[#This Row],[UVL01]],0,MATCH(base,tblLBRate[#Headers],0)-3)</f>
        <v>0</v>
      </c>
      <c r="BG19" s="210">
        <v>0</v>
      </c>
      <c r="BH19" s="210">
        <v>0</v>
      </c>
      <c r="BI19" s="405">
        <v>0</v>
      </c>
      <c r="BJ19" s="405">
        <f>tblLBRate[[#This Row],[UVL01]]</f>
        <v>0</v>
      </c>
      <c r="BM19" s="214" t="s">
        <v>360</v>
      </c>
      <c r="BN19" s="215" t="s">
        <v>371</v>
      </c>
      <c r="BO19" s="216">
        <v>2</v>
      </c>
      <c r="BP19" s="216">
        <v>20</v>
      </c>
      <c r="BQ19" s="216" t="str">
        <f>tblSBRate[[#This Row],[Product]]&amp;"_"&amp;tblSBRate[[#This Row],[Case]]&amp;"_"&amp;tblSBRate[[#This Row],[Year]]</f>
        <v>UVL03_2_20</v>
      </c>
      <c r="BR19" s="217">
        <v>1</v>
      </c>
      <c r="BU19" s="200">
        <v>2032</v>
      </c>
      <c r="BV19" s="218">
        <f ca="1">OFFSET(tblAdminChrg[[#This Row],[UVL01]],0,MATCH(base,tblAdminChrg[#Headers],0)-3)</f>
        <v>25000</v>
      </c>
      <c r="BW19" s="215">
        <v>25000</v>
      </c>
      <c r="BX19" s="215">
        <v>58000</v>
      </c>
      <c r="BY19" s="219">
        <v>58000</v>
      </c>
      <c r="BZ19" s="219">
        <v>40000</v>
      </c>
      <c r="DH19" s="244"/>
      <c r="DI19" s="244"/>
      <c r="DJ19" s="244"/>
      <c r="DK19" s="244"/>
    </row>
    <row r="20" spans="2:115" x14ac:dyDescent="0.25">
      <c r="B20" s="197">
        <v>17</v>
      </c>
      <c r="C20" s="198">
        <f ca="1">OFFSET(tblTPRate[[#This Row],[UVL01_Male]],0,MATCH(base&amp;"_"&amp;mainLI_gender,tblTPRate[#Headers],0)-3)</f>
        <v>14.110200000000001</v>
      </c>
      <c r="D20" s="199">
        <v>14.110200000000001</v>
      </c>
      <c r="E20" s="199">
        <v>14.110200000000001</v>
      </c>
      <c r="F20" s="199">
        <v>14.110200000000001</v>
      </c>
      <c r="G20" s="199">
        <v>14.110200000000001</v>
      </c>
      <c r="H20" s="199">
        <v>14.110200000000001</v>
      </c>
      <c r="I20" s="199">
        <v>14.110200000000001</v>
      </c>
      <c r="J20" s="199">
        <v>14.110200000000001</v>
      </c>
      <c r="K20" s="199">
        <v>14.110200000000001</v>
      </c>
      <c r="N20" s="200">
        <v>17</v>
      </c>
      <c r="O20" s="201">
        <f ca="1">OFFSET(tblBaseCOIRate[[#This Row],[UVL01_Male]],0,MATCH(base&amp;"_"&amp;mainLI_gender,tblBaseCOIRate[#Headers],0)-3)</f>
        <v>9.5999999999996099E-4</v>
      </c>
      <c r="P20" s="202">
        <v>1.72000000000005E-3</v>
      </c>
      <c r="Q20" s="202">
        <v>9.5999999999996099E-4</v>
      </c>
      <c r="R20" s="202">
        <v>1.37600000000004E-3</v>
      </c>
      <c r="S20" s="202">
        <v>7.6799999999996901E-4</v>
      </c>
      <c r="T20" s="202">
        <v>1.37600000000004E-3</v>
      </c>
      <c r="U20" s="202">
        <v>7.6799999999996901E-4</v>
      </c>
      <c r="V20" s="202">
        <f>tblBaseCOIRate[[#This Row],[UVL01_Male]]</f>
        <v>1.72000000000005E-3</v>
      </c>
      <c r="W20" s="203">
        <f>tblBaseCOIRate[[#This Row],[UVL01_Female]]</f>
        <v>9.5999999999996099E-4</v>
      </c>
      <c r="AG20" s="200">
        <v>18</v>
      </c>
      <c r="AH20" s="205">
        <f ca="1">OFFSET(tblTPAllocChrgRate[[#This Row],[UVL01]],0,MATCH(base,tblTPAllocChrgRate[#Headers],0)-3)</f>
        <v>0.02</v>
      </c>
      <c r="AI20" s="206">
        <v>0.02</v>
      </c>
      <c r="AJ20" s="207">
        <v>0</v>
      </c>
      <c r="AK20" s="208">
        <v>0</v>
      </c>
      <c r="AL20" s="208">
        <f>tblTPAllocChrgRate[[#This Row],[UVL01]]</f>
        <v>0.02</v>
      </c>
      <c r="AO20" s="200">
        <v>18</v>
      </c>
      <c r="AP20" s="209">
        <f ca="1">OFFSET(tblEPAllocChrgRate[[#This Row],[UVL01]],0,MATCH(base,tblEPAllocChrgRate[#Headers],0)-3)</f>
        <v>0.02</v>
      </c>
      <c r="AQ20" s="210">
        <v>0.02</v>
      </c>
      <c r="AR20" s="211">
        <v>0</v>
      </c>
      <c r="AS20" s="212">
        <v>0</v>
      </c>
      <c r="AT20" s="212">
        <f>tblEPAllocChrgRate[[#This Row],[UVL01]]</f>
        <v>0.02</v>
      </c>
      <c r="AW20" s="200">
        <v>18</v>
      </c>
      <c r="AX20" s="209">
        <f ca="1">OFFSET(tblSurrChrgRate[[#This Row],[UVL01]],0,MATCH(base,tblSurrChrgRate[#Headers],0)-3)</f>
        <v>0</v>
      </c>
      <c r="AY20" s="206">
        <v>0</v>
      </c>
      <c r="AZ20" s="206">
        <v>0</v>
      </c>
      <c r="BA20" s="213">
        <v>0</v>
      </c>
      <c r="BB20" s="213">
        <f>tblSurrChrgRate[[#This Row],[UVL01]]</f>
        <v>0</v>
      </c>
      <c r="BE20" s="200">
        <v>18</v>
      </c>
      <c r="BF20" s="209">
        <f ca="1">OFFSET(tblLBRate[[#This Row],[UVL01]],0,MATCH(base,tblLBRate[#Headers],0)-3)</f>
        <v>0</v>
      </c>
      <c r="BG20" s="210">
        <v>0</v>
      </c>
      <c r="BH20" s="210">
        <v>0.18</v>
      </c>
      <c r="BI20" s="405">
        <v>0.08</v>
      </c>
      <c r="BJ20" s="405">
        <f>tblLBRate[[#This Row],[UVL01]]</f>
        <v>0</v>
      </c>
      <c r="BM20" s="214" t="s">
        <v>360</v>
      </c>
      <c r="BN20" s="233" t="s">
        <v>373</v>
      </c>
      <c r="BO20" s="234">
        <v>3</v>
      </c>
      <c r="BP20" s="234">
        <v>20</v>
      </c>
      <c r="BQ20" s="234" t="str">
        <f>tblSBRate[[#This Row],[Product]]&amp;"_"&amp;tblSBRate[[#This Row],[Case]]&amp;"_"&amp;tblSBRate[[#This Row],[Year]]</f>
        <v>UVL03_3_20</v>
      </c>
      <c r="BR20" s="241">
        <v>1.2</v>
      </c>
      <c r="BU20" s="200">
        <v>2033</v>
      </c>
      <c r="BV20" s="218">
        <f ca="1">OFFSET(tblAdminChrg[[#This Row],[UVL01]],0,MATCH(base,tblAdminChrg[#Headers],0)-3)</f>
        <v>25000</v>
      </c>
      <c r="BW20" s="215">
        <v>25000</v>
      </c>
      <c r="BX20" s="215">
        <v>60000</v>
      </c>
      <c r="BY20" s="219">
        <v>60000</v>
      </c>
      <c r="BZ20" s="219">
        <v>40000</v>
      </c>
      <c r="DH20" s="244"/>
      <c r="DI20" s="244"/>
      <c r="DJ20" s="244"/>
      <c r="DK20" s="244"/>
    </row>
    <row r="21" spans="2:115" x14ac:dyDescent="0.25">
      <c r="B21" s="197">
        <v>18</v>
      </c>
      <c r="C21" s="198">
        <f ca="1">OFFSET(tblTPRate[[#This Row],[UVL01_Male]],0,MATCH(base&amp;"_"&amp;mainLI_gender,tblTPRate[#Headers],0)-3)</f>
        <v>14.38256</v>
      </c>
      <c r="D21" s="199">
        <v>14.38256</v>
      </c>
      <c r="E21" s="199">
        <v>14.38256</v>
      </c>
      <c r="F21" s="199">
        <v>14.38256</v>
      </c>
      <c r="G21" s="199">
        <v>14.38256</v>
      </c>
      <c r="H21" s="199">
        <v>14.38256</v>
      </c>
      <c r="I21" s="199">
        <v>14.38256</v>
      </c>
      <c r="J21" s="199">
        <v>14.38256</v>
      </c>
      <c r="K21" s="199">
        <v>14.38256</v>
      </c>
      <c r="N21" s="200">
        <v>18</v>
      </c>
      <c r="O21" s="201">
        <f ca="1">OFFSET(tblBaseCOIRate[[#This Row],[UVL01_Male]],0,MATCH(base&amp;"_"&amp;mainLI_gender,tblBaseCOIRate[#Headers],0)-3)</f>
        <v>1E-3</v>
      </c>
      <c r="P21" s="202">
        <v>1.8200000000000399E-3</v>
      </c>
      <c r="Q21" s="202">
        <v>1E-3</v>
      </c>
      <c r="R21" s="202">
        <v>1.4560000000000399E-3</v>
      </c>
      <c r="S21" s="202">
        <v>8.0000000000000101E-4</v>
      </c>
      <c r="T21" s="202">
        <v>1.4560000000000399E-3</v>
      </c>
      <c r="U21" s="202">
        <v>8.0000000000000101E-4</v>
      </c>
      <c r="V21" s="202">
        <f>tblBaseCOIRate[[#This Row],[UVL01_Male]]</f>
        <v>1.8200000000000399E-3</v>
      </c>
      <c r="W21" s="203">
        <f>tblBaseCOIRate[[#This Row],[UVL01_Female]]</f>
        <v>1E-3</v>
      </c>
      <c r="AG21" s="200">
        <v>19</v>
      </c>
      <c r="AH21" s="205">
        <f ca="1">OFFSET(tblTPAllocChrgRate[[#This Row],[UVL01]],0,MATCH(base,tblTPAllocChrgRate[#Headers],0)-3)</f>
        <v>0.02</v>
      </c>
      <c r="AI21" s="206">
        <v>0.02</v>
      </c>
      <c r="AJ21" s="207">
        <v>0</v>
      </c>
      <c r="AK21" s="208">
        <v>0</v>
      </c>
      <c r="AL21" s="208">
        <f>tblTPAllocChrgRate[[#This Row],[UVL01]]</f>
        <v>0.02</v>
      </c>
      <c r="AO21" s="200">
        <v>19</v>
      </c>
      <c r="AP21" s="209">
        <f ca="1">OFFSET(tblEPAllocChrgRate[[#This Row],[UVL01]],0,MATCH(base,tblEPAllocChrgRate[#Headers],0)-3)</f>
        <v>0.02</v>
      </c>
      <c r="AQ21" s="210">
        <v>0.02</v>
      </c>
      <c r="AR21" s="211">
        <v>0</v>
      </c>
      <c r="AS21" s="212">
        <v>0</v>
      </c>
      <c r="AT21" s="212">
        <f>tblEPAllocChrgRate[[#This Row],[UVL01]]</f>
        <v>0.02</v>
      </c>
      <c r="AW21" s="200">
        <v>19</v>
      </c>
      <c r="AX21" s="209">
        <f ca="1">OFFSET(tblSurrChrgRate[[#This Row],[UVL01]],0,MATCH(base,tblSurrChrgRate[#Headers],0)-3)</f>
        <v>0</v>
      </c>
      <c r="AY21" s="206">
        <v>0</v>
      </c>
      <c r="AZ21" s="206">
        <v>0</v>
      </c>
      <c r="BA21" s="213">
        <v>0</v>
      </c>
      <c r="BB21" s="213">
        <f>tblSurrChrgRate[[#This Row],[UVL01]]</f>
        <v>0</v>
      </c>
      <c r="BE21" s="200">
        <v>19</v>
      </c>
      <c r="BF21" s="209">
        <f ca="1">OFFSET(tblLBRate[[#This Row],[UVL01]],0,MATCH(base,tblLBRate[#Headers],0)-3)</f>
        <v>0</v>
      </c>
      <c r="BG21" s="210">
        <v>0</v>
      </c>
      <c r="BH21" s="210">
        <v>0</v>
      </c>
      <c r="BI21" s="405">
        <v>0</v>
      </c>
      <c r="BJ21" s="405">
        <f>tblLBRate[[#This Row],[UVL01]]</f>
        <v>0</v>
      </c>
      <c r="BU21" s="200">
        <v>2034</v>
      </c>
      <c r="BV21" s="218">
        <f ca="1">OFFSET(tblAdminChrg[[#This Row],[UVL01]],0,MATCH(base,tblAdminChrg[#Headers],0)-3)</f>
        <v>25000</v>
      </c>
      <c r="BW21" s="215">
        <v>25000</v>
      </c>
      <c r="BX21" s="215">
        <v>62000</v>
      </c>
      <c r="BY21" s="219">
        <v>62000</v>
      </c>
      <c r="BZ21" s="219">
        <v>40000</v>
      </c>
    </row>
    <row r="22" spans="2:115" x14ac:dyDescent="0.25">
      <c r="B22" s="197">
        <v>19</v>
      </c>
      <c r="C22" s="198">
        <f ca="1">OFFSET(tblTPRate[[#This Row],[UVL01_Male]],0,MATCH(base&amp;"_"&amp;mainLI_gender,tblTPRate[#Headers],0)-3)</f>
        <v>14.663959999999999</v>
      </c>
      <c r="D22" s="199">
        <v>14.663959999999999</v>
      </c>
      <c r="E22" s="199">
        <v>14.663959999999999</v>
      </c>
      <c r="F22" s="199">
        <v>14.663959999999999</v>
      </c>
      <c r="G22" s="199">
        <v>14.663959999999999</v>
      </c>
      <c r="H22" s="199">
        <v>14.663959999999999</v>
      </c>
      <c r="I22" s="199">
        <v>14.663959999999999</v>
      </c>
      <c r="J22" s="199">
        <v>14.663959999999999</v>
      </c>
      <c r="K22" s="199">
        <v>14.663959999999999</v>
      </c>
      <c r="N22" s="200">
        <v>19</v>
      </c>
      <c r="O22" s="201">
        <f ca="1">OFFSET(tblBaseCOIRate[[#This Row],[UVL01_Male]],0,MATCH(base&amp;"_"&amp;mainLI_gender,tblBaseCOIRate[#Headers],0)-3)</f>
        <v>1.0299999999999799E-3</v>
      </c>
      <c r="P22" s="202">
        <v>1.87999999999999E-3</v>
      </c>
      <c r="Q22" s="202">
        <v>1.0299999999999799E-3</v>
      </c>
      <c r="R22" s="202">
        <v>1.5039999999999899E-3</v>
      </c>
      <c r="S22" s="202">
        <v>8.2399999999998002E-4</v>
      </c>
      <c r="T22" s="202">
        <v>1.5039999999999899E-3</v>
      </c>
      <c r="U22" s="202">
        <v>8.2399999999998002E-4</v>
      </c>
      <c r="V22" s="202">
        <f>tblBaseCOIRate[[#This Row],[UVL01_Male]]</f>
        <v>1.87999999999999E-3</v>
      </c>
      <c r="W22" s="203">
        <f>tblBaseCOIRate[[#This Row],[UVL01_Female]]</f>
        <v>1.0299999999999799E-3</v>
      </c>
      <c r="AG22" s="200">
        <v>20</v>
      </c>
      <c r="AH22" s="205">
        <f ca="1">OFFSET(tblTPAllocChrgRate[[#This Row],[UVL01]],0,MATCH(base,tblTPAllocChrgRate[#Headers],0)-3)</f>
        <v>0.02</v>
      </c>
      <c r="AI22" s="206">
        <v>0.02</v>
      </c>
      <c r="AJ22" s="207">
        <v>0</v>
      </c>
      <c r="AK22" s="208">
        <v>0</v>
      </c>
      <c r="AL22" s="208">
        <f>tblTPAllocChrgRate[[#This Row],[UVL01]]</f>
        <v>0.02</v>
      </c>
      <c r="AO22" s="200">
        <v>20</v>
      </c>
      <c r="AP22" s="209">
        <f ca="1">OFFSET(tblEPAllocChrgRate[[#This Row],[UVL01]],0,MATCH(base,tblEPAllocChrgRate[#Headers],0)-3)</f>
        <v>0.02</v>
      </c>
      <c r="AQ22" s="210">
        <v>0.02</v>
      </c>
      <c r="AR22" s="211">
        <v>0</v>
      </c>
      <c r="AS22" s="212">
        <v>0</v>
      </c>
      <c r="AT22" s="212">
        <f>tblEPAllocChrgRate[[#This Row],[UVL01]]</f>
        <v>0.02</v>
      </c>
      <c r="AW22" s="200">
        <v>20</v>
      </c>
      <c r="AX22" s="209">
        <f ca="1">OFFSET(tblSurrChrgRate[[#This Row],[UVL01]],0,MATCH(base,tblSurrChrgRate[#Headers],0)-3)</f>
        <v>0</v>
      </c>
      <c r="AY22" s="206">
        <v>0</v>
      </c>
      <c r="AZ22" s="206">
        <v>0</v>
      </c>
      <c r="BA22" s="213">
        <v>0</v>
      </c>
      <c r="BB22" s="213">
        <f>tblSurrChrgRate[[#This Row],[UVL01]]</f>
        <v>0</v>
      </c>
      <c r="BE22" s="227">
        <v>20</v>
      </c>
      <c r="BF22" s="228">
        <f ca="1">OFFSET(tblLBRate[[#This Row],[UVL01]],0,MATCH(base,tblLBRate[#Headers],0)-3)</f>
        <v>0.3</v>
      </c>
      <c r="BG22" s="256">
        <v>0.3</v>
      </c>
      <c r="BH22" s="256">
        <v>0</v>
      </c>
      <c r="BI22" s="406">
        <v>0</v>
      </c>
      <c r="BJ22" s="406">
        <f>tblLBRate[[#This Row],[UVL01]]</f>
        <v>0.3</v>
      </c>
      <c r="BU22" s="200">
        <v>2035</v>
      </c>
      <c r="BV22" s="218">
        <f ca="1">OFFSET(tblAdminChrg[[#This Row],[UVL01]],0,MATCH(base,tblAdminChrg[#Headers],0)-3)</f>
        <v>25000</v>
      </c>
      <c r="BW22" s="215">
        <v>25000</v>
      </c>
      <c r="BX22" s="215">
        <v>64000</v>
      </c>
      <c r="BY22" s="219">
        <v>64000</v>
      </c>
      <c r="BZ22" s="219">
        <v>40000</v>
      </c>
    </row>
    <row r="23" spans="2:115" x14ac:dyDescent="0.25">
      <c r="B23" s="197">
        <v>20</v>
      </c>
      <c r="C23" s="198">
        <f ca="1">OFFSET(tblTPRate[[#This Row],[UVL01_Male]],0,MATCH(base&amp;"_"&amp;mainLI_gender,tblTPRate[#Headers],0)-3)</f>
        <v>14.955410000000001</v>
      </c>
      <c r="D23" s="199">
        <v>14.955410000000001</v>
      </c>
      <c r="E23" s="199">
        <v>14.955410000000001</v>
      </c>
      <c r="F23" s="199">
        <v>14.955410000000001</v>
      </c>
      <c r="G23" s="199">
        <v>14.955410000000001</v>
      </c>
      <c r="H23" s="199">
        <v>14.955410000000001</v>
      </c>
      <c r="I23" s="199">
        <v>14.955410000000001</v>
      </c>
      <c r="J23" s="199">
        <v>14.955410000000001</v>
      </c>
      <c r="K23" s="199">
        <v>14.955410000000001</v>
      </c>
      <c r="N23" s="200">
        <v>20</v>
      </c>
      <c r="O23" s="201">
        <f ca="1">OFFSET(tblBaseCOIRate[[#This Row],[UVL01_Male]],0,MATCH(base&amp;"_"&amp;mainLI_gender,tblBaseCOIRate[#Headers],0)-3)</f>
        <v>1.06000000000006E-3</v>
      </c>
      <c r="P23" s="202">
        <v>1.90000000000001E-3</v>
      </c>
      <c r="Q23" s="202">
        <v>1.06000000000006E-3</v>
      </c>
      <c r="R23" s="202">
        <v>1.5200000000000101E-3</v>
      </c>
      <c r="S23" s="202">
        <v>8.4800000000004902E-4</v>
      </c>
      <c r="T23" s="202">
        <v>1.5200000000000101E-3</v>
      </c>
      <c r="U23" s="202">
        <v>8.4800000000004902E-4</v>
      </c>
      <c r="V23" s="202">
        <f>tblBaseCOIRate[[#This Row],[UVL01_Male]]</f>
        <v>1.90000000000001E-3</v>
      </c>
      <c r="W23" s="203">
        <f>tblBaseCOIRate[[#This Row],[UVL01_Female]]</f>
        <v>1.06000000000006E-3</v>
      </c>
      <c r="AG23" s="200">
        <v>21</v>
      </c>
      <c r="AH23" s="205">
        <f ca="1">OFFSET(tblTPAllocChrgRate[[#This Row],[UVL01]],0,MATCH(base,tblTPAllocChrgRate[#Headers],0)-3)</f>
        <v>0.02</v>
      </c>
      <c r="AI23" s="206">
        <v>0.02</v>
      </c>
      <c r="AJ23" s="207">
        <v>0</v>
      </c>
      <c r="AK23" s="208">
        <v>0</v>
      </c>
      <c r="AL23" s="208">
        <f>tblTPAllocChrgRate[[#This Row],[UVL01]]</f>
        <v>0.02</v>
      </c>
      <c r="AO23" s="200">
        <v>21</v>
      </c>
      <c r="AP23" s="209">
        <f ca="1">OFFSET(tblEPAllocChrgRate[[#This Row],[UVL01]],0,MATCH(base,tblEPAllocChrgRate[#Headers],0)-3)</f>
        <v>0.02</v>
      </c>
      <c r="AQ23" s="210">
        <v>0.02</v>
      </c>
      <c r="AR23" s="211">
        <v>0</v>
      </c>
      <c r="AS23" s="212">
        <v>0</v>
      </c>
      <c r="AT23" s="212">
        <f>tblEPAllocChrgRate[[#This Row],[UVL01]]</f>
        <v>0.02</v>
      </c>
      <c r="AW23" s="200">
        <v>21</v>
      </c>
      <c r="AX23" s="209">
        <f ca="1">OFFSET(tblSurrChrgRate[[#This Row],[UVL01]],0,MATCH(base,tblSurrChrgRate[#Headers],0)-3)</f>
        <v>0</v>
      </c>
      <c r="AY23" s="206">
        <v>0</v>
      </c>
      <c r="AZ23" s="206">
        <v>0</v>
      </c>
      <c r="BA23" s="213">
        <v>0</v>
      </c>
      <c r="BB23" s="213">
        <f>tblSurrChrgRate[[#This Row],[UVL01]]</f>
        <v>0</v>
      </c>
      <c r="BU23" s="200">
        <v>2036</v>
      </c>
      <c r="BV23" s="218">
        <f ca="1">OFFSET(tblAdminChrg[[#This Row],[UVL01]],0,MATCH(base,tblAdminChrg[#Headers],0)-3)</f>
        <v>25000</v>
      </c>
      <c r="BW23" s="215">
        <v>25000</v>
      </c>
      <c r="BX23" s="215">
        <v>66000</v>
      </c>
      <c r="BY23" s="219">
        <v>66000</v>
      </c>
      <c r="BZ23" s="219">
        <v>40000</v>
      </c>
    </row>
    <row r="24" spans="2:115" x14ac:dyDescent="0.25">
      <c r="B24" s="197">
        <v>21</v>
      </c>
      <c r="C24" s="198">
        <f ca="1">OFFSET(tblTPRate[[#This Row],[UVL01_Male]],0,MATCH(base&amp;"_"&amp;mainLI_gender,tblTPRate[#Headers],0)-3)</f>
        <v>15.259919999999999</v>
      </c>
      <c r="D24" s="199">
        <v>15.259919999999999</v>
      </c>
      <c r="E24" s="199">
        <v>15.259919999999999</v>
      </c>
      <c r="F24" s="199">
        <v>15.259919999999999</v>
      </c>
      <c r="G24" s="199">
        <v>15.259919999999999</v>
      </c>
      <c r="H24" s="199">
        <v>15.259919999999999</v>
      </c>
      <c r="I24" s="199">
        <v>15.259919999999999</v>
      </c>
      <c r="J24" s="199">
        <v>15.259919999999999</v>
      </c>
      <c r="K24" s="199">
        <v>15.259919999999999</v>
      </c>
      <c r="N24" s="200">
        <v>21</v>
      </c>
      <c r="O24" s="201">
        <f ca="1">OFFSET(tblBaseCOIRate[[#This Row],[UVL01_Male]],0,MATCH(base&amp;"_"&amp;mainLI_gender,tblBaseCOIRate[#Headers],0)-3)</f>
        <v>1.0799999999999701E-3</v>
      </c>
      <c r="P24" s="202">
        <v>1.90000000000001E-3</v>
      </c>
      <c r="Q24" s="202">
        <v>1.0799999999999701E-3</v>
      </c>
      <c r="R24" s="202">
        <v>1.5200000000000101E-3</v>
      </c>
      <c r="S24" s="202">
        <v>8.6399999999997601E-4</v>
      </c>
      <c r="T24" s="202">
        <v>1.5200000000000101E-3</v>
      </c>
      <c r="U24" s="202">
        <v>8.6399999999997601E-4</v>
      </c>
      <c r="V24" s="202">
        <f>tblBaseCOIRate[[#This Row],[UVL01_Male]]</f>
        <v>1.90000000000001E-3</v>
      </c>
      <c r="W24" s="203">
        <f>tblBaseCOIRate[[#This Row],[UVL01_Female]]</f>
        <v>1.0799999999999701E-3</v>
      </c>
      <c r="AG24" s="200">
        <v>22</v>
      </c>
      <c r="AH24" s="205">
        <f ca="1">OFFSET(tblTPAllocChrgRate[[#This Row],[UVL01]],0,MATCH(base,tblTPAllocChrgRate[#Headers],0)-3)</f>
        <v>0.02</v>
      </c>
      <c r="AI24" s="206">
        <v>0.02</v>
      </c>
      <c r="AJ24" s="207">
        <v>0</v>
      </c>
      <c r="AK24" s="208">
        <v>0</v>
      </c>
      <c r="AL24" s="208">
        <f>tblTPAllocChrgRate[[#This Row],[UVL01]]</f>
        <v>0.02</v>
      </c>
      <c r="AO24" s="200">
        <v>22</v>
      </c>
      <c r="AP24" s="209">
        <f ca="1">OFFSET(tblEPAllocChrgRate[[#This Row],[UVL01]],0,MATCH(base,tblEPAllocChrgRate[#Headers],0)-3)</f>
        <v>0.02</v>
      </c>
      <c r="AQ24" s="210">
        <v>0.02</v>
      </c>
      <c r="AR24" s="211">
        <v>0</v>
      </c>
      <c r="AS24" s="212">
        <v>0</v>
      </c>
      <c r="AT24" s="212">
        <f>tblEPAllocChrgRate[[#This Row],[UVL01]]</f>
        <v>0.02</v>
      </c>
      <c r="AW24" s="200">
        <v>22</v>
      </c>
      <c r="AX24" s="209">
        <f ca="1">OFFSET(tblSurrChrgRate[[#This Row],[UVL01]],0,MATCH(base,tblSurrChrgRate[#Headers],0)-3)</f>
        <v>0</v>
      </c>
      <c r="AY24" s="206">
        <v>0</v>
      </c>
      <c r="AZ24" s="206">
        <v>0</v>
      </c>
      <c r="BA24" s="213">
        <v>0</v>
      </c>
      <c r="BB24" s="213">
        <f>tblSurrChrgRate[[#This Row],[UVL01]]</f>
        <v>0</v>
      </c>
      <c r="BU24" s="200">
        <v>2037</v>
      </c>
      <c r="BV24" s="218">
        <f ca="1">OFFSET(tblAdminChrg[[#This Row],[UVL01]],0,MATCH(base,tblAdminChrg[#Headers],0)-3)</f>
        <v>25000</v>
      </c>
      <c r="BW24" s="215">
        <v>25000</v>
      </c>
      <c r="BX24" s="215">
        <v>66000</v>
      </c>
      <c r="BY24" s="219">
        <v>66000</v>
      </c>
      <c r="BZ24" s="219">
        <v>40000</v>
      </c>
    </row>
    <row r="25" spans="2:115" x14ac:dyDescent="0.25">
      <c r="B25" s="197">
        <v>22</v>
      </c>
      <c r="C25" s="198">
        <f ca="1">OFFSET(tblTPRate[[#This Row],[UVL01_Male]],0,MATCH(base&amp;"_"&amp;mainLI_gender,tblTPRate[#Headers],0)-3)</f>
        <v>15.579510000000001</v>
      </c>
      <c r="D25" s="199">
        <v>15.579510000000001</v>
      </c>
      <c r="E25" s="199">
        <v>15.579510000000001</v>
      </c>
      <c r="F25" s="199">
        <v>15.579510000000001</v>
      </c>
      <c r="G25" s="199">
        <v>15.579510000000001</v>
      </c>
      <c r="H25" s="199">
        <v>15.579510000000001</v>
      </c>
      <c r="I25" s="199">
        <v>15.579510000000001</v>
      </c>
      <c r="J25" s="199">
        <v>15.579510000000001</v>
      </c>
      <c r="K25" s="199">
        <v>15.579510000000001</v>
      </c>
      <c r="N25" s="200">
        <v>22</v>
      </c>
      <c r="O25" s="201">
        <f ca="1">OFFSET(tblBaseCOIRate[[#This Row],[UVL01_Male]],0,MATCH(base&amp;"_"&amp;mainLI_gender,tblBaseCOIRate[#Headers],0)-3)</f>
        <v>1.0999999999999901E-3</v>
      </c>
      <c r="P25" s="202">
        <v>1.8800000000000999E-3</v>
      </c>
      <c r="Q25" s="202">
        <v>1.0999999999999901E-3</v>
      </c>
      <c r="R25" s="202">
        <v>1.5040000000000799E-3</v>
      </c>
      <c r="S25" s="202">
        <v>8.7999999999999201E-4</v>
      </c>
      <c r="T25" s="202">
        <v>1.5040000000000799E-3</v>
      </c>
      <c r="U25" s="202">
        <v>8.7999999999999201E-4</v>
      </c>
      <c r="V25" s="202">
        <f>tblBaseCOIRate[[#This Row],[UVL01_Male]]</f>
        <v>1.8800000000000999E-3</v>
      </c>
      <c r="W25" s="203">
        <f>tblBaseCOIRate[[#This Row],[UVL01_Female]]</f>
        <v>1.0999999999999901E-3</v>
      </c>
      <c r="AG25" s="200">
        <v>23</v>
      </c>
      <c r="AH25" s="205">
        <f ca="1">OFFSET(tblTPAllocChrgRate[[#This Row],[UVL01]],0,MATCH(base,tblTPAllocChrgRate[#Headers],0)-3)</f>
        <v>0.02</v>
      </c>
      <c r="AI25" s="206">
        <v>0.02</v>
      </c>
      <c r="AJ25" s="207">
        <v>0</v>
      </c>
      <c r="AK25" s="208">
        <v>0</v>
      </c>
      <c r="AL25" s="208">
        <f>tblTPAllocChrgRate[[#This Row],[UVL01]]</f>
        <v>0.02</v>
      </c>
      <c r="AO25" s="200">
        <v>23</v>
      </c>
      <c r="AP25" s="209">
        <f ca="1">OFFSET(tblEPAllocChrgRate[[#This Row],[UVL01]],0,MATCH(base,tblEPAllocChrgRate[#Headers],0)-3)</f>
        <v>0.02</v>
      </c>
      <c r="AQ25" s="210">
        <v>0.02</v>
      </c>
      <c r="AR25" s="211">
        <v>0</v>
      </c>
      <c r="AS25" s="212">
        <v>0</v>
      </c>
      <c r="AT25" s="212">
        <f>tblEPAllocChrgRate[[#This Row],[UVL01]]</f>
        <v>0.02</v>
      </c>
      <c r="AW25" s="200">
        <v>23</v>
      </c>
      <c r="AX25" s="209">
        <f ca="1">OFFSET(tblSurrChrgRate[[#This Row],[UVL01]],0,MATCH(base,tblSurrChrgRate[#Headers],0)-3)</f>
        <v>0</v>
      </c>
      <c r="AY25" s="206">
        <v>0</v>
      </c>
      <c r="AZ25" s="206">
        <v>0</v>
      </c>
      <c r="BA25" s="213">
        <v>0</v>
      </c>
      <c r="BB25" s="213">
        <f>tblSurrChrgRate[[#This Row],[UVL01]]</f>
        <v>0</v>
      </c>
      <c r="BU25" s="200">
        <v>2038</v>
      </c>
      <c r="BV25" s="218">
        <f ca="1">OFFSET(tblAdminChrg[[#This Row],[UVL01]],0,MATCH(base,tblAdminChrg[#Headers],0)-3)</f>
        <v>25000</v>
      </c>
      <c r="BW25" s="215">
        <v>25000</v>
      </c>
      <c r="BX25" s="215">
        <v>66000</v>
      </c>
      <c r="BY25" s="219">
        <v>66000</v>
      </c>
      <c r="BZ25" s="219">
        <v>40000</v>
      </c>
    </row>
    <row r="26" spans="2:115" x14ac:dyDescent="0.25">
      <c r="B26" s="197">
        <v>23</v>
      </c>
      <c r="C26" s="198">
        <f ca="1">OFFSET(tblTPRate[[#This Row],[UVL01_Male]],0,MATCH(base&amp;"_"&amp;mainLI_gender,tblTPRate[#Headers],0)-3)</f>
        <v>15.915179999999999</v>
      </c>
      <c r="D26" s="199">
        <v>15.915179999999999</v>
      </c>
      <c r="E26" s="199">
        <v>15.915179999999999</v>
      </c>
      <c r="F26" s="199">
        <v>15.915179999999999</v>
      </c>
      <c r="G26" s="199">
        <v>15.915179999999999</v>
      </c>
      <c r="H26" s="199">
        <v>15.915179999999999</v>
      </c>
      <c r="I26" s="199">
        <v>15.915179999999999</v>
      </c>
      <c r="J26" s="199">
        <v>15.915179999999999</v>
      </c>
      <c r="K26" s="199">
        <v>15.915179999999999</v>
      </c>
      <c r="N26" s="200">
        <v>23</v>
      </c>
      <c r="O26" s="201">
        <f ca="1">OFFSET(tblBaseCOIRate[[#This Row],[UVL01_Male]],0,MATCH(base&amp;"_"&amp;mainLI_gender,tblBaseCOIRate[#Headers],0)-3)</f>
        <v>1.1200000000000101E-3</v>
      </c>
      <c r="P26" s="202">
        <v>1.83999999999995E-3</v>
      </c>
      <c r="Q26" s="202">
        <v>1.1200000000000101E-3</v>
      </c>
      <c r="R26" s="202">
        <v>1.4719999999999601E-3</v>
      </c>
      <c r="S26" s="202">
        <v>8.9600000000000801E-4</v>
      </c>
      <c r="T26" s="202">
        <v>1.4719999999999601E-3</v>
      </c>
      <c r="U26" s="202">
        <v>8.9600000000000801E-4</v>
      </c>
      <c r="V26" s="202">
        <f>tblBaseCOIRate[[#This Row],[UVL01_Male]]</f>
        <v>1.83999999999995E-3</v>
      </c>
      <c r="W26" s="203">
        <f>tblBaseCOIRate[[#This Row],[UVL01_Female]]</f>
        <v>1.1200000000000101E-3</v>
      </c>
      <c r="AG26" s="200">
        <v>24</v>
      </c>
      <c r="AH26" s="205">
        <f ca="1">OFFSET(tblTPAllocChrgRate[[#This Row],[UVL01]],0,MATCH(base,tblTPAllocChrgRate[#Headers],0)-3)</f>
        <v>0.02</v>
      </c>
      <c r="AI26" s="206">
        <v>0.02</v>
      </c>
      <c r="AJ26" s="207">
        <v>0</v>
      </c>
      <c r="AK26" s="208">
        <v>0</v>
      </c>
      <c r="AL26" s="208">
        <f>tblTPAllocChrgRate[[#This Row],[UVL01]]</f>
        <v>0.02</v>
      </c>
      <c r="AO26" s="200">
        <v>24</v>
      </c>
      <c r="AP26" s="209">
        <f ca="1">OFFSET(tblEPAllocChrgRate[[#This Row],[UVL01]],0,MATCH(base,tblEPAllocChrgRate[#Headers],0)-3)</f>
        <v>0.02</v>
      </c>
      <c r="AQ26" s="210">
        <v>0.02</v>
      </c>
      <c r="AR26" s="211">
        <v>0</v>
      </c>
      <c r="AS26" s="212">
        <v>0</v>
      </c>
      <c r="AT26" s="212">
        <f>tblEPAllocChrgRate[[#This Row],[UVL01]]</f>
        <v>0.02</v>
      </c>
      <c r="AW26" s="200">
        <v>24</v>
      </c>
      <c r="AX26" s="209">
        <f ca="1">OFFSET(tblSurrChrgRate[[#This Row],[UVL01]],0,MATCH(base,tblSurrChrgRate[#Headers],0)-3)</f>
        <v>0</v>
      </c>
      <c r="AY26" s="206">
        <v>0</v>
      </c>
      <c r="AZ26" s="206">
        <v>0</v>
      </c>
      <c r="BA26" s="213">
        <v>0</v>
      </c>
      <c r="BB26" s="213">
        <f>tblSurrChrgRate[[#This Row],[UVL01]]</f>
        <v>0</v>
      </c>
      <c r="BU26" s="200">
        <v>2039</v>
      </c>
      <c r="BV26" s="218">
        <f ca="1">OFFSET(tblAdminChrg[[#This Row],[UVL01]],0,MATCH(base,tblAdminChrg[#Headers],0)-3)</f>
        <v>25000</v>
      </c>
      <c r="BW26" s="215">
        <v>25000</v>
      </c>
      <c r="BX26" s="215">
        <v>66000</v>
      </c>
      <c r="BY26" s="219">
        <v>66000</v>
      </c>
      <c r="BZ26" s="219">
        <v>40000</v>
      </c>
    </row>
    <row r="27" spans="2:115" x14ac:dyDescent="0.25">
      <c r="B27" s="197">
        <v>24</v>
      </c>
      <c r="C27" s="198">
        <f ca="1">OFFSET(tblTPRate[[#This Row],[UVL01_Male]],0,MATCH(base&amp;"_"&amp;mainLI_gender,tblTPRate[#Headers],0)-3)</f>
        <v>16.268940000000001</v>
      </c>
      <c r="D27" s="199">
        <v>16.268940000000001</v>
      </c>
      <c r="E27" s="199">
        <v>16.268940000000001</v>
      </c>
      <c r="F27" s="199">
        <v>16.268940000000001</v>
      </c>
      <c r="G27" s="199">
        <v>16.268940000000001</v>
      </c>
      <c r="H27" s="199">
        <v>16.268940000000001</v>
      </c>
      <c r="I27" s="199">
        <v>16.268940000000001</v>
      </c>
      <c r="J27" s="199">
        <v>16.268940000000001</v>
      </c>
      <c r="K27" s="199">
        <v>16.268940000000001</v>
      </c>
      <c r="N27" s="200">
        <v>24</v>
      </c>
      <c r="O27" s="201">
        <f ca="1">OFFSET(tblBaseCOIRate[[#This Row],[UVL01_Male]],0,MATCH(base&amp;"_"&amp;mainLI_gender,tblBaseCOIRate[#Headers],0)-3)</f>
        <v>1.14999999999998E-3</v>
      </c>
      <c r="P27" s="202">
        <v>1.8000000000000199E-3</v>
      </c>
      <c r="Q27" s="202">
        <v>1.14999999999998E-3</v>
      </c>
      <c r="R27" s="202">
        <v>1.44000000000002E-3</v>
      </c>
      <c r="S27" s="202">
        <v>9.1999999999998799E-4</v>
      </c>
      <c r="T27" s="202">
        <v>1.44000000000002E-3</v>
      </c>
      <c r="U27" s="202">
        <v>9.1999999999998799E-4</v>
      </c>
      <c r="V27" s="202">
        <f>tblBaseCOIRate[[#This Row],[UVL01_Male]]</f>
        <v>1.8000000000000199E-3</v>
      </c>
      <c r="W27" s="203">
        <f>tblBaseCOIRate[[#This Row],[UVL01_Female]]</f>
        <v>1.14999999999998E-3</v>
      </c>
      <c r="AG27" s="200">
        <v>25</v>
      </c>
      <c r="AH27" s="205">
        <f ca="1">OFFSET(tblTPAllocChrgRate[[#This Row],[UVL01]],0,MATCH(base,tblTPAllocChrgRate[#Headers],0)-3)</f>
        <v>0.02</v>
      </c>
      <c r="AI27" s="206">
        <v>0.02</v>
      </c>
      <c r="AJ27" s="207">
        <v>0</v>
      </c>
      <c r="AK27" s="208">
        <v>0</v>
      </c>
      <c r="AL27" s="208">
        <f>tblTPAllocChrgRate[[#This Row],[UVL01]]</f>
        <v>0.02</v>
      </c>
      <c r="AO27" s="200">
        <v>25</v>
      </c>
      <c r="AP27" s="209">
        <f ca="1">OFFSET(tblEPAllocChrgRate[[#This Row],[UVL01]],0,MATCH(base,tblEPAllocChrgRate[#Headers],0)-3)</f>
        <v>0.02</v>
      </c>
      <c r="AQ27" s="210">
        <v>0.02</v>
      </c>
      <c r="AR27" s="211">
        <v>0</v>
      </c>
      <c r="AS27" s="212">
        <v>0</v>
      </c>
      <c r="AT27" s="212">
        <f>tblEPAllocChrgRate[[#This Row],[UVL01]]</f>
        <v>0.02</v>
      </c>
      <c r="AW27" s="200">
        <v>25</v>
      </c>
      <c r="AX27" s="209">
        <f ca="1">OFFSET(tblSurrChrgRate[[#This Row],[UVL01]],0,MATCH(base,tblSurrChrgRate[#Headers],0)-3)</f>
        <v>0</v>
      </c>
      <c r="AY27" s="206">
        <v>0</v>
      </c>
      <c r="AZ27" s="206">
        <v>0</v>
      </c>
      <c r="BA27" s="213">
        <v>0</v>
      </c>
      <c r="BB27" s="213">
        <f>tblSurrChrgRate[[#This Row],[UVL01]]</f>
        <v>0</v>
      </c>
      <c r="BU27" s="200">
        <v>2040</v>
      </c>
      <c r="BV27" s="218">
        <f ca="1">OFFSET(tblAdminChrg[[#This Row],[UVL01]],0,MATCH(base,tblAdminChrg[#Headers],0)-3)</f>
        <v>25000</v>
      </c>
      <c r="BW27" s="215">
        <v>25000</v>
      </c>
      <c r="BX27" s="215">
        <v>66000</v>
      </c>
      <c r="BY27" s="219">
        <v>66000</v>
      </c>
      <c r="BZ27" s="219">
        <v>40000</v>
      </c>
    </row>
    <row r="28" spans="2:115" x14ac:dyDescent="0.25">
      <c r="B28" s="197">
        <v>25</v>
      </c>
      <c r="C28" s="198">
        <f ca="1">OFFSET(tblTPRate[[#This Row],[UVL01_Male]],0,MATCH(base&amp;"_"&amp;mainLI_gender,tblTPRate[#Headers],0)-3)</f>
        <v>16.6418</v>
      </c>
      <c r="D28" s="199">
        <v>16.6418</v>
      </c>
      <c r="E28" s="199">
        <v>16.6418</v>
      </c>
      <c r="F28" s="199">
        <v>16.6418</v>
      </c>
      <c r="G28" s="199">
        <v>16.6418</v>
      </c>
      <c r="H28" s="199">
        <v>16.6418</v>
      </c>
      <c r="I28" s="199">
        <v>16.6418</v>
      </c>
      <c r="J28" s="199">
        <v>16.6418</v>
      </c>
      <c r="K28" s="199">
        <v>16.6418</v>
      </c>
      <c r="N28" s="200">
        <v>25</v>
      </c>
      <c r="O28" s="201">
        <f ca="1">OFFSET(tblBaseCOIRate[[#This Row],[UVL01_Male]],0,MATCH(base&amp;"_"&amp;mainLI_gender,tblBaseCOIRate[#Headers],0)-3)</f>
        <v>1.17E-3</v>
      </c>
      <c r="P28" s="202">
        <v>1.75000000000003E-3</v>
      </c>
      <c r="Q28" s="202">
        <v>1.17E-3</v>
      </c>
      <c r="R28" s="202">
        <v>1.4000000000000199E-3</v>
      </c>
      <c r="S28" s="202">
        <v>9.3600000000000399E-4</v>
      </c>
      <c r="T28" s="202">
        <v>1.4000000000000199E-3</v>
      </c>
      <c r="U28" s="202">
        <v>9.3600000000000399E-4</v>
      </c>
      <c r="V28" s="202">
        <f>tblBaseCOIRate[[#This Row],[UVL01_Male]]</f>
        <v>1.75000000000003E-3</v>
      </c>
      <c r="W28" s="203">
        <f>tblBaseCOIRate[[#This Row],[UVL01_Female]]</f>
        <v>1.17E-3</v>
      </c>
      <c r="AG28" s="200">
        <v>26</v>
      </c>
      <c r="AH28" s="205">
        <f ca="1">OFFSET(tblTPAllocChrgRate[[#This Row],[UVL01]],0,MATCH(base,tblTPAllocChrgRate[#Headers],0)-3)</f>
        <v>0.02</v>
      </c>
      <c r="AI28" s="206">
        <v>0.02</v>
      </c>
      <c r="AJ28" s="207">
        <v>0</v>
      </c>
      <c r="AK28" s="208">
        <v>0</v>
      </c>
      <c r="AL28" s="208">
        <f>tblTPAllocChrgRate[[#This Row],[UVL01]]</f>
        <v>0.02</v>
      </c>
      <c r="AO28" s="200">
        <v>26</v>
      </c>
      <c r="AP28" s="209">
        <f ca="1">OFFSET(tblEPAllocChrgRate[[#This Row],[UVL01]],0,MATCH(base,tblEPAllocChrgRate[#Headers],0)-3)</f>
        <v>0.02</v>
      </c>
      <c r="AQ28" s="210">
        <v>0.02</v>
      </c>
      <c r="AR28" s="211">
        <v>0</v>
      </c>
      <c r="AS28" s="212">
        <v>0</v>
      </c>
      <c r="AT28" s="212">
        <f>tblEPAllocChrgRate[[#This Row],[UVL01]]</f>
        <v>0.02</v>
      </c>
      <c r="AW28" s="200">
        <v>26</v>
      </c>
      <c r="AX28" s="209">
        <f ca="1">OFFSET(tblSurrChrgRate[[#This Row],[UVL01]],0,MATCH(base,tblSurrChrgRate[#Headers],0)-3)</f>
        <v>0</v>
      </c>
      <c r="AY28" s="206">
        <v>0</v>
      </c>
      <c r="AZ28" s="206">
        <v>0</v>
      </c>
      <c r="BA28" s="213">
        <v>0</v>
      </c>
      <c r="BB28" s="213">
        <f>tblSurrChrgRate[[#This Row],[UVL01]]</f>
        <v>0</v>
      </c>
      <c r="BU28" s="200">
        <v>2041</v>
      </c>
      <c r="BV28" s="218">
        <f ca="1">OFFSET(tblAdminChrg[[#This Row],[UVL01]],0,MATCH(base,tblAdminChrg[#Headers],0)-3)</f>
        <v>25000</v>
      </c>
      <c r="BW28" s="215">
        <v>25000</v>
      </c>
      <c r="BX28" s="215">
        <v>66000</v>
      </c>
      <c r="BY28" s="219">
        <v>66000</v>
      </c>
      <c r="BZ28" s="219">
        <v>40000</v>
      </c>
    </row>
    <row r="29" spans="2:115" x14ac:dyDescent="0.25">
      <c r="B29" s="197">
        <v>26</v>
      </c>
      <c r="C29" s="198">
        <f ca="1">OFFSET(tblTPRate[[#This Row],[UVL01_Male]],0,MATCH(base&amp;"_"&amp;mainLI_gender,tblTPRate[#Headers],0)-3)</f>
        <v>17.03576</v>
      </c>
      <c r="D29" s="199">
        <v>17.03576</v>
      </c>
      <c r="E29" s="199">
        <v>17.03576</v>
      </c>
      <c r="F29" s="199">
        <v>17.03576</v>
      </c>
      <c r="G29" s="199">
        <v>17.03576</v>
      </c>
      <c r="H29" s="199">
        <v>17.03576</v>
      </c>
      <c r="I29" s="199">
        <v>17.03576</v>
      </c>
      <c r="J29" s="199">
        <v>17.03576</v>
      </c>
      <c r="K29" s="199">
        <v>17.03576</v>
      </c>
      <c r="N29" s="200">
        <v>26</v>
      </c>
      <c r="O29" s="201">
        <f ca="1">OFFSET(tblBaseCOIRate[[#This Row],[UVL01_Male]],0,MATCH(base&amp;"_"&amp;mainLI_gender,tblBaseCOIRate[#Headers],0)-3)</f>
        <v>1.1999999999999799E-3</v>
      </c>
      <c r="P29" s="202">
        <v>1.72000000000005E-3</v>
      </c>
      <c r="Q29" s="202">
        <v>1.1999999999999799E-3</v>
      </c>
      <c r="R29" s="202">
        <v>1.37600000000004E-3</v>
      </c>
      <c r="S29" s="202">
        <v>9.59999999999983E-4</v>
      </c>
      <c r="T29" s="202">
        <v>1.37600000000004E-3</v>
      </c>
      <c r="U29" s="202">
        <v>9.59999999999983E-4</v>
      </c>
      <c r="V29" s="202">
        <f>tblBaseCOIRate[[#This Row],[UVL01_Male]]</f>
        <v>1.72000000000005E-3</v>
      </c>
      <c r="W29" s="203">
        <f>tblBaseCOIRate[[#This Row],[UVL01_Female]]</f>
        <v>1.1999999999999799E-3</v>
      </c>
      <c r="AG29" s="200">
        <v>27</v>
      </c>
      <c r="AH29" s="205">
        <f ca="1">OFFSET(tblTPAllocChrgRate[[#This Row],[UVL01]],0,MATCH(base,tblTPAllocChrgRate[#Headers],0)-3)</f>
        <v>0.02</v>
      </c>
      <c r="AI29" s="206">
        <v>0.02</v>
      </c>
      <c r="AJ29" s="207">
        <v>0</v>
      </c>
      <c r="AK29" s="208">
        <v>0</v>
      </c>
      <c r="AL29" s="208">
        <f>tblTPAllocChrgRate[[#This Row],[UVL01]]</f>
        <v>0.02</v>
      </c>
      <c r="AO29" s="200">
        <v>27</v>
      </c>
      <c r="AP29" s="209">
        <f ca="1">OFFSET(tblEPAllocChrgRate[[#This Row],[UVL01]],0,MATCH(base,tblEPAllocChrgRate[#Headers],0)-3)</f>
        <v>0.02</v>
      </c>
      <c r="AQ29" s="210">
        <v>0.02</v>
      </c>
      <c r="AR29" s="211">
        <v>0</v>
      </c>
      <c r="AS29" s="212">
        <v>0</v>
      </c>
      <c r="AT29" s="212">
        <f>tblEPAllocChrgRate[[#This Row],[UVL01]]</f>
        <v>0.02</v>
      </c>
      <c r="AW29" s="200">
        <v>27</v>
      </c>
      <c r="AX29" s="209">
        <f ca="1">OFFSET(tblSurrChrgRate[[#This Row],[UVL01]],0,MATCH(base,tblSurrChrgRate[#Headers],0)-3)</f>
        <v>0</v>
      </c>
      <c r="AY29" s="206">
        <v>0</v>
      </c>
      <c r="AZ29" s="206">
        <v>0</v>
      </c>
      <c r="BA29" s="213">
        <v>0</v>
      </c>
      <c r="BB29" s="213">
        <f>tblSurrChrgRate[[#This Row],[UVL01]]</f>
        <v>0</v>
      </c>
      <c r="BU29" s="200">
        <v>2042</v>
      </c>
      <c r="BV29" s="218">
        <f ca="1">OFFSET(tblAdminChrg[[#This Row],[UVL01]],0,MATCH(base,tblAdminChrg[#Headers],0)-3)</f>
        <v>25000</v>
      </c>
      <c r="BW29" s="215">
        <v>25000</v>
      </c>
      <c r="BX29" s="215">
        <v>66000</v>
      </c>
      <c r="BY29" s="219">
        <v>66000</v>
      </c>
      <c r="BZ29" s="219">
        <v>40000</v>
      </c>
    </row>
    <row r="30" spans="2:115" x14ac:dyDescent="0.25">
      <c r="B30" s="197">
        <v>27</v>
      </c>
      <c r="C30" s="198">
        <f ca="1">OFFSET(tblTPRate[[#This Row],[UVL01_Male]],0,MATCH(base&amp;"_"&amp;mainLI_gender,tblTPRate[#Headers],0)-3)</f>
        <v>17.45082</v>
      </c>
      <c r="D30" s="199">
        <v>17.45082</v>
      </c>
      <c r="E30" s="199">
        <v>17.45082</v>
      </c>
      <c r="F30" s="199">
        <v>17.45082</v>
      </c>
      <c r="G30" s="199">
        <v>17.45082</v>
      </c>
      <c r="H30" s="199">
        <v>17.45082</v>
      </c>
      <c r="I30" s="199">
        <v>17.45082</v>
      </c>
      <c r="J30" s="199">
        <v>17.45082</v>
      </c>
      <c r="K30" s="199">
        <v>17.45082</v>
      </c>
      <c r="N30" s="200">
        <v>27</v>
      </c>
      <c r="O30" s="201">
        <f ca="1">OFFSET(tblBaseCOIRate[[#This Row],[UVL01_Male]],0,MATCH(base&amp;"_"&amp;mainLI_gender,tblBaseCOIRate[#Headers],0)-3)</f>
        <v>1.23999999999991E-3</v>
      </c>
      <c r="P30" s="202">
        <v>1.70999999999999E-3</v>
      </c>
      <c r="Q30" s="202">
        <v>1.23999999999991E-3</v>
      </c>
      <c r="R30" s="202">
        <v>1.3679999999999901E-3</v>
      </c>
      <c r="S30" s="202">
        <v>9.919999999999261E-4</v>
      </c>
      <c r="T30" s="202">
        <v>1.3679999999999901E-3</v>
      </c>
      <c r="U30" s="202">
        <v>9.919999999999261E-4</v>
      </c>
      <c r="V30" s="202">
        <f>tblBaseCOIRate[[#This Row],[UVL01_Male]]</f>
        <v>1.70999999999999E-3</v>
      </c>
      <c r="W30" s="203">
        <f>tblBaseCOIRate[[#This Row],[UVL01_Female]]</f>
        <v>1.23999999999991E-3</v>
      </c>
      <c r="AG30" s="200">
        <v>28</v>
      </c>
      <c r="AH30" s="205">
        <f ca="1">OFFSET(tblTPAllocChrgRate[[#This Row],[UVL01]],0,MATCH(base,tblTPAllocChrgRate[#Headers],0)-3)</f>
        <v>0.02</v>
      </c>
      <c r="AI30" s="206">
        <v>0.02</v>
      </c>
      <c r="AJ30" s="207">
        <v>0</v>
      </c>
      <c r="AK30" s="208">
        <v>0</v>
      </c>
      <c r="AL30" s="208">
        <f>tblTPAllocChrgRate[[#This Row],[UVL01]]</f>
        <v>0.02</v>
      </c>
      <c r="AO30" s="200">
        <v>28</v>
      </c>
      <c r="AP30" s="209">
        <f ca="1">OFFSET(tblEPAllocChrgRate[[#This Row],[UVL01]],0,MATCH(base,tblEPAllocChrgRate[#Headers],0)-3)</f>
        <v>0.02</v>
      </c>
      <c r="AQ30" s="210">
        <v>0.02</v>
      </c>
      <c r="AR30" s="211">
        <v>0</v>
      </c>
      <c r="AS30" s="212">
        <v>0</v>
      </c>
      <c r="AT30" s="212">
        <f>tblEPAllocChrgRate[[#This Row],[UVL01]]</f>
        <v>0.02</v>
      </c>
      <c r="AW30" s="200">
        <v>28</v>
      </c>
      <c r="AX30" s="209">
        <f ca="1">OFFSET(tblSurrChrgRate[[#This Row],[UVL01]],0,MATCH(base,tblSurrChrgRate[#Headers],0)-3)</f>
        <v>0</v>
      </c>
      <c r="AY30" s="206">
        <v>0</v>
      </c>
      <c r="AZ30" s="206">
        <v>0</v>
      </c>
      <c r="BA30" s="213">
        <v>0</v>
      </c>
      <c r="BB30" s="213">
        <f>tblSurrChrgRate[[#This Row],[UVL01]]</f>
        <v>0</v>
      </c>
      <c r="BU30" s="200">
        <v>2043</v>
      </c>
      <c r="BV30" s="218">
        <f ca="1">OFFSET(tblAdminChrg[[#This Row],[UVL01]],0,MATCH(base,tblAdminChrg[#Headers],0)-3)</f>
        <v>25000</v>
      </c>
      <c r="BW30" s="215">
        <v>25000</v>
      </c>
      <c r="BX30" s="215">
        <v>66000</v>
      </c>
      <c r="BY30" s="219">
        <v>66000</v>
      </c>
      <c r="BZ30" s="219">
        <v>40000</v>
      </c>
    </row>
    <row r="31" spans="2:115" x14ac:dyDescent="0.25">
      <c r="B31" s="197">
        <v>28</v>
      </c>
      <c r="C31" s="198">
        <f ca="1">OFFSET(tblTPRate[[#This Row],[UVL01_Male]],0,MATCH(base&amp;"_"&amp;mainLI_gender,tblTPRate[#Headers],0)-3)</f>
        <v>17.888000000000002</v>
      </c>
      <c r="D31" s="199">
        <v>17.888000000000002</v>
      </c>
      <c r="E31" s="199">
        <v>17.888000000000002</v>
      </c>
      <c r="F31" s="199">
        <v>17.888000000000002</v>
      </c>
      <c r="G31" s="199">
        <v>17.888000000000002</v>
      </c>
      <c r="H31" s="199">
        <v>17.888000000000002</v>
      </c>
      <c r="I31" s="199">
        <v>17.888000000000002</v>
      </c>
      <c r="J31" s="199">
        <v>17.888000000000002</v>
      </c>
      <c r="K31" s="199">
        <v>17.888000000000002</v>
      </c>
      <c r="N31" s="200">
        <v>28</v>
      </c>
      <c r="O31" s="201">
        <f ca="1">OFFSET(tblBaseCOIRate[[#This Row],[UVL01_Male]],0,MATCH(base&amp;"_"&amp;mainLI_gender,tblBaseCOIRate[#Headers],0)-3)</f>
        <v>1.28000000000006E-3</v>
      </c>
      <c r="P31" s="202">
        <v>1.70000000000003E-3</v>
      </c>
      <c r="Q31" s="202">
        <v>1.28000000000006E-3</v>
      </c>
      <c r="R31" s="202">
        <v>1.36000000000003E-3</v>
      </c>
      <c r="S31" s="202">
        <v>1.02400000000005E-3</v>
      </c>
      <c r="T31" s="202">
        <v>1.36000000000003E-3</v>
      </c>
      <c r="U31" s="202">
        <v>1.02400000000005E-3</v>
      </c>
      <c r="V31" s="202">
        <f>tblBaseCOIRate[[#This Row],[UVL01_Male]]</f>
        <v>1.70000000000003E-3</v>
      </c>
      <c r="W31" s="203">
        <f>tblBaseCOIRate[[#This Row],[UVL01_Female]]</f>
        <v>1.28000000000006E-3</v>
      </c>
      <c r="AG31" s="200">
        <v>29</v>
      </c>
      <c r="AH31" s="205">
        <f ca="1">OFFSET(tblTPAllocChrgRate[[#This Row],[UVL01]],0,MATCH(base,tblTPAllocChrgRate[#Headers],0)-3)</f>
        <v>0.02</v>
      </c>
      <c r="AI31" s="206">
        <v>0.02</v>
      </c>
      <c r="AJ31" s="207">
        <v>0</v>
      </c>
      <c r="AK31" s="208">
        <v>0</v>
      </c>
      <c r="AL31" s="208">
        <f>tblTPAllocChrgRate[[#This Row],[UVL01]]</f>
        <v>0.02</v>
      </c>
      <c r="AO31" s="200">
        <v>29</v>
      </c>
      <c r="AP31" s="209">
        <f ca="1">OFFSET(tblEPAllocChrgRate[[#This Row],[UVL01]],0,MATCH(base,tblEPAllocChrgRate[#Headers],0)-3)</f>
        <v>0.02</v>
      </c>
      <c r="AQ31" s="210">
        <v>0.02</v>
      </c>
      <c r="AR31" s="211">
        <v>0</v>
      </c>
      <c r="AS31" s="212">
        <v>0</v>
      </c>
      <c r="AT31" s="212">
        <f>tblEPAllocChrgRate[[#This Row],[UVL01]]</f>
        <v>0.02</v>
      </c>
      <c r="AW31" s="200">
        <v>29</v>
      </c>
      <c r="AX31" s="209">
        <f ca="1">OFFSET(tblSurrChrgRate[[#This Row],[UVL01]],0,MATCH(base,tblSurrChrgRate[#Headers],0)-3)</f>
        <v>0</v>
      </c>
      <c r="AY31" s="206">
        <v>0</v>
      </c>
      <c r="AZ31" s="206">
        <v>0</v>
      </c>
      <c r="BA31" s="213">
        <v>0</v>
      </c>
      <c r="BB31" s="213">
        <f>tblSurrChrgRate[[#This Row],[UVL01]]</f>
        <v>0</v>
      </c>
      <c r="BU31" s="200">
        <v>2044</v>
      </c>
      <c r="BV31" s="218">
        <f ca="1">OFFSET(tblAdminChrg[[#This Row],[UVL01]],0,MATCH(base,tblAdminChrg[#Headers],0)-3)</f>
        <v>25000</v>
      </c>
      <c r="BW31" s="215">
        <v>25000</v>
      </c>
      <c r="BX31" s="215">
        <v>66000</v>
      </c>
      <c r="BY31" s="219">
        <v>66000</v>
      </c>
      <c r="BZ31" s="219">
        <v>40000</v>
      </c>
    </row>
    <row r="32" spans="2:115" x14ac:dyDescent="0.25">
      <c r="B32" s="197">
        <v>29</v>
      </c>
      <c r="C32" s="198">
        <f ca="1">OFFSET(tblTPRate[[#This Row],[UVL01_Male]],0,MATCH(base&amp;"_"&amp;mainLI_gender,tblTPRate[#Headers],0)-3)</f>
        <v>18.34929</v>
      </c>
      <c r="D32" s="199">
        <v>18.34929</v>
      </c>
      <c r="E32" s="199">
        <v>18.34929</v>
      </c>
      <c r="F32" s="199">
        <v>18.34929</v>
      </c>
      <c r="G32" s="199">
        <v>18.34929</v>
      </c>
      <c r="H32" s="199">
        <v>18.34929</v>
      </c>
      <c r="I32" s="199">
        <v>18.34929</v>
      </c>
      <c r="J32" s="199">
        <v>18.34929</v>
      </c>
      <c r="K32" s="199">
        <v>18.34929</v>
      </c>
      <c r="N32" s="200">
        <v>29</v>
      </c>
      <c r="O32" s="201">
        <f ca="1">OFFSET(tblBaseCOIRate[[#This Row],[UVL01_Male]],0,MATCH(base&amp;"_"&amp;mainLI_gender,tblBaseCOIRate[#Headers],0)-3)</f>
        <v>1.31999999999999E-3</v>
      </c>
      <c r="P32" s="202">
        <v>1.7199999999999399E-3</v>
      </c>
      <c r="Q32" s="202">
        <v>1.31999999999999E-3</v>
      </c>
      <c r="R32" s="202">
        <v>1.3759999999999599E-3</v>
      </c>
      <c r="S32" s="202">
        <v>1.0559999999999901E-3</v>
      </c>
      <c r="T32" s="202">
        <v>1.3759999999999599E-3</v>
      </c>
      <c r="U32" s="202">
        <v>1.0559999999999901E-3</v>
      </c>
      <c r="V32" s="202">
        <f>tblBaseCOIRate[[#This Row],[UVL01_Male]]</f>
        <v>1.7199999999999399E-3</v>
      </c>
      <c r="W32" s="203">
        <f>tblBaseCOIRate[[#This Row],[UVL01_Female]]</f>
        <v>1.31999999999999E-3</v>
      </c>
      <c r="AG32" s="200">
        <v>30</v>
      </c>
      <c r="AH32" s="205">
        <f ca="1">OFFSET(tblTPAllocChrgRate[[#This Row],[UVL01]],0,MATCH(base,tblTPAllocChrgRate[#Headers],0)-3)</f>
        <v>0.02</v>
      </c>
      <c r="AI32" s="206">
        <v>0.02</v>
      </c>
      <c r="AJ32" s="207">
        <v>0</v>
      </c>
      <c r="AK32" s="208">
        <v>0</v>
      </c>
      <c r="AL32" s="208">
        <f>tblTPAllocChrgRate[[#This Row],[UVL01]]</f>
        <v>0.02</v>
      </c>
      <c r="AO32" s="200">
        <v>30</v>
      </c>
      <c r="AP32" s="209">
        <f ca="1">OFFSET(tblEPAllocChrgRate[[#This Row],[UVL01]],0,MATCH(base,tblEPAllocChrgRate[#Headers],0)-3)</f>
        <v>0.02</v>
      </c>
      <c r="AQ32" s="210">
        <v>0.02</v>
      </c>
      <c r="AR32" s="211">
        <v>0</v>
      </c>
      <c r="AS32" s="212">
        <v>0</v>
      </c>
      <c r="AT32" s="212">
        <f>tblEPAllocChrgRate[[#This Row],[UVL01]]</f>
        <v>0.02</v>
      </c>
      <c r="AW32" s="200">
        <v>30</v>
      </c>
      <c r="AX32" s="209">
        <f ca="1">OFFSET(tblSurrChrgRate[[#This Row],[UVL01]],0,MATCH(base,tblSurrChrgRate[#Headers],0)-3)</f>
        <v>0</v>
      </c>
      <c r="AY32" s="206">
        <v>0</v>
      </c>
      <c r="AZ32" s="206">
        <v>0</v>
      </c>
      <c r="BA32" s="213">
        <v>0</v>
      </c>
      <c r="BB32" s="213">
        <f>tblSurrChrgRate[[#This Row],[UVL01]]</f>
        <v>0</v>
      </c>
      <c r="BU32" s="200">
        <v>2045</v>
      </c>
      <c r="BV32" s="218">
        <f ca="1">OFFSET(tblAdminChrg[[#This Row],[UVL01]],0,MATCH(base,tblAdminChrg[#Headers],0)-3)</f>
        <v>25000</v>
      </c>
      <c r="BW32" s="215">
        <v>25000</v>
      </c>
      <c r="BX32" s="215">
        <v>66000</v>
      </c>
      <c r="BY32" s="219">
        <v>66000</v>
      </c>
      <c r="BZ32" s="219">
        <v>40000</v>
      </c>
    </row>
    <row r="33" spans="2:78" x14ac:dyDescent="0.25">
      <c r="B33" s="197">
        <v>30</v>
      </c>
      <c r="C33" s="198">
        <f ca="1">OFFSET(tblTPRate[[#This Row],[UVL01_Male]],0,MATCH(base&amp;"_"&amp;mainLI_gender,tblTPRate[#Headers],0)-3)</f>
        <v>18.834710000000001</v>
      </c>
      <c r="D33" s="199">
        <v>18.834710000000001</v>
      </c>
      <c r="E33" s="199">
        <v>18.834710000000001</v>
      </c>
      <c r="F33" s="199">
        <v>18.834710000000001</v>
      </c>
      <c r="G33" s="199">
        <v>18.834710000000001</v>
      </c>
      <c r="H33" s="199">
        <v>18.834710000000001</v>
      </c>
      <c r="I33" s="199">
        <v>18.834710000000001</v>
      </c>
      <c r="J33" s="199">
        <v>18.834710000000001</v>
      </c>
      <c r="K33" s="199">
        <v>18.834710000000001</v>
      </c>
      <c r="N33" s="200">
        <v>30</v>
      </c>
      <c r="O33" s="201">
        <f ca="1">OFFSET(tblBaseCOIRate[[#This Row],[UVL01_Male]],0,MATCH(base&amp;"_"&amp;mainLI_gender,tblBaseCOIRate[#Headers],0)-3)</f>
        <v>1.36999999999998E-3</v>
      </c>
      <c r="P33" s="202">
        <v>1.74999999999992E-3</v>
      </c>
      <c r="Q33" s="202">
        <v>1.36999999999998E-3</v>
      </c>
      <c r="R33" s="202">
        <v>1.3999999999999299E-3</v>
      </c>
      <c r="S33" s="202">
        <v>1.09599999999999E-3</v>
      </c>
      <c r="T33" s="202">
        <v>1.3999999999999299E-3</v>
      </c>
      <c r="U33" s="202">
        <v>1.09599999999999E-3</v>
      </c>
      <c r="V33" s="202">
        <f>tblBaseCOIRate[[#This Row],[UVL01_Male]]</f>
        <v>1.74999999999992E-3</v>
      </c>
      <c r="W33" s="203">
        <f>tblBaseCOIRate[[#This Row],[UVL01_Female]]</f>
        <v>1.36999999999998E-3</v>
      </c>
      <c r="AG33" s="200">
        <v>31</v>
      </c>
      <c r="AH33" s="205">
        <f ca="1">OFFSET(tblTPAllocChrgRate[[#This Row],[UVL01]],0,MATCH(base,tblTPAllocChrgRate[#Headers],0)-3)</f>
        <v>0.02</v>
      </c>
      <c r="AI33" s="206">
        <v>0.02</v>
      </c>
      <c r="AJ33" s="207">
        <v>0</v>
      </c>
      <c r="AK33" s="208">
        <v>0</v>
      </c>
      <c r="AL33" s="208">
        <f>tblTPAllocChrgRate[[#This Row],[UVL01]]</f>
        <v>0.02</v>
      </c>
      <c r="AO33" s="200">
        <v>31</v>
      </c>
      <c r="AP33" s="209">
        <f ca="1">OFFSET(tblEPAllocChrgRate[[#This Row],[UVL01]],0,MATCH(base,tblEPAllocChrgRate[#Headers],0)-3)</f>
        <v>0.02</v>
      </c>
      <c r="AQ33" s="210">
        <v>0.02</v>
      </c>
      <c r="AR33" s="211">
        <v>0</v>
      </c>
      <c r="AS33" s="212">
        <v>0</v>
      </c>
      <c r="AT33" s="212">
        <f>tblEPAllocChrgRate[[#This Row],[UVL01]]</f>
        <v>0.02</v>
      </c>
      <c r="AW33" s="200">
        <v>31</v>
      </c>
      <c r="AX33" s="209">
        <f ca="1">OFFSET(tblSurrChrgRate[[#This Row],[UVL01]],0,MATCH(base,tblSurrChrgRate[#Headers],0)-3)</f>
        <v>0</v>
      </c>
      <c r="AY33" s="206">
        <v>0</v>
      </c>
      <c r="AZ33" s="206">
        <v>0</v>
      </c>
      <c r="BA33" s="213">
        <v>0</v>
      </c>
      <c r="BB33" s="213">
        <f>tblSurrChrgRate[[#This Row],[UVL01]]</f>
        <v>0</v>
      </c>
      <c r="BU33" s="200">
        <v>2046</v>
      </c>
      <c r="BV33" s="218">
        <f ca="1">OFFSET(tblAdminChrg[[#This Row],[UVL01]],0,MATCH(base,tblAdminChrg[#Headers],0)-3)</f>
        <v>25000</v>
      </c>
      <c r="BW33" s="215">
        <v>25000</v>
      </c>
      <c r="BX33" s="215">
        <v>66000</v>
      </c>
      <c r="BY33" s="219">
        <v>66000</v>
      </c>
      <c r="BZ33" s="219">
        <v>40000</v>
      </c>
    </row>
    <row r="34" spans="2:78" x14ac:dyDescent="0.25">
      <c r="B34" s="197">
        <v>31</v>
      </c>
      <c r="C34" s="198">
        <f ca="1">OFFSET(tblTPRate[[#This Row],[UVL01_Male]],0,MATCH(base&amp;"_"&amp;mainLI_gender,tblTPRate[#Headers],0)-3)</f>
        <v>19.34525</v>
      </c>
      <c r="D34" s="199">
        <v>19.34525</v>
      </c>
      <c r="E34" s="199">
        <v>19.34525</v>
      </c>
      <c r="F34" s="199">
        <v>19.34525</v>
      </c>
      <c r="G34" s="199">
        <v>19.34525</v>
      </c>
      <c r="H34" s="199">
        <v>19.34525</v>
      </c>
      <c r="I34" s="199">
        <v>19.34525</v>
      </c>
      <c r="J34" s="199">
        <v>19.34525</v>
      </c>
      <c r="K34" s="199">
        <v>19.34525</v>
      </c>
      <c r="N34" s="200">
        <v>31</v>
      </c>
      <c r="O34" s="201">
        <f ca="1">OFFSET(tblBaseCOIRate[[#This Row],[UVL01_Male]],0,MATCH(base&amp;"_"&amp;mainLI_gender,tblBaseCOIRate[#Headers],0)-3)</f>
        <v>1.4199999999999801E-3</v>
      </c>
      <c r="P34" s="202">
        <v>1.8000000000000199E-3</v>
      </c>
      <c r="Q34" s="202">
        <v>1.4199999999999801E-3</v>
      </c>
      <c r="R34" s="202">
        <v>1.44000000000002E-3</v>
      </c>
      <c r="S34" s="202">
        <v>1.1359999999999799E-3</v>
      </c>
      <c r="T34" s="202">
        <v>1.44000000000002E-3</v>
      </c>
      <c r="U34" s="202">
        <v>1.1359999999999799E-3</v>
      </c>
      <c r="V34" s="202">
        <f>tblBaseCOIRate[[#This Row],[UVL01_Male]]</f>
        <v>1.8000000000000199E-3</v>
      </c>
      <c r="W34" s="203">
        <f>tblBaseCOIRate[[#This Row],[UVL01_Female]]</f>
        <v>1.4199999999999801E-3</v>
      </c>
      <c r="AG34" s="200">
        <v>32</v>
      </c>
      <c r="AH34" s="205">
        <f ca="1">OFFSET(tblTPAllocChrgRate[[#This Row],[UVL01]],0,MATCH(base,tblTPAllocChrgRate[#Headers],0)-3)</f>
        <v>0.02</v>
      </c>
      <c r="AI34" s="206">
        <v>0.02</v>
      </c>
      <c r="AJ34" s="207">
        <v>0</v>
      </c>
      <c r="AK34" s="208">
        <v>0</v>
      </c>
      <c r="AL34" s="208">
        <f>tblTPAllocChrgRate[[#This Row],[UVL01]]</f>
        <v>0.02</v>
      </c>
      <c r="AO34" s="200">
        <v>32</v>
      </c>
      <c r="AP34" s="209">
        <f ca="1">OFFSET(tblEPAllocChrgRate[[#This Row],[UVL01]],0,MATCH(base,tblEPAllocChrgRate[#Headers],0)-3)</f>
        <v>0.02</v>
      </c>
      <c r="AQ34" s="210">
        <v>0.02</v>
      </c>
      <c r="AR34" s="211">
        <v>0</v>
      </c>
      <c r="AS34" s="212">
        <v>0</v>
      </c>
      <c r="AT34" s="212">
        <f>tblEPAllocChrgRate[[#This Row],[UVL01]]</f>
        <v>0.02</v>
      </c>
      <c r="AW34" s="200">
        <v>32</v>
      </c>
      <c r="AX34" s="209">
        <f ca="1">OFFSET(tblSurrChrgRate[[#This Row],[UVL01]],0,MATCH(base,tblSurrChrgRate[#Headers],0)-3)</f>
        <v>0</v>
      </c>
      <c r="AY34" s="206">
        <v>0</v>
      </c>
      <c r="AZ34" s="206">
        <v>0</v>
      </c>
      <c r="BA34" s="213">
        <v>0</v>
      </c>
      <c r="BB34" s="213">
        <f>tblSurrChrgRate[[#This Row],[UVL01]]</f>
        <v>0</v>
      </c>
      <c r="BU34" s="200">
        <v>2047</v>
      </c>
      <c r="BV34" s="218">
        <f ca="1">OFFSET(tblAdminChrg[[#This Row],[UVL01]],0,MATCH(base,tblAdminChrg[#Headers],0)-3)</f>
        <v>25000</v>
      </c>
      <c r="BW34" s="215">
        <v>25000</v>
      </c>
      <c r="BX34" s="215">
        <v>66000</v>
      </c>
      <c r="BY34" s="219">
        <v>66000</v>
      </c>
      <c r="BZ34" s="219">
        <v>40000</v>
      </c>
    </row>
    <row r="35" spans="2:78" x14ac:dyDescent="0.25">
      <c r="B35" s="197">
        <v>32</v>
      </c>
      <c r="C35" s="198">
        <f ca="1">OFFSET(tblTPRate[[#This Row],[UVL01_Male]],0,MATCH(base&amp;"_"&amp;mainLI_gender,tblTPRate[#Headers],0)-3)</f>
        <v>19.881920000000001</v>
      </c>
      <c r="D35" s="199">
        <v>19.881920000000001</v>
      </c>
      <c r="E35" s="199">
        <v>19.881920000000001</v>
      </c>
      <c r="F35" s="199">
        <v>19.881920000000001</v>
      </c>
      <c r="G35" s="199">
        <v>19.881920000000001</v>
      </c>
      <c r="H35" s="199">
        <v>19.881920000000001</v>
      </c>
      <c r="I35" s="199">
        <v>19.881920000000001</v>
      </c>
      <c r="J35" s="199">
        <v>19.881920000000001</v>
      </c>
      <c r="K35" s="199">
        <v>19.881920000000001</v>
      </c>
      <c r="N35" s="200">
        <v>32</v>
      </c>
      <c r="O35" s="201">
        <f ca="1">OFFSET(tblBaseCOIRate[[#This Row],[UVL01_Male]],0,MATCH(base&amp;"_"&amp;mainLI_gender,tblBaseCOIRate[#Headers],0)-3)</f>
        <v>1.46999999999997E-3</v>
      </c>
      <c r="P35" s="202">
        <v>1.87000000000004E-3</v>
      </c>
      <c r="Q35" s="202">
        <v>1.46999999999997E-3</v>
      </c>
      <c r="R35" s="202">
        <v>1.4960000000000301E-3</v>
      </c>
      <c r="S35" s="202">
        <v>1.17599999999998E-3</v>
      </c>
      <c r="T35" s="202">
        <v>1.4960000000000301E-3</v>
      </c>
      <c r="U35" s="202">
        <v>1.17599999999998E-3</v>
      </c>
      <c r="V35" s="202">
        <f>tblBaseCOIRate[[#This Row],[UVL01_Male]]</f>
        <v>1.87000000000004E-3</v>
      </c>
      <c r="W35" s="203">
        <f>tblBaseCOIRate[[#This Row],[UVL01_Female]]</f>
        <v>1.46999999999997E-3</v>
      </c>
      <c r="AG35" s="200">
        <v>33</v>
      </c>
      <c r="AH35" s="205">
        <f ca="1">OFFSET(tblTPAllocChrgRate[[#This Row],[UVL01]],0,MATCH(base,tblTPAllocChrgRate[#Headers],0)-3)</f>
        <v>0.02</v>
      </c>
      <c r="AI35" s="206">
        <v>0.02</v>
      </c>
      <c r="AJ35" s="207">
        <v>0</v>
      </c>
      <c r="AK35" s="208">
        <v>0</v>
      </c>
      <c r="AL35" s="208">
        <f>tblTPAllocChrgRate[[#This Row],[UVL01]]</f>
        <v>0.02</v>
      </c>
      <c r="AO35" s="200">
        <v>33</v>
      </c>
      <c r="AP35" s="209">
        <f ca="1">OFFSET(tblEPAllocChrgRate[[#This Row],[UVL01]],0,MATCH(base,tblEPAllocChrgRate[#Headers],0)-3)</f>
        <v>0.02</v>
      </c>
      <c r="AQ35" s="210">
        <v>0.02</v>
      </c>
      <c r="AR35" s="211">
        <v>0</v>
      </c>
      <c r="AS35" s="212">
        <v>0</v>
      </c>
      <c r="AT35" s="212">
        <f>tblEPAllocChrgRate[[#This Row],[UVL01]]</f>
        <v>0.02</v>
      </c>
      <c r="AW35" s="200">
        <v>33</v>
      </c>
      <c r="AX35" s="209">
        <f ca="1">OFFSET(tblSurrChrgRate[[#This Row],[UVL01]],0,MATCH(base,tblSurrChrgRate[#Headers],0)-3)</f>
        <v>0</v>
      </c>
      <c r="AY35" s="206">
        <v>0</v>
      </c>
      <c r="AZ35" s="206">
        <v>0</v>
      </c>
      <c r="BA35" s="213">
        <v>0</v>
      </c>
      <c r="BB35" s="213">
        <f>tblSurrChrgRate[[#This Row],[UVL01]]</f>
        <v>0</v>
      </c>
      <c r="BU35" s="200">
        <v>2048</v>
      </c>
      <c r="BV35" s="218">
        <f ca="1">OFFSET(tblAdminChrg[[#This Row],[UVL01]],0,MATCH(base,tblAdminChrg[#Headers],0)-3)</f>
        <v>25000</v>
      </c>
      <c r="BW35" s="215">
        <v>25000</v>
      </c>
      <c r="BX35" s="215">
        <v>66000</v>
      </c>
      <c r="BY35" s="219">
        <v>66000</v>
      </c>
      <c r="BZ35" s="219">
        <v>40000</v>
      </c>
    </row>
    <row r="36" spans="2:78" x14ac:dyDescent="0.25">
      <c r="B36" s="197">
        <v>33</v>
      </c>
      <c r="C36" s="198">
        <f ca="1">OFFSET(tblTPRate[[#This Row],[UVL01_Male]],0,MATCH(base&amp;"_"&amp;mainLI_gender,tblTPRate[#Headers],0)-3)</f>
        <v>20.446729999999999</v>
      </c>
      <c r="D36" s="199">
        <v>20.446729999999999</v>
      </c>
      <c r="E36" s="199">
        <v>20.446729999999999</v>
      </c>
      <c r="F36" s="199">
        <v>20.446729999999999</v>
      </c>
      <c r="G36" s="199">
        <v>20.446729999999999</v>
      </c>
      <c r="H36" s="199">
        <v>20.446729999999999</v>
      </c>
      <c r="I36" s="199">
        <v>20.446729999999999</v>
      </c>
      <c r="J36" s="199">
        <v>20.446729999999999</v>
      </c>
      <c r="K36" s="199">
        <v>20.446729999999999</v>
      </c>
      <c r="N36" s="200">
        <v>33</v>
      </c>
      <c r="O36" s="201">
        <f ca="1">OFFSET(tblBaseCOIRate[[#This Row],[UVL01_Male]],0,MATCH(base&amp;"_"&amp;mainLI_gender,tblBaseCOIRate[#Headers],0)-3)</f>
        <v>1.5399999999999899E-3</v>
      </c>
      <c r="P36" s="202">
        <v>1.9500000000000101E-3</v>
      </c>
      <c r="Q36" s="202">
        <v>1.5399999999999899E-3</v>
      </c>
      <c r="R36" s="202">
        <v>1.5600000000000099E-3</v>
      </c>
      <c r="S36" s="202">
        <v>1.23199999999999E-3</v>
      </c>
      <c r="T36" s="202">
        <v>1.5600000000000099E-3</v>
      </c>
      <c r="U36" s="202">
        <v>1.23199999999999E-3</v>
      </c>
      <c r="V36" s="202">
        <f>tblBaseCOIRate[[#This Row],[UVL01_Male]]</f>
        <v>1.9500000000000101E-3</v>
      </c>
      <c r="W36" s="203">
        <f>tblBaseCOIRate[[#This Row],[UVL01_Female]]</f>
        <v>1.5399999999999899E-3</v>
      </c>
      <c r="AG36" s="200">
        <v>34</v>
      </c>
      <c r="AH36" s="205">
        <f ca="1">OFFSET(tblTPAllocChrgRate[[#This Row],[UVL01]],0,MATCH(base,tblTPAllocChrgRate[#Headers],0)-3)</f>
        <v>0.02</v>
      </c>
      <c r="AI36" s="206">
        <v>0.02</v>
      </c>
      <c r="AJ36" s="207">
        <v>0</v>
      </c>
      <c r="AK36" s="208">
        <v>0</v>
      </c>
      <c r="AL36" s="208">
        <f>tblTPAllocChrgRate[[#This Row],[UVL01]]</f>
        <v>0.02</v>
      </c>
      <c r="AO36" s="200">
        <v>34</v>
      </c>
      <c r="AP36" s="209">
        <f ca="1">OFFSET(tblEPAllocChrgRate[[#This Row],[UVL01]],0,MATCH(base,tblEPAllocChrgRate[#Headers],0)-3)</f>
        <v>0.02</v>
      </c>
      <c r="AQ36" s="210">
        <v>0.02</v>
      </c>
      <c r="AR36" s="211">
        <v>0</v>
      </c>
      <c r="AS36" s="212">
        <v>0</v>
      </c>
      <c r="AT36" s="212">
        <f>tblEPAllocChrgRate[[#This Row],[UVL01]]</f>
        <v>0.02</v>
      </c>
      <c r="AW36" s="200">
        <v>34</v>
      </c>
      <c r="AX36" s="209">
        <f ca="1">OFFSET(tblSurrChrgRate[[#This Row],[UVL01]],0,MATCH(base,tblSurrChrgRate[#Headers],0)-3)</f>
        <v>0</v>
      </c>
      <c r="AY36" s="206">
        <v>0</v>
      </c>
      <c r="AZ36" s="206">
        <v>0</v>
      </c>
      <c r="BA36" s="213">
        <v>0</v>
      </c>
      <c r="BB36" s="213">
        <f>tblSurrChrgRate[[#This Row],[UVL01]]</f>
        <v>0</v>
      </c>
      <c r="BU36" s="200">
        <v>2049</v>
      </c>
      <c r="BV36" s="218">
        <f ca="1">OFFSET(tblAdminChrg[[#This Row],[UVL01]],0,MATCH(base,tblAdminChrg[#Headers],0)-3)</f>
        <v>25000</v>
      </c>
      <c r="BW36" s="215">
        <v>25000</v>
      </c>
      <c r="BX36" s="215">
        <v>66000</v>
      </c>
      <c r="BY36" s="219">
        <v>66000</v>
      </c>
      <c r="BZ36" s="219">
        <v>40000</v>
      </c>
    </row>
    <row r="37" spans="2:78" x14ac:dyDescent="0.25">
      <c r="B37" s="197">
        <v>34</v>
      </c>
      <c r="C37" s="198">
        <f ca="1">OFFSET(tblTPRate[[#This Row],[UVL01_Male]],0,MATCH(base&amp;"_"&amp;mainLI_gender,tblTPRate[#Headers],0)-3)</f>
        <v>21.040679999999998</v>
      </c>
      <c r="D37" s="199">
        <v>21.040679999999998</v>
      </c>
      <c r="E37" s="199">
        <v>21.040679999999998</v>
      </c>
      <c r="F37" s="199">
        <v>21.040679999999998</v>
      </c>
      <c r="G37" s="199">
        <v>21.040679999999998</v>
      </c>
      <c r="H37" s="199">
        <v>21.040679999999998</v>
      </c>
      <c r="I37" s="199">
        <v>21.040679999999998</v>
      </c>
      <c r="J37" s="199">
        <v>21.040679999999998</v>
      </c>
      <c r="K37" s="199">
        <v>21.040679999999998</v>
      </c>
      <c r="N37" s="200">
        <v>34</v>
      </c>
      <c r="O37" s="201">
        <f ca="1">OFFSET(tblBaseCOIRate[[#This Row],[UVL01_Male]],0,MATCH(base&amp;"_"&amp;mainLI_gender,tblBaseCOIRate[#Headers],0)-3)</f>
        <v>1.6100000000000001E-3</v>
      </c>
      <c r="P37" s="202">
        <v>2.0500000000000002E-3</v>
      </c>
      <c r="Q37" s="202">
        <v>1.6100000000000001E-3</v>
      </c>
      <c r="R37" s="202">
        <v>1.64E-3</v>
      </c>
      <c r="S37" s="202">
        <v>1.2880000000000001E-3</v>
      </c>
      <c r="T37" s="202">
        <v>1.64E-3</v>
      </c>
      <c r="U37" s="202">
        <v>1.2880000000000001E-3</v>
      </c>
      <c r="V37" s="202">
        <f>tblBaseCOIRate[[#This Row],[UVL01_Male]]</f>
        <v>2.0500000000000002E-3</v>
      </c>
      <c r="W37" s="203">
        <f>tblBaseCOIRate[[#This Row],[UVL01_Female]]</f>
        <v>1.6100000000000001E-3</v>
      </c>
      <c r="AG37" s="200">
        <v>35</v>
      </c>
      <c r="AH37" s="205">
        <f ca="1">OFFSET(tblTPAllocChrgRate[[#This Row],[UVL01]],0,MATCH(base,tblTPAllocChrgRate[#Headers],0)-3)</f>
        <v>0.02</v>
      </c>
      <c r="AI37" s="206">
        <v>0.02</v>
      </c>
      <c r="AJ37" s="207">
        <v>0</v>
      </c>
      <c r="AK37" s="208">
        <v>0</v>
      </c>
      <c r="AL37" s="208">
        <f>tblTPAllocChrgRate[[#This Row],[UVL01]]</f>
        <v>0.02</v>
      </c>
      <c r="AO37" s="200">
        <v>35</v>
      </c>
      <c r="AP37" s="209">
        <f ca="1">OFFSET(tblEPAllocChrgRate[[#This Row],[UVL01]],0,MATCH(base,tblEPAllocChrgRate[#Headers],0)-3)</f>
        <v>0.02</v>
      </c>
      <c r="AQ37" s="210">
        <v>0.02</v>
      </c>
      <c r="AR37" s="211">
        <v>0</v>
      </c>
      <c r="AS37" s="212">
        <v>0</v>
      </c>
      <c r="AT37" s="212">
        <f>tblEPAllocChrgRate[[#This Row],[UVL01]]</f>
        <v>0.02</v>
      </c>
      <c r="AW37" s="200">
        <v>35</v>
      </c>
      <c r="AX37" s="209">
        <f ca="1">OFFSET(tblSurrChrgRate[[#This Row],[UVL01]],0,MATCH(base,tblSurrChrgRate[#Headers],0)-3)</f>
        <v>0</v>
      </c>
      <c r="AY37" s="206">
        <v>0</v>
      </c>
      <c r="AZ37" s="206">
        <v>0</v>
      </c>
      <c r="BA37" s="213">
        <v>0</v>
      </c>
      <c r="BB37" s="213">
        <f>tblSurrChrgRate[[#This Row],[UVL01]]</f>
        <v>0</v>
      </c>
      <c r="BU37" s="200">
        <v>2050</v>
      </c>
      <c r="BV37" s="218">
        <f ca="1">OFFSET(tblAdminChrg[[#This Row],[UVL01]],0,MATCH(base,tblAdminChrg[#Headers],0)-3)</f>
        <v>25000</v>
      </c>
      <c r="BW37" s="215">
        <v>25000</v>
      </c>
      <c r="BX37" s="215">
        <v>66000</v>
      </c>
      <c r="BY37" s="219">
        <v>66000</v>
      </c>
      <c r="BZ37" s="219">
        <v>40000</v>
      </c>
    </row>
    <row r="38" spans="2:78" x14ac:dyDescent="0.25">
      <c r="B38" s="197">
        <v>35</v>
      </c>
      <c r="C38" s="198">
        <f ca="1">OFFSET(tblTPRate[[#This Row],[UVL01_Male]],0,MATCH(base&amp;"_"&amp;mainLI_gender,tblTPRate[#Headers],0)-3)</f>
        <v>21.665790000000001</v>
      </c>
      <c r="D38" s="199">
        <v>21.665790000000001</v>
      </c>
      <c r="E38" s="199">
        <v>21.665790000000001</v>
      </c>
      <c r="F38" s="199">
        <v>21.665790000000001</v>
      </c>
      <c r="G38" s="199">
        <v>21.665790000000001</v>
      </c>
      <c r="H38" s="199">
        <v>21.665790000000001</v>
      </c>
      <c r="I38" s="199">
        <v>21.665790000000001</v>
      </c>
      <c r="J38" s="199">
        <v>21.665790000000001</v>
      </c>
      <c r="K38" s="199">
        <v>21.665790000000001</v>
      </c>
      <c r="N38" s="200">
        <v>35</v>
      </c>
      <c r="O38" s="201">
        <f ca="1">OFFSET(tblBaseCOIRate[[#This Row],[UVL01_Male]],0,MATCH(base&amp;"_"&amp;mainLI_gender,tblBaseCOIRate[#Headers],0)-3)</f>
        <v>1.6999999999999201E-3</v>
      </c>
      <c r="P38" s="202">
        <v>2.17000000000001E-3</v>
      </c>
      <c r="Q38" s="202">
        <v>1.6999999999999201E-3</v>
      </c>
      <c r="R38" s="202">
        <v>1.7359999999999999E-3</v>
      </c>
      <c r="S38" s="202">
        <v>1.35999999999994E-3</v>
      </c>
      <c r="T38" s="202">
        <v>1.7359999999999999E-3</v>
      </c>
      <c r="U38" s="202">
        <v>1.35999999999994E-3</v>
      </c>
      <c r="V38" s="202">
        <f>tblBaseCOIRate[[#This Row],[UVL01_Male]]</f>
        <v>2.17000000000001E-3</v>
      </c>
      <c r="W38" s="203">
        <f>tblBaseCOIRate[[#This Row],[UVL01_Female]]</f>
        <v>1.6999999999999201E-3</v>
      </c>
      <c r="AG38" s="200">
        <v>36</v>
      </c>
      <c r="AH38" s="205">
        <f ca="1">OFFSET(tblTPAllocChrgRate[[#This Row],[UVL01]],0,MATCH(base,tblTPAllocChrgRate[#Headers],0)-3)</f>
        <v>0.02</v>
      </c>
      <c r="AI38" s="206">
        <v>0.02</v>
      </c>
      <c r="AJ38" s="207">
        <v>0</v>
      </c>
      <c r="AK38" s="208">
        <v>0</v>
      </c>
      <c r="AL38" s="208">
        <f>tblTPAllocChrgRate[[#This Row],[UVL01]]</f>
        <v>0.02</v>
      </c>
      <c r="AO38" s="200">
        <v>36</v>
      </c>
      <c r="AP38" s="209">
        <f ca="1">OFFSET(tblEPAllocChrgRate[[#This Row],[UVL01]],0,MATCH(base,tblEPAllocChrgRate[#Headers],0)-3)</f>
        <v>0.02</v>
      </c>
      <c r="AQ38" s="210">
        <v>0.02</v>
      </c>
      <c r="AR38" s="211">
        <v>0</v>
      </c>
      <c r="AS38" s="212">
        <v>0</v>
      </c>
      <c r="AT38" s="212">
        <f>tblEPAllocChrgRate[[#This Row],[UVL01]]</f>
        <v>0.02</v>
      </c>
      <c r="AW38" s="200">
        <v>36</v>
      </c>
      <c r="AX38" s="209">
        <f ca="1">OFFSET(tblSurrChrgRate[[#This Row],[UVL01]],0,MATCH(base,tblSurrChrgRate[#Headers],0)-3)</f>
        <v>0</v>
      </c>
      <c r="AY38" s="206">
        <v>0</v>
      </c>
      <c r="AZ38" s="206">
        <v>0</v>
      </c>
      <c r="BA38" s="213">
        <v>0</v>
      </c>
      <c r="BB38" s="213">
        <f>tblSurrChrgRate[[#This Row],[UVL01]]</f>
        <v>0</v>
      </c>
      <c r="BU38" s="200">
        <v>2051</v>
      </c>
      <c r="BV38" s="218">
        <f ca="1">OFFSET(tblAdminChrg[[#This Row],[UVL01]],0,MATCH(base,tblAdminChrg[#Headers],0)-3)</f>
        <v>25000</v>
      </c>
      <c r="BW38" s="215">
        <v>25000</v>
      </c>
      <c r="BX38" s="215">
        <v>66000</v>
      </c>
      <c r="BY38" s="219">
        <v>66000</v>
      </c>
      <c r="BZ38" s="219">
        <v>40000</v>
      </c>
    </row>
    <row r="39" spans="2:78" x14ac:dyDescent="0.25">
      <c r="B39" s="197">
        <v>36</v>
      </c>
      <c r="C39" s="198">
        <f ca="1">OFFSET(tblTPRate[[#This Row],[UVL01_Male]],0,MATCH(base&amp;"_"&amp;mainLI_gender,tblTPRate[#Headers],0)-3)</f>
        <v>22.32206</v>
      </c>
      <c r="D39" s="199">
        <v>22.32206</v>
      </c>
      <c r="E39" s="199">
        <v>22.32206</v>
      </c>
      <c r="F39" s="199">
        <v>22.32206</v>
      </c>
      <c r="G39" s="199">
        <v>22.32206</v>
      </c>
      <c r="H39" s="199">
        <v>22.32206</v>
      </c>
      <c r="I39" s="199">
        <v>22.32206</v>
      </c>
      <c r="J39" s="199">
        <v>22.32206</v>
      </c>
      <c r="K39" s="199">
        <v>22.32206</v>
      </c>
      <c r="N39" s="200">
        <v>36</v>
      </c>
      <c r="O39" s="201">
        <f ca="1">OFFSET(tblBaseCOIRate[[#This Row],[UVL01_Male]],0,MATCH(base&amp;"_"&amp;mainLI_gender,tblBaseCOIRate[#Headers],0)-3)</f>
        <v>1.8200000000000399E-3</v>
      </c>
      <c r="P39" s="202">
        <v>2.31999999999999E-3</v>
      </c>
      <c r="Q39" s="202">
        <v>1.8200000000000399E-3</v>
      </c>
      <c r="R39" s="202">
        <v>1.85599999999999E-3</v>
      </c>
      <c r="S39" s="202">
        <v>1.4560000000000399E-3</v>
      </c>
      <c r="T39" s="202">
        <v>1.85599999999999E-3</v>
      </c>
      <c r="U39" s="202">
        <v>1.4560000000000399E-3</v>
      </c>
      <c r="V39" s="202">
        <f>tblBaseCOIRate[[#This Row],[UVL01_Male]]</f>
        <v>2.31999999999999E-3</v>
      </c>
      <c r="W39" s="203">
        <f>tblBaseCOIRate[[#This Row],[UVL01_Female]]</f>
        <v>1.8200000000000399E-3</v>
      </c>
      <c r="AG39" s="200">
        <v>37</v>
      </c>
      <c r="AH39" s="205">
        <f ca="1">OFFSET(tblTPAllocChrgRate[[#This Row],[UVL01]],0,MATCH(base,tblTPAllocChrgRate[#Headers],0)-3)</f>
        <v>0.02</v>
      </c>
      <c r="AI39" s="206">
        <v>0.02</v>
      </c>
      <c r="AJ39" s="207">
        <v>0</v>
      </c>
      <c r="AK39" s="208">
        <v>0</v>
      </c>
      <c r="AL39" s="208">
        <f>tblTPAllocChrgRate[[#This Row],[UVL01]]</f>
        <v>0.02</v>
      </c>
      <c r="AO39" s="200">
        <v>37</v>
      </c>
      <c r="AP39" s="209">
        <f ca="1">OFFSET(tblEPAllocChrgRate[[#This Row],[UVL01]],0,MATCH(base,tblEPAllocChrgRate[#Headers],0)-3)</f>
        <v>0.02</v>
      </c>
      <c r="AQ39" s="210">
        <v>0.02</v>
      </c>
      <c r="AR39" s="211">
        <v>0</v>
      </c>
      <c r="AS39" s="212">
        <v>0</v>
      </c>
      <c r="AT39" s="212">
        <f>tblEPAllocChrgRate[[#This Row],[UVL01]]</f>
        <v>0.02</v>
      </c>
      <c r="AW39" s="200">
        <v>37</v>
      </c>
      <c r="AX39" s="209">
        <f ca="1">OFFSET(tblSurrChrgRate[[#This Row],[UVL01]],0,MATCH(base,tblSurrChrgRate[#Headers],0)-3)</f>
        <v>0</v>
      </c>
      <c r="AY39" s="206">
        <v>0</v>
      </c>
      <c r="AZ39" s="206">
        <v>0</v>
      </c>
      <c r="BA39" s="213">
        <v>0</v>
      </c>
      <c r="BB39" s="213">
        <f>tblSurrChrgRate[[#This Row],[UVL01]]</f>
        <v>0</v>
      </c>
      <c r="BU39" s="200">
        <v>2052</v>
      </c>
      <c r="BV39" s="218">
        <f ca="1">OFFSET(tblAdminChrg[[#This Row],[UVL01]],0,MATCH(base,tblAdminChrg[#Headers],0)-3)</f>
        <v>25000</v>
      </c>
      <c r="BW39" s="215">
        <v>25000</v>
      </c>
      <c r="BX39" s="215">
        <v>66000</v>
      </c>
      <c r="BY39" s="219">
        <v>66000</v>
      </c>
      <c r="BZ39" s="219">
        <v>40000</v>
      </c>
    </row>
    <row r="40" spans="2:78" x14ac:dyDescent="0.25">
      <c r="B40" s="197">
        <v>37</v>
      </c>
      <c r="C40" s="198">
        <f ca="1">OFFSET(tblTPRate[[#This Row],[UVL01_Male]],0,MATCH(base&amp;"_"&amp;mainLI_gender,tblTPRate[#Headers],0)-3)</f>
        <v>23.013500000000001</v>
      </c>
      <c r="D40" s="199">
        <v>23.013500000000001</v>
      </c>
      <c r="E40" s="199">
        <v>23.013500000000001</v>
      </c>
      <c r="F40" s="199">
        <v>23.013500000000001</v>
      </c>
      <c r="G40" s="199">
        <v>23.013500000000001</v>
      </c>
      <c r="H40" s="199">
        <v>23.013500000000001</v>
      </c>
      <c r="I40" s="199">
        <v>23.013500000000001</v>
      </c>
      <c r="J40" s="199">
        <v>23.013500000000001</v>
      </c>
      <c r="K40" s="199">
        <v>23.013500000000001</v>
      </c>
      <c r="N40" s="200">
        <v>37</v>
      </c>
      <c r="O40" s="201">
        <f ca="1">OFFSET(tblBaseCOIRate[[#This Row],[UVL01_Male]],0,MATCH(base&amp;"_"&amp;mainLI_gender,tblBaseCOIRate[#Headers],0)-3)</f>
        <v>1.9600000000000702E-3</v>
      </c>
      <c r="P40" s="202">
        <v>2.4899999999999901E-3</v>
      </c>
      <c r="Q40" s="202">
        <v>1.9600000000000702E-3</v>
      </c>
      <c r="R40" s="202">
        <v>1.9919999999999899E-3</v>
      </c>
      <c r="S40" s="202">
        <v>1.56800000000006E-3</v>
      </c>
      <c r="T40" s="202">
        <v>1.9919999999999899E-3</v>
      </c>
      <c r="U40" s="202">
        <v>1.56800000000006E-3</v>
      </c>
      <c r="V40" s="202">
        <f>tblBaseCOIRate[[#This Row],[UVL01_Male]]</f>
        <v>2.4899999999999901E-3</v>
      </c>
      <c r="W40" s="203">
        <f>tblBaseCOIRate[[#This Row],[UVL01_Female]]</f>
        <v>1.9600000000000702E-3</v>
      </c>
      <c r="AG40" s="200">
        <v>38</v>
      </c>
      <c r="AH40" s="205">
        <f ca="1">OFFSET(tblTPAllocChrgRate[[#This Row],[UVL01]],0,MATCH(base,tblTPAllocChrgRate[#Headers],0)-3)</f>
        <v>0.02</v>
      </c>
      <c r="AI40" s="206">
        <v>0.02</v>
      </c>
      <c r="AJ40" s="207">
        <v>0</v>
      </c>
      <c r="AK40" s="208">
        <v>0</v>
      </c>
      <c r="AL40" s="208">
        <f>tblTPAllocChrgRate[[#This Row],[UVL01]]</f>
        <v>0.02</v>
      </c>
      <c r="AO40" s="200">
        <v>38</v>
      </c>
      <c r="AP40" s="209">
        <f ca="1">OFFSET(tblEPAllocChrgRate[[#This Row],[UVL01]],0,MATCH(base,tblEPAllocChrgRate[#Headers],0)-3)</f>
        <v>0.02</v>
      </c>
      <c r="AQ40" s="210">
        <v>0.02</v>
      </c>
      <c r="AR40" s="211">
        <v>0</v>
      </c>
      <c r="AS40" s="212">
        <v>0</v>
      </c>
      <c r="AT40" s="212">
        <f>tblEPAllocChrgRate[[#This Row],[UVL01]]</f>
        <v>0.02</v>
      </c>
      <c r="AW40" s="200">
        <v>38</v>
      </c>
      <c r="AX40" s="209">
        <f ca="1">OFFSET(tblSurrChrgRate[[#This Row],[UVL01]],0,MATCH(base,tblSurrChrgRate[#Headers],0)-3)</f>
        <v>0</v>
      </c>
      <c r="AY40" s="206">
        <v>0</v>
      </c>
      <c r="AZ40" s="206">
        <v>0</v>
      </c>
      <c r="BA40" s="213">
        <v>0</v>
      </c>
      <c r="BB40" s="213">
        <f>tblSurrChrgRate[[#This Row],[UVL01]]</f>
        <v>0</v>
      </c>
      <c r="BU40" s="200">
        <v>2053</v>
      </c>
      <c r="BV40" s="218">
        <f ca="1">OFFSET(tblAdminChrg[[#This Row],[UVL01]],0,MATCH(base,tblAdminChrg[#Headers],0)-3)</f>
        <v>25000</v>
      </c>
      <c r="BW40" s="215">
        <v>25000</v>
      </c>
      <c r="BX40" s="215">
        <v>66000</v>
      </c>
      <c r="BY40" s="219">
        <v>66000</v>
      </c>
      <c r="BZ40" s="219">
        <v>40000</v>
      </c>
    </row>
    <row r="41" spans="2:78" x14ac:dyDescent="0.25">
      <c r="B41" s="197">
        <v>38</v>
      </c>
      <c r="C41" s="198">
        <f ca="1">OFFSET(tblTPRate[[#This Row],[UVL01_Male]],0,MATCH(base&amp;"_"&amp;mainLI_gender,tblTPRate[#Headers],0)-3)</f>
        <v>23.73911</v>
      </c>
      <c r="D41" s="199">
        <v>23.73911</v>
      </c>
      <c r="E41" s="199">
        <v>23.73911</v>
      </c>
      <c r="F41" s="199">
        <v>23.73911</v>
      </c>
      <c r="G41" s="199">
        <v>23.73911</v>
      </c>
      <c r="H41" s="199">
        <v>23.73911</v>
      </c>
      <c r="I41" s="199">
        <v>23.73911</v>
      </c>
      <c r="J41" s="199">
        <v>23.73911</v>
      </c>
      <c r="K41" s="199">
        <v>23.73911</v>
      </c>
      <c r="N41" s="200">
        <v>38</v>
      </c>
      <c r="O41" s="201">
        <f ca="1">OFFSET(tblBaseCOIRate[[#This Row],[UVL01_Male]],0,MATCH(base&amp;"_"&amp;mainLI_gender,tblBaseCOIRate[#Headers],0)-3)</f>
        <v>2.12999999999997E-3</v>
      </c>
      <c r="P41" s="202">
        <v>2.68000000000002E-3</v>
      </c>
      <c r="Q41" s="202">
        <v>2.12999999999997E-3</v>
      </c>
      <c r="R41" s="202">
        <v>2.14400000000001E-3</v>
      </c>
      <c r="S41" s="202">
        <v>1.7039999999999701E-3</v>
      </c>
      <c r="T41" s="202">
        <v>2.14400000000001E-3</v>
      </c>
      <c r="U41" s="202">
        <v>1.7039999999999701E-3</v>
      </c>
      <c r="V41" s="202">
        <f>tblBaseCOIRate[[#This Row],[UVL01_Male]]</f>
        <v>2.68000000000002E-3</v>
      </c>
      <c r="W41" s="203">
        <f>tblBaseCOIRate[[#This Row],[UVL01_Female]]</f>
        <v>2.12999999999997E-3</v>
      </c>
      <c r="AG41" s="200">
        <v>39</v>
      </c>
      <c r="AH41" s="205">
        <f ca="1">OFFSET(tblTPAllocChrgRate[[#This Row],[UVL01]],0,MATCH(base,tblTPAllocChrgRate[#Headers],0)-3)</f>
        <v>0.02</v>
      </c>
      <c r="AI41" s="206">
        <v>0.02</v>
      </c>
      <c r="AJ41" s="207">
        <v>0</v>
      </c>
      <c r="AK41" s="208">
        <v>0</v>
      </c>
      <c r="AL41" s="208">
        <f>tblTPAllocChrgRate[[#This Row],[UVL01]]</f>
        <v>0.02</v>
      </c>
      <c r="AO41" s="200">
        <v>39</v>
      </c>
      <c r="AP41" s="209">
        <f ca="1">OFFSET(tblEPAllocChrgRate[[#This Row],[UVL01]],0,MATCH(base,tblEPAllocChrgRate[#Headers],0)-3)</f>
        <v>0.02</v>
      </c>
      <c r="AQ41" s="210">
        <v>0.02</v>
      </c>
      <c r="AR41" s="211">
        <v>0</v>
      </c>
      <c r="AS41" s="212">
        <v>0</v>
      </c>
      <c r="AT41" s="212">
        <f>tblEPAllocChrgRate[[#This Row],[UVL01]]</f>
        <v>0.02</v>
      </c>
      <c r="AW41" s="200">
        <v>39</v>
      </c>
      <c r="AX41" s="209">
        <f ca="1">OFFSET(tblSurrChrgRate[[#This Row],[UVL01]],0,MATCH(base,tblSurrChrgRate[#Headers],0)-3)</f>
        <v>0</v>
      </c>
      <c r="AY41" s="206">
        <v>0</v>
      </c>
      <c r="AZ41" s="206">
        <v>0</v>
      </c>
      <c r="BA41" s="213">
        <v>0</v>
      </c>
      <c r="BB41" s="213">
        <f>tblSurrChrgRate[[#This Row],[UVL01]]</f>
        <v>0</v>
      </c>
      <c r="BU41" s="200">
        <v>2054</v>
      </c>
      <c r="BV41" s="218">
        <f ca="1">OFFSET(tblAdminChrg[[#This Row],[UVL01]],0,MATCH(base,tblAdminChrg[#Headers],0)-3)</f>
        <v>25000</v>
      </c>
      <c r="BW41" s="215">
        <v>25000</v>
      </c>
      <c r="BX41" s="215">
        <v>66000</v>
      </c>
      <c r="BY41" s="219">
        <v>66000</v>
      </c>
      <c r="BZ41" s="219">
        <v>40000</v>
      </c>
    </row>
    <row r="42" spans="2:78" x14ac:dyDescent="0.25">
      <c r="B42" s="197">
        <v>39</v>
      </c>
      <c r="C42" s="198">
        <f ca="1">OFFSET(tblTPRate[[#This Row],[UVL01_Male]],0,MATCH(base&amp;"_"&amp;mainLI_gender,tblTPRate[#Headers],0)-3)</f>
        <v>24.50291</v>
      </c>
      <c r="D42" s="199">
        <v>24.50291</v>
      </c>
      <c r="E42" s="199">
        <v>24.50291</v>
      </c>
      <c r="F42" s="199">
        <v>24.50291</v>
      </c>
      <c r="G42" s="199">
        <v>24.50291</v>
      </c>
      <c r="H42" s="199">
        <v>24.50291</v>
      </c>
      <c r="I42" s="199">
        <v>24.50291</v>
      </c>
      <c r="J42" s="199">
        <v>24.50291</v>
      </c>
      <c r="K42" s="199">
        <v>24.50291</v>
      </c>
      <c r="N42" s="200">
        <v>39</v>
      </c>
      <c r="O42" s="201">
        <f ca="1">OFFSET(tblBaseCOIRate[[#This Row],[UVL01_Male]],0,MATCH(base&amp;"_"&amp;mainLI_gender,tblBaseCOIRate[#Headers],0)-3)</f>
        <v>2.31999999999999E-3</v>
      </c>
      <c r="P42" s="202">
        <v>2.9000000000000102E-3</v>
      </c>
      <c r="Q42" s="202">
        <v>2.31999999999999E-3</v>
      </c>
      <c r="R42" s="202">
        <v>2.32000000000001E-3</v>
      </c>
      <c r="S42" s="202">
        <v>1.85599999999999E-3</v>
      </c>
      <c r="T42" s="202">
        <v>2.32000000000001E-3</v>
      </c>
      <c r="U42" s="202">
        <v>1.85599999999999E-3</v>
      </c>
      <c r="V42" s="202">
        <f>tblBaseCOIRate[[#This Row],[UVL01_Male]]</f>
        <v>2.9000000000000102E-3</v>
      </c>
      <c r="W42" s="203">
        <f>tblBaseCOIRate[[#This Row],[UVL01_Female]]</f>
        <v>2.31999999999999E-3</v>
      </c>
      <c r="AG42" s="200">
        <v>40</v>
      </c>
      <c r="AH42" s="205">
        <f ca="1">OFFSET(tblTPAllocChrgRate[[#This Row],[UVL01]],0,MATCH(base,tblTPAllocChrgRate[#Headers],0)-3)</f>
        <v>0.02</v>
      </c>
      <c r="AI42" s="206">
        <v>0.02</v>
      </c>
      <c r="AJ42" s="207">
        <v>0</v>
      </c>
      <c r="AK42" s="208">
        <v>0</v>
      </c>
      <c r="AL42" s="208">
        <f>tblTPAllocChrgRate[[#This Row],[UVL01]]</f>
        <v>0.02</v>
      </c>
      <c r="AO42" s="200">
        <v>40</v>
      </c>
      <c r="AP42" s="209">
        <f ca="1">OFFSET(tblEPAllocChrgRate[[#This Row],[UVL01]],0,MATCH(base,tblEPAllocChrgRate[#Headers],0)-3)</f>
        <v>0.02</v>
      </c>
      <c r="AQ42" s="210">
        <v>0.02</v>
      </c>
      <c r="AR42" s="211">
        <v>0</v>
      </c>
      <c r="AS42" s="212">
        <v>0</v>
      </c>
      <c r="AT42" s="212">
        <f>tblEPAllocChrgRate[[#This Row],[UVL01]]</f>
        <v>0.02</v>
      </c>
      <c r="AW42" s="200">
        <v>40</v>
      </c>
      <c r="AX42" s="209">
        <f ca="1">OFFSET(tblSurrChrgRate[[#This Row],[UVL01]],0,MATCH(base,tblSurrChrgRate[#Headers],0)-3)</f>
        <v>0</v>
      </c>
      <c r="AY42" s="206">
        <v>0</v>
      </c>
      <c r="AZ42" s="206">
        <v>0</v>
      </c>
      <c r="BA42" s="213">
        <v>0</v>
      </c>
      <c r="BB42" s="213">
        <f>tblSurrChrgRate[[#This Row],[UVL01]]</f>
        <v>0</v>
      </c>
      <c r="BU42" s="200">
        <v>2055</v>
      </c>
      <c r="BV42" s="218">
        <f ca="1">OFFSET(tblAdminChrg[[#This Row],[UVL01]],0,MATCH(base,tblAdminChrg[#Headers],0)-3)</f>
        <v>25000</v>
      </c>
      <c r="BW42" s="215">
        <v>25000</v>
      </c>
      <c r="BX42" s="215">
        <v>66000</v>
      </c>
      <c r="BY42" s="219">
        <v>66000</v>
      </c>
      <c r="BZ42" s="219">
        <v>40000</v>
      </c>
    </row>
    <row r="43" spans="2:78" x14ac:dyDescent="0.25">
      <c r="B43" s="197">
        <v>40</v>
      </c>
      <c r="C43" s="198">
        <f ca="1">OFFSET(tblTPRate[[#This Row],[UVL01_Male]],0,MATCH(base&amp;"_"&amp;mainLI_gender,tblTPRate[#Headers],0)-3)</f>
        <v>25.305900000000001</v>
      </c>
      <c r="D43" s="199">
        <v>25.305900000000001</v>
      </c>
      <c r="E43" s="199">
        <v>25.305900000000001</v>
      </c>
      <c r="F43" s="199">
        <v>25.305900000000001</v>
      </c>
      <c r="G43" s="199">
        <v>25.305900000000001</v>
      </c>
      <c r="H43" s="199">
        <v>25.305900000000001</v>
      </c>
      <c r="I43" s="199">
        <v>25.305900000000001</v>
      </c>
      <c r="J43" s="199">
        <v>25.305900000000001</v>
      </c>
      <c r="K43" s="199">
        <v>25.305900000000001</v>
      </c>
      <c r="N43" s="200">
        <v>40</v>
      </c>
      <c r="O43" s="201">
        <f ca="1">OFFSET(tblBaseCOIRate[[#This Row],[UVL01_Male]],0,MATCH(base&amp;"_"&amp;mainLI_gender,tblBaseCOIRate[#Headers],0)-3)</f>
        <v>2.5300000000000301E-3</v>
      </c>
      <c r="P43" s="202">
        <v>3.14999999999999E-3</v>
      </c>
      <c r="Q43" s="202">
        <v>2.5300000000000301E-3</v>
      </c>
      <c r="R43" s="202">
        <v>2.5199999999999901E-3</v>
      </c>
      <c r="S43" s="202">
        <v>2.0240000000000301E-3</v>
      </c>
      <c r="T43" s="202">
        <v>2.5199999999999901E-3</v>
      </c>
      <c r="U43" s="202">
        <v>2.0240000000000301E-3</v>
      </c>
      <c r="V43" s="202">
        <f>tblBaseCOIRate[[#This Row],[UVL01_Male]]</f>
        <v>3.14999999999999E-3</v>
      </c>
      <c r="W43" s="203">
        <f>tblBaseCOIRate[[#This Row],[UVL01_Female]]</f>
        <v>2.5300000000000301E-3</v>
      </c>
      <c r="AG43" s="200">
        <v>41</v>
      </c>
      <c r="AH43" s="205">
        <f ca="1">OFFSET(tblTPAllocChrgRate[[#This Row],[UVL01]],0,MATCH(base,tblTPAllocChrgRate[#Headers],0)-3)</f>
        <v>0.02</v>
      </c>
      <c r="AI43" s="206">
        <v>0.02</v>
      </c>
      <c r="AJ43" s="207">
        <v>0</v>
      </c>
      <c r="AK43" s="208">
        <v>0</v>
      </c>
      <c r="AL43" s="208">
        <f>tblTPAllocChrgRate[[#This Row],[UVL01]]</f>
        <v>0.02</v>
      </c>
      <c r="AO43" s="200">
        <v>41</v>
      </c>
      <c r="AP43" s="209">
        <f ca="1">OFFSET(tblEPAllocChrgRate[[#This Row],[UVL01]],0,MATCH(base,tblEPAllocChrgRate[#Headers],0)-3)</f>
        <v>0.02</v>
      </c>
      <c r="AQ43" s="210">
        <v>0.02</v>
      </c>
      <c r="AR43" s="211">
        <v>0</v>
      </c>
      <c r="AS43" s="212">
        <v>0</v>
      </c>
      <c r="AT43" s="212">
        <f>tblEPAllocChrgRate[[#This Row],[UVL01]]</f>
        <v>0.02</v>
      </c>
      <c r="AW43" s="200">
        <v>41</v>
      </c>
      <c r="AX43" s="209">
        <f ca="1">OFFSET(tblSurrChrgRate[[#This Row],[UVL01]],0,MATCH(base,tblSurrChrgRate[#Headers],0)-3)</f>
        <v>0</v>
      </c>
      <c r="AY43" s="206">
        <v>0</v>
      </c>
      <c r="AZ43" s="206">
        <v>0</v>
      </c>
      <c r="BA43" s="213">
        <v>0</v>
      </c>
      <c r="BB43" s="213">
        <f>tblSurrChrgRate[[#This Row],[UVL01]]</f>
        <v>0</v>
      </c>
      <c r="BU43" s="200">
        <v>2056</v>
      </c>
      <c r="BV43" s="218">
        <f ca="1">OFFSET(tblAdminChrg[[#This Row],[UVL01]],0,MATCH(base,tblAdminChrg[#Headers],0)-3)</f>
        <v>25000</v>
      </c>
      <c r="BW43" s="215">
        <v>25000</v>
      </c>
      <c r="BX43" s="215">
        <v>66000</v>
      </c>
      <c r="BY43" s="219">
        <v>66000</v>
      </c>
      <c r="BZ43" s="219">
        <v>40000</v>
      </c>
    </row>
    <row r="44" spans="2:78" x14ac:dyDescent="0.25">
      <c r="B44" s="197">
        <v>41</v>
      </c>
      <c r="C44" s="198">
        <f ca="1">OFFSET(tblTPRate[[#This Row],[UVL01_Male]],0,MATCH(base&amp;"_"&amp;mainLI_gender,tblTPRate[#Headers],0)-3)</f>
        <v>26.150099999999998</v>
      </c>
      <c r="D44" s="199">
        <v>26.150099999999998</v>
      </c>
      <c r="E44" s="199">
        <v>26.150099999999998</v>
      </c>
      <c r="F44" s="199">
        <v>26.150099999999998</v>
      </c>
      <c r="G44" s="199">
        <v>26.150099999999998</v>
      </c>
      <c r="H44" s="199">
        <v>26.150099999999998</v>
      </c>
      <c r="I44" s="199">
        <v>26.150099999999998</v>
      </c>
      <c r="J44" s="199">
        <v>26.150099999999998</v>
      </c>
      <c r="K44" s="199">
        <v>26.150099999999998</v>
      </c>
      <c r="N44" s="200">
        <v>41</v>
      </c>
      <c r="O44" s="201">
        <f ca="1">OFFSET(tblBaseCOIRate[[#This Row],[UVL01_Male]],0,MATCH(base&amp;"_"&amp;mainLI_gender,tblBaseCOIRate[#Headers],0)-3)</f>
        <v>2.74999999999992E-3</v>
      </c>
      <c r="P44" s="202">
        <v>3.4200000000000901E-3</v>
      </c>
      <c r="Q44" s="202">
        <v>2.74999999999992E-3</v>
      </c>
      <c r="R44" s="202">
        <v>2.73600000000007E-3</v>
      </c>
      <c r="S44" s="202">
        <v>2.1999999999999399E-3</v>
      </c>
      <c r="T44" s="202">
        <v>2.73600000000007E-3</v>
      </c>
      <c r="U44" s="202">
        <v>2.1999999999999399E-3</v>
      </c>
      <c r="V44" s="202">
        <f>tblBaseCOIRate[[#This Row],[UVL01_Male]]</f>
        <v>3.4200000000000901E-3</v>
      </c>
      <c r="W44" s="203">
        <f>tblBaseCOIRate[[#This Row],[UVL01_Female]]</f>
        <v>2.74999999999992E-3</v>
      </c>
      <c r="AG44" s="200">
        <v>42</v>
      </c>
      <c r="AH44" s="205">
        <f ca="1">OFFSET(tblTPAllocChrgRate[[#This Row],[UVL01]],0,MATCH(base,tblTPAllocChrgRate[#Headers],0)-3)</f>
        <v>0.02</v>
      </c>
      <c r="AI44" s="206">
        <v>0.02</v>
      </c>
      <c r="AJ44" s="207">
        <v>0</v>
      </c>
      <c r="AK44" s="208">
        <v>0</v>
      </c>
      <c r="AL44" s="208">
        <f>tblTPAllocChrgRate[[#This Row],[UVL01]]</f>
        <v>0.02</v>
      </c>
      <c r="AO44" s="200">
        <v>42</v>
      </c>
      <c r="AP44" s="209">
        <f ca="1">OFFSET(tblEPAllocChrgRate[[#This Row],[UVL01]],0,MATCH(base,tblEPAllocChrgRate[#Headers],0)-3)</f>
        <v>0.02</v>
      </c>
      <c r="AQ44" s="210">
        <v>0.02</v>
      </c>
      <c r="AR44" s="211">
        <v>0</v>
      </c>
      <c r="AS44" s="212">
        <v>0</v>
      </c>
      <c r="AT44" s="212">
        <f>tblEPAllocChrgRate[[#This Row],[UVL01]]</f>
        <v>0.02</v>
      </c>
      <c r="AW44" s="200">
        <v>42</v>
      </c>
      <c r="AX44" s="209">
        <f ca="1">OFFSET(tblSurrChrgRate[[#This Row],[UVL01]],0,MATCH(base,tblSurrChrgRate[#Headers],0)-3)</f>
        <v>0</v>
      </c>
      <c r="AY44" s="206">
        <v>0</v>
      </c>
      <c r="AZ44" s="206">
        <v>0</v>
      </c>
      <c r="BA44" s="213">
        <v>0</v>
      </c>
      <c r="BB44" s="213">
        <f>tblSurrChrgRate[[#This Row],[UVL01]]</f>
        <v>0</v>
      </c>
      <c r="BU44" s="200">
        <v>2057</v>
      </c>
      <c r="BV44" s="218">
        <f ca="1">OFFSET(tblAdminChrg[[#This Row],[UVL01]],0,MATCH(base,tblAdminChrg[#Headers],0)-3)</f>
        <v>25000</v>
      </c>
      <c r="BW44" s="215">
        <v>25000</v>
      </c>
      <c r="BX44" s="215">
        <v>66000</v>
      </c>
      <c r="BY44" s="219">
        <v>66000</v>
      </c>
      <c r="BZ44" s="219">
        <v>40000</v>
      </c>
    </row>
    <row r="45" spans="2:78" x14ac:dyDescent="0.25">
      <c r="B45" s="197">
        <v>42</v>
      </c>
      <c r="C45" s="198">
        <f ca="1">OFFSET(tblTPRate[[#This Row],[UVL01_Male]],0,MATCH(base&amp;"_"&amp;mainLI_gender,tblTPRate[#Headers],0)-3)</f>
        <v>27.039529999999999</v>
      </c>
      <c r="D45" s="199">
        <v>27.039529999999999</v>
      </c>
      <c r="E45" s="199">
        <v>27.039529999999999</v>
      </c>
      <c r="F45" s="199">
        <v>27.039529999999999</v>
      </c>
      <c r="G45" s="199">
        <v>27.039529999999999</v>
      </c>
      <c r="H45" s="199">
        <v>27.039529999999999</v>
      </c>
      <c r="I45" s="199">
        <v>27.039529999999999</v>
      </c>
      <c r="J45" s="199">
        <v>27.039529999999999</v>
      </c>
      <c r="K45" s="199">
        <v>27.039529999999999</v>
      </c>
      <c r="N45" s="200">
        <v>42</v>
      </c>
      <c r="O45" s="201">
        <f ca="1">OFFSET(tblBaseCOIRate[[#This Row],[UVL01_Male]],0,MATCH(base&amp;"_"&amp;mainLI_gender,tblBaseCOIRate[#Headers],0)-3)</f>
        <v>2.9799999999999801E-3</v>
      </c>
      <c r="P45" s="202">
        <v>3.7099999999999902E-3</v>
      </c>
      <c r="Q45" s="202">
        <v>2.9799999999999801E-3</v>
      </c>
      <c r="R45" s="202">
        <v>2.9679999999999902E-3</v>
      </c>
      <c r="S45" s="202">
        <v>2.3839999999999899E-3</v>
      </c>
      <c r="T45" s="202">
        <v>2.9679999999999902E-3</v>
      </c>
      <c r="U45" s="202">
        <v>2.3839999999999899E-3</v>
      </c>
      <c r="V45" s="202">
        <f>tblBaseCOIRate[[#This Row],[UVL01_Male]]</f>
        <v>3.7099999999999902E-3</v>
      </c>
      <c r="W45" s="203">
        <f>tblBaseCOIRate[[#This Row],[UVL01_Female]]</f>
        <v>2.9799999999999801E-3</v>
      </c>
      <c r="AG45" s="200">
        <v>43</v>
      </c>
      <c r="AH45" s="205">
        <f ca="1">OFFSET(tblTPAllocChrgRate[[#This Row],[UVL01]],0,MATCH(base,tblTPAllocChrgRate[#Headers],0)-3)</f>
        <v>0.02</v>
      </c>
      <c r="AI45" s="206">
        <v>0.02</v>
      </c>
      <c r="AJ45" s="207">
        <v>0</v>
      </c>
      <c r="AK45" s="208">
        <v>0</v>
      </c>
      <c r="AL45" s="208">
        <f>tblTPAllocChrgRate[[#This Row],[UVL01]]</f>
        <v>0.02</v>
      </c>
      <c r="AO45" s="200">
        <v>43</v>
      </c>
      <c r="AP45" s="209">
        <f ca="1">OFFSET(tblEPAllocChrgRate[[#This Row],[UVL01]],0,MATCH(base,tblEPAllocChrgRate[#Headers],0)-3)</f>
        <v>0.02</v>
      </c>
      <c r="AQ45" s="210">
        <v>0.02</v>
      </c>
      <c r="AR45" s="211">
        <v>0</v>
      </c>
      <c r="AS45" s="212">
        <v>0</v>
      </c>
      <c r="AT45" s="212">
        <f>tblEPAllocChrgRate[[#This Row],[UVL01]]</f>
        <v>0.02</v>
      </c>
      <c r="AW45" s="200">
        <v>43</v>
      </c>
      <c r="AX45" s="209">
        <f ca="1">OFFSET(tblSurrChrgRate[[#This Row],[UVL01]],0,MATCH(base,tblSurrChrgRate[#Headers],0)-3)</f>
        <v>0</v>
      </c>
      <c r="AY45" s="206">
        <v>0</v>
      </c>
      <c r="AZ45" s="206">
        <v>0</v>
      </c>
      <c r="BA45" s="213">
        <v>0</v>
      </c>
      <c r="BB45" s="213">
        <f>tblSurrChrgRate[[#This Row],[UVL01]]</f>
        <v>0</v>
      </c>
      <c r="BU45" s="200">
        <v>2058</v>
      </c>
      <c r="BV45" s="218">
        <f ca="1">OFFSET(tblAdminChrg[[#This Row],[UVL01]],0,MATCH(base,tblAdminChrg[#Headers],0)-3)</f>
        <v>25000</v>
      </c>
      <c r="BW45" s="215">
        <v>25000</v>
      </c>
      <c r="BX45" s="215">
        <v>66000</v>
      </c>
      <c r="BY45" s="219">
        <v>66000</v>
      </c>
      <c r="BZ45" s="219">
        <v>40000</v>
      </c>
    </row>
    <row r="46" spans="2:78" x14ac:dyDescent="0.25">
      <c r="B46" s="197">
        <v>43</v>
      </c>
      <c r="C46" s="198">
        <f ca="1">OFFSET(tblTPRate[[#This Row],[UVL01_Male]],0,MATCH(base&amp;"_"&amp;mainLI_gender,tblTPRate[#Headers],0)-3)</f>
        <v>27.975180000000002</v>
      </c>
      <c r="D46" s="199">
        <v>27.975180000000002</v>
      </c>
      <c r="E46" s="199">
        <v>27.975180000000002</v>
      </c>
      <c r="F46" s="199">
        <v>27.975180000000002</v>
      </c>
      <c r="G46" s="199">
        <v>27.975180000000002</v>
      </c>
      <c r="H46" s="199">
        <v>27.975180000000002</v>
      </c>
      <c r="I46" s="199">
        <v>27.975180000000002</v>
      </c>
      <c r="J46" s="199">
        <v>27.975180000000002</v>
      </c>
      <c r="K46" s="199">
        <v>27.975180000000002</v>
      </c>
      <c r="N46" s="200">
        <v>43</v>
      </c>
      <c r="O46" s="201">
        <f ca="1">OFFSET(tblBaseCOIRate[[#This Row],[UVL01_Male]],0,MATCH(base&amp;"_"&amp;mainLI_gender,tblBaseCOIRate[#Headers],0)-3)</f>
        <v>3.1999999999999802E-3</v>
      </c>
      <c r="P46" s="202">
        <v>4.0299999999999798E-3</v>
      </c>
      <c r="Q46" s="202">
        <v>3.1999999999999802E-3</v>
      </c>
      <c r="R46" s="202">
        <v>3.2239999999999799E-3</v>
      </c>
      <c r="S46" s="202">
        <v>2.5599999999999798E-3</v>
      </c>
      <c r="T46" s="202">
        <v>3.2239999999999799E-3</v>
      </c>
      <c r="U46" s="202">
        <v>2.5599999999999798E-3</v>
      </c>
      <c r="V46" s="202">
        <f>tblBaseCOIRate[[#This Row],[UVL01_Male]]</f>
        <v>4.0299999999999798E-3</v>
      </c>
      <c r="W46" s="203">
        <f>tblBaseCOIRate[[#This Row],[UVL01_Female]]</f>
        <v>3.1999999999999802E-3</v>
      </c>
      <c r="AG46" s="200">
        <v>44</v>
      </c>
      <c r="AH46" s="205">
        <f ca="1">OFFSET(tblTPAllocChrgRate[[#This Row],[UVL01]],0,MATCH(base,tblTPAllocChrgRate[#Headers],0)-3)</f>
        <v>0.02</v>
      </c>
      <c r="AI46" s="206">
        <v>0.02</v>
      </c>
      <c r="AJ46" s="207">
        <v>0</v>
      </c>
      <c r="AK46" s="208">
        <v>0</v>
      </c>
      <c r="AL46" s="208">
        <f>tblTPAllocChrgRate[[#This Row],[UVL01]]</f>
        <v>0.02</v>
      </c>
      <c r="AO46" s="200">
        <v>44</v>
      </c>
      <c r="AP46" s="209">
        <f ca="1">OFFSET(tblEPAllocChrgRate[[#This Row],[UVL01]],0,MATCH(base,tblEPAllocChrgRate[#Headers],0)-3)</f>
        <v>0.02</v>
      </c>
      <c r="AQ46" s="210">
        <v>0.02</v>
      </c>
      <c r="AR46" s="211">
        <v>0</v>
      </c>
      <c r="AS46" s="212">
        <v>0</v>
      </c>
      <c r="AT46" s="212">
        <f>tblEPAllocChrgRate[[#This Row],[UVL01]]</f>
        <v>0.02</v>
      </c>
      <c r="AW46" s="200">
        <v>44</v>
      </c>
      <c r="AX46" s="209">
        <f ca="1">OFFSET(tblSurrChrgRate[[#This Row],[UVL01]],0,MATCH(base,tblSurrChrgRate[#Headers],0)-3)</f>
        <v>0</v>
      </c>
      <c r="AY46" s="206">
        <v>0</v>
      </c>
      <c r="AZ46" s="206">
        <v>0</v>
      </c>
      <c r="BA46" s="213">
        <v>0</v>
      </c>
      <c r="BB46" s="213">
        <f>tblSurrChrgRate[[#This Row],[UVL01]]</f>
        <v>0</v>
      </c>
      <c r="BU46" s="200">
        <v>2059</v>
      </c>
      <c r="BV46" s="218">
        <f ca="1">OFFSET(tblAdminChrg[[#This Row],[UVL01]],0,MATCH(base,tblAdminChrg[#Headers],0)-3)</f>
        <v>25000</v>
      </c>
      <c r="BW46" s="215">
        <v>25000</v>
      </c>
      <c r="BX46" s="215">
        <v>66000</v>
      </c>
      <c r="BY46" s="219">
        <v>66000</v>
      </c>
      <c r="BZ46" s="219">
        <v>40000</v>
      </c>
    </row>
    <row r="47" spans="2:78" x14ac:dyDescent="0.25">
      <c r="B47" s="197">
        <v>44</v>
      </c>
      <c r="C47" s="198">
        <f ca="1">OFFSET(tblTPRate[[#This Row],[UVL01_Male]],0,MATCH(base&amp;"_"&amp;mainLI_gender,tblTPRate[#Headers],0)-3)</f>
        <v>28.96209</v>
      </c>
      <c r="D47" s="199">
        <v>28.96209</v>
      </c>
      <c r="E47" s="199">
        <v>28.96209</v>
      </c>
      <c r="F47" s="199">
        <v>28.96209</v>
      </c>
      <c r="G47" s="199">
        <v>28.96209</v>
      </c>
      <c r="H47" s="199">
        <v>28.96209</v>
      </c>
      <c r="I47" s="199">
        <v>28.96209</v>
      </c>
      <c r="J47" s="199">
        <v>28.96209</v>
      </c>
      <c r="K47" s="199">
        <v>28.96209</v>
      </c>
      <c r="N47" s="200">
        <v>44</v>
      </c>
      <c r="O47" s="201">
        <f ca="1">OFFSET(tblBaseCOIRate[[#This Row],[UVL01_Male]],0,MATCH(base&amp;"_"&amp;mainLI_gender,tblBaseCOIRate[#Headers],0)-3)</f>
        <v>3.4400000000001101E-3</v>
      </c>
      <c r="P47" s="202">
        <v>4.3700000000001004E-3</v>
      </c>
      <c r="Q47" s="202">
        <v>3.4400000000001101E-3</v>
      </c>
      <c r="R47" s="202">
        <v>3.4960000000000802E-3</v>
      </c>
      <c r="S47" s="202">
        <v>2.7520000000000899E-3</v>
      </c>
      <c r="T47" s="202">
        <v>3.4960000000000802E-3</v>
      </c>
      <c r="U47" s="202">
        <v>2.7520000000000899E-3</v>
      </c>
      <c r="V47" s="202">
        <f>tblBaseCOIRate[[#This Row],[UVL01_Male]]</f>
        <v>4.3700000000001004E-3</v>
      </c>
      <c r="W47" s="203">
        <f>tblBaseCOIRate[[#This Row],[UVL01_Female]]</f>
        <v>3.4400000000001101E-3</v>
      </c>
      <c r="AG47" s="200">
        <v>45</v>
      </c>
      <c r="AH47" s="205">
        <f ca="1">OFFSET(tblTPAllocChrgRate[[#This Row],[UVL01]],0,MATCH(base,tblTPAllocChrgRate[#Headers],0)-3)</f>
        <v>0.02</v>
      </c>
      <c r="AI47" s="206">
        <v>0.02</v>
      </c>
      <c r="AJ47" s="207">
        <v>0</v>
      </c>
      <c r="AK47" s="208">
        <v>0</v>
      </c>
      <c r="AL47" s="208">
        <f>tblTPAllocChrgRate[[#This Row],[UVL01]]</f>
        <v>0.02</v>
      </c>
      <c r="AO47" s="200">
        <v>45</v>
      </c>
      <c r="AP47" s="209">
        <f ca="1">OFFSET(tblEPAllocChrgRate[[#This Row],[UVL01]],0,MATCH(base,tblEPAllocChrgRate[#Headers],0)-3)</f>
        <v>0.02</v>
      </c>
      <c r="AQ47" s="210">
        <v>0.02</v>
      </c>
      <c r="AR47" s="211">
        <v>0</v>
      </c>
      <c r="AS47" s="212">
        <v>0</v>
      </c>
      <c r="AT47" s="212">
        <f>tblEPAllocChrgRate[[#This Row],[UVL01]]</f>
        <v>0.02</v>
      </c>
      <c r="AW47" s="200">
        <v>45</v>
      </c>
      <c r="AX47" s="209">
        <f ca="1">OFFSET(tblSurrChrgRate[[#This Row],[UVL01]],0,MATCH(base,tblSurrChrgRate[#Headers],0)-3)</f>
        <v>0</v>
      </c>
      <c r="AY47" s="206">
        <v>0</v>
      </c>
      <c r="AZ47" s="206">
        <v>0</v>
      </c>
      <c r="BA47" s="213">
        <v>0</v>
      </c>
      <c r="BB47" s="213">
        <f>tblSurrChrgRate[[#This Row],[UVL01]]</f>
        <v>0</v>
      </c>
      <c r="BU47" s="200">
        <v>2060</v>
      </c>
      <c r="BV47" s="218">
        <f ca="1">OFFSET(tblAdminChrg[[#This Row],[UVL01]],0,MATCH(base,tblAdminChrg[#Headers],0)-3)</f>
        <v>25000</v>
      </c>
      <c r="BW47" s="215">
        <v>25000</v>
      </c>
      <c r="BX47" s="215">
        <v>66000</v>
      </c>
      <c r="BY47" s="219">
        <v>66000</v>
      </c>
      <c r="BZ47" s="219">
        <v>40000</v>
      </c>
    </row>
    <row r="48" spans="2:78" x14ac:dyDescent="0.25">
      <c r="B48" s="197">
        <v>45</v>
      </c>
      <c r="C48" s="198">
        <f ca="1">OFFSET(tblTPRate[[#This Row],[UVL01_Male]],0,MATCH(base&amp;"_"&amp;mainLI_gender,tblTPRate[#Headers],0)-3)</f>
        <v>30.002269999999999</v>
      </c>
      <c r="D48" s="199">
        <v>30.002269999999999</v>
      </c>
      <c r="E48" s="199">
        <v>30.002269999999999</v>
      </c>
      <c r="F48" s="199">
        <v>30.002269999999999</v>
      </c>
      <c r="G48" s="199">
        <v>30.002269999999999</v>
      </c>
      <c r="H48" s="199">
        <v>30.002269999999999</v>
      </c>
      <c r="I48" s="199">
        <v>30.002269999999999</v>
      </c>
      <c r="J48" s="199">
        <v>30.002269999999999</v>
      </c>
      <c r="K48" s="199">
        <v>30.002269999999999</v>
      </c>
      <c r="N48" s="200">
        <v>45</v>
      </c>
      <c r="O48" s="201">
        <f ca="1">OFFSET(tblBaseCOIRate[[#This Row],[UVL01_Male]],0,MATCH(base&amp;"_"&amp;mainLI_gender,tblBaseCOIRate[#Headers],0)-3)</f>
        <v>3.6800000000000201E-3</v>
      </c>
      <c r="P48" s="202">
        <v>4.7299999999999001E-3</v>
      </c>
      <c r="Q48" s="202">
        <v>3.6800000000000201E-3</v>
      </c>
      <c r="R48" s="202">
        <v>3.7839999999999198E-3</v>
      </c>
      <c r="S48" s="202">
        <v>2.94400000000001E-3</v>
      </c>
      <c r="T48" s="202">
        <v>3.7839999999999198E-3</v>
      </c>
      <c r="U48" s="202">
        <v>2.94400000000001E-3</v>
      </c>
      <c r="V48" s="202">
        <f>tblBaseCOIRate[[#This Row],[UVL01_Male]]</f>
        <v>4.7299999999999001E-3</v>
      </c>
      <c r="W48" s="203">
        <f>tblBaseCOIRate[[#This Row],[UVL01_Female]]</f>
        <v>3.6800000000000201E-3</v>
      </c>
      <c r="AG48" s="200">
        <v>46</v>
      </c>
      <c r="AH48" s="205">
        <f ca="1">OFFSET(tblTPAllocChrgRate[[#This Row],[UVL01]],0,MATCH(base,tblTPAllocChrgRate[#Headers],0)-3)</f>
        <v>0.02</v>
      </c>
      <c r="AI48" s="206">
        <v>0.02</v>
      </c>
      <c r="AJ48" s="207">
        <v>0</v>
      </c>
      <c r="AK48" s="208">
        <v>0</v>
      </c>
      <c r="AL48" s="208">
        <f>tblTPAllocChrgRate[[#This Row],[UVL01]]</f>
        <v>0.02</v>
      </c>
      <c r="AO48" s="200">
        <v>46</v>
      </c>
      <c r="AP48" s="209">
        <f ca="1">OFFSET(tblEPAllocChrgRate[[#This Row],[UVL01]],0,MATCH(base,tblEPAllocChrgRate[#Headers],0)-3)</f>
        <v>0.02</v>
      </c>
      <c r="AQ48" s="210">
        <v>0.02</v>
      </c>
      <c r="AR48" s="211">
        <v>0</v>
      </c>
      <c r="AS48" s="212">
        <v>0</v>
      </c>
      <c r="AT48" s="212">
        <f>tblEPAllocChrgRate[[#This Row],[UVL01]]</f>
        <v>0.02</v>
      </c>
      <c r="AW48" s="200">
        <v>46</v>
      </c>
      <c r="AX48" s="209">
        <f ca="1">OFFSET(tblSurrChrgRate[[#This Row],[UVL01]],0,MATCH(base,tblSurrChrgRate[#Headers],0)-3)</f>
        <v>0</v>
      </c>
      <c r="AY48" s="206">
        <v>0</v>
      </c>
      <c r="AZ48" s="206">
        <v>0</v>
      </c>
      <c r="BA48" s="213">
        <v>0</v>
      </c>
      <c r="BB48" s="213">
        <f>tblSurrChrgRate[[#This Row],[UVL01]]</f>
        <v>0</v>
      </c>
      <c r="BU48" s="200">
        <v>2061</v>
      </c>
      <c r="BV48" s="218">
        <f ca="1">OFFSET(tblAdminChrg[[#This Row],[UVL01]],0,MATCH(base,tblAdminChrg[#Headers],0)-3)</f>
        <v>25000</v>
      </c>
      <c r="BW48" s="215">
        <v>25000</v>
      </c>
      <c r="BX48" s="215">
        <v>66000</v>
      </c>
      <c r="BY48" s="219">
        <v>66000</v>
      </c>
      <c r="BZ48" s="219">
        <v>40000</v>
      </c>
    </row>
    <row r="49" spans="2:78" x14ac:dyDescent="0.25">
      <c r="B49" s="197">
        <v>46</v>
      </c>
      <c r="C49" s="198">
        <f ca="1">OFFSET(tblTPRate[[#This Row],[UVL01_Male]],0,MATCH(base&amp;"_"&amp;mainLI_gender,tblTPRate[#Headers],0)-3)</f>
        <v>31.101739999999999</v>
      </c>
      <c r="D49" s="199">
        <v>31.101739999999999</v>
      </c>
      <c r="E49" s="199">
        <v>31.101739999999999</v>
      </c>
      <c r="F49" s="199">
        <v>31.101739999999999</v>
      </c>
      <c r="G49" s="199">
        <v>31.101739999999999</v>
      </c>
      <c r="H49" s="199">
        <v>31.101739999999999</v>
      </c>
      <c r="I49" s="199">
        <v>31.101739999999999</v>
      </c>
      <c r="J49" s="199">
        <v>31.101739999999999</v>
      </c>
      <c r="K49" s="199">
        <v>31.101739999999999</v>
      </c>
      <c r="N49" s="200">
        <v>46</v>
      </c>
      <c r="O49" s="201">
        <f ca="1">OFFSET(tblBaseCOIRate[[#This Row],[UVL01_Male]],0,MATCH(base&amp;"_"&amp;mainLI_gender,tblBaseCOIRate[#Headers],0)-3)</f>
        <v>3.9200000000000398E-3</v>
      </c>
      <c r="P49" s="202">
        <v>5.1199999999998998E-3</v>
      </c>
      <c r="Q49" s="202">
        <v>3.9200000000000398E-3</v>
      </c>
      <c r="R49" s="202">
        <v>4.09599999999992E-3</v>
      </c>
      <c r="S49" s="202">
        <v>3.1360000000000298E-3</v>
      </c>
      <c r="T49" s="202">
        <v>4.09599999999992E-3</v>
      </c>
      <c r="U49" s="202">
        <v>3.1360000000000298E-3</v>
      </c>
      <c r="V49" s="202">
        <f>tblBaseCOIRate[[#This Row],[UVL01_Male]]</f>
        <v>5.1199999999998998E-3</v>
      </c>
      <c r="W49" s="203">
        <f>tblBaseCOIRate[[#This Row],[UVL01_Female]]</f>
        <v>3.9200000000000398E-3</v>
      </c>
      <c r="AG49" s="200">
        <v>47</v>
      </c>
      <c r="AH49" s="205">
        <f ca="1">OFFSET(tblTPAllocChrgRate[[#This Row],[UVL01]],0,MATCH(base,tblTPAllocChrgRate[#Headers],0)-3)</f>
        <v>0.02</v>
      </c>
      <c r="AI49" s="206">
        <v>0.02</v>
      </c>
      <c r="AJ49" s="207">
        <v>0</v>
      </c>
      <c r="AK49" s="208">
        <v>0</v>
      </c>
      <c r="AL49" s="208">
        <f>tblTPAllocChrgRate[[#This Row],[UVL01]]</f>
        <v>0.02</v>
      </c>
      <c r="AO49" s="200">
        <v>47</v>
      </c>
      <c r="AP49" s="209">
        <f ca="1">OFFSET(tblEPAllocChrgRate[[#This Row],[UVL01]],0,MATCH(base,tblEPAllocChrgRate[#Headers],0)-3)</f>
        <v>0.02</v>
      </c>
      <c r="AQ49" s="210">
        <v>0.02</v>
      </c>
      <c r="AR49" s="211">
        <v>0</v>
      </c>
      <c r="AS49" s="212">
        <v>0</v>
      </c>
      <c r="AT49" s="212">
        <f>tblEPAllocChrgRate[[#This Row],[UVL01]]</f>
        <v>0.02</v>
      </c>
      <c r="AW49" s="200">
        <v>47</v>
      </c>
      <c r="AX49" s="209">
        <f ca="1">OFFSET(tblSurrChrgRate[[#This Row],[UVL01]],0,MATCH(base,tblSurrChrgRate[#Headers],0)-3)</f>
        <v>0</v>
      </c>
      <c r="AY49" s="206">
        <v>0</v>
      </c>
      <c r="AZ49" s="206">
        <v>0</v>
      </c>
      <c r="BA49" s="213">
        <v>0</v>
      </c>
      <c r="BB49" s="213">
        <f>tblSurrChrgRate[[#This Row],[UVL01]]</f>
        <v>0</v>
      </c>
      <c r="BU49" s="200">
        <v>2062</v>
      </c>
      <c r="BV49" s="218">
        <f ca="1">OFFSET(tblAdminChrg[[#This Row],[UVL01]],0,MATCH(base,tblAdminChrg[#Headers],0)-3)</f>
        <v>25000</v>
      </c>
      <c r="BW49" s="215">
        <v>25000</v>
      </c>
      <c r="BX49" s="215">
        <v>66000</v>
      </c>
      <c r="BY49" s="219">
        <v>66000</v>
      </c>
      <c r="BZ49" s="219">
        <v>40000</v>
      </c>
    </row>
    <row r="50" spans="2:78" x14ac:dyDescent="0.25">
      <c r="B50" s="197">
        <v>47</v>
      </c>
      <c r="C50" s="198">
        <f ca="1">OFFSET(tblTPRate[[#This Row],[UVL01_Male]],0,MATCH(base&amp;"_"&amp;mainLI_gender,tblTPRate[#Headers],0)-3)</f>
        <v>32.26352</v>
      </c>
      <c r="D50" s="199">
        <v>32.26352</v>
      </c>
      <c r="E50" s="199">
        <v>32.26352</v>
      </c>
      <c r="F50" s="199">
        <v>32.26352</v>
      </c>
      <c r="G50" s="199">
        <v>32.26352</v>
      </c>
      <c r="H50" s="199">
        <v>32.26352</v>
      </c>
      <c r="I50" s="199">
        <v>32.26352</v>
      </c>
      <c r="J50" s="199">
        <v>32.26352</v>
      </c>
      <c r="K50" s="199">
        <v>32.26352</v>
      </c>
      <c r="N50" s="200">
        <v>47</v>
      </c>
      <c r="O50" s="201">
        <f ca="1">OFFSET(tblBaseCOIRate[[#This Row],[UVL01_Male]],0,MATCH(base&amp;"_"&amp;mainLI_gender,tblBaseCOIRate[#Headers],0)-3)</f>
        <v>4.1900000000000296E-3</v>
      </c>
      <c r="P50" s="202">
        <v>5.5299999999999204E-3</v>
      </c>
      <c r="Q50" s="202">
        <v>4.1900000000000296E-3</v>
      </c>
      <c r="R50" s="202">
        <v>4.4239999999999401E-3</v>
      </c>
      <c r="S50" s="202">
        <v>3.3520000000000199E-3</v>
      </c>
      <c r="T50" s="202">
        <v>4.4239999999999401E-3</v>
      </c>
      <c r="U50" s="202">
        <v>3.3520000000000199E-3</v>
      </c>
      <c r="V50" s="202">
        <f>tblBaseCOIRate[[#This Row],[UVL01_Male]]</f>
        <v>5.5299999999999204E-3</v>
      </c>
      <c r="W50" s="203">
        <f>tblBaseCOIRate[[#This Row],[UVL01_Female]]</f>
        <v>4.1900000000000296E-3</v>
      </c>
      <c r="AG50" s="200">
        <v>48</v>
      </c>
      <c r="AH50" s="205">
        <f ca="1">OFFSET(tblTPAllocChrgRate[[#This Row],[UVL01]],0,MATCH(base,tblTPAllocChrgRate[#Headers],0)-3)</f>
        <v>0.02</v>
      </c>
      <c r="AI50" s="206">
        <v>0.02</v>
      </c>
      <c r="AJ50" s="207">
        <v>0</v>
      </c>
      <c r="AK50" s="208">
        <v>0</v>
      </c>
      <c r="AL50" s="208">
        <f>tblTPAllocChrgRate[[#This Row],[UVL01]]</f>
        <v>0.02</v>
      </c>
      <c r="AO50" s="200">
        <v>48</v>
      </c>
      <c r="AP50" s="209">
        <f ca="1">OFFSET(tblEPAllocChrgRate[[#This Row],[UVL01]],0,MATCH(base,tblEPAllocChrgRate[#Headers],0)-3)</f>
        <v>0.02</v>
      </c>
      <c r="AQ50" s="210">
        <v>0.02</v>
      </c>
      <c r="AR50" s="211">
        <v>0</v>
      </c>
      <c r="AS50" s="212">
        <v>0</v>
      </c>
      <c r="AT50" s="212">
        <f>tblEPAllocChrgRate[[#This Row],[UVL01]]</f>
        <v>0.02</v>
      </c>
      <c r="AW50" s="200">
        <v>48</v>
      </c>
      <c r="AX50" s="209">
        <f ca="1">OFFSET(tblSurrChrgRate[[#This Row],[UVL01]],0,MATCH(base,tblSurrChrgRate[#Headers],0)-3)</f>
        <v>0</v>
      </c>
      <c r="AY50" s="206">
        <v>0</v>
      </c>
      <c r="AZ50" s="206">
        <v>0</v>
      </c>
      <c r="BA50" s="213">
        <v>0</v>
      </c>
      <c r="BB50" s="213">
        <f>tblSurrChrgRate[[#This Row],[UVL01]]</f>
        <v>0</v>
      </c>
      <c r="BU50" s="200">
        <v>2063</v>
      </c>
      <c r="BV50" s="218">
        <f ca="1">OFFSET(tblAdminChrg[[#This Row],[UVL01]],0,MATCH(base,tblAdminChrg[#Headers],0)-3)</f>
        <v>25000</v>
      </c>
      <c r="BW50" s="215">
        <v>25000</v>
      </c>
      <c r="BX50" s="215">
        <v>66000</v>
      </c>
      <c r="BY50" s="219">
        <v>66000</v>
      </c>
      <c r="BZ50" s="219">
        <v>40000</v>
      </c>
    </row>
    <row r="51" spans="2:78" x14ac:dyDescent="0.25">
      <c r="B51" s="197">
        <v>48</v>
      </c>
      <c r="C51" s="198">
        <f ca="1">OFFSET(tblTPRate[[#This Row],[UVL01_Male]],0,MATCH(base&amp;"_"&amp;mainLI_gender,tblTPRate[#Headers],0)-3)</f>
        <v>33.493639999999999</v>
      </c>
      <c r="D51" s="199">
        <v>33.493639999999999</v>
      </c>
      <c r="E51" s="199">
        <v>33.493639999999999</v>
      </c>
      <c r="F51" s="199">
        <v>33.493639999999999</v>
      </c>
      <c r="G51" s="199">
        <v>33.493639999999999</v>
      </c>
      <c r="H51" s="199">
        <v>33.493639999999999</v>
      </c>
      <c r="I51" s="199">
        <v>33.493639999999999</v>
      </c>
      <c r="J51" s="199">
        <v>33.493639999999999</v>
      </c>
      <c r="K51" s="199">
        <v>33.493639999999999</v>
      </c>
      <c r="N51" s="200">
        <v>48</v>
      </c>
      <c r="O51" s="201">
        <f ca="1">OFFSET(tblBaseCOIRate[[#This Row],[UVL01_Male]],0,MATCH(base&amp;"_"&amp;mainLI_gender,tblBaseCOIRate[#Headers],0)-3)</f>
        <v>4.4800000000000404E-3</v>
      </c>
      <c r="P51" s="202">
        <v>5.97000000000003E-3</v>
      </c>
      <c r="Q51" s="202">
        <v>4.4800000000000404E-3</v>
      </c>
      <c r="R51" s="202">
        <v>4.7760000000000302E-3</v>
      </c>
      <c r="S51" s="202">
        <v>3.5840000000000299E-3</v>
      </c>
      <c r="T51" s="202">
        <v>4.7760000000000302E-3</v>
      </c>
      <c r="U51" s="202">
        <v>3.5840000000000299E-3</v>
      </c>
      <c r="V51" s="202">
        <f>tblBaseCOIRate[[#This Row],[UVL01_Male]]</f>
        <v>5.97000000000003E-3</v>
      </c>
      <c r="W51" s="203">
        <f>tblBaseCOIRate[[#This Row],[UVL01_Female]]</f>
        <v>4.4800000000000404E-3</v>
      </c>
      <c r="AG51" s="200">
        <v>49</v>
      </c>
      <c r="AH51" s="205">
        <f ca="1">OFFSET(tblTPAllocChrgRate[[#This Row],[UVL01]],0,MATCH(base,tblTPAllocChrgRate[#Headers],0)-3)</f>
        <v>0.02</v>
      </c>
      <c r="AI51" s="206">
        <v>0.02</v>
      </c>
      <c r="AJ51" s="207">
        <v>0</v>
      </c>
      <c r="AK51" s="208">
        <v>0</v>
      </c>
      <c r="AL51" s="208">
        <f>tblTPAllocChrgRate[[#This Row],[UVL01]]</f>
        <v>0.02</v>
      </c>
      <c r="AO51" s="200">
        <v>49</v>
      </c>
      <c r="AP51" s="209">
        <f ca="1">OFFSET(tblEPAllocChrgRate[[#This Row],[UVL01]],0,MATCH(base,tblEPAllocChrgRate[#Headers],0)-3)</f>
        <v>0.02</v>
      </c>
      <c r="AQ51" s="210">
        <v>0.02</v>
      </c>
      <c r="AR51" s="211">
        <v>0</v>
      </c>
      <c r="AS51" s="212">
        <v>0</v>
      </c>
      <c r="AT51" s="212">
        <f>tblEPAllocChrgRate[[#This Row],[UVL01]]</f>
        <v>0.02</v>
      </c>
      <c r="AW51" s="200">
        <v>49</v>
      </c>
      <c r="AX51" s="209">
        <f ca="1">OFFSET(tblSurrChrgRate[[#This Row],[UVL01]],0,MATCH(base,tblSurrChrgRate[#Headers],0)-3)</f>
        <v>0</v>
      </c>
      <c r="AY51" s="206">
        <v>0</v>
      </c>
      <c r="AZ51" s="206">
        <v>0</v>
      </c>
      <c r="BA51" s="213">
        <v>0</v>
      </c>
      <c r="BB51" s="213">
        <f>tblSurrChrgRate[[#This Row],[UVL01]]</f>
        <v>0</v>
      </c>
      <c r="BU51" s="200">
        <v>2064</v>
      </c>
      <c r="BV51" s="218">
        <f ca="1">OFFSET(tblAdminChrg[[#This Row],[UVL01]],0,MATCH(base,tblAdminChrg[#Headers],0)-3)</f>
        <v>25000</v>
      </c>
      <c r="BW51" s="215">
        <v>25000</v>
      </c>
      <c r="BX51" s="215">
        <v>66000</v>
      </c>
      <c r="BY51" s="219">
        <v>66000</v>
      </c>
      <c r="BZ51" s="219">
        <v>40000</v>
      </c>
    </row>
    <row r="52" spans="2:78" x14ac:dyDescent="0.25">
      <c r="B52" s="197">
        <v>49</v>
      </c>
      <c r="C52" s="198">
        <f ca="1">OFFSET(tblTPRate[[#This Row],[UVL01_Male]],0,MATCH(base&amp;"_"&amp;mainLI_gender,tblTPRate[#Headers],0)-3)</f>
        <v>34.79813</v>
      </c>
      <c r="D52" s="199">
        <v>34.79813</v>
      </c>
      <c r="E52" s="199">
        <v>34.79813</v>
      </c>
      <c r="F52" s="199">
        <v>34.79813</v>
      </c>
      <c r="G52" s="199">
        <v>34.79813</v>
      </c>
      <c r="H52" s="199">
        <v>34.79813</v>
      </c>
      <c r="I52" s="199">
        <v>34.79813</v>
      </c>
      <c r="J52" s="199">
        <v>34.79813</v>
      </c>
      <c r="K52" s="199">
        <v>34.79813</v>
      </c>
      <c r="N52" s="200">
        <v>49</v>
      </c>
      <c r="O52" s="201">
        <f ca="1">OFFSET(tblBaseCOIRate[[#This Row],[UVL01_Male]],0,MATCH(base&amp;"_"&amp;mainLI_gender,tblBaseCOIRate[#Headers],0)-3)</f>
        <v>4.7900000000000702E-3</v>
      </c>
      <c r="P52" s="202">
        <v>6.4600000000000204E-3</v>
      </c>
      <c r="Q52" s="202">
        <v>4.7900000000000702E-3</v>
      </c>
      <c r="R52" s="202">
        <v>5.1680000000000198E-3</v>
      </c>
      <c r="S52" s="202">
        <v>3.8320000000000602E-3</v>
      </c>
      <c r="T52" s="202">
        <v>5.1680000000000198E-3</v>
      </c>
      <c r="U52" s="202">
        <v>3.8320000000000602E-3</v>
      </c>
      <c r="V52" s="202">
        <f>tblBaseCOIRate[[#This Row],[UVL01_Male]]</f>
        <v>6.4600000000000204E-3</v>
      </c>
      <c r="W52" s="203">
        <f>tblBaseCOIRate[[#This Row],[UVL01_Female]]</f>
        <v>4.7900000000000702E-3</v>
      </c>
      <c r="AG52" s="200">
        <v>50</v>
      </c>
      <c r="AH52" s="205">
        <f ca="1">OFFSET(tblTPAllocChrgRate[[#This Row],[UVL01]],0,MATCH(base,tblTPAllocChrgRate[#Headers],0)-3)</f>
        <v>0.02</v>
      </c>
      <c r="AI52" s="206">
        <v>0.02</v>
      </c>
      <c r="AJ52" s="207">
        <v>0</v>
      </c>
      <c r="AK52" s="208">
        <v>0</v>
      </c>
      <c r="AL52" s="208">
        <f>tblTPAllocChrgRate[[#This Row],[UVL01]]</f>
        <v>0.02</v>
      </c>
      <c r="AO52" s="200">
        <v>50</v>
      </c>
      <c r="AP52" s="209">
        <f ca="1">OFFSET(tblEPAllocChrgRate[[#This Row],[UVL01]],0,MATCH(base,tblEPAllocChrgRate[#Headers],0)-3)</f>
        <v>0.02</v>
      </c>
      <c r="AQ52" s="210">
        <v>0.02</v>
      </c>
      <c r="AR52" s="211">
        <v>0</v>
      </c>
      <c r="AS52" s="212">
        <v>0</v>
      </c>
      <c r="AT52" s="212">
        <f>tblEPAllocChrgRate[[#This Row],[UVL01]]</f>
        <v>0.02</v>
      </c>
      <c r="AW52" s="200">
        <v>50</v>
      </c>
      <c r="AX52" s="209">
        <f ca="1">OFFSET(tblSurrChrgRate[[#This Row],[UVL01]],0,MATCH(base,tblSurrChrgRate[#Headers],0)-3)</f>
        <v>0</v>
      </c>
      <c r="AY52" s="206">
        <v>0</v>
      </c>
      <c r="AZ52" s="206">
        <v>0</v>
      </c>
      <c r="BA52" s="213">
        <v>0</v>
      </c>
      <c r="BB52" s="213">
        <f>tblSurrChrgRate[[#This Row],[UVL01]]</f>
        <v>0</v>
      </c>
      <c r="BU52" s="200">
        <v>2065</v>
      </c>
      <c r="BV52" s="218">
        <f ca="1">OFFSET(tblAdminChrg[[#This Row],[UVL01]],0,MATCH(base,tblAdminChrg[#Headers],0)-3)</f>
        <v>25000</v>
      </c>
      <c r="BW52" s="215">
        <v>25000</v>
      </c>
      <c r="BX52" s="215">
        <v>66000</v>
      </c>
      <c r="BY52" s="219">
        <v>66000</v>
      </c>
      <c r="BZ52" s="219">
        <v>40000</v>
      </c>
    </row>
    <row r="53" spans="2:78" x14ac:dyDescent="0.25">
      <c r="B53" s="197">
        <v>50</v>
      </c>
      <c r="C53" s="198">
        <f ca="1">OFFSET(tblTPRate[[#This Row],[UVL01_Male]],0,MATCH(base&amp;"_"&amp;mainLI_gender,tblTPRate[#Headers],0)-3)</f>
        <v>36.182009999999998</v>
      </c>
      <c r="D53" s="199">
        <v>36.182009999999998</v>
      </c>
      <c r="E53" s="199">
        <v>36.182009999999998</v>
      </c>
      <c r="F53" s="199">
        <v>36.182009999999998</v>
      </c>
      <c r="G53" s="199">
        <v>36.182009999999998</v>
      </c>
      <c r="H53" s="199">
        <v>36.182009999999998</v>
      </c>
      <c r="I53" s="199">
        <v>36.182009999999998</v>
      </c>
      <c r="J53" s="199">
        <v>36.182009999999998</v>
      </c>
      <c r="K53" s="199">
        <v>36.182009999999998</v>
      </c>
      <c r="N53" s="200">
        <v>50</v>
      </c>
      <c r="O53" s="201">
        <f ca="1">OFFSET(tblBaseCOIRate[[#This Row],[UVL01_Male]],0,MATCH(base&amp;"_"&amp;mainLI_gender,tblBaseCOIRate[#Headers],0)-3)</f>
        <v>5.1299999999999697E-3</v>
      </c>
      <c r="P53" s="202">
        <v>7.0000000000000097E-3</v>
      </c>
      <c r="Q53" s="202">
        <v>5.1299999999999697E-3</v>
      </c>
      <c r="R53" s="202">
        <v>5.6000000000000104E-3</v>
      </c>
      <c r="S53" s="202">
        <v>4.1039999999999801E-3</v>
      </c>
      <c r="T53" s="202">
        <v>5.6000000000000104E-3</v>
      </c>
      <c r="U53" s="202">
        <v>4.1039999999999801E-3</v>
      </c>
      <c r="V53" s="202">
        <f>tblBaseCOIRate[[#This Row],[UVL01_Male]]</f>
        <v>7.0000000000000097E-3</v>
      </c>
      <c r="W53" s="203">
        <f>tblBaseCOIRate[[#This Row],[UVL01_Female]]</f>
        <v>5.1299999999999697E-3</v>
      </c>
      <c r="AG53" s="200">
        <v>51</v>
      </c>
      <c r="AH53" s="205">
        <f ca="1">OFFSET(tblTPAllocChrgRate[[#This Row],[UVL01]],0,MATCH(base,tblTPAllocChrgRate[#Headers],0)-3)</f>
        <v>0.02</v>
      </c>
      <c r="AI53" s="206">
        <v>0.02</v>
      </c>
      <c r="AJ53" s="207">
        <v>0</v>
      </c>
      <c r="AK53" s="208">
        <v>0</v>
      </c>
      <c r="AL53" s="208">
        <f>tblTPAllocChrgRate[[#This Row],[UVL01]]</f>
        <v>0.02</v>
      </c>
      <c r="AO53" s="200">
        <v>51</v>
      </c>
      <c r="AP53" s="209">
        <f ca="1">OFFSET(tblEPAllocChrgRate[[#This Row],[UVL01]],0,MATCH(base,tblEPAllocChrgRate[#Headers],0)-3)</f>
        <v>0.02</v>
      </c>
      <c r="AQ53" s="210">
        <v>0.02</v>
      </c>
      <c r="AR53" s="211">
        <v>0</v>
      </c>
      <c r="AS53" s="212">
        <v>0</v>
      </c>
      <c r="AT53" s="212">
        <f>tblEPAllocChrgRate[[#This Row],[UVL01]]</f>
        <v>0.02</v>
      </c>
      <c r="AW53" s="200">
        <v>51</v>
      </c>
      <c r="AX53" s="209">
        <f ca="1">OFFSET(tblSurrChrgRate[[#This Row],[UVL01]],0,MATCH(base,tblSurrChrgRate[#Headers],0)-3)</f>
        <v>0</v>
      </c>
      <c r="AY53" s="206">
        <v>0</v>
      </c>
      <c r="AZ53" s="206">
        <v>0</v>
      </c>
      <c r="BA53" s="213">
        <v>0</v>
      </c>
      <c r="BB53" s="213">
        <f>tblSurrChrgRate[[#This Row],[UVL01]]</f>
        <v>0</v>
      </c>
      <c r="BU53" s="200">
        <v>2066</v>
      </c>
      <c r="BV53" s="218">
        <f ca="1">OFFSET(tblAdminChrg[[#This Row],[UVL01]],0,MATCH(base,tblAdminChrg[#Headers],0)-3)</f>
        <v>25000</v>
      </c>
      <c r="BW53" s="215">
        <v>25000</v>
      </c>
      <c r="BX53" s="215">
        <v>66000</v>
      </c>
      <c r="BY53" s="219">
        <v>66000</v>
      </c>
      <c r="BZ53" s="219">
        <v>40000</v>
      </c>
    </row>
    <row r="54" spans="2:78" x14ac:dyDescent="0.25">
      <c r="B54" s="197">
        <v>51</v>
      </c>
      <c r="C54" s="198">
        <f ca="1">OFFSET(tblTPRate[[#This Row],[UVL01_Male]],0,MATCH(base&amp;"_"&amp;mainLI_gender,tblTPRate[#Headers],0)-3)</f>
        <v>37.651319999999998</v>
      </c>
      <c r="D54" s="199">
        <v>37.651319999999998</v>
      </c>
      <c r="E54" s="199">
        <v>37.651319999999998</v>
      </c>
      <c r="F54" s="199">
        <v>37.651319999999998</v>
      </c>
      <c r="G54" s="199">
        <v>37.651319999999998</v>
      </c>
      <c r="H54" s="199">
        <v>37.651319999999998</v>
      </c>
      <c r="I54" s="199">
        <v>37.651319999999998</v>
      </c>
      <c r="J54" s="199">
        <v>37.651319999999998</v>
      </c>
      <c r="K54" s="199">
        <v>37.651319999999998</v>
      </c>
      <c r="N54" s="200">
        <v>51</v>
      </c>
      <c r="O54" s="201">
        <f ca="1">OFFSET(tblBaseCOIRate[[#This Row],[UVL01_Male]],0,MATCH(base&amp;"_"&amp;mainLI_gender,tblBaseCOIRate[#Headers],0)-3)</f>
        <v>5.4999999999999502E-3</v>
      </c>
      <c r="P54" s="202">
        <v>7.63000000000003E-3</v>
      </c>
      <c r="Q54" s="202">
        <v>5.4999999999999502E-3</v>
      </c>
      <c r="R54" s="202">
        <v>6.10400000000002E-3</v>
      </c>
      <c r="S54" s="202">
        <v>4.3999999999999604E-3</v>
      </c>
      <c r="T54" s="202">
        <v>6.10400000000002E-3</v>
      </c>
      <c r="U54" s="202">
        <v>4.3999999999999604E-3</v>
      </c>
      <c r="V54" s="202">
        <f>tblBaseCOIRate[[#This Row],[UVL01_Male]]</f>
        <v>7.63000000000003E-3</v>
      </c>
      <c r="W54" s="203">
        <f>tblBaseCOIRate[[#This Row],[UVL01_Female]]</f>
        <v>5.4999999999999502E-3</v>
      </c>
      <c r="AG54" s="200">
        <v>52</v>
      </c>
      <c r="AH54" s="205">
        <f ca="1">OFFSET(tblTPAllocChrgRate[[#This Row],[UVL01]],0,MATCH(base,tblTPAllocChrgRate[#Headers],0)-3)</f>
        <v>0.02</v>
      </c>
      <c r="AI54" s="206">
        <v>0.02</v>
      </c>
      <c r="AJ54" s="207">
        <v>0</v>
      </c>
      <c r="AK54" s="208">
        <v>0</v>
      </c>
      <c r="AL54" s="208">
        <f>tblTPAllocChrgRate[[#This Row],[UVL01]]</f>
        <v>0.02</v>
      </c>
      <c r="AO54" s="200">
        <v>52</v>
      </c>
      <c r="AP54" s="209">
        <f ca="1">OFFSET(tblEPAllocChrgRate[[#This Row],[UVL01]],0,MATCH(base,tblEPAllocChrgRate[#Headers],0)-3)</f>
        <v>0.02</v>
      </c>
      <c r="AQ54" s="210">
        <v>0.02</v>
      </c>
      <c r="AR54" s="211">
        <v>0</v>
      </c>
      <c r="AS54" s="212">
        <v>0</v>
      </c>
      <c r="AT54" s="212">
        <f>tblEPAllocChrgRate[[#This Row],[UVL01]]</f>
        <v>0.02</v>
      </c>
      <c r="AW54" s="200">
        <v>52</v>
      </c>
      <c r="AX54" s="209">
        <f ca="1">OFFSET(tblSurrChrgRate[[#This Row],[UVL01]],0,MATCH(base,tblSurrChrgRate[#Headers],0)-3)</f>
        <v>0</v>
      </c>
      <c r="AY54" s="206">
        <v>0</v>
      </c>
      <c r="AZ54" s="206">
        <v>0</v>
      </c>
      <c r="BA54" s="213">
        <v>0</v>
      </c>
      <c r="BB54" s="213">
        <f>tblSurrChrgRate[[#This Row],[UVL01]]</f>
        <v>0</v>
      </c>
      <c r="BU54" s="200">
        <v>2067</v>
      </c>
      <c r="BV54" s="218">
        <f ca="1">OFFSET(tblAdminChrg[[#This Row],[UVL01]],0,MATCH(base,tblAdminChrg[#Headers],0)-3)</f>
        <v>25000</v>
      </c>
      <c r="BW54" s="215">
        <v>25000</v>
      </c>
      <c r="BX54" s="215">
        <v>66000</v>
      </c>
      <c r="BY54" s="219">
        <v>66000</v>
      </c>
      <c r="BZ54" s="219">
        <v>40000</v>
      </c>
    </row>
    <row r="55" spans="2:78" x14ac:dyDescent="0.25">
      <c r="B55" s="197">
        <v>52</v>
      </c>
      <c r="C55" s="198">
        <f ca="1">OFFSET(tblTPRate[[#This Row],[UVL01_Male]],0,MATCH(base&amp;"_"&amp;mainLI_gender,tblTPRate[#Headers],0)-3)</f>
        <v>39.211080000000003</v>
      </c>
      <c r="D55" s="199">
        <v>39.211080000000003</v>
      </c>
      <c r="E55" s="199">
        <v>39.211080000000003</v>
      </c>
      <c r="F55" s="199">
        <v>39.211080000000003</v>
      </c>
      <c r="G55" s="199">
        <v>39.211080000000003</v>
      </c>
      <c r="H55" s="199">
        <v>39.211080000000003</v>
      </c>
      <c r="I55" s="199">
        <v>39.211080000000003</v>
      </c>
      <c r="J55" s="199">
        <v>39.211080000000003</v>
      </c>
      <c r="K55" s="199">
        <v>39.211080000000003</v>
      </c>
      <c r="N55" s="200">
        <v>52</v>
      </c>
      <c r="O55" s="201">
        <f ca="1">OFFSET(tblBaseCOIRate[[#This Row],[UVL01_Male]],0,MATCH(base&amp;"_"&amp;mainLI_gender,tblBaseCOIRate[#Headers],0)-3)</f>
        <v>5.9200000000000398E-3</v>
      </c>
      <c r="P55" s="202">
        <v>8.3300000000000596E-3</v>
      </c>
      <c r="Q55" s="202">
        <v>5.9200000000000398E-3</v>
      </c>
      <c r="R55" s="202">
        <v>6.6640000000000501E-3</v>
      </c>
      <c r="S55" s="202">
        <v>4.7360000000000301E-3</v>
      </c>
      <c r="T55" s="202">
        <v>6.6640000000000501E-3</v>
      </c>
      <c r="U55" s="202">
        <v>4.7360000000000301E-3</v>
      </c>
      <c r="V55" s="202">
        <f>tblBaseCOIRate[[#This Row],[UVL01_Male]]</f>
        <v>8.3300000000000596E-3</v>
      </c>
      <c r="W55" s="203">
        <f>tblBaseCOIRate[[#This Row],[UVL01_Female]]</f>
        <v>5.9200000000000398E-3</v>
      </c>
      <c r="AG55" s="200">
        <v>53</v>
      </c>
      <c r="AH55" s="205">
        <f ca="1">OFFSET(tblTPAllocChrgRate[[#This Row],[UVL01]],0,MATCH(base,tblTPAllocChrgRate[#Headers],0)-3)</f>
        <v>0.02</v>
      </c>
      <c r="AI55" s="206">
        <v>0.02</v>
      </c>
      <c r="AJ55" s="207">
        <v>0</v>
      </c>
      <c r="AK55" s="208">
        <v>0</v>
      </c>
      <c r="AL55" s="208">
        <f>tblTPAllocChrgRate[[#This Row],[UVL01]]</f>
        <v>0.02</v>
      </c>
      <c r="AO55" s="200">
        <v>53</v>
      </c>
      <c r="AP55" s="209">
        <f ca="1">OFFSET(tblEPAllocChrgRate[[#This Row],[UVL01]],0,MATCH(base,tblEPAllocChrgRate[#Headers],0)-3)</f>
        <v>0.02</v>
      </c>
      <c r="AQ55" s="210">
        <v>0.02</v>
      </c>
      <c r="AR55" s="211">
        <v>0</v>
      </c>
      <c r="AS55" s="212">
        <v>0</v>
      </c>
      <c r="AT55" s="212">
        <f>tblEPAllocChrgRate[[#This Row],[UVL01]]</f>
        <v>0.02</v>
      </c>
      <c r="AW55" s="200">
        <v>53</v>
      </c>
      <c r="AX55" s="209">
        <f ca="1">OFFSET(tblSurrChrgRate[[#This Row],[UVL01]],0,MATCH(base,tblSurrChrgRate[#Headers],0)-3)</f>
        <v>0</v>
      </c>
      <c r="AY55" s="206">
        <v>0</v>
      </c>
      <c r="AZ55" s="206">
        <v>0</v>
      </c>
      <c r="BA55" s="213">
        <v>0</v>
      </c>
      <c r="BB55" s="213">
        <f>tblSurrChrgRate[[#This Row],[UVL01]]</f>
        <v>0</v>
      </c>
      <c r="BU55" s="200">
        <v>2068</v>
      </c>
      <c r="BV55" s="218">
        <f ca="1">OFFSET(tblAdminChrg[[#This Row],[UVL01]],0,MATCH(base,tblAdminChrg[#Headers],0)-3)</f>
        <v>25000</v>
      </c>
      <c r="BW55" s="215">
        <v>25000</v>
      </c>
      <c r="BX55" s="215">
        <v>66000</v>
      </c>
      <c r="BY55" s="219">
        <v>66000</v>
      </c>
      <c r="BZ55" s="219">
        <v>40000</v>
      </c>
    </row>
    <row r="56" spans="2:78" x14ac:dyDescent="0.25">
      <c r="B56" s="197">
        <v>53</v>
      </c>
      <c r="C56" s="198">
        <f ca="1">OFFSET(tblTPRate[[#This Row],[UVL01_Male]],0,MATCH(base&amp;"_"&amp;mainLI_gender,tblTPRate[#Headers],0)-3)</f>
        <v>40.865310000000001</v>
      </c>
      <c r="D56" s="199">
        <v>40.865310000000001</v>
      </c>
      <c r="E56" s="199">
        <v>40.865310000000001</v>
      </c>
      <c r="F56" s="199">
        <v>40.865310000000001</v>
      </c>
      <c r="G56" s="199">
        <v>40.865310000000001</v>
      </c>
      <c r="H56" s="199">
        <v>40.865310000000001</v>
      </c>
      <c r="I56" s="199">
        <v>40.865310000000001</v>
      </c>
      <c r="J56" s="199">
        <v>40.865310000000001</v>
      </c>
      <c r="K56" s="199">
        <v>40.865310000000001</v>
      </c>
      <c r="N56" s="200">
        <v>53</v>
      </c>
      <c r="O56" s="201">
        <f ca="1">OFFSET(tblBaseCOIRate[[#This Row],[UVL01_Male]],0,MATCH(base&amp;"_"&amp;mainLI_gender,tblBaseCOIRate[#Headers],0)-3)</f>
        <v>6.3799999999999404E-3</v>
      </c>
      <c r="P56" s="202">
        <v>9.1299999999999697E-3</v>
      </c>
      <c r="Q56" s="202">
        <v>6.3799999999999404E-3</v>
      </c>
      <c r="R56" s="202">
        <v>7.3039999999999798E-3</v>
      </c>
      <c r="S56" s="202">
        <v>5.1039999999999497E-3</v>
      </c>
      <c r="T56" s="202">
        <v>7.3039999999999798E-3</v>
      </c>
      <c r="U56" s="202">
        <v>5.1039999999999497E-3</v>
      </c>
      <c r="V56" s="202">
        <f>tblBaseCOIRate[[#This Row],[UVL01_Male]]</f>
        <v>9.1299999999999697E-3</v>
      </c>
      <c r="W56" s="203">
        <f>tblBaseCOIRate[[#This Row],[UVL01_Female]]</f>
        <v>6.3799999999999404E-3</v>
      </c>
      <c r="AG56" s="200">
        <v>54</v>
      </c>
      <c r="AH56" s="205">
        <f ca="1">OFFSET(tblTPAllocChrgRate[[#This Row],[UVL01]],0,MATCH(base,tblTPAllocChrgRate[#Headers],0)-3)</f>
        <v>0.02</v>
      </c>
      <c r="AI56" s="206">
        <v>0.02</v>
      </c>
      <c r="AJ56" s="207">
        <v>0</v>
      </c>
      <c r="AK56" s="208">
        <v>0</v>
      </c>
      <c r="AL56" s="208">
        <f>tblTPAllocChrgRate[[#This Row],[UVL01]]</f>
        <v>0.02</v>
      </c>
      <c r="AO56" s="200">
        <v>54</v>
      </c>
      <c r="AP56" s="209">
        <f ca="1">OFFSET(tblEPAllocChrgRate[[#This Row],[UVL01]],0,MATCH(base,tblEPAllocChrgRate[#Headers],0)-3)</f>
        <v>0.02</v>
      </c>
      <c r="AQ56" s="210">
        <v>0.02</v>
      </c>
      <c r="AR56" s="211">
        <v>0</v>
      </c>
      <c r="AS56" s="212">
        <v>0</v>
      </c>
      <c r="AT56" s="212">
        <f>tblEPAllocChrgRate[[#This Row],[UVL01]]</f>
        <v>0.02</v>
      </c>
      <c r="AW56" s="200">
        <v>54</v>
      </c>
      <c r="AX56" s="209">
        <f ca="1">OFFSET(tblSurrChrgRate[[#This Row],[UVL01]],0,MATCH(base,tblSurrChrgRate[#Headers],0)-3)</f>
        <v>0</v>
      </c>
      <c r="AY56" s="206">
        <v>0</v>
      </c>
      <c r="AZ56" s="206">
        <v>0</v>
      </c>
      <c r="BA56" s="213">
        <v>0</v>
      </c>
      <c r="BB56" s="213">
        <f>tblSurrChrgRate[[#This Row],[UVL01]]</f>
        <v>0</v>
      </c>
      <c r="BU56" s="200">
        <v>2069</v>
      </c>
      <c r="BV56" s="218">
        <f ca="1">OFFSET(tblAdminChrg[[#This Row],[UVL01]],0,MATCH(base,tblAdminChrg[#Headers],0)-3)</f>
        <v>25000</v>
      </c>
      <c r="BW56" s="215">
        <v>25000</v>
      </c>
      <c r="BX56" s="215">
        <v>66000</v>
      </c>
      <c r="BY56" s="219">
        <v>66000</v>
      </c>
      <c r="BZ56" s="219">
        <v>40000</v>
      </c>
    </row>
    <row r="57" spans="2:78" x14ac:dyDescent="0.25">
      <c r="B57" s="197">
        <v>54</v>
      </c>
      <c r="C57" s="198">
        <f ca="1">OFFSET(tblTPRate[[#This Row],[UVL01_Male]],0,MATCH(base&amp;"_"&amp;mainLI_gender,tblTPRate[#Headers],0)-3)</f>
        <v>42.622050000000002</v>
      </c>
      <c r="D57" s="199">
        <v>42.622050000000002</v>
      </c>
      <c r="E57" s="199">
        <v>42.622050000000002</v>
      </c>
      <c r="F57" s="199">
        <v>42.622050000000002</v>
      </c>
      <c r="G57" s="199">
        <v>42.622050000000002</v>
      </c>
      <c r="H57" s="199">
        <v>42.622050000000002</v>
      </c>
      <c r="I57" s="199">
        <v>42.622050000000002</v>
      </c>
      <c r="J57" s="199">
        <v>42.622050000000002</v>
      </c>
      <c r="K57" s="199">
        <v>42.622050000000002</v>
      </c>
      <c r="N57" s="200">
        <v>54</v>
      </c>
      <c r="O57" s="201">
        <f ca="1">OFFSET(tblBaseCOIRate[[#This Row],[UVL01_Male]],0,MATCH(base&amp;"_"&amp;mainLI_gender,tblBaseCOIRate[#Headers],0)-3)</f>
        <v>6.84999999999991E-3</v>
      </c>
      <c r="P57" s="202">
        <v>1.00100000000001E-2</v>
      </c>
      <c r="Q57" s="202">
        <v>6.84999999999991E-3</v>
      </c>
      <c r="R57" s="202">
        <v>8.0080000000000602E-3</v>
      </c>
      <c r="S57" s="202">
        <v>5.4799999999999302E-3</v>
      </c>
      <c r="T57" s="202">
        <v>8.0080000000000602E-3</v>
      </c>
      <c r="U57" s="202">
        <v>5.4799999999999302E-3</v>
      </c>
      <c r="V57" s="202">
        <f>tblBaseCOIRate[[#This Row],[UVL01_Male]]</f>
        <v>1.00100000000001E-2</v>
      </c>
      <c r="W57" s="203">
        <f>tblBaseCOIRate[[#This Row],[UVL01_Female]]</f>
        <v>6.84999999999991E-3</v>
      </c>
      <c r="AG57" s="200">
        <v>55</v>
      </c>
      <c r="AH57" s="205">
        <f ca="1">OFFSET(tblTPAllocChrgRate[[#This Row],[UVL01]],0,MATCH(base,tblTPAllocChrgRate[#Headers],0)-3)</f>
        <v>0.02</v>
      </c>
      <c r="AI57" s="206">
        <v>0.02</v>
      </c>
      <c r="AJ57" s="207">
        <v>0</v>
      </c>
      <c r="AK57" s="208">
        <v>0</v>
      </c>
      <c r="AL57" s="208">
        <f>tblTPAllocChrgRate[[#This Row],[UVL01]]</f>
        <v>0.02</v>
      </c>
      <c r="AO57" s="200">
        <v>55</v>
      </c>
      <c r="AP57" s="209">
        <f ca="1">OFFSET(tblEPAllocChrgRate[[#This Row],[UVL01]],0,MATCH(base,tblEPAllocChrgRate[#Headers],0)-3)</f>
        <v>0.02</v>
      </c>
      <c r="AQ57" s="210">
        <v>0.02</v>
      </c>
      <c r="AR57" s="211">
        <v>0</v>
      </c>
      <c r="AS57" s="212">
        <v>0</v>
      </c>
      <c r="AT57" s="212">
        <f>tblEPAllocChrgRate[[#This Row],[UVL01]]</f>
        <v>0.02</v>
      </c>
      <c r="AW57" s="200">
        <v>55</v>
      </c>
      <c r="AX57" s="209">
        <f ca="1">OFFSET(tblSurrChrgRate[[#This Row],[UVL01]],0,MATCH(base,tblSurrChrgRate[#Headers],0)-3)</f>
        <v>0</v>
      </c>
      <c r="AY57" s="206">
        <v>0</v>
      </c>
      <c r="AZ57" s="206">
        <v>0</v>
      </c>
      <c r="BA57" s="213">
        <v>0</v>
      </c>
      <c r="BB57" s="213">
        <f>tblSurrChrgRate[[#This Row],[UVL01]]</f>
        <v>0</v>
      </c>
      <c r="BU57" s="200">
        <v>2070</v>
      </c>
      <c r="BV57" s="218">
        <f ca="1">OFFSET(tblAdminChrg[[#This Row],[UVL01]],0,MATCH(base,tblAdminChrg[#Headers],0)-3)</f>
        <v>25000</v>
      </c>
      <c r="BW57" s="215">
        <v>25000</v>
      </c>
      <c r="BX57" s="215">
        <v>66000</v>
      </c>
      <c r="BY57" s="219">
        <v>66000</v>
      </c>
      <c r="BZ57" s="219">
        <v>40000</v>
      </c>
    </row>
    <row r="58" spans="2:78" x14ac:dyDescent="0.25">
      <c r="B58" s="197">
        <v>55</v>
      </c>
      <c r="C58" s="198">
        <f ca="1">OFFSET(tblTPRate[[#This Row],[UVL01_Male]],0,MATCH(base&amp;"_"&amp;mainLI_gender,tblTPRate[#Headers],0)-3)</f>
        <v>44.486330000000002</v>
      </c>
      <c r="D58" s="199">
        <v>44.486330000000002</v>
      </c>
      <c r="E58" s="199">
        <v>44.486330000000002</v>
      </c>
      <c r="F58" s="199">
        <v>44.486330000000002</v>
      </c>
      <c r="G58" s="199">
        <v>44.486330000000002</v>
      </c>
      <c r="H58" s="199">
        <v>44.486330000000002</v>
      </c>
      <c r="I58" s="199">
        <v>44.486330000000002</v>
      </c>
      <c r="J58" s="199">
        <v>44.486330000000002</v>
      </c>
      <c r="K58" s="199">
        <v>44.486330000000002</v>
      </c>
      <c r="N58" s="200">
        <v>55</v>
      </c>
      <c r="O58" s="201">
        <f ca="1">OFFSET(tblBaseCOIRate[[#This Row],[UVL01_Male]],0,MATCH(base&amp;"_"&amp;mainLI_gender,tblBaseCOIRate[#Headers],0)-3)</f>
        <v>7.3300000000000604E-3</v>
      </c>
      <c r="P58" s="202">
        <v>1.0959999999999999E-2</v>
      </c>
      <c r="Q58" s="202">
        <v>7.3300000000000604E-3</v>
      </c>
      <c r="R58" s="202">
        <v>8.7679999999999807E-3</v>
      </c>
      <c r="S58" s="202">
        <v>5.8640000000000497E-3</v>
      </c>
      <c r="T58" s="202">
        <v>8.7679999999999807E-3</v>
      </c>
      <c r="U58" s="202">
        <v>5.8640000000000497E-3</v>
      </c>
      <c r="V58" s="202">
        <f>tblBaseCOIRate[[#This Row],[UVL01_Male]]</f>
        <v>1.0959999999999999E-2</v>
      </c>
      <c r="W58" s="203">
        <f>tblBaseCOIRate[[#This Row],[UVL01_Female]]</f>
        <v>7.3300000000000604E-3</v>
      </c>
      <c r="AG58" s="200">
        <v>56</v>
      </c>
      <c r="AH58" s="205">
        <f ca="1">OFFSET(tblTPAllocChrgRate[[#This Row],[UVL01]],0,MATCH(base,tblTPAllocChrgRate[#Headers],0)-3)</f>
        <v>0.02</v>
      </c>
      <c r="AI58" s="206">
        <v>0.02</v>
      </c>
      <c r="AJ58" s="207">
        <v>0</v>
      </c>
      <c r="AK58" s="208">
        <v>0</v>
      </c>
      <c r="AL58" s="208">
        <f>tblTPAllocChrgRate[[#This Row],[UVL01]]</f>
        <v>0.02</v>
      </c>
      <c r="AO58" s="200">
        <v>56</v>
      </c>
      <c r="AP58" s="209">
        <f ca="1">OFFSET(tblEPAllocChrgRate[[#This Row],[UVL01]],0,MATCH(base,tblEPAllocChrgRate[#Headers],0)-3)</f>
        <v>0.02</v>
      </c>
      <c r="AQ58" s="210">
        <v>0.02</v>
      </c>
      <c r="AR58" s="211">
        <v>0</v>
      </c>
      <c r="AS58" s="212">
        <v>0</v>
      </c>
      <c r="AT58" s="212">
        <f>tblEPAllocChrgRate[[#This Row],[UVL01]]</f>
        <v>0.02</v>
      </c>
      <c r="AW58" s="200">
        <v>56</v>
      </c>
      <c r="AX58" s="209">
        <f ca="1">OFFSET(tblSurrChrgRate[[#This Row],[UVL01]],0,MATCH(base,tblSurrChrgRate[#Headers],0)-3)</f>
        <v>0</v>
      </c>
      <c r="AY58" s="206">
        <v>0</v>
      </c>
      <c r="AZ58" s="206">
        <v>0</v>
      </c>
      <c r="BA58" s="213">
        <v>0</v>
      </c>
      <c r="BB58" s="213">
        <f>tblSurrChrgRate[[#This Row],[UVL01]]</f>
        <v>0</v>
      </c>
      <c r="BU58" s="200">
        <v>2071</v>
      </c>
      <c r="BV58" s="218">
        <f ca="1">OFFSET(tblAdminChrg[[#This Row],[UVL01]],0,MATCH(base,tblAdminChrg[#Headers],0)-3)</f>
        <v>25000</v>
      </c>
      <c r="BW58" s="215">
        <v>25000</v>
      </c>
      <c r="BX58" s="215">
        <v>66000</v>
      </c>
      <c r="BY58" s="219">
        <v>66000</v>
      </c>
      <c r="BZ58" s="219">
        <v>40000</v>
      </c>
    </row>
    <row r="59" spans="2:78" x14ac:dyDescent="0.25">
      <c r="B59" s="197">
        <v>56</v>
      </c>
      <c r="C59" s="198">
        <f ca="1">OFFSET(tblTPRate[[#This Row],[UVL01_Male]],0,MATCH(base&amp;"_"&amp;mainLI_gender,tblTPRate[#Headers],0)-3)</f>
        <v>46.469189999999998</v>
      </c>
      <c r="D59" s="199">
        <v>46.469189999999998</v>
      </c>
      <c r="E59" s="199">
        <v>46.469189999999998</v>
      </c>
      <c r="F59" s="199">
        <v>46.469189999999998</v>
      </c>
      <c r="G59" s="199">
        <v>46.469189999999998</v>
      </c>
      <c r="H59" s="199">
        <v>46.469189999999998</v>
      </c>
      <c r="I59" s="199">
        <v>46.469189999999998</v>
      </c>
      <c r="J59" s="199">
        <v>46.469189999999998</v>
      </c>
      <c r="K59" s="199">
        <v>46.469189999999998</v>
      </c>
      <c r="N59" s="200">
        <v>56</v>
      </c>
      <c r="O59" s="201">
        <f ca="1">OFFSET(tblBaseCOIRate[[#This Row],[UVL01_Male]],0,MATCH(base&amp;"_"&amp;mainLI_gender,tblBaseCOIRate[#Headers],0)-3)</f>
        <v>7.7999999999999198E-3</v>
      </c>
      <c r="P59" s="202">
        <v>1.1969999999999901E-2</v>
      </c>
      <c r="Q59" s="202">
        <v>7.7999999999999198E-3</v>
      </c>
      <c r="R59" s="202">
        <v>9.5759999999999405E-3</v>
      </c>
      <c r="S59" s="202">
        <v>6.23999999999994E-3</v>
      </c>
      <c r="T59" s="202">
        <v>9.5759999999999405E-3</v>
      </c>
      <c r="U59" s="202">
        <v>6.23999999999994E-3</v>
      </c>
      <c r="V59" s="202">
        <f>tblBaseCOIRate[[#This Row],[UVL01_Male]]</f>
        <v>1.1969999999999901E-2</v>
      </c>
      <c r="W59" s="203">
        <f>tblBaseCOIRate[[#This Row],[UVL01_Female]]</f>
        <v>7.7999999999999198E-3</v>
      </c>
      <c r="AG59" s="200">
        <v>57</v>
      </c>
      <c r="AH59" s="205">
        <f ca="1">OFFSET(tblTPAllocChrgRate[[#This Row],[UVL01]],0,MATCH(base,tblTPAllocChrgRate[#Headers],0)-3)</f>
        <v>0.02</v>
      </c>
      <c r="AI59" s="206">
        <v>0.02</v>
      </c>
      <c r="AJ59" s="207">
        <v>0</v>
      </c>
      <c r="AK59" s="208">
        <v>0</v>
      </c>
      <c r="AL59" s="208">
        <f>tblTPAllocChrgRate[[#This Row],[UVL01]]</f>
        <v>0.02</v>
      </c>
      <c r="AO59" s="200">
        <v>57</v>
      </c>
      <c r="AP59" s="209">
        <f ca="1">OFFSET(tblEPAllocChrgRate[[#This Row],[UVL01]],0,MATCH(base,tblEPAllocChrgRate[#Headers],0)-3)</f>
        <v>0.02</v>
      </c>
      <c r="AQ59" s="210">
        <v>0.02</v>
      </c>
      <c r="AR59" s="211">
        <v>0</v>
      </c>
      <c r="AS59" s="212">
        <v>0</v>
      </c>
      <c r="AT59" s="212">
        <f>tblEPAllocChrgRate[[#This Row],[UVL01]]</f>
        <v>0.02</v>
      </c>
      <c r="AW59" s="200">
        <v>57</v>
      </c>
      <c r="AX59" s="209">
        <f ca="1">OFFSET(tblSurrChrgRate[[#This Row],[UVL01]],0,MATCH(base,tblSurrChrgRate[#Headers],0)-3)</f>
        <v>0</v>
      </c>
      <c r="AY59" s="206">
        <v>0</v>
      </c>
      <c r="AZ59" s="206">
        <v>0</v>
      </c>
      <c r="BA59" s="213">
        <v>0</v>
      </c>
      <c r="BB59" s="213">
        <f>tblSurrChrgRate[[#This Row],[UVL01]]</f>
        <v>0</v>
      </c>
      <c r="BU59" s="200">
        <v>2072</v>
      </c>
      <c r="BV59" s="218">
        <f ca="1">OFFSET(tblAdminChrg[[#This Row],[UVL01]],0,MATCH(base,tblAdminChrg[#Headers],0)-3)</f>
        <v>25000</v>
      </c>
      <c r="BW59" s="215">
        <v>25000</v>
      </c>
      <c r="BX59" s="215">
        <v>66000</v>
      </c>
      <c r="BY59" s="219">
        <v>66000</v>
      </c>
      <c r="BZ59" s="219">
        <v>40000</v>
      </c>
    </row>
    <row r="60" spans="2:78" x14ac:dyDescent="0.25">
      <c r="B60" s="197">
        <v>57</v>
      </c>
      <c r="C60" s="198">
        <f ca="1">OFFSET(tblTPRate[[#This Row],[UVL01_Male]],0,MATCH(base&amp;"_"&amp;mainLI_gender,tblTPRate[#Headers],0)-3)</f>
        <v>48.579689999999999</v>
      </c>
      <c r="D60" s="199">
        <v>48.579689999999999</v>
      </c>
      <c r="E60" s="199">
        <v>48.579689999999999</v>
      </c>
      <c r="F60" s="199">
        <v>48.579689999999999</v>
      </c>
      <c r="G60" s="199">
        <v>48.579689999999999</v>
      </c>
      <c r="H60" s="199">
        <v>48.579689999999999</v>
      </c>
      <c r="I60" s="199">
        <v>48.579689999999999</v>
      </c>
      <c r="J60" s="199">
        <v>48.579689999999999</v>
      </c>
      <c r="K60" s="199">
        <v>48.579689999999999</v>
      </c>
      <c r="N60" s="200">
        <v>57</v>
      </c>
      <c r="O60" s="201">
        <f ca="1">OFFSET(tblBaseCOIRate[[#This Row],[UVL01_Male]],0,MATCH(base&amp;"_"&amp;mainLI_gender,tblBaseCOIRate[#Headers],0)-3)</f>
        <v>8.2500000000000906E-3</v>
      </c>
      <c r="P60" s="202">
        <v>1.30400000000001E-2</v>
      </c>
      <c r="Q60" s="202">
        <v>8.2500000000000906E-3</v>
      </c>
      <c r="R60" s="202">
        <v>1.0432E-2</v>
      </c>
      <c r="S60" s="202">
        <v>6.6000000000000702E-3</v>
      </c>
      <c r="T60" s="202">
        <v>1.0432E-2</v>
      </c>
      <c r="U60" s="202">
        <v>6.6000000000000702E-3</v>
      </c>
      <c r="V60" s="202">
        <f>tblBaseCOIRate[[#This Row],[UVL01_Male]]</f>
        <v>1.30400000000001E-2</v>
      </c>
      <c r="W60" s="203">
        <f>tblBaseCOIRate[[#This Row],[UVL01_Female]]</f>
        <v>8.2500000000000906E-3</v>
      </c>
      <c r="AG60" s="200">
        <v>58</v>
      </c>
      <c r="AH60" s="205">
        <f ca="1">OFFSET(tblTPAllocChrgRate[[#This Row],[UVL01]],0,MATCH(base,tblTPAllocChrgRate[#Headers],0)-3)</f>
        <v>0.02</v>
      </c>
      <c r="AI60" s="206">
        <v>0.02</v>
      </c>
      <c r="AJ60" s="207">
        <v>0</v>
      </c>
      <c r="AK60" s="208">
        <v>0</v>
      </c>
      <c r="AL60" s="208">
        <f>tblTPAllocChrgRate[[#This Row],[UVL01]]</f>
        <v>0.02</v>
      </c>
      <c r="AO60" s="200">
        <v>58</v>
      </c>
      <c r="AP60" s="209">
        <f ca="1">OFFSET(tblEPAllocChrgRate[[#This Row],[UVL01]],0,MATCH(base,tblEPAllocChrgRate[#Headers],0)-3)</f>
        <v>0.02</v>
      </c>
      <c r="AQ60" s="210">
        <v>0.02</v>
      </c>
      <c r="AR60" s="211">
        <v>0</v>
      </c>
      <c r="AS60" s="212">
        <v>0</v>
      </c>
      <c r="AT60" s="212">
        <f>tblEPAllocChrgRate[[#This Row],[UVL01]]</f>
        <v>0.02</v>
      </c>
      <c r="AW60" s="200">
        <v>58</v>
      </c>
      <c r="AX60" s="209">
        <f ca="1">OFFSET(tblSurrChrgRate[[#This Row],[UVL01]],0,MATCH(base,tblSurrChrgRate[#Headers],0)-3)</f>
        <v>0</v>
      </c>
      <c r="AY60" s="206">
        <v>0</v>
      </c>
      <c r="AZ60" s="206">
        <v>0</v>
      </c>
      <c r="BA60" s="213">
        <v>0</v>
      </c>
      <c r="BB60" s="213">
        <f>tblSurrChrgRate[[#This Row],[UVL01]]</f>
        <v>0</v>
      </c>
      <c r="BU60" s="200">
        <v>2073</v>
      </c>
      <c r="BV60" s="218">
        <f ca="1">OFFSET(tblAdminChrg[[#This Row],[UVL01]],0,MATCH(base,tblAdminChrg[#Headers],0)-3)</f>
        <v>25000</v>
      </c>
      <c r="BW60" s="215">
        <v>25000</v>
      </c>
      <c r="BX60" s="215">
        <v>66000</v>
      </c>
      <c r="BY60" s="219">
        <v>66000</v>
      </c>
      <c r="BZ60" s="219">
        <v>40000</v>
      </c>
    </row>
    <row r="61" spans="2:78" x14ac:dyDescent="0.25">
      <c r="B61" s="197">
        <v>58</v>
      </c>
      <c r="C61" s="198">
        <f ca="1">OFFSET(tblTPRate[[#This Row],[UVL01_Male]],0,MATCH(base&amp;"_"&amp;mainLI_gender,tblTPRate[#Headers],0)-3)</f>
        <v>50.832900000000002</v>
      </c>
      <c r="D61" s="199">
        <v>50.832900000000002</v>
      </c>
      <c r="E61" s="199">
        <v>50.832900000000002</v>
      </c>
      <c r="F61" s="199">
        <v>50.832900000000002</v>
      </c>
      <c r="G61" s="199">
        <v>50.832900000000002</v>
      </c>
      <c r="H61" s="199">
        <v>50.832900000000002</v>
      </c>
      <c r="I61" s="199">
        <v>50.832900000000002</v>
      </c>
      <c r="J61" s="199">
        <v>50.832900000000002</v>
      </c>
      <c r="K61" s="199">
        <v>50.832900000000002</v>
      </c>
      <c r="N61" s="200">
        <v>58</v>
      </c>
      <c r="O61" s="201">
        <f ca="1">OFFSET(tblBaseCOIRate[[#This Row],[UVL01_Male]],0,MATCH(base&amp;"_"&amp;mainLI_gender,tblBaseCOIRate[#Headers],0)-3)</f>
        <v>8.7000000000000393E-3</v>
      </c>
      <c r="P61" s="202">
        <v>1.4180000000000101E-2</v>
      </c>
      <c r="Q61" s="202">
        <v>8.7000000000000393E-3</v>
      </c>
      <c r="R61" s="202">
        <v>1.1344000000000101E-2</v>
      </c>
      <c r="S61" s="202">
        <v>6.9600000000000304E-3</v>
      </c>
      <c r="T61" s="202">
        <v>1.1344000000000101E-2</v>
      </c>
      <c r="U61" s="202">
        <v>6.9600000000000304E-3</v>
      </c>
      <c r="V61" s="202">
        <f>tblBaseCOIRate[[#This Row],[UVL01_Male]]</f>
        <v>1.4180000000000101E-2</v>
      </c>
      <c r="W61" s="203">
        <f>tblBaseCOIRate[[#This Row],[UVL01_Female]]</f>
        <v>8.7000000000000393E-3</v>
      </c>
      <c r="AG61" s="200">
        <v>59</v>
      </c>
      <c r="AH61" s="205">
        <f ca="1">OFFSET(tblTPAllocChrgRate[[#This Row],[UVL01]],0,MATCH(base,tblTPAllocChrgRate[#Headers],0)-3)</f>
        <v>0.02</v>
      </c>
      <c r="AI61" s="206">
        <v>0.02</v>
      </c>
      <c r="AJ61" s="207">
        <v>0</v>
      </c>
      <c r="AK61" s="208">
        <v>0</v>
      </c>
      <c r="AL61" s="208">
        <f>tblTPAllocChrgRate[[#This Row],[UVL01]]</f>
        <v>0.02</v>
      </c>
      <c r="AO61" s="200">
        <v>59</v>
      </c>
      <c r="AP61" s="209">
        <f ca="1">OFFSET(tblEPAllocChrgRate[[#This Row],[UVL01]],0,MATCH(base,tblEPAllocChrgRate[#Headers],0)-3)</f>
        <v>0.02</v>
      </c>
      <c r="AQ61" s="210">
        <v>0.02</v>
      </c>
      <c r="AR61" s="211">
        <v>0</v>
      </c>
      <c r="AS61" s="212">
        <v>0</v>
      </c>
      <c r="AT61" s="212">
        <f>tblEPAllocChrgRate[[#This Row],[UVL01]]</f>
        <v>0.02</v>
      </c>
      <c r="AW61" s="200">
        <v>59</v>
      </c>
      <c r="AX61" s="209">
        <f ca="1">OFFSET(tblSurrChrgRate[[#This Row],[UVL01]],0,MATCH(base,tblSurrChrgRate[#Headers],0)-3)</f>
        <v>0</v>
      </c>
      <c r="AY61" s="206">
        <v>0</v>
      </c>
      <c r="AZ61" s="206">
        <v>0</v>
      </c>
      <c r="BA61" s="213">
        <v>0</v>
      </c>
      <c r="BB61" s="213">
        <f>tblSurrChrgRate[[#This Row],[UVL01]]</f>
        <v>0</v>
      </c>
      <c r="BU61" s="200">
        <v>2074</v>
      </c>
      <c r="BV61" s="218">
        <f ca="1">OFFSET(tblAdminChrg[[#This Row],[UVL01]],0,MATCH(base,tblAdminChrg[#Headers],0)-3)</f>
        <v>25000</v>
      </c>
      <c r="BW61" s="215">
        <v>25000</v>
      </c>
      <c r="BX61" s="215">
        <v>66000</v>
      </c>
      <c r="BY61" s="219">
        <v>66000</v>
      </c>
      <c r="BZ61" s="219">
        <v>40000</v>
      </c>
    </row>
    <row r="62" spans="2:78" x14ac:dyDescent="0.25">
      <c r="B62" s="197">
        <v>59</v>
      </c>
      <c r="C62" s="198">
        <f ca="1">OFFSET(tblTPRate[[#This Row],[UVL01_Male]],0,MATCH(base&amp;"_"&amp;mainLI_gender,tblTPRate[#Headers],0)-3)</f>
        <v>53.242890000000003</v>
      </c>
      <c r="D62" s="199">
        <v>53.242890000000003</v>
      </c>
      <c r="E62" s="199">
        <v>53.242890000000003</v>
      </c>
      <c r="F62" s="199">
        <v>53.242890000000003</v>
      </c>
      <c r="G62" s="199">
        <v>53.242890000000003</v>
      </c>
      <c r="H62" s="199">
        <v>53.242890000000003</v>
      </c>
      <c r="I62" s="199">
        <v>53.242890000000003</v>
      </c>
      <c r="J62" s="199">
        <v>53.242890000000003</v>
      </c>
      <c r="K62" s="199">
        <v>53.242890000000003</v>
      </c>
      <c r="N62" s="200">
        <v>59</v>
      </c>
      <c r="O62" s="201">
        <f ca="1">OFFSET(tblBaseCOIRate[[#This Row],[UVL01_Male]],0,MATCH(base&amp;"_"&amp;mainLI_gender,tblBaseCOIRate[#Headers],0)-3)</f>
        <v>9.1999999999999894E-3</v>
      </c>
      <c r="P62" s="202">
        <v>1.5419999999999901E-2</v>
      </c>
      <c r="Q62" s="202">
        <v>9.1999999999999894E-3</v>
      </c>
      <c r="R62" s="202">
        <v>1.2335999999999901E-2</v>
      </c>
      <c r="S62" s="202">
        <v>7.3599999999999898E-3</v>
      </c>
      <c r="T62" s="202">
        <v>1.2335999999999901E-2</v>
      </c>
      <c r="U62" s="202">
        <v>7.3599999999999898E-3</v>
      </c>
      <c r="V62" s="202">
        <f>tblBaseCOIRate[[#This Row],[UVL01_Male]]</f>
        <v>1.5419999999999901E-2</v>
      </c>
      <c r="W62" s="203">
        <f>tblBaseCOIRate[[#This Row],[UVL01_Female]]</f>
        <v>9.1999999999999894E-3</v>
      </c>
      <c r="AG62" s="200">
        <v>60</v>
      </c>
      <c r="AH62" s="205">
        <f ca="1">OFFSET(tblTPAllocChrgRate[[#This Row],[UVL01]],0,MATCH(base,tblTPAllocChrgRate[#Headers],0)-3)</f>
        <v>0.02</v>
      </c>
      <c r="AI62" s="206">
        <v>0.02</v>
      </c>
      <c r="AJ62" s="207">
        <v>0</v>
      </c>
      <c r="AK62" s="208">
        <v>0</v>
      </c>
      <c r="AL62" s="208">
        <f>tblTPAllocChrgRate[[#This Row],[UVL01]]</f>
        <v>0.02</v>
      </c>
      <c r="AO62" s="200">
        <v>60</v>
      </c>
      <c r="AP62" s="209">
        <f ca="1">OFFSET(tblEPAllocChrgRate[[#This Row],[UVL01]],0,MATCH(base,tblEPAllocChrgRate[#Headers],0)-3)</f>
        <v>0.02</v>
      </c>
      <c r="AQ62" s="210">
        <v>0.02</v>
      </c>
      <c r="AR62" s="211">
        <v>0</v>
      </c>
      <c r="AS62" s="212">
        <v>0</v>
      </c>
      <c r="AT62" s="212">
        <f>tblEPAllocChrgRate[[#This Row],[UVL01]]</f>
        <v>0.02</v>
      </c>
      <c r="AW62" s="200">
        <v>60</v>
      </c>
      <c r="AX62" s="209">
        <f ca="1">OFFSET(tblSurrChrgRate[[#This Row],[UVL01]],0,MATCH(base,tblSurrChrgRate[#Headers],0)-3)</f>
        <v>0</v>
      </c>
      <c r="AY62" s="206">
        <v>0</v>
      </c>
      <c r="AZ62" s="206">
        <v>0</v>
      </c>
      <c r="BA62" s="213">
        <v>0</v>
      </c>
      <c r="BB62" s="213">
        <f>tblSurrChrgRate[[#This Row],[UVL01]]</f>
        <v>0</v>
      </c>
      <c r="BU62" s="200">
        <v>2075</v>
      </c>
      <c r="BV62" s="218">
        <f ca="1">OFFSET(tblAdminChrg[[#This Row],[UVL01]],0,MATCH(base,tblAdminChrg[#Headers],0)-3)</f>
        <v>25000</v>
      </c>
      <c r="BW62" s="215">
        <v>25000</v>
      </c>
      <c r="BX62" s="215">
        <v>66000</v>
      </c>
      <c r="BY62" s="219">
        <v>66000</v>
      </c>
      <c r="BZ62" s="219">
        <v>40000</v>
      </c>
    </row>
    <row r="63" spans="2:78" x14ac:dyDescent="0.25">
      <c r="B63" s="197">
        <v>60</v>
      </c>
      <c r="C63" s="198">
        <f ca="1">OFFSET(tblTPRate[[#This Row],[UVL01_Male]],0,MATCH(base&amp;"_"&amp;mainLI_gender,tblTPRate[#Headers],0)-3)</f>
        <v>55.823729999999998</v>
      </c>
      <c r="D63" s="199">
        <v>55.823729999999998</v>
      </c>
      <c r="E63" s="199">
        <v>55.823729999999998</v>
      </c>
      <c r="F63" s="199">
        <v>55.823729999999998</v>
      </c>
      <c r="G63" s="199">
        <v>55.823729999999998</v>
      </c>
      <c r="H63" s="199">
        <v>55.823729999999998</v>
      </c>
      <c r="I63" s="199">
        <v>55.823729999999998</v>
      </c>
      <c r="J63" s="199">
        <v>55.823729999999998</v>
      </c>
      <c r="K63" s="199">
        <v>55.823729999999998</v>
      </c>
      <c r="N63" s="200">
        <v>60</v>
      </c>
      <c r="O63" s="201">
        <f ca="1">OFFSET(tblBaseCOIRate[[#This Row],[UVL01_Male]],0,MATCH(base&amp;"_"&amp;mainLI_gender,tblBaseCOIRate[#Headers],0)-3)</f>
        <v>9.7999999999999199E-3</v>
      </c>
      <c r="P63" s="202">
        <v>1.6799999999999898E-2</v>
      </c>
      <c r="Q63" s="202">
        <v>9.7999999999999199E-3</v>
      </c>
      <c r="R63" s="202">
        <v>1.34399999999999E-2</v>
      </c>
      <c r="S63" s="202">
        <v>7.8399999999999408E-3</v>
      </c>
      <c r="T63" s="202">
        <v>1.34399999999999E-2</v>
      </c>
      <c r="U63" s="202">
        <v>7.8399999999999408E-3</v>
      </c>
      <c r="V63" s="202">
        <f>tblBaseCOIRate[[#This Row],[UVL01_Male]]</f>
        <v>1.6799999999999898E-2</v>
      </c>
      <c r="W63" s="203">
        <f>tblBaseCOIRate[[#This Row],[UVL01_Female]]</f>
        <v>9.7999999999999199E-3</v>
      </c>
      <c r="AG63" s="200">
        <v>61</v>
      </c>
      <c r="AH63" s="205">
        <f ca="1">OFFSET(tblTPAllocChrgRate[[#This Row],[UVL01]],0,MATCH(base,tblTPAllocChrgRate[#Headers],0)-3)</f>
        <v>0.02</v>
      </c>
      <c r="AI63" s="206">
        <v>0.02</v>
      </c>
      <c r="AJ63" s="207">
        <v>0</v>
      </c>
      <c r="AK63" s="208">
        <v>0</v>
      </c>
      <c r="AL63" s="208">
        <f>tblTPAllocChrgRate[[#This Row],[UVL01]]</f>
        <v>0.02</v>
      </c>
      <c r="AO63" s="200">
        <v>61</v>
      </c>
      <c r="AP63" s="209">
        <f ca="1">OFFSET(tblEPAllocChrgRate[[#This Row],[UVL01]],0,MATCH(base,tblEPAllocChrgRate[#Headers],0)-3)</f>
        <v>0.02</v>
      </c>
      <c r="AQ63" s="210">
        <v>0.02</v>
      </c>
      <c r="AR63" s="211">
        <v>0</v>
      </c>
      <c r="AS63" s="212">
        <v>0</v>
      </c>
      <c r="AT63" s="212">
        <f>tblEPAllocChrgRate[[#This Row],[UVL01]]</f>
        <v>0.02</v>
      </c>
      <c r="AW63" s="200">
        <v>61</v>
      </c>
      <c r="AX63" s="209">
        <f ca="1">OFFSET(tblSurrChrgRate[[#This Row],[UVL01]],0,MATCH(base,tblSurrChrgRate[#Headers],0)-3)</f>
        <v>0</v>
      </c>
      <c r="AY63" s="206">
        <v>0</v>
      </c>
      <c r="AZ63" s="206">
        <v>0</v>
      </c>
      <c r="BA63" s="213">
        <v>0</v>
      </c>
      <c r="BB63" s="213">
        <f>tblSurrChrgRate[[#This Row],[UVL01]]</f>
        <v>0</v>
      </c>
      <c r="BU63" s="200">
        <v>2076</v>
      </c>
      <c r="BV63" s="218">
        <f ca="1">OFFSET(tblAdminChrg[[#This Row],[UVL01]],0,MATCH(base,tblAdminChrg[#Headers],0)-3)</f>
        <v>25000</v>
      </c>
      <c r="BW63" s="215">
        <v>25000</v>
      </c>
      <c r="BX63" s="215">
        <v>66000</v>
      </c>
      <c r="BY63" s="219">
        <v>66000</v>
      </c>
      <c r="BZ63" s="219">
        <v>40000</v>
      </c>
    </row>
    <row r="64" spans="2:78" x14ac:dyDescent="0.25">
      <c r="B64" s="197">
        <v>61</v>
      </c>
      <c r="C64" s="198">
        <f ca="1">OFFSET(tblTPRate[[#This Row],[UVL01_Male]],0,MATCH(base&amp;"_"&amp;mainLI_gender,tblTPRate[#Headers],0)-3)</f>
        <v>58.590499999999999</v>
      </c>
      <c r="D64" s="199">
        <v>58.590499999999999</v>
      </c>
      <c r="E64" s="199">
        <v>58.590499999999999</v>
      </c>
      <c r="F64" s="199">
        <v>58.590499999999999</v>
      </c>
      <c r="G64" s="199">
        <v>58.590499999999999</v>
      </c>
      <c r="H64" s="199">
        <v>58.590499999999999</v>
      </c>
      <c r="I64" s="199">
        <v>58.590499999999999</v>
      </c>
      <c r="J64" s="199">
        <v>58.590499999999999</v>
      </c>
      <c r="K64" s="199">
        <v>58.590499999999999</v>
      </c>
      <c r="N64" s="200">
        <v>61</v>
      </c>
      <c r="O64" s="201">
        <f ca="1">OFFSET(tblBaseCOIRate[[#This Row],[UVL01_Male]],0,MATCH(base&amp;"_"&amp;mainLI_gender,tblBaseCOIRate[#Headers],0)-3)</f>
        <v>1.0540000000000001E-2</v>
      </c>
      <c r="P64" s="202">
        <v>1.8360000000000001E-2</v>
      </c>
      <c r="Q64" s="202">
        <v>1.0540000000000001E-2</v>
      </c>
      <c r="R64" s="202">
        <v>1.4688E-2</v>
      </c>
      <c r="S64" s="202">
        <v>8.4320000000000003E-3</v>
      </c>
      <c r="T64" s="202">
        <v>1.4688E-2</v>
      </c>
      <c r="U64" s="202">
        <v>8.4320000000000003E-3</v>
      </c>
      <c r="V64" s="202">
        <f>tblBaseCOIRate[[#This Row],[UVL01_Male]]</f>
        <v>1.8360000000000001E-2</v>
      </c>
      <c r="W64" s="203">
        <f>tblBaseCOIRate[[#This Row],[UVL01_Female]]</f>
        <v>1.0540000000000001E-2</v>
      </c>
      <c r="AG64" s="200">
        <v>62</v>
      </c>
      <c r="AH64" s="205">
        <f ca="1">OFFSET(tblTPAllocChrgRate[[#This Row],[UVL01]],0,MATCH(base,tblTPAllocChrgRate[#Headers],0)-3)</f>
        <v>0.02</v>
      </c>
      <c r="AI64" s="206">
        <v>0.02</v>
      </c>
      <c r="AJ64" s="207">
        <v>0</v>
      </c>
      <c r="AK64" s="208">
        <v>0</v>
      </c>
      <c r="AL64" s="208">
        <f>tblTPAllocChrgRate[[#This Row],[UVL01]]</f>
        <v>0.02</v>
      </c>
      <c r="AO64" s="200">
        <v>62</v>
      </c>
      <c r="AP64" s="209">
        <f ca="1">OFFSET(tblEPAllocChrgRate[[#This Row],[UVL01]],0,MATCH(base,tblEPAllocChrgRate[#Headers],0)-3)</f>
        <v>0.02</v>
      </c>
      <c r="AQ64" s="210">
        <v>0.02</v>
      </c>
      <c r="AR64" s="211">
        <v>0</v>
      </c>
      <c r="AS64" s="212">
        <v>0</v>
      </c>
      <c r="AT64" s="212">
        <f>tblEPAllocChrgRate[[#This Row],[UVL01]]</f>
        <v>0.02</v>
      </c>
      <c r="AW64" s="200">
        <v>62</v>
      </c>
      <c r="AX64" s="209">
        <f ca="1">OFFSET(tblSurrChrgRate[[#This Row],[UVL01]],0,MATCH(base,tblSurrChrgRate[#Headers],0)-3)</f>
        <v>0</v>
      </c>
      <c r="AY64" s="206">
        <v>0</v>
      </c>
      <c r="AZ64" s="206">
        <v>0</v>
      </c>
      <c r="BA64" s="213">
        <v>0</v>
      </c>
      <c r="BB64" s="213">
        <f>tblSurrChrgRate[[#This Row],[UVL01]]</f>
        <v>0</v>
      </c>
      <c r="BU64" s="200">
        <v>2077</v>
      </c>
      <c r="BV64" s="218">
        <f ca="1">OFFSET(tblAdminChrg[[#This Row],[UVL01]],0,MATCH(base,tblAdminChrg[#Headers],0)-3)</f>
        <v>25000</v>
      </c>
      <c r="BW64" s="215">
        <v>25000</v>
      </c>
      <c r="BX64" s="215">
        <v>66000</v>
      </c>
      <c r="BY64" s="219">
        <v>66000</v>
      </c>
      <c r="BZ64" s="219">
        <v>40000</v>
      </c>
    </row>
    <row r="65" spans="2:78" x14ac:dyDescent="0.25">
      <c r="B65" s="197">
        <v>62</v>
      </c>
      <c r="C65" s="198">
        <f ca="1">OFFSET(tblTPRate[[#This Row],[UVL01_Male]],0,MATCH(base&amp;"_"&amp;mainLI_gender,tblTPRate[#Headers],0)-3)</f>
        <v>61.556249999999999</v>
      </c>
      <c r="D65" s="199">
        <v>61.556249999999999</v>
      </c>
      <c r="E65" s="199">
        <v>61.556249999999999</v>
      </c>
      <c r="F65" s="199">
        <v>61.556249999999999</v>
      </c>
      <c r="G65" s="199">
        <v>61.556249999999999</v>
      </c>
      <c r="H65" s="199">
        <v>61.556249999999999</v>
      </c>
      <c r="I65" s="199">
        <v>61.556249999999999</v>
      </c>
      <c r="J65" s="199">
        <v>61.556249999999999</v>
      </c>
      <c r="K65" s="199">
        <v>61.556249999999999</v>
      </c>
      <c r="N65" s="200">
        <v>62</v>
      </c>
      <c r="O65" s="201">
        <f ca="1">OFFSET(tblBaseCOIRate[[#This Row],[UVL01_Male]],0,MATCH(base&amp;"_"&amp;mainLI_gender,tblBaseCOIRate[#Headers],0)-3)</f>
        <v>1.14899999999999E-2</v>
      </c>
      <c r="P65" s="202">
        <v>2.0119999999999898E-2</v>
      </c>
      <c r="Q65" s="202">
        <v>1.14899999999999E-2</v>
      </c>
      <c r="R65" s="202">
        <v>1.6095999999999899E-2</v>
      </c>
      <c r="S65" s="202">
        <v>9.1919999999999103E-3</v>
      </c>
      <c r="T65" s="202">
        <v>1.6095999999999899E-2</v>
      </c>
      <c r="U65" s="202">
        <v>9.1919999999999103E-3</v>
      </c>
      <c r="V65" s="202">
        <f>tblBaseCOIRate[[#This Row],[UVL01_Male]]</f>
        <v>2.0119999999999898E-2</v>
      </c>
      <c r="W65" s="203">
        <f>tblBaseCOIRate[[#This Row],[UVL01_Female]]</f>
        <v>1.14899999999999E-2</v>
      </c>
      <c r="AG65" s="200">
        <v>63</v>
      </c>
      <c r="AH65" s="205">
        <f ca="1">OFFSET(tblTPAllocChrgRate[[#This Row],[UVL01]],0,MATCH(base,tblTPAllocChrgRate[#Headers],0)-3)</f>
        <v>0.02</v>
      </c>
      <c r="AI65" s="206">
        <v>0.02</v>
      </c>
      <c r="AJ65" s="207">
        <v>0</v>
      </c>
      <c r="AK65" s="208">
        <v>0</v>
      </c>
      <c r="AL65" s="208">
        <f>tblTPAllocChrgRate[[#This Row],[UVL01]]</f>
        <v>0.02</v>
      </c>
      <c r="AO65" s="200">
        <v>63</v>
      </c>
      <c r="AP65" s="209">
        <f ca="1">OFFSET(tblEPAllocChrgRate[[#This Row],[UVL01]],0,MATCH(base,tblEPAllocChrgRate[#Headers],0)-3)</f>
        <v>0.02</v>
      </c>
      <c r="AQ65" s="210">
        <v>0.02</v>
      </c>
      <c r="AR65" s="211">
        <v>0</v>
      </c>
      <c r="AS65" s="212">
        <v>0</v>
      </c>
      <c r="AT65" s="212">
        <f>tblEPAllocChrgRate[[#This Row],[UVL01]]</f>
        <v>0.02</v>
      </c>
      <c r="AW65" s="200">
        <v>63</v>
      </c>
      <c r="AX65" s="209">
        <f ca="1">OFFSET(tblSurrChrgRate[[#This Row],[UVL01]],0,MATCH(base,tblSurrChrgRate[#Headers],0)-3)</f>
        <v>0</v>
      </c>
      <c r="AY65" s="206">
        <v>0</v>
      </c>
      <c r="AZ65" s="206">
        <v>0</v>
      </c>
      <c r="BA65" s="213">
        <v>0</v>
      </c>
      <c r="BB65" s="213">
        <f>tblSurrChrgRate[[#This Row],[UVL01]]</f>
        <v>0</v>
      </c>
      <c r="BU65" s="200">
        <v>2078</v>
      </c>
      <c r="BV65" s="218">
        <f ca="1">OFFSET(tblAdminChrg[[#This Row],[UVL01]],0,MATCH(base,tblAdminChrg[#Headers],0)-3)</f>
        <v>25000</v>
      </c>
      <c r="BW65" s="215">
        <v>25000</v>
      </c>
      <c r="BX65" s="215">
        <v>66000</v>
      </c>
      <c r="BY65" s="219">
        <v>66000</v>
      </c>
      <c r="BZ65" s="219">
        <v>40000</v>
      </c>
    </row>
    <row r="66" spans="2:78" x14ac:dyDescent="0.25">
      <c r="B66" s="197">
        <v>63</v>
      </c>
      <c r="C66" s="198">
        <f ca="1">OFFSET(tblTPRate[[#This Row],[UVL01_Male]],0,MATCH(base&amp;"_"&amp;mainLI_gender,tblTPRate[#Headers],0)-3)</f>
        <v>64.734059999999999</v>
      </c>
      <c r="D66" s="199">
        <v>64.734059999999999</v>
      </c>
      <c r="E66" s="199">
        <v>64.734059999999999</v>
      </c>
      <c r="F66" s="199">
        <v>64.734059999999999</v>
      </c>
      <c r="G66" s="199">
        <v>64.734059999999999</v>
      </c>
      <c r="H66" s="199">
        <v>64.734059999999999</v>
      </c>
      <c r="I66" s="199">
        <v>64.734059999999999</v>
      </c>
      <c r="J66" s="199">
        <v>64.734059999999999</v>
      </c>
      <c r="K66" s="199">
        <v>64.734059999999999</v>
      </c>
      <c r="N66" s="200">
        <v>63</v>
      </c>
      <c r="O66" s="201">
        <f ca="1">OFFSET(tblBaseCOIRate[[#This Row],[UVL01_Male]],0,MATCH(base&amp;"_"&amp;mainLI_gender,tblBaseCOIRate[#Headers],0)-3)</f>
        <v>1.26299999999999E-2</v>
      </c>
      <c r="P66" s="202">
        <v>2.2090000000000099E-2</v>
      </c>
      <c r="Q66" s="202">
        <v>1.26299999999999E-2</v>
      </c>
      <c r="R66" s="202">
        <v>1.7672E-2</v>
      </c>
      <c r="S66" s="202">
        <v>1.01039999999999E-2</v>
      </c>
      <c r="T66" s="202">
        <v>1.7672E-2</v>
      </c>
      <c r="U66" s="202">
        <v>1.01039999999999E-2</v>
      </c>
      <c r="V66" s="202">
        <f>tblBaseCOIRate[[#This Row],[UVL01_Male]]</f>
        <v>2.2090000000000099E-2</v>
      </c>
      <c r="W66" s="203">
        <f>tblBaseCOIRate[[#This Row],[UVL01_Female]]</f>
        <v>1.26299999999999E-2</v>
      </c>
      <c r="AG66" s="200">
        <v>64</v>
      </c>
      <c r="AH66" s="205">
        <f ca="1">OFFSET(tblTPAllocChrgRate[[#This Row],[UVL01]],0,MATCH(base,tblTPAllocChrgRate[#Headers],0)-3)</f>
        <v>0.02</v>
      </c>
      <c r="AI66" s="206">
        <v>0.02</v>
      </c>
      <c r="AJ66" s="207">
        <v>0</v>
      </c>
      <c r="AK66" s="208">
        <v>0</v>
      </c>
      <c r="AL66" s="208">
        <f>tblTPAllocChrgRate[[#This Row],[UVL01]]</f>
        <v>0.02</v>
      </c>
      <c r="AO66" s="200">
        <v>64</v>
      </c>
      <c r="AP66" s="209">
        <f ca="1">OFFSET(tblEPAllocChrgRate[[#This Row],[UVL01]],0,MATCH(base,tblEPAllocChrgRate[#Headers],0)-3)</f>
        <v>0.02</v>
      </c>
      <c r="AQ66" s="210">
        <v>0.02</v>
      </c>
      <c r="AR66" s="211">
        <v>0</v>
      </c>
      <c r="AS66" s="212">
        <v>0</v>
      </c>
      <c r="AT66" s="212">
        <f>tblEPAllocChrgRate[[#This Row],[UVL01]]</f>
        <v>0.02</v>
      </c>
      <c r="AW66" s="200">
        <v>64</v>
      </c>
      <c r="AX66" s="209">
        <f ca="1">OFFSET(tblSurrChrgRate[[#This Row],[UVL01]],0,MATCH(base,tblSurrChrgRate[#Headers],0)-3)</f>
        <v>0</v>
      </c>
      <c r="AY66" s="206">
        <v>0</v>
      </c>
      <c r="AZ66" s="206">
        <v>0</v>
      </c>
      <c r="BA66" s="213">
        <v>0</v>
      </c>
      <c r="BB66" s="213">
        <f>tblSurrChrgRate[[#This Row],[UVL01]]</f>
        <v>0</v>
      </c>
      <c r="BU66" s="200">
        <v>2079</v>
      </c>
      <c r="BV66" s="218">
        <f ca="1">OFFSET(tblAdminChrg[[#This Row],[UVL01]],0,MATCH(base,tblAdminChrg[#Headers],0)-3)</f>
        <v>25000</v>
      </c>
      <c r="BW66" s="215">
        <v>25000</v>
      </c>
      <c r="BX66" s="215">
        <v>66000</v>
      </c>
      <c r="BY66" s="219">
        <v>66000</v>
      </c>
      <c r="BZ66" s="219">
        <v>40000</v>
      </c>
    </row>
    <row r="67" spans="2:78" x14ac:dyDescent="0.25">
      <c r="B67" s="197">
        <v>64</v>
      </c>
      <c r="C67" s="198">
        <f ca="1">OFFSET(tblTPRate[[#This Row],[UVL01_Male]],0,MATCH(base&amp;"_"&amp;mainLI_gender,tblTPRate[#Headers],0)-3)</f>
        <v>68.140010000000004</v>
      </c>
      <c r="D67" s="199">
        <v>68.140010000000004</v>
      </c>
      <c r="E67" s="199">
        <v>68.140010000000004</v>
      </c>
      <c r="F67" s="199">
        <v>68.140010000000004</v>
      </c>
      <c r="G67" s="199">
        <v>68.140010000000004</v>
      </c>
      <c r="H67" s="199">
        <v>68.140010000000004</v>
      </c>
      <c r="I67" s="199">
        <v>68.140010000000004</v>
      </c>
      <c r="J67" s="199">
        <v>68.140010000000004</v>
      </c>
      <c r="K67" s="199">
        <v>68.140010000000004</v>
      </c>
      <c r="N67" s="200">
        <v>64</v>
      </c>
      <c r="O67" s="201">
        <f ca="1">OFFSET(tblBaseCOIRate[[#This Row],[UVL01_Male]],0,MATCH(base&amp;"_"&amp;mainLI_gender,tblBaseCOIRate[#Headers],0)-3)</f>
        <v>1.392E-2</v>
      </c>
      <c r="P67" s="202">
        <v>2.427E-2</v>
      </c>
      <c r="Q67" s="202">
        <v>1.392E-2</v>
      </c>
      <c r="R67" s="202">
        <v>1.9415999999999999E-2</v>
      </c>
      <c r="S67" s="202">
        <v>1.1136E-2</v>
      </c>
      <c r="T67" s="202">
        <v>1.9415999999999999E-2</v>
      </c>
      <c r="U67" s="202">
        <v>1.1136E-2</v>
      </c>
      <c r="V67" s="202">
        <f>tblBaseCOIRate[[#This Row],[UVL01_Male]]</f>
        <v>2.427E-2</v>
      </c>
      <c r="W67" s="203">
        <f>tblBaseCOIRate[[#This Row],[UVL01_Female]]</f>
        <v>1.392E-2</v>
      </c>
      <c r="AG67" s="200">
        <v>65</v>
      </c>
      <c r="AH67" s="205">
        <f ca="1">OFFSET(tblTPAllocChrgRate[[#This Row],[UVL01]],0,MATCH(base,tblTPAllocChrgRate[#Headers],0)-3)</f>
        <v>0.02</v>
      </c>
      <c r="AI67" s="206">
        <v>0.02</v>
      </c>
      <c r="AJ67" s="207">
        <v>0</v>
      </c>
      <c r="AK67" s="208">
        <v>0</v>
      </c>
      <c r="AL67" s="208">
        <f>tblTPAllocChrgRate[[#This Row],[UVL01]]</f>
        <v>0.02</v>
      </c>
      <c r="AO67" s="200">
        <v>65</v>
      </c>
      <c r="AP67" s="209">
        <f ca="1">OFFSET(tblEPAllocChrgRate[[#This Row],[UVL01]],0,MATCH(base,tblEPAllocChrgRate[#Headers],0)-3)</f>
        <v>0.02</v>
      </c>
      <c r="AQ67" s="210">
        <v>0.02</v>
      </c>
      <c r="AR67" s="211">
        <v>0</v>
      </c>
      <c r="AS67" s="212">
        <v>0</v>
      </c>
      <c r="AT67" s="212">
        <f>tblEPAllocChrgRate[[#This Row],[UVL01]]</f>
        <v>0.02</v>
      </c>
      <c r="AW67" s="200">
        <v>65</v>
      </c>
      <c r="AX67" s="209">
        <f ca="1">OFFSET(tblSurrChrgRate[[#This Row],[UVL01]],0,MATCH(base,tblSurrChrgRate[#Headers],0)-3)</f>
        <v>0</v>
      </c>
      <c r="AY67" s="206">
        <v>0</v>
      </c>
      <c r="AZ67" s="206">
        <v>0</v>
      </c>
      <c r="BA67" s="213">
        <v>0</v>
      </c>
      <c r="BB67" s="213">
        <f>tblSurrChrgRate[[#This Row],[UVL01]]</f>
        <v>0</v>
      </c>
      <c r="BU67" s="200">
        <v>2080</v>
      </c>
      <c r="BV67" s="218">
        <f ca="1">OFFSET(tblAdminChrg[[#This Row],[UVL01]],0,MATCH(base,tblAdminChrg[#Headers],0)-3)</f>
        <v>25000</v>
      </c>
      <c r="BW67" s="215">
        <v>25000</v>
      </c>
      <c r="BX67" s="215">
        <v>66000</v>
      </c>
      <c r="BY67" s="219">
        <v>66000</v>
      </c>
      <c r="BZ67" s="219">
        <v>40000</v>
      </c>
    </row>
    <row r="68" spans="2:78" x14ac:dyDescent="0.25">
      <c r="B68" s="247">
        <v>65</v>
      </c>
      <c r="C68" s="248">
        <f ca="1">OFFSET(tblTPRate[[#This Row],[UVL01_Male]],0,MATCH(base&amp;"_"&amp;mainLI_gender,tblTPRate[#Headers],0)-3)</f>
        <v>71.790170000000003</v>
      </c>
      <c r="D68" s="199">
        <v>71.790170000000003</v>
      </c>
      <c r="E68" s="199">
        <v>71.790170000000003</v>
      </c>
      <c r="F68" s="199">
        <v>71.790170000000003</v>
      </c>
      <c r="G68" s="199">
        <v>71.790170000000003</v>
      </c>
      <c r="H68" s="199">
        <v>71.790170000000003</v>
      </c>
      <c r="I68" s="199">
        <v>71.790170000000003</v>
      </c>
      <c r="J68" s="199">
        <v>71.790170000000003</v>
      </c>
      <c r="K68" s="199">
        <v>71.790170000000003</v>
      </c>
      <c r="N68" s="200">
        <v>65</v>
      </c>
      <c r="O68" s="201">
        <f ca="1">OFFSET(tblBaseCOIRate[[#This Row],[UVL01_Male]],0,MATCH(base&amp;"_"&amp;mainLI_gender,tblBaseCOIRate[#Headers],0)-3)</f>
        <v>1.529E-2</v>
      </c>
      <c r="P68" s="202">
        <v>2.6620000000000098E-2</v>
      </c>
      <c r="Q68" s="202">
        <v>1.529E-2</v>
      </c>
      <c r="R68" s="202">
        <v>2.12960000000001E-2</v>
      </c>
      <c r="S68" s="202">
        <v>1.2232E-2</v>
      </c>
      <c r="T68" s="202">
        <v>2.12960000000001E-2</v>
      </c>
      <c r="U68" s="202">
        <v>1.2232E-2</v>
      </c>
      <c r="V68" s="202">
        <f>tblBaseCOIRate[[#This Row],[UVL01_Male]]</f>
        <v>2.6620000000000098E-2</v>
      </c>
      <c r="W68" s="203">
        <f>tblBaseCOIRate[[#This Row],[UVL01_Female]]</f>
        <v>1.529E-2</v>
      </c>
      <c r="AG68" s="200">
        <v>66</v>
      </c>
      <c r="AH68" s="205">
        <f ca="1">OFFSET(tblTPAllocChrgRate[[#This Row],[UVL01]],0,MATCH(base,tblTPAllocChrgRate[#Headers],0)-3)</f>
        <v>0.02</v>
      </c>
      <c r="AI68" s="206">
        <v>0.02</v>
      </c>
      <c r="AJ68" s="207">
        <v>0</v>
      </c>
      <c r="AK68" s="208">
        <v>0</v>
      </c>
      <c r="AL68" s="208">
        <f>tblTPAllocChrgRate[[#This Row],[UVL01]]</f>
        <v>0.02</v>
      </c>
      <c r="AO68" s="200">
        <v>66</v>
      </c>
      <c r="AP68" s="209">
        <f ca="1">OFFSET(tblEPAllocChrgRate[[#This Row],[UVL01]],0,MATCH(base,tblEPAllocChrgRate[#Headers],0)-3)</f>
        <v>0.02</v>
      </c>
      <c r="AQ68" s="210">
        <v>0.02</v>
      </c>
      <c r="AR68" s="211">
        <v>0</v>
      </c>
      <c r="AS68" s="212">
        <v>0</v>
      </c>
      <c r="AT68" s="212">
        <f>tblEPAllocChrgRate[[#This Row],[UVL01]]</f>
        <v>0.02</v>
      </c>
      <c r="AW68" s="200">
        <v>66</v>
      </c>
      <c r="AX68" s="209">
        <f ca="1">OFFSET(tblSurrChrgRate[[#This Row],[UVL01]],0,MATCH(base,tblSurrChrgRate[#Headers],0)-3)</f>
        <v>0</v>
      </c>
      <c r="AY68" s="206">
        <v>0</v>
      </c>
      <c r="AZ68" s="206">
        <v>0</v>
      </c>
      <c r="BA68" s="213">
        <v>0</v>
      </c>
      <c r="BB68" s="213">
        <f>tblSurrChrgRate[[#This Row],[UVL01]]</f>
        <v>0</v>
      </c>
      <c r="BU68" s="200">
        <v>2081</v>
      </c>
      <c r="BV68" s="218">
        <f ca="1">OFFSET(tblAdminChrg[[#This Row],[UVL01]],0,MATCH(base,tblAdminChrg[#Headers],0)-3)</f>
        <v>25000</v>
      </c>
      <c r="BW68" s="215">
        <v>25000</v>
      </c>
      <c r="BX68" s="215">
        <v>66000</v>
      </c>
      <c r="BY68" s="219">
        <v>66000</v>
      </c>
      <c r="BZ68" s="219">
        <v>40000</v>
      </c>
    </row>
    <row r="69" spans="2:78" x14ac:dyDescent="0.25">
      <c r="N69" s="200">
        <v>66</v>
      </c>
      <c r="O69" s="201">
        <f ca="1">OFFSET(tblBaseCOIRate[[#This Row],[UVL01_Male]],0,MATCH(base&amp;"_"&amp;mainLI_gender,tblBaseCOIRate[#Headers],0)-3)</f>
        <v>1.6709999999999999E-2</v>
      </c>
      <c r="P69" s="202">
        <v>2.91300000000001E-2</v>
      </c>
      <c r="Q69" s="202">
        <v>1.6709999999999999E-2</v>
      </c>
      <c r="R69" s="202">
        <v>2.3304000000000099E-2</v>
      </c>
      <c r="S69" s="202">
        <v>1.3368E-2</v>
      </c>
      <c r="T69" s="202">
        <v>2.3304000000000099E-2</v>
      </c>
      <c r="U69" s="202">
        <v>1.3368E-2</v>
      </c>
      <c r="V69" s="202">
        <f>tblBaseCOIRate[[#This Row],[UVL01_Male]]</f>
        <v>2.91300000000001E-2</v>
      </c>
      <c r="W69" s="203">
        <f>tblBaseCOIRate[[#This Row],[UVL01_Female]]</f>
        <v>1.6709999999999999E-2</v>
      </c>
      <c r="AG69" s="200">
        <v>67</v>
      </c>
      <c r="AH69" s="205">
        <f ca="1">OFFSET(tblTPAllocChrgRate[[#This Row],[UVL01]],0,MATCH(base,tblTPAllocChrgRate[#Headers],0)-3)</f>
        <v>0.02</v>
      </c>
      <c r="AI69" s="206">
        <v>0.02</v>
      </c>
      <c r="AJ69" s="207">
        <v>0</v>
      </c>
      <c r="AK69" s="208">
        <v>0</v>
      </c>
      <c r="AL69" s="208">
        <f>tblTPAllocChrgRate[[#This Row],[UVL01]]</f>
        <v>0.02</v>
      </c>
      <c r="AO69" s="200">
        <v>67</v>
      </c>
      <c r="AP69" s="209">
        <f ca="1">OFFSET(tblEPAllocChrgRate[[#This Row],[UVL01]],0,MATCH(base,tblEPAllocChrgRate[#Headers],0)-3)</f>
        <v>0.02</v>
      </c>
      <c r="AQ69" s="210">
        <v>0.02</v>
      </c>
      <c r="AR69" s="211">
        <v>0</v>
      </c>
      <c r="AS69" s="212">
        <v>0</v>
      </c>
      <c r="AT69" s="212">
        <f>tblEPAllocChrgRate[[#This Row],[UVL01]]</f>
        <v>0.02</v>
      </c>
      <c r="AW69" s="200">
        <v>67</v>
      </c>
      <c r="AX69" s="209">
        <f ca="1">OFFSET(tblSurrChrgRate[[#This Row],[UVL01]],0,MATCH(base,tblSurrChrgRate[#Headers],0)-3)</f>
        <v>0</v>
      </c>
      <c r="AY69" s="206">
        <v>0</v>
      </c>
      <c r="AZ69" s="206">
        <v>0</v>
      </c>
      <c r="BA69" s="213">
        <v>0</v>
      </c>
      <c r="BB69" s="213">
        <f>tblSurrChrgRate[[#This Row],[UVL01]]</f>
        <v>0</v>
      </c>
      <c r="BU69" s="200">
        <v>2082</v>
      </c>
      <c r="BV69" s="218">
        <f ca="1">OFFSET(tblAdminChrg[[#This Row],[UVL01]],0,MATCH(base,tblAdminChrg[#Headers],0)-3)</f>
        <v>25000</v>
      </c>
      <c r="BW69" s="215">
        <v>25000</v>
      </c>
      <c r="BX69" s="215">
        <v>66000</v>
      </c>
      <c r="BY69" s="219">
        <v>66000</v>
      </c>
      <c r="BZ69" s="219">
        <v>40000</v>
      </c>
    </row>
    <row r="70" spans="2:78" x14ac:dyDescent="0.25">
      <c r="N70" s="200">
        <v>67</v>
      </c>
      <c r="O70" s="201">
        <f ca="1">OFFSET(tblBaseCOIRate[[#This Row],[UVL01_Male]],0,MATCH(base&amp;"_"&amp;mainLI_gender,tblBaseCOIRate[#Headers],0)-3)</f>
        <v>1.813E-2</v>
      </c>
      <c r="P70" s="202">
        <v>3.1789999999999999E-2</v>
      </c>
      <c r="Q70" s="202">
        <v>1.813E-2</v>
      </c>
      <c r="R70" s="202">
        <v>2.5432E-2</v>
      </c>
      <c r="S70" s="202">
        <v>1.4504E-2</v>
      </c>
      <c r="T70" s="202">
        <v>2.5432E-2</v>
      </c>
      <c r="U70" s="202">
        <v>1.4504E-2</v>
      </c>
      <c r="V70" s="202">
        <f>tblBaseCOIRate[[#This Row],[UVL01_Male]]</f>
        <v>3.1789999999999999E-2</v>
      </c>
      <c r="W70" s="203">
        <f>tblBaseCOIRate[[#This Row],[UVL01_Female]]</f>
        <v>1.813E-2</v>
      </c>
      <c r="AG70" s="200">
        <v>68</v>
      </c>
      <c r="AH70" s="205">
        <f ca="1">OFFSET(tblTPAllocChrgRate[[#This Row],[UVL01]],0,MATCH(base,tblTPAllocChrgRate[#Headers],0)-3)</f>
        <v>0.02</v>
      </c>
      <c r="AI70" s="206">
        <v>0.02</v>
      </c>
      <c r="AJ70" s="207">
        <v>0</v>
      </c>
      <c r="AK70" s="208">
        <v>0</v>
      </c>
      <c r="AL70" s="208">
        <f>tblTPAllocChrgRate[[#This Row],[UVL01]]</f>
        <v>0.02</v>
      </c>
      <c r="AO70" s="200">
        <v>68</v>
      </c>
      <c r="AP70" s="209">
        <f ca="1">OFFSET(tblEPAllocChrgRate[[#This Row],[UVL01]],0,MATCH(base,tblEPAllocChrgRate[#Headers],0)-3)</f>
        <v>0.02</v>
      </c>
      <c r="AQ70" s="210">
        <v>0.02</v>
      </c>
      <c r="AR70" s="211">
        <v>0</v>
      </c>
      <c r="AS70" s="212">
        <v>0</v>
      </c>
      <c r="AT70" s="212">
        <f>tblEPAllocChrgRate[[#This Row],[UVL01]]</f>
        <v>0.02</v>
      </c>
      <c r="AW70" s="200">
        <v>68</v>
      </c>
      <c r="AX70" s="209">
        <f ca="1">OFFSET(tblSurrChrgRate[[#This Row],[UVL01]],0,MATCH(base,tblSurrChrgRate[#Headers],0)-3)</f>
        <v>0</v>
      </c>
      <c r="AY70" s="206">
        <v>0</v>
      </c>
      <c r="AZ70" s="206">
        <v>0</v>
      </c>
      <c r="BA70" s="213">
        <v>0</v>
      </c>
      <c r="BB70" s="213">
        <f>tblSurrChrgRate[[#This Row],[UVL01]]</f>
        <v>0</v>
      </c>
      <c r="BU70" s="200">
        <v>2083</v>
      </c>
      <c r="BV70" s="218">
        <f ca="1">OFFSET(tblAdminChrg[[#This Row],[UVL01]],0,MATCH(base,tblAdminChrg[#Headers],0)-3)</f>
        <v>25000</v>
      </c>
      <c r="BW70" s="215">
        <v>25000</v>
      </c>
      <c r="BX70" s="215">
        <v>66000</v>
      </c>
      <c r="BY70" s="219">
        <v>66000</v>
      </c>
      <c r="BZ70" s="219">
        <v>40000</v>
      </c>
    </row>
    <row r="71" spans="2:78" x14ac:dyDescent="0.25">
      <c r="N71" s="200">
        <v>68</v>
      </c>
      <c r="O71" s="201">
        <f ca="1">OFFSET(tblBaseCOIRate[[#This Row],[UVL01_Male]],0,MATCH(base&amp;"_"&amp;mainLI_gender,tblBaseCOIRate[#Headers],0)-3)</f>
        <v>1.959E-2</v>
      </c>
      <c r="P71" s="202">
        <v>3.465E-2</v>
      </c>
      <c r="Q71" s="202">
        <v>1.959E-2</v>
      </c>
      <c r="R71" s="202">
        <v>2.7720000000000002E-2</v>
      </c>
      <c r="S71" s="202">
        <v>1.5671999999999998E-2</v>
      </c>
      <c r="T71" s="202">
        <v>2.7720000000000002E-2</v>
      </c>
      <c r="U71" s="202">
        <v>1.5671999999999998E-2</v>
      </c>
      <c r="V71" s="202">
        <f>tblBaseCOIRate[[#This Row],[UVL01_Male]]</f>
        <v>3.465E-2</v>
      </c>
      <c r="W71" s="203">
        <f>tblBaseCOIRate[[#This Row],[UVL01_Female]]</f>
        <v>1.959E-2</v>
      </c>
      <c r="AG71" s="200">
        <v>69</v>
      </c>
      <c r="AH71" s="205">
        <f ca="1">OFFSET(tblTPAllocChrgRate[[#This Row],[UVL01]],0,MATCH(base,tblTPAllocChrgRate[#Headers],0)-3)</f>
        <v>0.02</v>
      </c>
      <c r="AI71" s="206">
        <v>0.02</v>
      </c>
      <c r="AJ71" s="207">
        <v>0</v>
      </c>
      <c r="AK71" s="208">
        <v>0</v>
      </c>
      <c r="AL71" s="208">
        <f>tblTPAllocChrgRate[[#This Row],[UVL01]]</f>
        <v>0.02</v>
      </c>
      <c r="AO71" s="200">
        <v>69</v>
      </c>
      <c r="AP71" s="209">
        <f ca="1">OFFSET(tblEPAllocChrgRate[[#This Row],[UVL01]],0,MATCH(base,tblEPAllocChrgRate[#Headers],0)-3)</f>
        <v>0.02</v>
      </c>
      <c r="AQ71" s="210">
        <v>0.02</v>
      </c>
      <c r="AR71" s="211">
        <v>0</v>
      </c>
      <c r="AS71" s="212">
        <v>0</v>
      </c>
      <c r="AT71" s="212">
        <f>tblEPAllocChrgRate[[#This Row],[UVL01]]</f>
        <v>0.02</v>
      </c>
      <c r="AW71" s="200">
        <v>69</v>
      </c>
      <c r="AX71" s="209">
        <f ca="1">OFFSET(tblSurrChrgRate[[#This Row],[UVL01]],0,MATCH(base,tblSurrChrgRate[#Headers],0)-3)</f>
        <v>0</v>
      </c>
      <c r="AY71" s="206">
        <v>0</v>
      </c>
      <c r="AZ71" s="206">
        <v>0</v>
      </c>
      <c r="BA71" s="213">
        <v>0</v>
      </c>
      <c r="BB71" s="213">
        <f>tblSurrChrgRate[[#This Row],[UVL01]]</f>
        <v>0</v>
      </c>
      <c r="BU71" s="200">
        <v>2084</v>
      </c>
      <c r="BV71" s="218">
        <f ca="1">OFFSET(tblAdminChrg[[#This Row],[UVL01]],0,MATCH(base,tblAdminChrg[#Headers],0)-3)</f>
        <v>25000</v>
      </c>
      <c r="BW71" s="215">
        <v>25000</v>
      </c>
      <c r="BX71" s="215">
        <v>66000</v>
      </c>
      <c r="BY71" s="219">
        <v>66000</v>
      </c>
      <c r="BZ71" s="219">
        <v>40000</v>
      </c>
    </row>
    <row r="72" spans="2:78" x14ac:dyDescent="0.25">
      <c r="N72" s="200">
        <v>69</v>
      </c>
      <c r="O72" s="201">
        <f ca="1">OFFSET(tblBaseCOIRate[[#This Row],[UVL01_Male]],0,MATCH(base&amp;"_"&amp;mainLI_gender,tblBaseCOIRate[#Headers],0)-3)</f>
        <v>2.1229999999999999E-2</v>
      </c>
      <c r="P72" s="202">
        <v>3.7810000000000003E-2</v>
      </c>
      <c r="Q72" s="202">
        <v>2.1229999999999999E-2</v>
      </c>
      <c r="R72" s="202">
        <v>3.0248000000000001E-2</v>
      </c>
      <c r="S72" s="202">
        <v>1.6983999999999999E-2</v>
      </c>
      <c r="T72" s="202">
        <v>3.0248000000000001E-2</v>
      </c>
      <c r="U72" s="202">
        <v>1.6983999999999999E-2</v>
      </c>
      <c r="V72" s="202">
        <f>tblBaseCOIRate[[#This Row],[UVL01_Male]]</f>
        <v>3.7810000000000003E-2</v>
      </c>
      <c r="W72" s="203">
        <f>tblBaseCOIRate[[#This Row],[UVL01_Female]]</f>
        <v>2.1229999999999999E-2</v>
      </c>
      <c r="AG72" s="200">
        <v>70</v>
      </c>
      <c r="AH72" s="205">
        <f ca="1">OFFSET(tblTPAllocChrgRate[[#This Row],[UVL01]],0,MATCH(base,tblTPAllocChrgRate[#Headers],0)-3)</f>
        <v>0.02</v>
      </c>
      <c r="AI72" s="206">
        <v>0.02</v>
      </c>
      <c r="AJ72" s="207">
        <v>0</v>
      </c>
      <c r="AK72" s="208">
        <v>0</v>
      </c>
      <c r="AL72" s="208">
        <f>tblTPAllocChrgRate[[#This Row],[UVL01]]</f>
        <v>0.02</v>
      </c>
      <c r="AO72" s="200">
        <v>70</v>
      </c>
      <c r="AP72" s="209">
        <f ca="1">OFFSET(tblEPAllocChrgRate[[#This Row],[UVL01]],0,MATCH(base,tblEPAllocChrgRate[#Headers],0)-3)</f>
        <v>0.02</v>
      </c>
      <c r="AQ72" s="210">
        <v>0.02</v>
      </c>
      <c r="AR72" s="211">
        <v>0</v>
      </c>
      <c r="AS72" s="212">
        <v>0</v>
      </c>
      <c r="AT72" s="212">
        <f>tblEPAllocChrgRate[[#This Row],[UVL01]]</f>
        <v>0.02</v>
      </c>
      <c r="AW72" s="200">
        <v>70</v>
      </c>
      <c r="AX72" s="209">
        <f ca="1">OFFSET(tblSurrChrgRate[[#This Row],[UVL01]],0,MATCH(base,tblSurrChrgRate[#Headers],0)-3)</f>
        <v>0</v>
      </c>
      <c r="AY72" s="206">
        <v>0</v>
      </c>
      <c r="AZ72" s="206">
        <v>0</v>
      </c>
      <c r="BA72" s="213">
        <v>0</v>
      </c>
      <c r="BB72" s="213">
        <f>tblSurrChrgRate[[#This Row],[UVL01]]</f>
        <v>0</v>
      </c>
      <c r="BU72" s="200">
        <v>2085</v>
      </c>
      <c r="BV72" s="218">
        <f ca="1">OFFSET(tblAdminChrg[[#This Row],[UVL01]],0,MATCH(base,tblAdminChrg[#Headers],0)-3)</f>
        <v>25000</v>
      </c>
      <c r="BW72" s="215">
        <v>25000</v>
      </c>
      <c r="BX72" s="215">
        <v>66000</v>
      </c>
      <c r="BY72" s="219">
        <v>66000</v>
      </c>
      <c r="BZ72" s="219">
        <v>40000</v>
      </c>
    </row>
    <row r="73" spans="2:78" x14ac:dyDescent="0.25">
      <c r="N73" s="200">
        <v>70</v>
      </c>
      <c r="O73" s="201">
        <f ca="1">OFFSET(tblBaseCOIRate[[#This Row],[UVL01_Male]],0,MATCH(base&amp;"_"&amp;mainLI_gender,tblBaseCOIRate[#Headers],0)-3)</f>
        <v>2.316E-2</v>
      </c>
      <c r="P73" s="202">
        <v>4.1369999999999997E-2</v>
      </c>
      <c r="Q73" s="202">
        <v>2.316E-2</v>
      </c>
      <c r="R73" s="202">
        <v>3.3096E-2</v>
      </c>
      <c r="S73" s="202">
        <v>1.8527999999999999E-2</v>
      </c>
      <c r="T73" s="202">
        <v>3.3096E-2</v>
      </c>
      <c r="U73" s="202">
        <v>1.8527999999999999E-2</v>
      </c>
      <c r="V73" s="202">
        <f>tblBaseCOIRate[[#This Row],[UVL01_Male]]</f>
        <v>4.1369999999999997E-2</v>
      </c>
      <c r="W73" s="203">
        <f>tblBaseCOIRate[[#This Row],[UVL01_Female]]</f>
        <v>2.316E-2</v>
      </c>
      <c r="AG73" s="200">
        <v>71</v>
      </c>
      <c r="AH73" s="205">
        <f ca="1">OFFSET(tblTPAllocChrgRate[[#This Row],[UVL01]],0,MATCH(base,tblTPAllocChrgRate[#Headers],0)-3)</f>
        <v>0.02</v>
      </c>
      <c r="AI73" s="206">
        <v>0.02</v>
      </c>
      <c r="AJ73" s="207">
        <v>0</v>
      </c>
      <c r="AK73" s="208">
        <v>0</v>
      </c>
      <c r="AL73" s="208">
        <f>tblTPAllocChrgRate[[#This Row],[UVL01]]</f>
        <v>0.02</v>
      </c>
      <c r="AO73" s="200">
        <v>71</v>
      </c>
      <c r="AP73" s="209">
        <f ca="1">OFFSET(tblEPAllocChrgRate[[#This Row],[UVL01]],0,MATCH(base,tblEPAllocChrgRate[#Headers],0)-3)</f>
        <v>0.02</v>
      </c>
      <c r="AQ73" s="210">
        <v>0.02</v>
      </c>
      <c r="AR73" s="211">
        <v>0</v>
      </c>
      <c r="AS73" s="212">
        <v>0</v>
      </c>
      <c r="AT73" s="212">
        <f>tblEPAllocChrgRate[[#This Row],[UVL01]]</f>
        <v>0.02</v>
      </c>
      <c r="AW73" s="200">
        <v>71</v>
      </c>
      <c r="AX73" s="209">
        <f ca="1">OFFSET(tblSurrChrgRate[[#This Row],[UVL01]],0,MATCH(base,tblSurrChrgRate[#Headers],0)-3)</f>
        <v>0</v>
      </c>
      <c r="AY73" s="206">
        <v>0</v>
      </c>
      <c r="AZ73" s="206">
        <v>0</v>
      </c>
      <c r="BA73" s="213">
        <v>0</v>
      </c>
      <c r="BB73" s="213">
        <f>tblSurrChrgRate[[#This Row],[UVL01]]</f>
        <v>0</v>
      </c>
      <c r="BU73" s="200">
        <v>2086</v>
      </c>
      <c r="BV73" s="218">
        <f ca="1">OFFSET(tblAdminChrg[[#This Row],[UVL01]],0,MATCH(base,tblAdminChrg[#Headers],0)-3)</f>
        <v>25000</v>
      </c>
      <c r="BW73" s="215">
        <v>25000</v>
      </c>
      <c r="BX73" s="215">
        <v>66000</v>
      </c>
      <c r="BY73" s="219">
        <v>66000</v>
      </c>
      <c r="BZ73" s="219">
        <v>40000</v>
      </c>
    </row>
    <row r="74" spans="2:78" x14ac:dyDescent="0.25">
      <c r="N74" s="200">
        <v>71</v>
      </c>
      <c r="O74" s="201">
        <f ca="1">OFFSET(tblBaseCOIRate[[#This Row],[UVL01_Male]],0,MATCH(base&amp;"_"&amp;mainLI_gender,tblBaseCOIRate[#Headers],0)-3)</f>
        <v>2.5530000000000101E-2</v>
      </c>
      <c r="P74" s="202">
        <v>4.5429999999999998E-2</v>
      </c>
      <c r="Q74" s="202">
        <v>2.5530000000000101E-2</v>
      </c>
      <c r="R74" s="202">
        <v>3.6344000000000001E-2</v>
      </c>
      <c r="S74" s="202">
        <v>2.0424000000000001E-2</v>
      </c>
      <c r="T74" s="202">
        <v>3.6344000000000001E-2</v>
      </c>
      <c r="U74" s="202">
        <v>2.0424000000000001E-2</v>
      </c>
      <c r="V74" s="202">
        <f>tblBaseCOIRate[[#This Row],[UVL01_Male]]</f>
        <v>4.5429999999999998E-2</v>
      </c>
      <c r="W74" s="203">
        <f>tblBaseCOIRate[[#This Row],[UVL01_Female]]</f>
        <v>2.5530000000000101E-2</v>
      </c>
      <c r="AG74" s="200">
        <v>72</v>
      </c>
      <c r="AH74" s="205">
        <f ca="1">OFFSET(tblTPAllocChrgRate[[#This Row],[UVL01]],0,MATCH(base,tblTPAllocChrgRate[#Headers],0)-3)</f>
        <v>0.02</v>
      </c>
      <c r="AI74" s="206">
        <v>0.02</v>
      </c>
      <c r="AJ74" s="207">
        <v>0</v>
      </c>
      <c r="AK74" s="208">
        <v>0</v>
      </c>
      <c r="AL74" s="208">
        <f>tblTPAllocChrgRate[[#This Row],[UVL01]]</f>
        <v>0.02</v>
      </c>
      <c r="AO74" s="200">
        <v>72</v>
      </c>
      <c r="AP74" s="209">
        <f ca="1">OFFSET(tblEPAllocChrgRate[[#This Row],[UVL01]],0,MATCH(base,tblEPAllocChrgRate[#Headers],0)-3)</f>
        <v>0.02</v>
      </c>
      <c r="AQ74" s="210">
        <v>0.02</v>
      </c>
      <c r="AR74" s="211">
        <v>0</v>
      </c>
      <c r="AS74" s="212">
        <v>0</v>
      </c>
      <c r="AT74" s="212">
        <f>tblEPAllocChrgRate[[#This Row],[UVL01]]</f>
        <v>0.02</v>
      </c>
      <c r="AW74" s="200">
        <v>72</v>
      </c>
      <c r="AX74" s="209">
        <f ca="1">OFFSET(tblSurrChrgRate[[#This Row],[UVL01]],0,MATCH(base,tblSurrChrgRate[#Headers],0)-3)</f>
        <v>0</v>
      </c>
      <c r="AY74" s="206">
        <v>0</v>
      </c>
      <c r="AZ74" s="206">
        <v>0</v>
      </c>
      <c r="BA74" s="213">
        <v>0</v>
      </c>
      <c r="BB74" s="213">
        <f>tblSurrChrgRate[[#This Row],[UVL01]]</f>
        <v>0</v>
      </c>
      <c r="BU74" s="200">
        <v>2087</v>
      </c>
      <c r="BV74" s="218">
        <f ca="1">OFFSET(tblAdminChrg[[#This Row],[UVL01]],0,MATCH(base,tblAdminChrg[#Headers],0)-3)</f>
        <v>25000</v>
      </c>
      <c r="BW74" s="215">
        <v>25000</v>
      </c>
      <c r="BX74" s="215">
        <v>66000</v>
      </c>
      <c r="BY74" s="219">
        <v>66000</v>
      </c>
      <c r="BZ74" s="219">
        <v>40000</v>
      </c>
    </row>
    <row r="75" spans="2:78" x14ac:dyDescent="0.25">
      <c r="N75" s="200">
        <v>72</v>
      </c>
      <c r="O75" s="201">
        <f ca="1">OFFSET(tblBaseCOIRate[[#This Row],[UVL01_Male]],0,MATCH(base&amp;"_"&amp;mainLI_gender,tblBaseCOIRate[#Headers],0)-3)</f>
        <v>2.8469999999999999E-2</v>
      </c>
      <c r="P75" s="202">
        <v>5.008E-2</v>
      </c>
      <c r="Q75" s="202">
        <v>2.8469999999999999E-2</v>
      </c>
      <c r="R75" s="202">
        <v>4.0064000000000002E-2</v>
      </c>
      <c r="S75" s="202">
        <v>2.2776000000000001E-2</v>
      </c>
      <c r="T75" s="202">
        <v>4.0064000000000002E-2</v>
      </c>
      <c r="U75" s="202">
        <v>2.2776000000000001E-2</v>
      </c>
      <c r="V75" s="202">
        <f>tblBaseCOIRate[[#This Row],[UVL01_Male]]</f>
        <v>5.008E-2</v>
      </c>
      <c r="W75" s="203">
        <f>tblBaseCOIRate[[#This Row],[UVL01_Female]]</f>
        <v>2.8469999999999999E-2</v>
      </c>
      <c r="AG75" s="200">
        <v>73</v>
      </c>
      <c r="AH75" s="205">
        <f ca="1">OFFSET(tblTPAllocChrgRate[[#This Row],[UVL01]],0,MATCH(base,tblTPAllocChrgRate[#Headers],0)-3)</f>
        <v>0.02</v>
      </c>
      <c r="AI75" s="206">
        <v>0.02</v>
      </c>
      <c r="AJ75" s="207">
        <v>0</v>
      </c>
      <c r="AK75" s="208">
        <v>0</v>
      </c>
      <c r="AL75" s="208">
        <f>tblTPAllocChrgRate[[#This Row],[UVL01]]</f>
        <v>0.02</v>
      </c>
      <c r="AO75" s="200">
        <v>73</v>
      </c>
      <c r="AP75" s="209">
        <f ca="1">OFFSET(tblEPAllocChrgRate[[#This Row],[UVL01]],0,MATCH(base,tblEPAllocChrgRate[#Headers],0)-3)</f>
        <v>0.02</v>
      </c>
      <c r="AQ75" s="210">
        <v>0.02</v>
      </c>
      <c r="AR75" s="211">
        <v>0</v>
      </c>
      <c r="AS75" s="212">
        <v>0</v>
      </c>
      <c r="AT75" s="212">
        <f>tblEPAllocChrgRate[[#This Row],[UVL01]]</f>
        <v>0.02</v>
      </c>
      <c r="AW75" s="200">
        <v>73</v>
      </c>
      <c r="AX75" s="209">
        <f ca="1">OFFSET(tblSurrChrgRate[[#This Row],[UVL01]],0,MATCH(base,tblSurrChrgRate[#Headers],0)-3)</f>
        <v>0</v>
      </c>
      <c r="AY75" s="206">
        <v>0</v>
      </c>
      <c r="AZ75" s="206">
        <v>0</v>
      </c>
      <c r="BA75" s="213">
        <v>0</v>
      </c>
      <c r="BB75" s="213">
        <f>tblSurrChrgRate[[#This Row],[UVL01]]</f>
        <v>0</v>
      </c>
      <c r="BU75" s="200">
        <v>2088</v>
      </c>
      <c r="BV75" s="218">
        <f ca="1">OFFSET(tblAdminChrg[[#This Row],[UVL01]],0,MATCH(base,tblAdminChrg[#Headers],0)-3)</f>
        <v>25000</v>
      </c>
      <c r="BW75" s="215">
        <v>25000</v>
      </c>
      <c r="BX75" s="215">
        <v>66000</v>
      </c>
      <c r="BY75" s="219">
        <v>66000</v>
      </c>
      <c r="BZ75" s="219">
        <v>40000</v>
      </c>
    </row>
    <row r="76" spans="2:78" x14ac:dyDescent="0.25">
      <c r="N76" s="200">
        <v>73</v>
      </c>
      <c r="O76" s="201">
        <f ca="1">OFFSET(tblBaseCOIRate[[#This Row],[UVL01_Male]],0,MATCH(base&amp;"_"&amp;mainLI_gender,tblBaseCOIRate[#Headers],0)-3)</f>
        <v>3.1989999999999998E-2</v>
      </c>
      <c r="P76" s="202">
        <v>5.5339999999999903E-2</v>
      </c>
      <c r="Q76" s="202">
        <v>3.1989999999999998E-2</v>
      </c>
      <c r="R76" s="202">
        <v>4.4271999999999999E-2</v>
      </c>
      <c r="S76" s="202">
        <v>2.5592E-2</v>
      </c>
      <c r="T76" s="202">
        <v>4.4271999999999999E-2</v>
      </c>
      <c r="U76" s="202">
        <v>2.5592E-2</v>
      </c>
      <c r="V76" s="202">
        <f>tblBaseCOIRate[[#This Row],[UVL01_Male]]</f>
        <v>5.5339999999999903E-2</v>
      </c>
      <c r="W76" s="203">
        <f>tblBaseCOIRate[[#This Row],[UVL01_Female]]</f>
        <v>3.1989999999999998E-2</v>
      </c>
      <c r="AG76" s="200">
        <v>74</v>
      </c>
      <c r="AH76" s="205">
        <f ca="1">OFFSET(tblTPAllocChrgRate[[#This Row],[UVL01]],0,MATCH(base,tblTPAllocChrgRate[#Headers],0)-3)</f>
        <v>0.02</v>
      </c>
      <c r="AI76" s="206">
        <v>0.02</v>
      </c>
      <c r="AJ76" s="207">
        <v>0</v>
      </c>
      <c r="AK76" s="208">
        <v>0</v>
      </c>
      <c r="AL76" s="208">
        <f>tblTPAllocChrgRate[[#This Row],[UVL01]]</f>
        <v>0.02</v>
      </c>
      <c r="AO76" s="200">
        <v>74</v>
      </c>
      <c r="AP76" s="209">
        <f ca="1">OFFSET(tblEPAllocChrgRate[[#This Row],[UVL01]],0,MATCH(base,tblEPAllocChrgRate[#Headers],0)-3)</f>
        <v>0.02</v>
      </c>
      <c r="AQ76" s="210">
        <v>0.02</v>
      </c>
      <c r="AR76" s="211">
        <v>0</v>
      </c>
      <c r="AS76" s="212">
        <v>0</v>
      </c>
      <c r="AT76" s="212">
        <f>tblEPAllocChrgRate[[#This Row],[UVL01]]</f>
        <v>0.02</v>
      </c>
      <c r="AW76" s="200">
        <v>74</v>
      </c>
      <c r="AX76" s="209">
        <f ca="1">OFFSET(tblSurrChrgRate[[#This Row],[UVL01]],0,MATCH(base,tblSurrChrgRate[#Headers],0)-3)</f>
        <v>0</v>
      </c>
      <c r="AY76" s="206">
        <v>0</v>
      </c>
      <c r="AZ76" s="206">
        <v>0</v>
      </c>
      <c r="BA76" s="213">
        <v>0</v>
      </c>
      <c r="BB76" s="213">
        <f>tblSurrChrgRate[[#This Row],[UVL01]]</f>
        <v>0</v>
      </c>
      <c r="BU76" s="200">
        <v>2089</v>
      </c>
      <c r="BV76" s="218">
        <f ca="1">OFFSET(tblAdminChrg[[#This Row],[UVL01]],0,MATCH(base,tblAdminChrg[#Headers],0)-3)</f>
        <v>25000</v>
      </c>
      <c r="BW76" s="215">
        <v>25000</v>
      </c>
      <c r="BX76" s="215">
        <v>66000</v>
      </c>
      <c r="BY76" s="219">
        <v>66000</v>
      </c>
      <c r="BZ76" s="219">
        <v>40000</v>
      </c>
    </row>
    <row r="77" spans="2:78" x14ac:dyDescent="0.25">
      <c r="N77" s="200">
        <v>74</v>
      </c>
      <c r="O77" s="201">
        <f ca="1">OFFSET(tblBaseCOIRate[[#This Row],[UVL01_Male]],0,MATCH(base&amp;"_"&amp;mainLI_gender,tblBaseCOIRate[#Headers],0)-3)</f>
        <v>3.6049999999999999E-2</v>
      </c>
      <c r="P77" s="202">
        <v>6.1099999999999897E-2</v>
      </c>
      <c r="Q77" s="202">
        <v>3.6049999999999999E-2</v>
      </c>
      <c r="R77" s="202">
        <v>4.888E-2</v>
      </c>
      <c r="S77" s="202">
        <v>2.8840000000000001E-2</v>
      </c>
      <c r="T77" s="202">
        <v>4.888E-2</v>
      </c>
      <c r="U77" s="202">
        <v>2.8840000000000001E-2</v>
      </c>
      <c r="V77" s="202">
        <f>tblBaseCOIRate[[#This Row],[UVL01_Male]]</f>
        <v>6.1099999999999897E-2</v>
      </c>
      <c r="W77" s="203">
        <f>tblBaseCOIRate[[#This Row],[UVL01_Female]]</f>
        <v>3.6049999999999999E-2</v>
      </c>
      <c r="AG77" s="200">
        <v>75</v>
      </c>
      <c r="AH77" s="205">
        <f ca="1">OFFSET(tblTPAllocChrgRate[[#This Row],[UVL01]],0,MATCH(base,tblTPAllocChrgRate[#Headers],0)-3)</f>
        <v>0.02</v>
      </c>
      <c r="AI77" s="206">
        <v>0.02</v>
      </c>
      <c r="AJ77" s="207">
        <v>0</v>
      </c>
      <c r="AK77" s="208">
        <v>0</v>
      </c>
      <c r="AL77" s="208">
        <f>tblTPAllocChrgRate[[#This Row],[UVL01]]</f>
        <v>0.02</v>
      </c>
      <c r="AO77" s="200">
        <v>75</v>
      </c>
      <c r="AP77" s="209">
        <f ca="1">OFFSET(tblEPAllocChrgRate[[#This Row],[UVL01]],0,MATCH(base,tblEPAllocChrgRate[#Headers],0)-3)</f>
        <v>0.02</v>
      </c>
      <c r="AQ77" s="210">
        <v>0.02</v>
      </c>
      <c r="AR77" s="211">
        <v>0</v>
      </c>
      <c r="AS77" s="212">
        <v>0</v>
      </c>
      <c r="AT77" s="212">
        <f>tblEPAllocChrgRate[[#This Row],[UVL01]]</f>
        <v>0.02</v>
      </c>
      <c r="AW77" s="200">
        <v>75</v>
      </c>
      <c r="AX77" s="209">
        <f ca="1">OFFSET(tblSurrChrgRate[[#This Row],[UVL01]],0,MATCH(base,tblSurrChrgRate[#Headers],0)-3)</f>
        <v>0</v>
      </c>
      <c r="AY77" s="206">
        <v>0</v>
      </c>
      <c r="AZ77" s="206">
        <v>0</v>
      </c>
      <c r="BA77" s="213">
        <v>0</v>
      </c>
      <c r="BB77" s="213">
        <f>tblSurrChrgRate[[#This Row],[UVL01]]</f>
        <v>0</v>
      </c>
      <c r="BU77" s="200">
        <v>2090</v>
      </c>
      <c r="BV77" s="218">
        <f ca="1">OFFSET(tblAdminChrg[[#This Row],[UVL01]],0,MATCH(base,tblAdminChrg[#Headers],0)-3)</f>
        <v>25000</v>
      </c>
      <c r="BW77" s="215">
        <v>25000</v>
      </c>
      <c r="BX77" s="215">
        <v>66000</v>
      </c>
      <c r="BY77" s="219">
        <v>66000</v>
      </c>
      <c r="BZ77" s="219">
        <v>40000</v>
      </c>
    </row>
    <row r="78" spans="2:78" x14ac:dyDescent="0.25">
      <c r="N78" s="200">
        <v>75</v>
      </c>
      <c r="O78" s="201">
        <f ca="1">OFFSET(tblBaseCOIRate[[#This Row],[UVL01_Male]],0,MATCH(base&amp;"_"&amp;mainLI_gender,tblBaseCOIRate[#Headers],0)-3)</f>
        <v>4.0559999999999999E-2</v>
      </c>
      <c r="P78" s="202">
        <v>6.7249999999999893E-2</v>
      </c>
      <c r="Q78" s="202">
        <v>4.0559999999999999E-2</v>
      </c>
      <c r="R78" s="202">
        <v>5.3799999999999903E-2</v>
      </c>
      <c r="S78" s="202">
        <v>3.2447999999999998E-2</v>
      </c>
      <c r="T78" s="202">
        <v>5.3799999999999903E-2</v>
      </c>
      <c r="U78" s="202">
        <v>3.2447999999999998E-2</v>
      </c>
      <c r="V78" s="202">
        <f>tblBaseCOIRate[[#This Row],[UVL01_Male]]</f>
        <v>6.7249999999999893E-2</v>
      </c>
      <c r="W78" s="203">
        <f>tblBaseCOIRate[[#This Row],[UVL01_Female]]</f>
        <v>4.0559999999999999E-2</v>
      </c>
      <c r="AG78" s="200">
        <v>76</v>
      </c>
      <c r="AH78" s="205">
        <f ca="1">OFFSET(tblTPAllocChrgRate[[#This Row],[UVL01]],0,MATCH(base,tblTPAllocChrgRate[#Headers],0)-3)</f>
        <v>0.02</v>
      </c>
      <c r="AI78" s="206">
        <v>0.02</v>
      </c>
      <c r="AJ78" s="207">
        <v>0</v>
      </c>
      <c r="AK78" s="208">
        <v>0</v>
      </c>
      <c r="AL78" s="208">
        <f>tblTPAllocChrgRate[[#This Row],[UVL01]]</f>
        <v>0.02</v>
      </c>
      <c r="AO78" s="200">
        <v>76</v>
      </c>
      <c r="AP78" s="209">
        <f ca="1">OFFSET(tblEPAllocChrgRate[[#This Row],[UVL01]],0,MATCH(base,tblEPAllocChrgRate[#Headers],0)-3)</f>
        <v>0.02</v>
      </c>
      <c r="AQ78" s="210">
        <v>0.02</v>
      </c>
      <c r="AR78" s="211">
        <v>0</v>
      </c>
      <c r="AS78" s="212">
        <v>0</v>
      </c>
      <c r="AT78" s="212">
        <f>tblEPAllocChrgRate[[#This Row],[UVL01]]</f>
        <v>0.02</v>
      </c>
      <c r="AW78" s="200">
        <v>76</v>
      </c>
      <c r="AX78" s="209">
        <f ca="1">OFFSET(tblSurrChrgRate[[#This Row],[UVL01]],0,MATCH(base,tblSurrChrgRate[#Headers],0)-3)</f>
        <v>0</v>
      </c>
      <c r="AY78" s="206">
        <v>0</v>
      </c>
      <c r="AZ78" s="206">
        <v>0</v>
      </c>
      <c r="BA78" s="213">
        <v>0</v>
      </c>
      <c r="BB78" s="213">
        <f>tblSurrChrgRate[[#This Row],[UVL01]]</f>
        <v>0</v>
      </c>
      <c r="BU78" s="200">
        <v>2091</v>
      </c>
      <c r="BV78" s="218">
        <f ca="1">OFFSET(tblAdminChrg[[#This Row],[UVL01]],0,MATCH(base,tblAdminChrg[#Headers],0)-3)</f>
        <v>25000</v>
      </c>
      <c r="BW78" s="215">
        <v>25000</v>
      </c>
      <c r="BX78" s="215">
        <v>66000</v>
      </c>
      <c r="BY78" s="219">
        <v>66000</v>
      </c>
      <c r="BZ78" s="219">
        <v>40000</v>
      </c>
    </row>
    <row r="79" spans="2:78" x14ac:dyDescent="0.25">
      <c r="N79" s="200">
        <v>76</v>
      </c>
      <c r="O79" s="201">
        <f ca="1">OFFSET(tblBaseCOIRate[[#This Row],[UVL01_Male]],0,MATCH(base&amp;"_"&amp;mainLI_gender,tblBaseCOIRate[#Headers],0)-3)</f>
        <v>4.5449999999999997E-2</v>
      </c>
      <c r="P79" s="202">
        <v>7.3700000000000002E-2</v>
      </c>
      <c r="Q79" s="202">
        <v>4.5449999999999997E-2</v>
      </c>
      <c r="R79" s="202">
        <v>5.8959999999999999E-2</v>
      </c>
      <c r="S79" s="202">
        <v>3.6360000000000003E-2</v>
      </c>
      <c r="T79" s="202">
        <v>5.8959999999999999E-2</v>
      </c>
      <c r="U79" s="202">
        <v>3.6360000000000003E-2</v>
      </c>
      <c r="V79" s="202">
        <f>tblBaseCOIRate[[#This Row],[UVL01_Male]]</f>
        <v>7.3700000000000002E-2</v>
      </c>
      <c r="W79" s="203">
        <f>tblBaseCOIRate[[#This Row],[UVL01_Female]]</f>
        <v>4.5449999999999997E-2</v>
      </c>
      <c r="AG79" s="200">
        <v>77</v>
      </c>
      <c r="AH79" s="205">
        <f ca="1">OFFSET(tblTPAllocChrgRate[[#This Row],[UVL01]],0,MATCH(base,tblTPAllocChrgRate[#Headers],0)-3)</f>
        <v>0.02</v>
      </c>
      <c r="AI79" s="206">
        <v>0.02</v>
      </c>
      <c r="AJ79" s="207">
        <v>0</v>
      </c>
      <c r="AK79" s="208">
        <v>0</v>
      </c>
      <c r="AL79" s="208">
        <f>tblTPAllocChrgRate[[#This Row],[UVL01]]</f>
        <v>0.02</v>
      </c>
      <c r="AO79" s="200">
        <v>77</v>
      </c>
      <c r="AP79" s="209">
        <f ca="1">OFFSET(tblEPAllocChrgRate[[#This Row],[UVL01]],0,MATCH(base,tblEPAllocChrgRate[#Headers],0)-3)</f>
        <v>0.02</v>
      </c>
      <c r="AQ79" s="210">
        <v>0.02</v>
      </c>
      <c r="AR79" s="211">
        <v>0</v>
      </c>
      <c r="AS79" s="212">
        <v>0</v>
      </c>
      <c r="AT79" s="212">
        <f>tblEPAllocChrgRate[[#This Row],[UVL01]]</f>
        <v>0.02</v>
      </c>
      <c r="AW79" s="200">
        <v>77</v>
      </c>
      <c r="AX79" s="209">
        <f ca="1">OFFSET(tblSurrChrgRate[[#This Row],[UVL01]],0,MATCH(base,tblSurrChrgRate[#Headers],0)-3)</f>
        <v>0</v>
      </c>
      <c r="AY79" s="206">
        <v>0</v>
      </c>
      <c r="AZ79" s="206">
        <v>0</v>
      </c>
      <c r="BA79" s="213">
        <v>0</v>
      </c>
      <c r="BB79" s="213">
        <f>tblSurrChrgRate[[#This Row],[UVL01]]</f>
        <v>0</v>
      </c>
      <c r="BU79" s="200">
        <v>2092</v>
      </c>
      <c r="BV79" s="218">
        <f ca="1">OFFSET(tblAdminChrg[[#This Row],[UVL01]],0,MATCH(base,tblAdminChrg[#Headers],0)-3)</f>
        <v>25000</v>
      </c>
      <c r="BW79" s="215">
        <v>25000</v>
      </c>
      <c r="BX79" s="215">
        <v>66000</v>
      </c>
      <c r="BY79" s="219">
        <v>66000</v>
      </c>
      <c r="BZ79" s="219">
        <v>40000</v>
      </c>
    </row>
    <row r="80" spans="2:78" x14ac:dyDescent="0.25">
      <c r="N80" s="200">
        <v>77</v>
      </c>
      <c r="O80" s="201">
        <f ca="1">OFFSET(tblBaseCOIRate[[#This Row],[UVL01_Male]],0,MATCH(base&amp;"_"&amp;mainLI_gender,tblBaseCOIRate[#Headers],0)-3)</f>
        <v>5.06800000000001E-2</v>
      </c>
      <c r="P80" s="202">
        <v>8.0370000000000094E-2</v>
      </c>
      <c r="Q80" s="202">
        <v>5.06800000000001E-2</v>
      </c>
      <c r="R80" s="202">
        <v>6.4296000000000103E-2</v>
      </c>
      <c r="S80" s="202">
        <v>4.0544000000000101E-2</v>
      </c>
      <c r="T80" s="202">
        <v>6.4296000000000103E-2</v>
      </c>
      <c r="U80" s="202">
        <v>4.0544000000000101E-2</v>
      </c>
      <c r="V80" s="202">
        <f>tblBaseCOIRate[[#This Row],[UVL01_Male]]</f>
        <v>8.0370000000000094E-2</v>
      </c>
      <c r="W80" s="203">
        <f>tblBaseCOIRate[[#This Row],[UVL01_Female]]</f>
        <v>5.06800000000001E-2</v>
      </c>
      <c r="AG80" s="200">
        <v>78</v>
      </c>
      <c r="AH80" s="205">
        <f ca="1">OFFSET(tblTPAllocChrgRate[[#This Row],[UVL01]],0,MATCH(base,tblTPAllocChrgRate[#Headers],0)-3)</f>
        <v>0.02</v>
      </c>
      <c r="AI80" s="206">
        <v>0.02</v>
      </c>
      <c r="AJ80" s="207">
        <v>0</v>
      </c>
      <c r="AK80" s="208">
        <v>0</v>
      </c>
      <c r="AL80" s="208">
        <f>tblTPAllocChrgRate[[#This Row],[UVL01]]</f>
        <v>0.02</v>
      </c>
      <c r="AO80" s="200">
        <v>78</v>
      </c>
      <c r="AP80" s="209">
        <f ca="1">OFFSET(tblEPAllocChrgRate[[#This Row],[UVL01]],0,MATCH(base,tblEPAllocChrgRate[#Headers],0)-3)</f>
        <v>0.02</v>
      </c>
      <c r="AQ80" s="210">
        <v>0.02</v>
      </c>
      <c r="AR80" s="211">
        <v>0</v>
      </c>
      <c r="AS80" s="212">
        <v>0</v>
      </c>
      <c r="AT80" s="212">
        <f>tblEPAllocChrgRate[[#This Row],[UVL01]]</f>
        <v>0.02</v>
      </c>
      <c r="AW80" s="200">
        <v>78</v>
      </c>
      <c r="AX80" s="209">
        <f ca="1">OFFSET(tblSurrChrgRate[[#This Row],[UVL01]],0,MATCH(base,tblSurrChrgRate[#Headers],0)-3)</f>
        <v>0</v>
      </c>
      <c r="AY80" s="206">
        <v>0</v>
      </c>
      <c r="AZ80" s="206">
        <v>0</v>
      </c>
      <c r="BA80" s="213">
        <v>0</v>
      </c>
      <c r="BB80" s="213">
        <f>tblSurrChrgRate[[#This Row],[UVL01]]</f>
        <v>0</v>
      </c>
      <c r="BU80" s="200">
        <v>2093</v>
      </c>
      <c r="BV80" s="218">
        <f ca="1">OFFSET(tblAdminChrg[[#This Row],[UVL01]],0,MATCH(base,tblAdminChrg[#Headers],0)-3)</f>
        <v>25000</v>
      </c>
      <c r="BW80" s="215">
        <v>25000</v>
      </c>
      <c r="BX80" s="215">
        <v>66000</v>
      </c>
      <c r="BY80" s="219">
        <v>66000</v>
      </c>
      <c r="BZ80" s="219">
        <v>40000</v>
      </c>
    </row>
    <row r="81" spans="14:78" x14ac:dyDescent="0.25">
      <c r="N81" s="200">
        <v>78</v>
      </c>
      <c r="O81" s="201">
        <f ca="1">OFFSET(tblBaseCOIRate[[#This Row],[UVL01_Male]],0,MATCH(base&amp;"_"&amp;mainLI_gender,tblBaseCOIRate[#Headers],0)-3)</f>
        <v>5.6320000000000002E-2</v>
      </c>
      <c r="P81" s="202">
        <v>8.7319999999999995E-2</v>
      </c>
      <c r="Q81" s="202">
        <v>5.6320000000000002E-2</v>
      </c>
      <c r="R81" s="202">
        <v>6.9856000000000001E-2</v>
      </c>
      <c r="S81" s="202">
        <v>4.5055999999999999E-2</v>
      </c>
      <c r="T81" s="202">
        <v>6.9856000000000001E-2</v>
      </c>
      <c r="U81" s="202">
        <v>4.5055999999999999E-2</v>
      </c>
      <c r="V81" s="202">
        <f>tblBaseCOIRate[[#This Row],[UVL01_Male]]</f>
        <v>8.7319999999999995E-2</v>
      </c>
      <c r="W81" s="203">
        <f>tblBaseCOIRate[[#This Row],[UVL01_Female]]</f>
        <v>5.6320000000000002E-2</v>
      </c>
      <c r="AG81" s="200">
        <v>79</v>
      </c>
      <c r="AH81" s="205">
        <f ca="1">OFFSET(tblTPAllocChrgRate[[#This Row],[UVL01]],0,MATCH(base,tblTPAllocChrgRate[#Headers],0)-3)</f>
        <v>0.02</v>
      </c>
      <c r="AI81" s="206">
        <v>0.02</v>
      </c>
      <c r="AJ81" s="207">
        <v>0</v>
      </c>
      <c r="AK81" s="208">
        <v>0</v>
      </c>
      <c r="AL81" s="208">
        <f>tblTPAllocChrgRate[[#This Row],[UVL01]]</f>
        <v>0.02</v>
      </c>
      <c r="AO81" s="200">
        <v>79</v>
      </c>
      <c r="AP81" s="209">
        <f ca="1">OFFSET(tblEPAllocChrgRate[[#This Row],[UVL01]],0,MATCH(base,tblEPAllocChrgRate[#Headers],0)-3)</f>
        <v>0.02</v>
      </c>
      <c r="AQ81" s="210">
        <v>0.02</v>
      </c>
      <c r="AR81" s="211">
        <v>0</v>
      </c>
      <c r="AS81" s="212">
        <v>0</v>
      </c>
      <c r="AT81" s="212">
        <f>tblEPAllocChrgRate[[#This Row],[UVL01]]</f>
        <v>0.02</v>
      </c>
      <c r="AW81" s="200">
        <v>79</v>
      </c>
      <c r="AX81" s="209">
        <f ca="1">OFFSET(tblSurrChrgRate[[#This Row],[UVL01]],0,MATCH(base,tblSurrChrgRate[#Headers],0)-3)</f>
        <v>0</v>
      </c>
      <c r="AY81" s="206">
        <v>0</v>
      </c>
      <c r="AZ81" s="206">
        <v>0</v>
      </c>
      <c r="BA81" s="213">
        <v>0</v>
      </c>
      <c r="BB81" s="213">
        <f>tblSurrChrgRate[[#This Row],[UVL01]]</f>
        <v>0</v>
      </c>
      <c r="BU81" s="200">
        <v>2094</v>
      </c>
      <c r="BV81" s="218">
        <f ca="1">OFFSET(tblAdminChrg[[#This Row],[UVL01]],0,MATCH(base,tblAdminChrg[#Headers],0)-3)</f>
        <v>25000</v>
      </c>
      <c r="BW81" s="215">
        <v>25000</v>
      </c>
      <c r="BX81" s="215">
        <v>66000</v>
      </c>
      <c r="BY81" s="219">
        <v>66000</v>
      </c>
      <c r="BZ81" s="219">
        <v>40000</v>
      </c>
    </row>
    <row r="82" spans="14:78" x14ac:dyDescent="0.25">
      <c r="N82" s="200">
        <v>79</v>
      </c>
      <c r="O82" s="201">
        <f ca="1">OFFSET(tblBaseCOIRate[[#This Row],[UVL01_Male]],0,MATCH(base&amp;"_"&amp;mainLI_gender,tblBaseCOIRate[#Headers],0)-3)</f>
        <v>6.2570000000000001E-2</v>
      </c>
      <c r="P82" s="202">
        <v>9.4759999999999997E-2</v>
      </c>
      <c r="Q82" s="202">
        <v>6.2570000000000001E-2</v>
      </c>
      <c r="R82" s="202">
        <v>7.5808E-2</v>
      </c>
      <c r="S82" s="202">
        <v>5.0056000000000003E-2</v>
      </c>
      <c r="T82" s="202">
        <v>7.5808E-2</v>
      </c>
      <c r="U82" s="202">
        <v>5.0056000000000003E-2</v>
      </c>
      <c r="V82" s="202">
        <f>tblBaseCOIRate[[#This Row],[UVL01_Male]]</f>
        <v>9.4759999999999997E-2</v>
      </c>
      <c r="W82" s="203">
        <f>tblBaseCOIRate[[#This Row],[UVL01_Female]]</f>
        <v>6.2570000000000001E-2</v>
      </c>
      <c r="AG82" s="200">
        <v>80</v>
      </c>
      <c r="AH82" s="205">
        <f ca="1">OFFSET(tblTPAllocChrgRate[[#This Row],[UVL01]],0,MATCH(base,tblTPAllocChrgRate[#Headers],0)-3)</f>
        <v>0.02</v>
      </c>
      <c r="AI82" s="206">
        <v>0.02</v>
      </c>
      <c r="AJ82" s="207">
        <v>0</v>
      </c>
      <c r="AK82" s="208">
        <v>0</v>
      </c>
      <c r="AL82" s="208">
        <f>tblTPAllocChrgRate[[#This Row],[UVL01]]</f>
        <v>0.02</v>
      </c>
      <c r="AO82" s="200">
        <v>80</v>
      </c>
      <c r="AP82" s="209">
        <f ca="1">OFFSET(tblEPAllocChrgRate[[#This Row],[UVL01]],0,MATCH(base,tblEPAllocChrgRate[#Headers],0)-3)</f>
        <v>0.02</v>
      </c>
      <c r="AQ82" s="210">
        <v>0.02</v>
      </c>
      <c r="AR82" s="211">
        <v>0</v>
      </c>
      <c r="AS82" s="212">
        <v>0</v>
      </c>
      <c r="AT82" s="212">
        <f>tblEPAllocChrgRate[[#This Row],[UVL01]]</f>
        <v>0.02</v>
      </c>
      <c r="AW82" s="200">
        <v>80</v>
      </c>
      <c r="AX82" s="209">
        <f ca="1">OFFSET(tblSurrChrgRate[[#This Row],[UVL01]],0,MATCH(base,tblSurrChrgRate[#Headers],0)-3)</f>
        <v>0</v>
      </c>
      <c r="AY82" s="206">
        <v>0</v>
      </c>
      <c r="AZ82" s="206">
        <v>0</v>
      </c>
      <c r="BA82" s="213">
        <v>0</v>
      </c>
      <c r="BB82" s="213">
        <f>tblSurrChrgRate[[#This Row],[UVL01]]</f>
        <v>0</v>
      </c>
      <c r="BU82" s="200">
        <v>2095</v>
      </c>
      <c r="BV82" s="218">
        <f ca="1">OFFSET(tblAdminChrg[[#This Row],[UVL01]],0,MATCH(base,tblAdminChrg[#Headers],0)-3)</f>
        <v>25000</v>
      </c>
      <c r="BW82" s="215">
        <v>25000</v>
      </c>
      <c r="BX82" s="215">
        <v>66000</v>
      </c>
      <c r="BY82" s="219">
        <v>66000</v>
      </c>
      <c r="BZ82" s="219">
        <v>40000</v>
      </c>
    </row>
    <row r="83" spans="14:78" x14ac:dyDescent="0.25">
      <c r="N83" s="200">
        <v>80</v>
      </c>
      <c r="O83" s="201">
        <f ca="1">OFFSET(tblBaseCOIRate[[#This Row],[UVL01_Male]],0,MATCH(base&amp;"_"&amp;mainLI_gender,tblBaseCOIRate[#Headers],0)-3)</f>
        <v>6.9669999999999899E-2</v>
      </c>
      <c r="P83" s="202">
        <v>0.10294</v>
      </c>
      <c r="Q83" s="202">
        <v>6.9669999999999899E-2</v>
      </c>
      <c r="R83" s="202">
        <v>8.2351999999999995E-2</v>
      </c>
      <c r="S83" s="202">
        <v>5.5735999999999897E-2</v>
      </c>
      <c r="T83" s="202">
        <v>8.2351999999999995E-2</v>
      </c>
      <c r="U83" s="202">
        <v>5.5735999999999897E-2</v>
      </c>
      <c r="V83" s="202">
        <f>tblBaseCOIRate[[#This Row],[UVL01_Male]]</f>
        <v>0.10294</v>
      </c>
      <c r="W83" s="203">
        <f>tblBaseCOIRate[[#This Row],[UVL01_Female]]</f>
        <v>6.9669999999999899E-2</v>
      </c>
      <c r="AG83" s="200">
        <v>81</v>
      </c>
      <c r="AH83" s="205">
        <f ca="1">OFFSET(tblTPAllocChrgRate[[#This Row],[UVL01]],0,MATCH(base,tblTPAllocChrgRate[#Headers],0)-3)</f>
        <v>0.02</v>
      </c>
      <c r="AI83" s="206">
        <v>0.02</v>
      </c>
      <c r="AJ83" s="207">
        <v>0</v>
      </c>
      <c r="AK83" s="208">
        <v>0</v>
      </c>
      <c r="AL83" s="208">
        <f>tblTPAllocChrgRate[[#This Row],[UVL01]]</f>
        <v>0.02</v>
      </c>
      <c r="AO83" s="200">
        <v>81</v>
      </c>
      <c r="AP83" s="209">
        <f ca="1">OFFSET(tblEPAllocChrgRate[[#This Row],[UVL01]],0,MATCH(base,tblEPAllocChrgRate[#Headers],0)-3)</f>
        <v>0.02</v>
      </c>
      <c r="AQ83" s="210">
        <v>0.02</v>
      </c>
      <c r="AR83" s="211">
        <v>0</v>
      </c>
      <c r="AS83" s="212">
        <v>0</v>
      </c>
      <c r="AT83" s="212">
        <f>tblEPAllocChrgRate[[#This Row],[UVL01]]</f>
        <v>0.02</v>
      </c>
      <c r="AW83" s="200">
        <v>81</v>
      </c>
      <c r="AX83" s="209">
        <f ca="1">OFFSET(tblSurrChrgRate[[#This Row],[UVL01]],0,MATCH(base,tblSurrChrgRate[#Headers],0)-3)</f>
        <v>0</v>
      </c>
      <c r="AY83" s="206">
        <v>0</v>
      </c>
      <c r="AZ83" s="206">
        <v>0</v>
      </c>
      <c r="BA83" s="213">
        <v>0</v>
      </c>
      <c r="BB83" s="213">
        <f>tblSurrChrgRate[[#This Row],[UVL01]]</f>
        <v>0</v>
      </c>
      <c r="BU83" s="200">
        <v>2096</v>
      </c>
      <c r="BV83" s="218">
        <f ca="1">OFFSET(tblAdminChrg[[#This Row],[UVL01]],0,MATCH(base,tblAdminChrg[#Headers],0)-3)</f>
        <v>25000</v>
      </c>
      <c r="BW83" s="215">
        <v>25000</v>
      </c>
      <c r="BX83" s="215">
        <v>66000</v>
      </c>
      <c r="BY83" s="219">
        <v>66000</v>
      </c>
      <c r="BZ83" s="219">
        <v>40000</v>
      </c>
    </row>
    <row r="84" spans="14:78" x14ac:dyDescent="0.25">
      <c r="N84" s="200">
        <v>81</v>
      </c>
      <c r="O84" s="201">
        <f ca="1">OFFSET(tblBaseCOIRate[[#This Row],[UVL01_Male]],0,MATCH(base&amp;"_"&amp;mainLI_gender,tblBaseCOIRate[#Headers],0)-3)</f>
        <v>7.7829999999999996E-2</v>
      </c>
      <c r="P84" s="202">
        <v>0.11209</v>
      </c>
      <c r="Q84" s="202">
        <v>7.7829999999999996E-2</v>
      </c>
      <c r="R84" s="202">
        <v>8.9672000000000002E-2</v>
      </c>
      <c r="S84" s="202">
        <v>6.2264E-2</v>
      </c>
      <c r="T84" s="202">
        <v>8.9672000000000002E-2</v>
      </c>
      <c r="U84" s="202">
        <v>6.2264E-2</v>
      </c>
      <c r="V84" s="202">
        <f>tblBaseCOIRate[[#This Row],[UVL01_Male]]</f>
        <v>0.11209</v>
      </c>
      <c r="W84" s="203">
        <f>tblBaseCOIRate[[#This Row],[UVL01_Female]]</f>
        <v>7.7829999999999996E-2</v>
      </c>
      <c r="AG84" s="200">
        <v>82</v>
      </c>
      <c r="AH84" s="205">
        <f ca="1">OFFSET(tblTPAllocChrgRate[[#This Row],[UVL01]],0,MATCH(base,tblTPAllocChrgRate[#Headers],0)-3)</f>
        <v>0.02</v>
      </c>
      <c r="AI84" s="206">
        <v>0.02</v>
      </c>
      <c r="AJ84" s="207">
        <v>0</v>
      </c>
      <c r="AK84" s="208">
        <v>0</v>
      </c>
      <c r="AL84" s="208">
        <f>tblTPAllocChrgRate[[#This Row],[UVL01]]</f>
        <v>0.02</v>
      </c>
      <c r="AO84" s="200">
        <v>82</v>
      </c>
      <c r="AP84" s="209">
        <f ca="1">OFFSET(tblEPAllocChrgRate[[#This Row],[UVL01]],0,MATCH(base,tblEPAllocChrgRate[#Headers],0)-3)</f>
        <v>0.02</v>
      </c>
      <c r="AQ84" s="210">
        <v>0.02</v>
      </c>
      <c r="AR84" s="211">
        <v>0</v>
      </c>
      <c r="AS84" s="212">
        <v>0</v>
      </c>
      <c r="AT84" s="212">
        <f>tblEPAllocChrgRate[[#This Row],[UVL01]]</f>
        <v>0.02</v>
      </c>
      <c r="AW84" s="200">
        <v>82</v>
      </c>
      <c r="AX84" s="209">
        <f ca="1">OFFSET(tblSurrChrgRate[[#This Row],[UVL01]],0,MATCH(base,tblSurrChrgRate[#Headers],0)-3)</f>
        <v>0</v>
      </c>
      <c r="AY84" s="206">
        <v>0</v>
      </c>
      <c r="AZ84" s="206">
        <v>0</v>
      </c>
      <c r="BA84" s="213">
        <v>0</v>
      </c>
      <c r="BB84" s="213">
        <f>tblSurrChrgRate[[#This Row],[UVL01]]</f>
        <v>0</v>
      </c>
      <c r="BU84" s="200">
        <v>2097</v>
      </c>
      <c r="BV84" s="218">
        <f ca="1">OFFSET(tblAdminChrg[[#This Row],[UVL01]],0,MATCH(base,tblAdminChrg[#Headers],0)-3)</f>
        <v>25000</v>
      </c>
      <c r="BW84" s="215">
        <v>25000</v>
      </c>
      <c r="BX84" s="215">
        <v>66000</v>
      </c>
      <c r="BY84" s="219">
        <v>66000</v>
      </c>
      <c r="BZ84" s="219">
        <v>40000</v>
      </c>
    </row>
    <row r="85" spans="14:78" x14ac:dyDescent="0.25">
      <c r="N85" s="200">
        <v>82</v>
      </c>
      <c r="O85" s="201">
        <f ca="1">OFFSET(tblBaseCOIRate[[#This Row],[UVL01_Male]],0,MATCH(base&amp;"_"&amp;mainLI_gender,tblBaseCOIRate[#Headers],0)-3)</f>
        <v>8.7249999999999897E-2</v>
      </c>
      <c r="P85" s="202">
        <v>0.12241</v>
      </c>
      <c r="Q85" s="202">
        <v>8.7249999999999897E-2</v>
      </c>
      <c r="R85" s="202">
        <v>9.7928000000000001E-2</v>
      </c>
      <c r="S85" s="202">
        <v>6.9800000000000001E-2</v>
      </c>
      <c r="T85" s="202">
        <v>9.7928000000000001E-2</v>
      </c>
      <c r="U85" s="202">
        <v>6.9800000000000001E-2</v>
      </c>
      <c r="V85" s="202">
        <f>tblBaseCOIRate[[#This Row],[UVL01_Male]]</f>
        <v>0.12241</v>
      </c>
      <c r="W85" s="203">
        <f>tblBaseCOIRate[[#This Row],[UVL01_Female]]</f>
        <v>8.7249999999999897E-2</v>
      </c>
      <c r="AG85" s="200">
        <v>83</v>
      </c>
      <c r="AH85" s="205">
        <f ca="1">OFFSET(tblTPAllocChrgRate[[#This Row],[UVL01]],0,MATCH(base,tblTPAllocChrgRate[#Headers],0)-3)</f>
        <v>0.02</v>
      </c>
      <c r="AI85" s="206">
        <v>0.02</v>
      </c>
      <c r="AJ85" s="207">
        <v>0</v>
      </c>
      <c r="AK85" s="208">
        <v>0</v>
      </c>
      <c r="AL85" s="208">
        <f>tblTPAllocChrgRate[[#This Row],[UVL01]]</f>
        <v>0.02</v>
      </c>
      <c r="AO85" s="200">
        <v>83</v>
      </c>
      <c r="AP85" s="209">
        <f ca="1">OFFSET(tblEPAllocChrgRate[[#This Row],[UVL01]],0,MATCH(base,tblEPAllocChrgRate[#Headers],0)-3)</f>
        <v>0.02</v>
      </c>
      <c r="AQ85" s="210">
        <v>0.02</v>
      </c>
      <c r="AR85" s="211">
        <v>0</v>
      </c>
      <c r="AS85" s="212">
        <v>0</v>
      </c>
      <c r="AT85" s="212">
        <f>tblEPAllocChrgRate[[#This Row],[UVL01]]</f>
        <v>0.02</v>
      </c>
      <c r="AW85" s="200">
        <v>83</v>
      </c>
      <c r="AX85" s="209">
        <f ca="1">OFFSET(tblSurrChrgRate[[#This Row],[UVL01]],0,MATCH(base,tblSurrChrgRate[#Headers],0)-3)</f>
        <v>0</v>
      </c>
      <c r="AY85" s="206">
        <v>0</v>
      </c>
      <c r="AZ85" s="206">
        <v>0</v>
      </c>
      <c r="BA85" s="213">
        <v>0</v>
      </c>
      <c r="BB85" s="213">
        <f>tblSurrChrgRate[[#This Row],[UVL01]]</f>
        <v>0</v>
      </c>
      <c r="BU85" s="200">
        <v>2098</v>
      </c>
      <c r="BV85" s="218">
        <f ca="1">OFFSET(tblAdminChrg[[#This Row],[UVL01]],0,MATCH(base,tblAdminChrg[#Headers],0)-3)</f>
        <v>25000</v>
      </c>
      <c r="BW85" s="215">
        <v>25000</v>
      </c>
      <c r="BX85" s="215">
        <v>66000</v>
      </c>
      <c r="BY85" s="219">
        <v>66000</v>
      </c>
      <c r="BZ85" s="219">
        <v>40000</v>
      </c>
    </row>
    <row r="86" spans="14:78" x14ac:dyDescent="0.25">
      <c r="N86" s="200">
        <v>83</v>
      </c>
      <c r="O86" s="201">
        <f ca="1">OFFSET(tblBaseCOIRate[[#This Row],[UVL01_Male]],0,MATCH(base&amp;"_"&amp;mainLI_gender,tblBaseCOIRate[#Headers],0)-3)</f>
        <v>9.7900000000000098E-2</v>
      </c>
      <c r="P86" s="202">
        <v>0.13383999999999999</v>
      </c>
      <c r="Q86" s="202">
        <v>9.7900000000000098E-2</v>
      </c>
      <c r="R86" s="202">
        <v>0.107072</v>
      </c>
      <c r="S86" s="202">
        <v>7.8320000000000098E-2</v>
      </c>
      <c r="T86" s="202">
        <v>0.107072</v>
      </c>
      <c r="U86" s="202">
        <v>7.8320000000000098E-2</v>
      </c>
      <c r="V86" s="202">
        <f>tblBaseCOIRate[[#This Row],[UVL01_Male]]</f>
        <v>0.13383999999999999</v>
      </c>
      <c r="W86" s="203">
        <f>tblBaseCOIRate[[#This Row],[UVL01_Female]]</f>
        <v>9.7900000000000098E-2</v>
      </c>
      <c r="AG86" s="200">
        <v>84</v>
      </c>
      <c r="AH86" s="205">
        <f ca="1">OFFSET(tblTPAllocChrgRate[[#This Row],[UVL01]],0,MATCH(base,tblTPAllocChrgRate[#Headers],0)-3)</f>
        <v>0.02</v>
      </c>
      <c r="AI86" s="206">
        <v>0.02</v>
      </c>
      <c r="AJ86" s="207">
        <v>0</v>
      </c>
      <c r="AK86" s="208">
        <v>0</v>
      </c>
      <c r="AL86" s="208">
        <f>tblTPAllocChrgRate[[#This Row],[UVL01]]</f>
        <v>0.02</v>
      </c>
      <c r="AO86" s="200">
        <v>84</v>
      </c>
      <c r="AP86" s="209">
        <f ca="1">OFFSET(tblEPAllocChrgRate[[#This Row],[UVL01]],0,MATCH(base,tblEPAllocChrgRate[#Headers],0)-3)</f>
        <v>0.02</v>
      </c>
      <c r="AQ86" s="210">
        <v>0.02</v>
      </c>
      <c r="AR86" s="211">
        <v>0</v>
      </c>
      <c r="AS86" s="212">
        <v>0</v>
      </c>
      <c r="AT86" s="212">
        <f>tblEPAllocChrgRate[[#This Row],[UVL01]]</f>
        <v>0.02</v>
      </c>
      <c r="AW86" s="200">
        <v>84</v>
      </c>
      <c r="AX86" s="209">
        <f ca="1">OFFSET(tblSurrChrgRate[[#This Row],[UVL01]],0,MATCH(base,tblSurrChrgRate[#Headers],0)-3)</f>
        <v>0</v>
      </c>
      <c r="AY86" s="206">
        <v>0</v>
      </c>
      <c r="AZ86" s="206">
        <v>0</v>
      </c>
      <c r="BA86" s="213">
        <v>0</v>
      </c>
      <c r="BB86" s="213">
        <f>tblSurrChrgRate[[#This Row],[UVL01]]</f>
        <v>0</v>
      </c>
      <c r="BU86" s="200">
        <v>2099</v>
      </c>
      <c r="BV86" s="218">
        <f ca="1">OFFSET(tblAdminChrg[[#This Row],[UVL01]],0,MATCH(base,tblAdminChrg[#Headers],0)-3)</f>
        <v>25000</v>
      </c>
      <c r="BW86" s="215">
        <v>25000</v>
      </c>
      <c r="BX86" s="215">
        <v>66000</v>
      </c>
      <c r="BY86" s="219">
        <v>66000</v>
      </c>
      <c r="BZ86" s="219">
        <v>40000</v>
      </c>
    </row>
    <row r="87" spans="14:78" x14ac:dyDescent="0.25">
      <c r="N87" s="200">
        <v>84</v>
      </c>
      <c r="O87" s="201">
        <f ca="1">OFFSET(tblBaseCOIRate[[#This Row],[UVL01_Male]],0,MATCH(base&amp;"_"&amp;mainLI_gender,tblBaseCOIRate[#Headers],0)-3)</f>
        <v>0.10962</v>
      </c>
      <c r="P87" s="202">
        <v>0.14612</v>
      </c>
      <c r="Q87" s="202">
        <v>0.10962</v>
      </c>
      <c r="R87" s="202">
        <v>0.116896</v>
      </c>
      <c r="S87" s="202">
        <v>8.7696000000000093E-2</v>
      </c>
      <c r="T87" s="202">
        <v>0.116896</v>
      </c>
      <c r="U87" s="202">
        <v>8.7696000000000093E-2</v>
      </c>
      <c r="V87" s="202">
        <f>tblBaseCOIRate[[#This Row],[UVL01_Male]]</f>
        <v>0.14612</v>
      </c>
      <c r="W87" s="203">
        <f>tblBaseCOIRate[[#This Row],[UVL01_Female]]</f>
        <v>0.10962</v>
      </c>
      <c r="AG87" s="200">
        <v>85</v>
      </c>
      <c r="AH87" s="205">
        <f ca="1">OFFSET(tblTPAllocChrgRate[[#This Row],[UVL01]],0,MATCH(base,tblTPAllocChrgRate[#Headers],0)-3)</f>
        <v>0.02</v>
      </c>
      <c r="AI87" s="206">
        <v>0.02</v>
      </c>
      <c r="AJ87" s="207">
        <v>0</v>
      </c>
      <c r="AK87" s="208">
        <v>0</v>
      </c>
      <c r="AL87" s="208">
        <f>tblTPAllocChrgRate[[#This Row],[UVL01]]</f>
        <v>0.02</v>
      </c>
      <c r="AO87" s="200">
        <v>85</v>
      </c>
      <c r="AP87" s="209">
        <f ca="1">OFFSET(tblEPAllocChrgRate[[#This Row],[UVL01]],0,MATCH(base,tblEPAllocChrgRate[#Headers],0)-3)</f>
        <v>0.02</v>
      </c>
      <c r="AQ87" s="210">
        <v>0.02</v>
      </c>
      <c r="AR87" s="211">
        <v>0</v>
      </c>
      <c r="AS87" s="212">
        <v>0</v>
      </c>
      <c r="AT87" s="212">
        <f>tblEPAllocChrgRate[[#This Row],[UVL01]]</f>
        <v>0.02</v>
      </c>
      <c r="AW87" s="200">
        <v>85</v>
      </c>
      <c r="AX87" s="209">
        <f ca="1">OFFSET(tblSurrChrgRate[[#This Row],[UVL01]],0,MATCH(base,tblSurrChrgRate[#Headers],0)-3)</f>
        <v>0</v>
      </c>
      <c r="AY87" s="206">
        <v>0</v>
      </c>
      <c r="AZ87" s="206">
        <v>0</v>
      </c>
      <c r="BA87" s="213">
        <v>0</v>
      </c>
      <c r="BB87" s="213">
        <f>tblSurrChrgRate[[#This Row],[UVL01]]</f>
        <v>0</v>
      </c>
      <c r="BU87" s="200">
        <v>2100</v>
      </c>
      <c r="BV87" s="218">
        <f ca="1">OFFSET(tblAdminChrg[[#This Row],[UVL01]],0,MATCH(base,tblAdminChrg[#Headers],0)-3)</f>
        <v>25000</v>
      </c>
      <c r="BW87" s="215">
        <v>25000</v>
      </c>
      <c r="BX87" s="215">
        <v>66000</v>
      </c>
      <c r="BY87" s="219">
        <v>66000</v>
      </c>
      <c r="BZ87" s="219">
        <v>40000</v>
      </c>
    </row>
    <row r="88" spans="14:78" x14ac:dyDescent="0.25">
      <c r="N88" s="200">
        <v>85</v>
      </c>
      <c r="O88" s="201">
        <f ca="1">OFFSET(tblBaseCOIRate[[#This Row],[UVL01_Male]],0,MATCH(base&amp;"_"&amp;mainLI_gender,tblBaseCOIRate[#Headers],0)-3)</f>
        <v>0.12229</v>
      </c>
      <c r="P88" s="202">
        <v>0.15898000000000001</v>
      </c>
      <c r="Q88" s="202">
        <v>0.12229</v>
      </c>
      <c r="R88" s="202">
        <v>0.12718399999999999</v>
      </c>
      <c r="S88" s="202">
        <v>9.7831999999999905E-2</v>
      </c>
      <c r="T88" s="202">
        <v>0.12718399999999999</v>
      </c>
      <c r="U88" s="202">
        <v>9.7831999999999905E-2</v>
      </c>
      <c r="V88" s="202">
        <f>tblBaseCOIRate[[#This Row],[UVL01_Male]]</f>
        <v>0.15898000000000001</v>
      </c>
      <c r="W88" s="203">
        <f>tblBaseCOIRate[[#This Row],[UVL01_Female]]</f>
        <v>0.12229</v>
      </c>
      <c r="AG88" s="200">
        <v>86</v>
      </c>
      <c r="AH88" s="205">
        <f ca="1">OFFSET(tblTPAllocChrgRate[[#This Row],[UVL01]],0,MATCH(base,tblTPAllocChrgRate[#Headers],0)-3)</f>
        <v>0.02</v>
      </c>
      <c r="AI88" s="206">
        <v>0.02</v>
      </c>
      <c r="AJ88" s="207">
        <v>0</v>
      </c>
      <c r="AK88" s="208">
        <v>0</v>
      </c>
      <c r="AL88" s="208">
        <f>tblTPAllocChrgRate[[#This Row],[UVL01]]</f>
        <v>0.02</v>
      </c>
      <c r="AO88" s="200">
        <v>86</v>
      </c>
      <c r="AP88" s="209">
        <f ca="1">OFFSET(tblEPAllocChrgRate[[#This Row],[UVL01]],0,MATCH(base,tblEPAllocChrgRate[#Headers],0)-3)</f>
        <v>0.02</v>
      </c>
      <c r="AQ88" s="210">
        <v>0.02</v>
      </c>
      <c r="AR88" s="211">
        <v>0</v>
      </c>
      <c r="AS88" s="212">
        <v>0</v>
      </c>
      <c r="AT88" s="212">
        <f>tblEPAllocChrgRate[[#This Row],[UVL01]]</f>
        <v>0.02</v>
      </c>
      <c r="AW88" s="200">
        <v>86</v>
      </c>
      <c r="AX88" s="209">
        <f ca="1">OFFSET(tblSurrChrgRate[[#This Row],[UVL01]],0,MATCH(base,tblSurrChrgRate[#Headers],0)-3)</f>
        <v>0</v>
      </c>
      <c r="AY88" s="206">
        <v>0</v>
      </c>
      <c r="AZ88" s="206">
        <v>0</v>
      </c>
      <c r="BA88" s="213">
        <v>0</v>
      </c>
      <c r="BB88" s="213">
        <f>tblSurrChrgRate[[#This Row],[UVL01]]</f>
        <v>0</v>
      </c>
      <c r="BU88" s="200">
        <v>2101</v>
      </c>
      <c r="BV88" s="218">
        <f ca="1">OFFSET(tblAdminChrg[[#This Row],[UVL01]],0,MATCH(base,tblAdminChrg[#Headers],0)-3)</f>
        <v>25000</v>
      </c>
      <c r="BW88" s="215">
        <v>25000</v>
      </c>
      <c r="BX88" s="215">
        <v>66000</v>
      </c>
      <c r="BY88" s="219">
        <v>66000</v>
      </c>
      <c r="BZ88" s="219">
        <v>40000</v>
      </c>
    </row>
    <row r="89" spans="14:78" x14ac:dyDescent="0.25">
      <c r="N89" s="200">
        <v>86</v>
      </c>
      <c r="O89" s="201">
        <f ca="1">OFFSET(tblBaseCOIRate[[#This Row],[UVL01_Male]],0,MATCH(base&amp;"_"&amp;mainLI_gender,tblBaseCOIRate[#Headers],0)-3)</f>
        <v>0.13582</v>
      </c>
      <c r="P89" s="202">
        <v>0.17221</v>
      </c>
      <c r="Q89" s="202">
        <v>0.13582</v>
      </c>
      <c r="R89" s="202">
        <v>0.137768</v>
      </c>
      <c r="S89" s="202">
        <v>0.108656</v>
      </c>
      <c r="T89" s="202">
        <v>0.137768</v>
      </c>
      <c r="U89" s="202">
        <v>0.108656</v>
      </c>
      <c r="V89" s="202">
        <f>tblBaseCOIRate[[#This Row],[UVL01_Male]]</f>
        <v>0.17221</v>
      </c>
      <c r="W89" s="203">
        <f>tblBaseCOIRate[[#This Row],[UVL01_Female]]</f>
        <v>0.13582</v>
      </c>
      <c r="AG89" s="200">
        <v>87</v>
      </c>
      <c r="AH89" s="205">
        <f ca="1">OFFSET(tblTPAllocChrgRate[[#This Row],[UVL01]],0,MATCH(base,tblTPAllocChrgRate[#Headers],0)-3)</f>
        <v>0.02</v>
      </c>
      <c r="AI89" s="206">
        <v>0.02</v>
      </c>
      <c r="AJ89" s="207">
        <v>0</v>
      </c>
      <c r="AK89" s="208">
        <v>0</v>
      </c>
      <c r="AL89" s="208">
        <f>tblTPAllocChrgRate[[#This Row],[UVL01]]</f>
        <v>0.02</v>
      </c>
      <c r="AO89" s="200">
        <v>87</v>
      </c>
      <c r="AP89" s="209">
        <f ca="1">OFFSET(tblEPAllocChrgRate[[#This Row],[UVL01]],0,MATCH(base,tblEPAllocChrgRate[#Headers],0)-3)</f>
        <v>0.02</v>
      </c>
      <c r="AQ89" s="210">
        <v>0.02</v>
      </c>
      <c r="AR89" s="211">
        <v>0</v>
      </c>
      <c r="AS89" s="212">
        <v>0</v>
      </c>
      <c r="AT89" s="212">
        <f>tblEPAllocChrgRate[[#This Row],[UVL01]]</f>
        <v>0.02</v>
      </c>
      <c r="AW89" s="200">
        <v>87</v>
      </c>
      <c r="AX89" s="209">
        <f ca="1">OFFSET(tblSurrChrgRate[[#This Row],[UVL01]],0,MATCH(base,tblSurrChrgRate[#Headers],0)-3)</f>
        <v>0</v>
      </c>
      <c r="AY89" s="206">
        <v>0</v>
      </c>
      <c r="AZ89" s="206">
        <v>0</v>
      </c>
      <c r="BA89" s="213">
        <v>0</v>
      </c>
      <c r="BB89" s="213">
        <f>tblSurrChrgRate[[#This Row],[UVL01]]</f>
        <v>0</v>
      </c>
      <c r="BU89" s="200">
        <v>2102</v>
      </c>
      <c r="BV89" s="218">
        <f ca="1">OFFSET(tblAdminChrg[[#This Row],[UVL01]],0,MATCH(base,tblAdminChrg[#Headers],0)-3)</f>
        <v>25000</v>
      </c>
      <c r="BW89" s="215">
        <v>25000</v>
      </c>
      <c r="BX89" s="215">
        <v>66000</v>
      </c>
      <c r="BY89" s="219">
        <v>66000</v>
      </c>
      <c r="BZ89" s="219">
        <v>40000</v>
      </c>
    </row>
    <row r="90" spans="14:78" x14ac:dyDescent="0.25">
      <c r="N90" s="200">
        <v>87</v>
      </c>
      <c r="O90" s="201">
        <f ca="1">OFFSET(tblBaseCOIRate[[#This Row],[UVL01_Male]],0,MATCH(base&amp;"_"&amp;mainLI_gender,tblBaseCOIRate[#Headers],0)-3)</f>
        <v>0.15018000000000001</v>
      </c>
      <c r="P90" s="202">
        <v>0.18573000000000001</v>
      </c>
      <c r="Q90" s="202">
        <v>0.15018000000000001</v>
      </c>
      <c r="R90" s="202">
        <v>0.14858399999999999</v>
      </c>
      <c r="S90" s="202">
        <v>0.120144</v>
      </c>
      <c r="T90" s="202">
        <v>0.14858399999999999</v>
      </c>
      <c r="U90" s="202">
        <v>0.120144</v>
      </c>
      <c r="V90" s="202">
        <f>tblBaseCOIRate[[#This Row],[UVL01_Male]]</f>
        <v>0.18573000000000001</v>
      </c>
      <c r="W90" s="203">
        <f>tblBaseCOIRate[[#This Row],[UVL01_Female]]</f>
        <v>0.15018000000000001</v>
      </c>
      <c r="AG90" s="200">
        <v>88</v>
      </c>
      <c r="AH90" s="205">
        <f ca="1">OFFSET(tblTPAllocChrgRate[[#This Row],[UVL01]],0,MATCH(base,tblTPAllocChrgRate[#Headers],0)-3)</f>
        <v>0.02</v>
      </c>
      <c r="AI90" s="206">
        <v>0.02</v>
      </c>
      <c r="AJ90" s="207">
        <v>0</v>
      </c>
      <c r="AK90" s="208">
        <v>0</v>
      </c>
      <c r="AL90" s="208">
        <f>tblTPAllocChrgRate[[#This Row],[UVL01]]</f>
        <v>0.02</v>
      </c>
      <c r="AO90" s="200">
        <v>88</v>
      </c>
      <c r="AP90" s="209">
        <f ca="1">OFFSET(tblEPAllocChrgRate[[#This Row],[UVL01]],0,MATCH(base,tblEPAllocChrgRate[#Headers],0)-3)</f>
        <v>0.02</v>
      </c>
      <c r="AQ90" s="210">
        <v>0.02</v>
      </c>
      <c r="AR90" s="211">
        <v>0</v>
      </c>
      <c r="AS90" s="212">
        <v>0</v>
      </c>
      <c r="AT90" s="212">
        <f>tblEPAllocChrgRate[[#This Row],[UVL01]]</f>
        <v>0.02</v>
      </c>
      <c r="AW90" s="200">
        <v>88</v>
      </c>
      <c r="AX90" s="209">
        <f ca="1">OFFSET(tblSurrChrgRate[[#This Row],[UVL01]],0,MATCH(base,tblSurrChrgRate[#Headers],0)-3)</f>
        <v>0</v>
      </c>
      <c r="AY90" s="206">
        <v>0</v>
      </c>
      <c r="AZ90" s="206">
        <v>0</v>
      </c>
      <c r="BA90" s="213">
        <v>0</v>
      </c>
      <c r="BB90" s="213">
        <f>tblSurrChrgRate[[#This Row],[UVL01]]</f>
        <v>0</v>
      </c>
      <c r="BU90" s="200">
        <v>2103</v>
      </c>
      <c r="BV90" s="218">
        <f ca="1">OFFSET(tblAdminChrg[[#This Row],[UVL01]],0,MATCH(base,tblAdminChrg[#Headers],0)-3)</f>
        <v>25000</v>
      </c>
      <c r="BW90" s="215">
        <v>25000</v>
      </c>
      <c r="BX90" s="215">
        <v>66000</v>
      </c>
      <c r="BY90" s="219">
        <v>66000</v>
      </c>
      <c r="BZ90" s="219">
        <v>40000</v>
      </c>
    </row>
    <row r="91" spans="14:78" x14ac:dyDescent="0.25">
      <c r="N91" s="200">
        <v>88</v>
      </c>
      <c r="O91" s="201">
        <f ca="1">OFFSET(tblBaseCOIRate[[#This Row],[UVL01_Male]],0,MATCH(base&amp;"_"&amp;mainLI_gender,tblBaseCOIRate[#Headers],0)-3)</f>
        <v>0.16538</v>
      </c>
      <c r="P91" s="202">
        <v>0.19953000000000001</v>
      </c>
      <c r="Q91" s="202">
        <v>0.16538</v>
      </c>
      <c r="R91" s="202">
        <v>0.15962399999999999</v>
      </c>
      <c r="S91" s="202">
        <v>0.132304</v>
      </c>
      <c r="T91" s="202">
        <v>0.15962399999999999</v>
      </c>
      <c r="U91" s="202">
        <v>0.132304</v>
      </c>
      <c r="V91" s="202">
        <f>tblBaseCOIRate[[#This Row],[UVL01_Male]]</f>
        <v>0.19953000000000001</v>
      </c>
      <c r="W91" s="203">
        <f>tblBaseCOIRate[[#This Row],[UVL01_Female]]</f>
        <v>0.16538</v>
      </c>
      <c r="AG91" s="200">
        <v>89</v>
      </c>
      <c r="AH91" s="205">
        <f ca="1">OFFSET(tblTPAllocChrgRate[[#This Row],[UVL01]],0,MATCH(base,tblTPAllocChrgRate[#Headers],0)-3)</f>
        <v>0.02</v>
      </c>
      <c r="AI91" s="206">
        <v>0.02</v>
      </c>
      <c r="AJ91" s="207">
        <v>0</v>
      </c>
      <c r="AK91" s="208">
        <v>0</v>
      </c>
      <c r="AL91" s="208">
        <f>tblTPAllocChrgRate[[#This Row],[UVL01]]</f>
        <v>0.02</v>
      </c>
      <c r="AO91" s="200">
        <v>89</v>
      </c>
      <c r="AP91" s="209">
        <f ca="1">OFFSET(tblEPAllocChrgRate[[#This Row],[UVL01]],0,MATCH(base,tblEPAllocChrgRate[#Headers],0)-3)</f>
        <v>0.02</v>
      </c>
      <c r="AQ91" s="210">
        <v>0.02</v>
      </c>
      <c r="AR91" s="211">
        <v>0</v>
      </c>
      <c r="AS91" s="212">
        <v>0</v>
      </c>
      <c r="AT91" s="212">
        <f>tblEPAllocChrgRate[[#This Row],[UVL01]]</f>
        <v>0.02</v>
      </c>
      <c r="AW91" s="200">
        <v>89</v>
      </c>
      <c r="AX91" s="209">
        <f ca="1">OFFSET(tblSurrChrgRate[[#This Row],[UVL01]],0,MATCH(base,tblSurrChrgRate[#Headers],0)-3)</f>
        <v>0</v>
      </c>
      <c r="AY91" s="206">
        <v>0</v>
      </c>
      <c r="AZ91" s="206">
        <v>0</v>
      </c>
      <c r="BA91" s="213">
        <v>0</v>
      </c>
      <c r="BB91" s="213">
        <f>tblSurrChrgRate[[#This Row],[UVL01]]</f>
        <v>0</v>
      </c>
      <c r="BU91" s="200">
        <v>2104</v>
      </c>
      <c r="BV91" s="218">
        <f ca="1">OFFSET(tblAdminChrg[[#This Row],[UVL01]],0,MATCH(base,tblAdminChrg[#Headers],0)-3)</f>
        <v>25000</v>
      </c>
      <c r="BW91" s="215">
        <v>25000</v>
      </c>
      <c r="BX91" s="215">
        <v>66000</v>
      </c>
      <c r="BY91" s="219">
        <v>66000</v>
      </c>
      <c r="BZ91" s="219">
        <v>40000</v>
      </c>
    </row>
    <row r="92" spans="14:78" x14ac:dyDescent="0.25">
      <c r="N92" s="200">
        <v>89</v>
      </c>
      <c r="O92" s="201">
        <f ca="1">OFFSET(tblBaseCOIRate[[#This Row],[UVL01_Male]],0,MATCH(base&amp;"_"&amp;mainLI_gender,tblBaseCOIRate[#Headers],0)-3)</f>
        <v>0.18154000000000001</v>
      </c>
      <c r="P92" s="202">
        <v>0.21368999999999999</v>
      </c>
      <c r="Q92" s="202">
        <v>0.18154000000000001</v>
      </c>
      <c r="R92" s="202">
        <v>0.17095199999999999</v>
      </c>
      <c r="S92" s="202">
        <v>0.145232</v>
      </c>
      <c r="T92" s="202">
        <v>0.17095199999999999</v>
      </c>
      <c r="U92" s="202">
        <v>0.145232</v>
      </c>
      <c r="V92" s="202">
        <f>tblBaseCOIRate[[#This Row],[UVL01_Male]]</f>
        <v>0.21368999999999999</v>
      </c>
      <c r="W92" s="203">
        <f>tblBaseCOIRate[[#This Row],[UVL01_Female]]</f>
        <v>0.18154000000000001</v>
      </c>
      <c r="AG92" s="200">
        <v>90</v>
      </c>
      <c r="AH92" s="205">
        <f ca="1">OFFSET(tblTPAllocChrgRate[[#This Row],[UVL01]],0,MATCH(base,tblTPAllocChrgRate[#Headers],0)-3)</f>
        <v>0.02</v>
      </c>
      <c r="AI92" s="206">
        <v>0.02</v>
      </c>
      <c r="AJ92" s="207">
        <v>0</v>
      </c>
      <c r="AK92" s="208">
        <v>0</v>
      </c>
      <c r="AL92" s="208">
        <f>tblTPAllocChrgRate[[#This Row],[UVL01]]</f>
        <v>0.02</v>
      </c>
      <c r="AO92" s="200">
        <v>90</v>
      </c>
      <c r="AP92" s="209">
        <f ca="1">OFFSET(tblEPAllocChrgRate[[#This Row],[UVL01]],0,MATCH(base,tblEPAllocChrgRate[#Headers],0)-3)</f>
        <v>0.02</v>
      </c>
      <c r="AQ92" s="210">
        <v>0.02</v>
      </c>
      <c r="AR92" s="211">
        <v>0</v>
      </c>
      <c r="AS92" s="212">
        <v>0</v>
      </c>
      <c r="AT92" s="212">
        <f>tblEPAllocChrgRate[[#This Row],[UVL01]]</f>
        <v>0.02</v>
      </c>
      <c r="AW92" s="200">
        <v>90</v>
      </c>
      <c r="AX92" s="209">
        <f ca="1">OFFSET(tblSurrChrgRate[[#This Row],[UVL01]],0,MATCH(base,tblSurrChrgRate[#Headers],0)-3)</f>
        <v>0</v>
      </c>
      <c r="AY92" s="206">
        <v>0</v>
      </c>
      <c r="AZ92" s="206">
        <v>0</v>
      </c>
      <c r="BA92" s="213">
        <v>0</v>
      </c>
      <c r="BB92" s="213">
        <f>tblSurrChrgRate[[#This Row],[UVL01]]</f>
        <v>0</v>
      </c>
      <c r="BU92" s="200">
        <v>2105</v>
      </c>
      <c r="BV92" s="218">
        <f ca="1">OFFSET(tblAdminChrg[[#This Row],[UVL01]],0,MATCH(base,tblAdminChrg[#Headers],0)-3)</f>
        <v>25000</v>
      </c>
      <c r="BW92" s="215">
        <v>25000</v>
      </c>
      <c r="BX92" s="215">
        <v>66000</v>
      </c>
      <c r="BY92" s="219">
        <v>66000</v>
      </c>
      <c r="BZ92" s="219">
        <v>40000</v>
      </c>
    </row>
    <row r="93" spans="14:78" x14ac:dyDescent="0.25">
      <c r="N93" s="200">
        <v>90</v>
      </c>
      <c r="O93" s="201">
        <f ca="1">OFFSET(tblBaseCOIRate[[#This Row],[UVL01_Male]],0,MATCH(base&amp;"_"&amp;mainLI_gender,tblBaseCOIRate[#Headers],0)-3)</f>
        <v>0.19885</v>
      </c>
      <c r="P93" s="202">
        <v>0.22842999999999999</v>
      </c>
      <c r="Q93" s="202">
        <v>0.19885</v>
      </c>
      <c r="R93" s="202">
        <v>0.18274399999999999</v>
      </c>
      <c r="S93" s="202">
        <v>0.15908</v>
      </c>
      <c r="T93" s="202">
        <v>0.18274399999999999</v>
      </c>
      <c r="U93" s="202">
        <v>0.15908</v>
      </c>
      <c r="V93" s="202">
        <f>tblBaseCOIRate[[#This Row],[UVL01_Male]]</f>
        <v>0.22842999999999999</v>
      </c>
      <c r="W93" s="203">
        <f>tblBaseCOIRate[[#This Row],[UVL01_Female]]</f>
        <v>0.19885</v>
      </c>
      <c r="AG93" s="200">
        <v>91</v>
      </c>
      <c r="AH93" s="205">
        <f ca="1">OFFSET(tblTPAllocChrgRate[[#This Row],[UVL01]],0,MATCH(base,tblTPAllocChrgRate[#Headers],0)-3)</f>
        <v>0.02</v>
      </c>
      <c r="AI93" s="206">
        <v>0.02</v>
      </c>
      <c r="AJ93" s="207">
        <v>0</v>
      </c>
      <c r="AK93" s="208">
        <v>0</v>
      </c>
      <c r="AL93" s="208">
        <f>tblTPAllocChrgRate[[#This Row],[UVL01]]</f>
        <v>0.02</v>
      </c>
      <c r="AO93" s="200">
        <v>91</v>
      </c>
      <c r="AP93" s="209">
        <f ca="1">OFFSET(tblEPAllocChrgRate[[#This Row],[UVL01]],0,MATCH(base,tblEPAllocChrgRate[#Headers],0)-3)</f>
        <v>0.02</v>
      </c>
      <c r="AQ93" s="210">
        <v>0.02</v>
      </c>
      <c r="AR93" s="211">
        <v>0</v>
      </c>
      <c r="AS93" s="212">
        <v>0</v>
      </c>
      <c r="AT93" s="212">
        <f>tblEPAllocChrgRate[[#This Row],[UVL01]]</f>
        <v>0.02</v>
      </c>
      <c r="AW93" s="200">
        <v>91</v>
      </c>
      <c r="AX93" s="209">
        <f ca="1">OFFSET(tblSurrChrgRate[[#This Row],[UVL01]],0,MATCH(base,tblSurrChrgRate[#Headers],0)-3)</f>
        <v>0</v>
      </c>
      <c r="AY93" s="206">
        <v>0</v>
      </c>
      <c r="AZ93" s="206">
        <v>0</v>
      </c>
      <c r="BA93" s="213">
        <v>0</v>
      </c>
      <c r="BB93" s="213">
        <f>tblSurrChrgRate[[#This Row],[UVL01]]</f>
        <v>0</v>
      </c>
      <c r="BU93" s="200">
        <v>2106</v>
      </c>
      <c r="BV93" s="218">
        <f ca="1">OFFSET(tblAdminChrg[[#This Row],[UVL01]],0,MATCH(base,tblAdminChrg[#Headers],0)-3)</f>
        <v>25000</v>
      </c>
      <c r="BW93" s="215">
        <v>25000</v>
      </c>
      <c r="BX93" s="215">
        <v>66000</v>
      </c>
      <c r="BY93" s="219">
        <v>66000</v>
      </c>
      <c r="BZ93" s="219">
        <v>40000</v>
      </c>
    </row>
    <row r="94" spans="14:78" x14ac:dyDescent="0.25">
      <c r="N94" s="200">
        <v>91</v>
      </c>
      <c r="O94" s="201">
        <f ca="1">OFFSET(tblBaseCOIRate[[#This Row],[UVL01_Male]],0,MATCH(base&amp;"_"&amp;mainLI_gender,tblBaseCOIRate[#Headers],0)-3)</f>
        <v>0.21768000000000001</v>
      </c>
      <c r="P94" s="202">
        <v>0.24410999999999999</v>
      </c>
      <c r="Q94" s="202">
        <v>0.21768000000000001</v>
      </c>
      <c r="R94" s="202">
        <v>0.19528799999999999</v>
      </c>
      <c r="S94" s="202">
        <v>0.17414399999999999</v>
      </c>
      <c r="T94" s="202">
        <v>0.19528799999999999</v>
      </c>
      <c r="U94" s="202">
        <v>0.17414399999999999</v>
      </c>
      <c r="V94" s="202">
        <f>tblBaseCOIRate[[#This Row],[UVL01_Male]]</f>
        <v>0.24410999999999999</v>
      </c>
      <c r="W94" s="203">
        <f>tblBaseCOIRate[[#This Row],[UVL01_Female]]</f>
        <v>0.21768000000000001</v>
      </c>
      <c r="AG94" s="200">
        <v>92</v>
      </c>
      <c r="AH94" s="205">
        <f ca="1">OFFSET(tblTPAllocChrgRate[[#This Row],[UVL01]],0,MATCH(base,tblTPAllocChrgRate[#Headers],0)-3)</f>
        <v>0.02</v>
      </c>
      <c r="AI94" s="206">
        <v>0.02</v>
      </c>
      <c r="AJ94" s="207">
        <v>0</v>
      </c>
      <c r="AK94" s="208">
        <v>0</v>
      </c>
      <c r="AL94" s="208">
        <f>tblTPAllocChrgRate[[#This Row],[UVL01]]</f>
        <v>0.02</v>
      </c>
      <c r="AO94" s="200">
        <v>92</v>
      </c>
      <c r="AP94" s="209">
        <f ca="1">OFFSET(tblEPAllocChrgRate[[#This Row],[UVL01]],0,MATCH(base,tblEPAllocChrgRate[#Headers],0)-3)</f>
        <v>0.02</v>
      </c>
      <c r="AQ94" s="210">
        <v>0.02</v>
      </c>
      <c r="AR94" s="211">
        <v>0</v>
      </c>
      <c r="AS94" s="212">
        <v>0</v>
      </c>
      <c r="AT94" s="212">
        <f>tblEPAllocChrgRate[[#This Row],[UVL01]]</f>
        <v>0.02</v>
      </c>
      <c r="AW94" s="200">
        <v>92</v>
      </c>
      <c r="AX94" s="209">
        <f ca="1">OFFSET(tblSurrChrgRate[[#This Row],[UVL01]],0,MATCH(base,tblSurrChrgRate[#Headers],0)-3)</f>
        <v>0</v>
      </c>
      <c r="AY94" s="206">
        <v>0</v>
      </c>
      <c r="AZ94" s="206">
        <v>0</v>
      </c>
      <c r="BA94" s="213">
        <v>0</v>
      </c>
      <c r="BB94" s="213">
        <f>tblSurrChrgRate[[#This Row],[UVL01]]</f>
        <v>0</v>
      </c>
      <c r="BU94" s="200">
        <v>2107</v>
      </c>
      <c r="BV94" s="218">
        <f ca="1">OFFSET(tblAdminChrg[[#This Row],[UVL01]],0,MATCH(base,tblAdminChrg[#Headers],0)-3)</f>
        <v>25000</v>
      </c>
      <c r="BW94" s="215">
        <v>25000</v>
      </c>
      <c r="BX94" s="215">
        <v>66000</v>
      </c>
      <c r="BY94" s="219">
        <v>66000</v>
      </c>
      <c r="BZ94" s="219">
        <v>40000</v>
      </c>
    </row>
    <row r="95" spans="14:78" x14ac:dyDescent="0.25">
      <c r="N95" s="200">
        <v>92</v>
      </c>
      <c r="O95" s="201">
        <f ca="1">OFFSET(tblBaseCOIRate[[#This Row],[UVL01_Male]],0,MATCH(base&amp;"_"&amp;mainLI_gender,tblBaseCOIRate[#Headers],0)-3)</f>
        <v>0.23869000000000001</v>
      </c>
      <c r="P95" s="202">
        <v>0.26143</v>
      </c>
      <c r="Q95" s="202">
        <v>0.23869000000000001</v>
      </c>
      <c r="R95" s="202">
        <v>0.209144</v>
      </c>
      <c r="S95" s="202">
        <v>0.19095200000000001</v>
      </c>
      <c r="T95" s="202">
        <v>0.209144</v>
      </c>
      <c r="U95" s="202">
        <v>0.19095200000000001</v>
      </c>
      <c r="V95" s="202">
        <f>tblBaseCOIRate[[#This Row],[UVL01_Male]]</f>
        <v>0.26143</v>
      </c>
      <c r="W95" s="203">
        <f>tblBaseCOIRate[[#This Row],[UVL01_Female]]</f>
        <v>0.23869000000000001</v>
      </c>
      <c r="AG95" s="200">
        <v>93</v>
      </c>
      <c r="AH95" s="205">
        <f ca="1">OFFSET(tblTPAllocChrgRate[[#This Row],[UVL01]],0,MATCH(base,tblTPAllocChrgRate[#Headers],0)-3)</f>
        <v>0.02</v>
      </c>
      <c r="AI95" s="206">
        <v>0.02</v>
      </c>
      <c r="AJ95" s="207">
        <v>0</v>
      </c>
      <c r="AK95" s="208">
        <v>0</v>
      </c>
      <c r="AL95" s="208">
        <f>tblTPAllocChrgRate[[#This Row],[UVL01]]</f>
        <v>0.02</v>
      </c>
      <c r="AO95" s="200">
        <v>93</v>
      </c>
      <c r="AP95" s="209">
        <f ca="1">OFFSET(tblEPAllocChrgRate[[#This Row],[UVL01]],0,MATCH(base,tblEPAllocChrgRate[#Headers],0)-3)</f>
        <v>0.02</v>
      </c>
      <c r="AQ95" s="210">
        <v>0.02</v>
      </c>
      <c r="AR95" s="211">
        <v>0</v>
      </c>
      <c r="AS95" s="212">
        <v>0</v>
      </c>
      <c r="AT95" s="212">
        <f>tblEPAllocChrgRate[[#This Row],[UVL01]]</f>
        <v>0.02</v>
      </c>
      <c r="AW95" s="200">
        <v>93</v>
      </c>
      <c r="AX95" s="209">
        <f ca="1">OFFSET(tblSurrChrgRate[[#This Row],[UVL01]],0,MATCH(base,tblSurrChrgRate[#Headers],0)-3)</f>
        <v>0</v>
      </c>
      <c r="AY95" s="206">
        <v>0</v>
      </c>
      <c r="AZ95" s="206">
        <v>0</v>
      </c>
      <c r="BA95" s="213">
        <v>0</v>
      </c>
      <c r="BB95" s="213">
        <f>tblSurrChrgRate[[#This Row],[UVL01]]</f>
        <v>0</v>
      </c>
      <c r="BU95" s="200">
        <v>2108</v>
      </c>
      <c r="BV95" s="218">
        <f ca="1">OFFSET(tblAdminChrg[[#This Row],[UVL01]],0,MATCH(base,tblAdminChrg[#Headers],0)-3)</f>
        <v>25000</v>
      </c>
      <c r="BW95" s="215">
        <v>25000</v>
      </c>
      <c r="BX95" s="215">
        <v>66000</v>
      </c>
      <c r="BY95" s="219">
        <v>66000</v>
      </c>
      <c r="BZ95" s="219">
        <v>40000</v>
      </c>
    </row>
    <row r="96" spans="14:78" x14ac:dyDescent="0.25">
      <c r="N96" s="200">
        <v>93</v>
      </c>
      <c r="O96" s="201">
        <f ca="1">OFFSET(tblBaseCOIRate[[#This Row],[UVL01_Male]],0,MATCH(base&amp;"_"&amp;mainLI_gender,tblBaseCOIRate[#Headers],0)-3)</f>
        <v>0.26340999999999998</v>
      </c>
      <c r="P96" s="202">
        <v>0.28212999999999999</v>
      </c>
      <c r="Q96" s="202">
        <v>0.26340999999999998</v>
      </c>
      <c r="R96" s="202">
        <v>0.22570399999999999</v>
      </c>
      <c r="S96" s="202">
        <v>0.210728</v>
      </c>
      <c r="T96" s="202">
        <v>0.22570399999999999</v>
      </c>
      <c r="U96" s="202">
        <v>0.210728</v>
      </c>
      <c r="V96" s="202">
        <f>tblBaseCOIRate[[#This Row],[UVL01_Male]]</f>
        <v>0.28212999999999999</v>
      </c>
      <c r="W96" s="203">
        <f>tblBaseCOIRate[[#This Row],[UVL01_Female]]</f>
        <v>0.26340999999999998</v>
      </c>
      <c r="AG96" s="200">
        <v>94</v>
      </c>
      <c r="AH96" s="205">
        <f ca="1">OFFSET(tblTPAllocChrgRate[[#This Row],[UVL01]],0,MATCH(base,tblTPAllocChrgRate[#Headers],0)-3)</f>
        <v>0.02</v>
      </c>
      <c r="AI96" s="206">
        <v>0.02</v>
      </c>
      <c r="AJ96" s="207">
        <v>0</v>
      </c>
      <c r="AK96" s="208">
        <v>0</v>
      </c>
      <c r="AL96" s="208">
        <f>tblTPAllocChrgRate[[#This Row],[UVL01]]</f>
        <v>0.02</v>
      </c>
      <c r="AO96" s="200">
        <v>94</v>
      </c>
      <c r="AP96" s="209">
        <f ca="1">OFFSET(tblEPAllocChrgRate[[#This Row],[UVL01]],0,MATCH(base,tblEPAllocChrgRate[#Headers],0)-3)</f>
        <v>0.02</v>
      </c>
      <c r="AQ96" s="210">
        <v>0.02</v>
      </c>
      <c r="AR96" s="211">
        <v>0</v>
      </c>
      <c r="AS96" s="212">
        <v>0</v>
      </c>
      <c r="AT96" s="212">
        <f>tblEPAllocChrgRate[[#This Row],[UVL01]]</f>
        <v>0.02</v>
      </c>
      <c r="AW96" s="200">
        <v>94</v>
      </c>
      <c r="AX96" s="209">
        <f ca="1">OFFSET(tblSurrChrgRate[[#This Row],[UVL01]],0,MATCH(base,tblSurrChrgRate[#Headers],0)-3)</f>
        <v>0</v>
      </c>
      <c r="AY96" s="206">
        <v>0</v>
      </c>
      <c r="AZ96" s="206">
        <v>0</v>
      </c>
      <c r="BA96" s="213">
        <v>0</v>
      </c>
      <c r="BB96" s="213">
        <f>tblSurrChrgRate[[#This Row],[UVL01]]</f>
        <v>0</v>
      </c>
      <c r="BU96" s="200">
        <v>2109</v>
      </c>
      <c r="BV96" s="218">
        <f ca="1">OFFSET(tblAdminChrg[[#This Row],[UVL01]],0,MATCH(base,tblAdminChrg[#Headers],0)-3)</f>
        <v>25000</v>
      </c>
      <c r="BW96" s="215">
        <v>25000</v>
      </c>
      <c r="BX96" s="215">
        <v>66000</v>
      </c>
      <c r="BY96" s="219">
        <v>66000</v>
      </c>
      <c r="BZ96" s="219">
        <v>40000</v>
      </c>
    </row>
    <row r="97" spans="14:78" x14ac:dyDescent="0.25">
      <c r="N97" s="200">
        <v>94</v>
      </c>
      <c r="O97" s="201">
        <f ca="1">OFFSET(tblBaseCOIRate[[#This Row],[UVL01_Male]],0,MATCH(base&amp;"_"&amp;mainLI_gender,tblBaseCOIRate[#Headers],0)-3)</f>
        <v>0.29522999999999999</v>
      </c>
      <c r="P97" s="202">
        <v>0.30997000000000002</v>
      </c>
      <c r="Q97" s="202">
        <v>0.29522999999999999</v>
      </c>
      <c r="R97" s="202">
        <v>0.247976</v>
      </c>
      <c r="S97" s="202">
        <v>0.23618400000000001</v>
      </c>
      <c r="T97" s="202">
        <v>0.247976</v>
      </c>
      <c r="U97" s="202">
        <v>0.23618400000000001</v>
      </c>
      <c r="V97" s="202">
        <f>tblBaseCOIRate[[#This Row],[UVL01_Male]]</f>
        <v>0.30997000000000002</v>
      </c>
      <c r="W97" s="203">
        <f>tblBaseCOIRate[[#This Row],[UVL01_Female]]</f>
        <v>0.29522999999999999</v>
      </c>
      <c r="AG97" s="200">
        <v>95</v>
      </c>
      <c r="AH97" s="205">
        <f ca="1">OFFSET(tblTPAllocChrgRate[[#This Row],[UVL01]],0,MATCH(base,tblTPAllocChrgRate[#Headers],0)-3)</f>
        <v>0.02</v>
      </c>
      <c r="AI97" s="206">
        <v>0.02</v>
      </c>
      <c r="AJ97" s="207">
        <v>0</v>
      </c>
      <c r="AK97" s="208">
        <v>0</v>
      </c>
      <c r="AL97" s="208">
        <f>tblTPAllocChrgRate[[#This Row],[UVL01]]</f>
        <v>0.02</v>
      </c>
      <c r="AO97" s="200">
        <v>95</v>
      </c>
      <c r="AP97" s="209">
        <f ca="1">OFFSET(tblEPAllocChrgRate[[#This Row],[UVL01]],0,MATCH(base,tblEPAllocChrgRate[#Headers],0)-3)</f>
        <v>0.02</v>
      </c>
      <c r="AQ97" s="210">
        <v>0.02</v>
      </c>
      <c r="AR97" s="211">
        <v>0</v>
      </c>
      <c r="AS97" s="212">
        <v>0</v>
      </c>
      <c r="AT97" s="212">
        <f>tblEPAllocChrgRate[[#This Row],[UVL01]]</f>
        <v>0.02</v>
      </c>
      <c r="AW97" s="200">
        <v>95</v>
      </c>
      <c r="AX97" s="209">
        <f ca="1">OFFSET(tblSurrChrgRate[[#This Row],[UVL01]],0,MATCH(base,tblSurrChrgRate[#Headers],0)-3)</f>
        <v>0</v>
      </c>
      <c r="AY97" s="206">
        <v>0</v>
      </c>
      <c r="AZ97" s="206">
        <v>0</v>
      </c>
      <c r="BA97" s="213">
        <v>0</v>
      </c>
      <c r="BB97" s="213">
        <f>tblSurrChrgRate[[#This Row],[UVL01]]</f>
        <v>0</v>
      </c>
      <c r="BU97" s="200">
        <v>2110</v>
      </c>
      <c r="BV97" s="218">
        <f ca="1">OFFSET(tblAdminChrg[[#This Row],[UVL01]],0,MATCH(base,tblAdminChrg[#Headers],0)-3)</f>
        <v>25000</v>
      </c>
      <c r="BW97" s="215">
        <v>25000</v>
      </c>
      <c r="BX97" s="215">
        <v>66000</v>
      </c>
      <c r="BY97" s="219">
        <v>66000</v>
      </c>
      <c r="BZ97" s="219">
        <v>40000</v>
      </c>
    </row>
    <row r="98" spans="14:78" x14ac:dyDescent="0.25">
      <c r="N98" s="200">
        <v>95</v>
      </c>
      <c r="O98" s="201">
        <f ca="1">OFFSET(tblBaseCOIRate[[#This Row],[UVL01_Male]],0,MATCH(base&amp;"_"&amp;mainLI_gender,tblBaseCOIRate[#Headers],0)-3)</f>
        <v>0.34101999999999999</v>
      </c>
      <c r="P98" s="202">
        <v>0.35186000000000001</v>
      </c>
      <c r="Q98" s="202">
        <v>0.34101999999999999</v>
      </c>
      <c r="R98" s="202">
        <v>0.28148800000000002</v>
      </c>
      <c r="S98" s="202">
        <v>0.272816</v>
      </c>
      <c r="T98" s="202">
        <v>0.28148800000000002</v>
      </c>
      <c r="U98" s="202">
        <v>0.272816</v>
      </c>
      <c r="V98" s="202">
        <f>tblBaseCOIRate[[#This Row],[UVL01_Male]]</f>
        <v>0.35186000000000001</v>
      </c>
      <c r="W98" s="203">
        <f>tblBaseCOIRate[[#This Row],[UVL01_Female]]</f>
        <v>0.34101999999999999</v>
      </c>
      <c r="AG98" s="200">
        <v>96</v>
      </c>
      <c r="AH98" s="205">
        <f ca="1">OFFSET(tblTPAllocChrgRate[[#This Row],[UVL01]],0,MATCH(base,tblTPAllocChrgRate[#Headers],0)-3)</f>
        <v>0.02</v>
      </c>
      <c r="AI98" s="206">
        <v>0.02</v>
      </c>
      <c r="AJ98" s="207">
        <v>0</v>
      </c>
      <c r="AK98" s="208">
        <v>0</v>
      </c>
      <c r="AL98" s="208">
        <f>tblTPAllocChrgRate[[#This Row],[UVL01]]</f>
        <v>0.02</v>
      </c>
      <c r="AO98" s="200">
        <v>96</v>
      </c>
      <c r="AP98" s="209">
        <f ca="1">OFFSET(tblEPAllocChrgRate[[#This Row],[UVL01]],0,MATCH(base,tblEPAllocChrgRate[#Headers],0)-3)</f>
        <v>0.02</v>
      </c>
      <c r="AQ98" s="210">
        <v>0.02</v>
      </c>
      <c r="AR98" s="211">
        <v>0</v>
      </c>
      <c r="AS98" s="212">
        <v>0</v>
      </c>
      <c r="AT98" s="212">
        <f>tblEPAllocChrgRate[[#This Row],[UVL01]]</f>
        <v>0.02</v>
      </c>
      <c r="AW98" s="200">
        <v>96</v>
      </c>
      <c r="AX98" s="209">
        <f ca="1">OFFSET(tblSurrChrgRate[[#This Row],[UVL01]],0,MATCH(base,tblSurrChrgRate[#Headers],0)-3)</f>
        <v>0</v>
      </c>
      <c r="AY98" s="206">
        <v>0</v>
      </c>
      <c r="AZ98" s="206">
        <v>0</v>
      </c>
      <c r="BA98" s="213">
        <v>0</v>
      </c>
      <c r="BB98" s="213">
        <f>tblSurrChrgRate[[#This Row],[UVL01]]</f>
        <v>0</v>
      </c>
      <c r="BU98" s="200">
        <v>2111</v>
      </c>
      <c r="BV98" s="218">
        <f ca="1">OFFSET(tblAdminChrg[[#This Row],[UVL01]],0,MATCH(base,tblAdminChrg[#Headers],0)-3)</f>
        <v>25000</v>
      </c>
      <c r="BW98" s="215">
        <v>25000</v>
      </c>
      <c r="BX98" s="215">
        <v>66000</v>
      </c>
      <c r="BY98" s="219">
        <v>66000</v>
      </c>
      <c r="BZ98" s="219">
        <v>40000</v>
      </c>
    </row>
    <row r="99" spans="14:78" x14ac:dyDescent="0.25">
      <c r="N99" s="200">
        <v>96</v>
      </c>
      <c r="O99" s="201">
        <f ca="1">OFFSET(tblBaseCOIRate[[#This Row],[UVL01_Male]],0,MATCH(base&amp;"_"&amp;mainLI_gender,tblBaseCOIRate[#Headers],0)-3)</f>
        <v>0.41388000000000003</v>
      </c>
      <c r="P99" s="202">
        <v>0.42098999999999998</v>
      </c>
      <c r="Q99" s="202">
        <v>0.41388000000000003</v>
      </c>
      <c r="R99" s="202">
        <v>0.33679199999999998</v>
      </c>
      <c r="S99" s="202">
        <v>0.33110400000000001</v>
      </c>
      <c r="T99" s="202">
        <v>0.33679199999999998</v>
      </c>
      <c r="U99" s="202">
        <v>0.33110400000000001</v>
      </c>
      <c r="V99" s="202">
        <f>tblBaseCOIRate[[#This Row],[UVL01_Male]]</f>
        <v>0.42098999999999998</v>
      </c>
      <c r="W99" s="203">
        <f>tblBaseCOIRate[[#This Row],[UVL01_Female]]</f>
        <v>0.41388000000000003</v>
      </c>
      <c r="AG99" s="200">
        <v>97</v>
      </c>
      <c r="AH99" s="205">
        <f ca="1">OFFSET(tblTPAllocChrgRate[[#This Row],[UVL01]],0,MATCH(base,tblTPAllocChrgRate[#Headers],0)-3)</f>
        <v>0.02</v>
      </c>
      <c r="AI99" s="206">
        <v>0.02</v>
      </c>
      <c r="AJ99" s="207">
        <v>0</v>
      </c>
      <c r="AK99" s="208">
        <v>0</v>
      </c>
      <c r="AL99" s="208">
        <f>tblTPAllocChrgRate[[#This Row],[UVL01]]</f>
        <v>0.02</v>
      </c>
      <c r="AO99" s="200">
        <v>97</v>
      </c>
      <c r="AP99" s="209">
        <f ca="1">OFFSET(tblEPAllocChrgRate[[#This Row],[UVL01]],0,MATCH(base,tblEPAllocChrgRate[#Headers],0)-3)</f>
        <v>0.02</v>
      </c>
      <c r="AQ99" s="210">
        <v>0.02</v>
      </c>
      <c r="AR99" s="211">
        <v>0</v>
      </c>
      <c r="AS99" s="212">
        <v>0</v>
      </c>
      <c r="AT99" s="212">
        <f>tblEPAllocChrgRate[[#This Row],[UVL01]]</f>
        <v>0.02</v>
      </c>
      <c r="AW99" s="200">
        <v>97</v>
      </c>
      <c r="AX99" s="209">
        <f ca="1">OFFSET(tblSurrChrgRate[[#This Row],[UVL01]],0,MATCH(base,tblSurrChrgRate[#Headers],0)-3)</f>
        <v>0</v>
      </c>
      <c r="AY99" s="206">
        <v>0</v>
      </c>
      <c r="AZ99" s="206">
        <v>0</v>
      </c>
      <c r="BA99" s="213">
        <v>0</v>
      </c>
      <c r="BB99" s="213">
        <f>tblSurrChrgRate[[#This Row],[UVL01]]</f>
        <v>0</v>
      </c>
      <c r="BU99" s="200">
        <v>2112</v>
      </c>
      <c r="BV99" s="218">
        <f ca="1">OFFSET(tblAdminChrg[[#This Row],[UVL01]],0,MATCH(base,tblAdminChrg[#Headers],0)-3)</f>
        <v>25000</v>
      </c>
      <c r="BW99" s="215">
        <v>25000</v>
      </c>
      <c r="BX99" s="215">
        <v>66000</v>
      </c>
      <c r="BY99" s="219">
        <v>66000</v>
      </c>
      <c r="BZ99" s="219">
        <v>40000</v>
      </c>
    </row>
    <row r="100" spans="14:78" x14ac:dyDescent="0.25">
      <c r="N100" s="200">
        <v>97</v>
      </c>
      <c r="O100" s="201">
        <f ca="1">OFFSET(tblBaseCOIRate[[#This Row],[UVL01_Male]],0,MATCH(base&amp;"_"&amp;mainLI_gender,tblBaseCOIRate[#Headers],0)-3)</f>
        <v>0.53724000000000005</v>
      </c>
      <c r="P100" s="202">
        <v>0.54100000000000004</v>
      </c>
      <c r="Q100" s="202">
        <v>0.53724000000000005</v>
      </c>
      <c r="R100" s="202">
        <v>0.43280000000000002</v>
      </c>
      <c r="S100" s="202">
        <v>0.42979200000000001</v>
      </c>
      <c r="T100" s="202">
        <v>0.43280000000000002</v>
      </c>
      <c r="U100" s="202">
        <v>0.42979200000000001</v>
      </c>
      <c r="V100" s="202">
        <f>tblBaseCOIRate[[#This Row],[UVL01_Male]]</f>
        <v>0.54100000000000004</v>
      </c>
      <c r="W100" s="203">
        <f>tblBaseCOIRate[[#This Row],[UVL01_Female]]</f>
        <v>0.53724000000000005</v>
      </c>
      <c r="AG100" s="200">
        <v>98</v>
      </c>
      <c r="AH100" s="205">
        <f ca="1">OFFSET(tblTPAllocChrgRate[[#This Row],[UVL01]],0,MATCH(base,tblTPAllocChrgRate[#Headers],0)-3)</f>
        <v>0.02</v>
      </c>
      <c r="AI100" s="206">
        <v>0.02</v>
      </c>
      <c r="AJ100" s="207">
        <v>0</v>
      </c>
      <c r="AK100" s="208">
        <v>0</v>
      </c>
      <c r="AL100" s="208">
        <f>tblTPAllocChrgRate[[#This Row],[UVL01]]</f>
        <v>0.02</v>
      </c>
      <c r="AO100" s="200">
        <v>98</v>
      </c>
      <c r="AP100" s="209">
        <f ca="1">OFFSET(tblEPAllocChrgRate[[#This Row],[UVL01]],0,MATCH(base,tblEPAllocChrgRate[#Headers],0)-3)</f>
        <v>0.02</v>
      </c>
      <c r="AQ100" s="210">
        <v>0.02</v>
      </c>
      <c r="AR100" s="211">
        <v>0</v>
      </c>
      <c r="AS100" s="212">
        <v>0</v>
      </c>
      <c r="AT100" s="212">
        <f>tblEPAllocChrgRate[[#This Row],[UVL01]]</f>
        <v>0.02</v>
      </c>
      <c r="AW100" s="200">
        <v>98</v>
      </c>
      <c r="AX100" s="209">
        <f ca="1">OFFSET(tblSurrChrgRate[[#This Row],[UVL01]],0,MATCH(base,tblSurrChrgRate[#Headers],0)-3)</f>
        <v>0</v>
      </c>
      <c r="AY100" s="206">
        <v>0</v>
      </c>
      <c r="AZ100" s="206">
        <v>0</v>
      </c>
      <c r="BA100" s="213">
        <v>0</v>
      </c>
      <c r="BB100" s="213">
        <f>tblSurrChrgRate[[#This Row],[UVL01]]</f>
        <v>0</v>
      </c>
      <c r="BU100" s="200">
        <v>2113</v>
      </c>
      <c r="BV100" s="218">
        <f ca="1">OFFSET(tblAdminChrg[[#This Row],[UVL01]],0,MATCH(base,tblAdminChrg[#Headers],0)-3)</f>
        <v>25000</v>
      </c>
      <c r="BW100" s="215">
        <v>25000</v>
      </c>
      <c r="BX100" s="215">
        <v>66000</v>
      </c>
      <c r="BY100" s="219">
        <v>66000</v>
      </c>
      <c r="BZ100" s="219">
        <v>40000</v>
      </c>
    </row>
    <row r="101" spans="14:78" x14ac:dyDescent="0.25">
      <c r="N101" s="200">
        <v>98</v>
      </c>
      <c r="O101" s="201">
        <f ca="1">OFFSET(tblBaseCOIRate[[#This Row],[UVL01_Male]],0,MATCH(base&amp;"_"&amp;mainLI_gender,tblBaseCOIRate[#Headers],0)-3)</f>
        <v>0.74395999999999995</v>
      </c>
      <c r="P101" s="202">
        <v>0.74514999999999998</v>
      </c>
      <c r="Q101" s="202">
        <v>0.74395999999999995</v>
      </c>
      <c r="R101" s="202">
        <v>0.59611999999999998</v>
      </c>
      <c r="S101" s="202">
        <v>0.59516800000000003</v>
      </c>
      <c r="T101" s="202">
        <v>0.59611999999999998</v>
      </c>
      <c r="U101" s="202">
        <v>0.59516800000000003</v>
      </c>
      <c r="V101" s="202">
        <f>tblBaseCOIRate[[#This Row],[UVL01_Male]]</f>
        <v>0.74514999999999998</v>
      </c>
      <c r="W101" s="203">
        <f>tblBaseCOIRate[[#This Row],[UVL01_Female]]</f>
        <v>0.74395999999999995</v>
      </c>
      <c r="AG101" s="200">
        <v>99</v>
      </c>
      <c r="AH101" s="205">
        <f ca="1">OFFSET(tblTPAllocChrgRate[[#This Row],[UVL01]],0,MATCH(base,tblTPAllocChrgRate[#Headers],0)-3)</f>
        <v>0.02</v>
      </c>
      <c r="AI101" s="206">
        <v>0.02</v>
      </c>
      <c r="AJ101" s="207">
        <v>0</v>
      </c>
      <c r="AK101" s="208">
        <v>0</v>
      </c>
      <c r="AL101" s="208">
        <f>tblTPAllocChrgRate[[#This Row],[UVL01]]</f>
        <v>0.02</v>
      </c>
      <c r="AO101" s="200">
        <v>99</v>
      </c>
      <c r="AP101" s="209">
        <f ca="1">OFFSET(tblEPAllocChrgRate[[#This Row],[UVL01]],0,MATCH(base,tblEPAllocChrgRate[#Headers],0)-3)</f>
        <v>0.02</v>
      </c>
      <c r="AQ101" s="210">
        <v>0.02</v>
      </c>
      <c r="AR101" s="211">
        <v>0</v>
      </c>
      <c r="AS101" s="212">
        <v>0</v>
      </c>
      <c r="AT101" s="212">
        <f>tblEPAllocChrgRate[[#This Row],[UVL01]]</f>
        <v>0.02</v>
      </c>
      <c r="AW101" s="200">
        <v>99</v>
      </c>
      <c r="AX101" s="209">
        <f ca="1">OFFSET(tblSurrChrgRate[[#This Row],[UVL01]],0,MATCH(base,tblSurrChrgRate[#Headers],0)-3)</f>
        <v>0</v>
      </c>
      <c r="AY101" s="206">
        <v>0</v>
      </c>
      <c r="AZ101" s="206">
        <v>0</v>
      </c>
      <c r="BA101" s="213">
        <v>0</v>
      </c>
      <c r="BB101" s="213">
        <f>tblSurrChrgRate[[#This Row],[UVL01]]</f>
        <v>0</v>
      </c>
      <c r="BU101" s="200">
        <v>2114</v>
      </c>
      <c r="BV101" s="218">
        <f ca="1">OFFSET(tblAdminChrg[[#This Row],[UVL01]],0,MATCH(base,tblAdminChrg[#Headers],0)-3)</f>
        <v>25000</v>
      </c>
      <c r="BW101" s="215">
        <v>25000</v>
      </c>
      <c r="BX101" s="215">
        <v>66000</v>
      </c>
      <c r="BY101" s="219">
        <v>66000</v>
      </c>
      <c r="BZ101" s="219">
        <v>40000</v>
      </c>
    </row>
    <row r="102" spans="14:78" x14ac:dyDescent="0.25">
      <c r="N102" s="227">
        <v>99</v>
      </c>
      <c r="O102" s="250">
        <f ca="1">OFFSET(tblBaseCOIRate[[#This Row],[UVL01_Male]],0,MATCH(base&amp;"_"&amp;mainLI_gender,tblBaseCOIRate[#Headers],0)-3)</f>
        <v>1</v>
      </c>
      <c r="P102" s="251">
        <v>1</v>
      </c>
      <c r="Q102" s="251">
        <v>1</v>
      </c>
      <c r="R102" s="251">
        <v>0.8</v>
      </c>
      <c r="S102" s="251">
        <v>0.8</v>
      </c>
      <c r="T102" s="251">
        <v>0.8</v>
      </c>
      <c r="U102" s="251">
        <v>0.8</v>
      </c>
      <c r="V102" s="251">
        <f>tblBaseCOIRate[[#This Row],[UVL01_Male]]</f>
        <v>1</v>
      </c>
      <c r="W102" s="252">
        <f>tblBaseCOIRate[[#This Row],[UVL01_Female]]</f>
        <v>1</v>
      </c>
      <c r="AG102" s="227">
        <v>100</v>
      </c>
      <c r="AH102" s="253">
        <f ca="1">OFFSET(tblTPAllocChrgRate[[#This Row],[UVL01]],0,MATCH(base,tblTPAllocChrgRate[#Headers],0)-3)</f>
        <v>0.02</v>
      </c>
      <c r="AI102" s="245">
        <v>0.02</v>
      </c>
      <c r="AJ102" s="254">
        <v>0</v>
      </c>
      <c r="AK102" s="255">
        <v>0</v>
      </c>
      <c r="AL102" s="255">
        <f>tblTPAllocChrgRate[[#This Row],[UVL01]]</f>
        <v>0.02</v>
      </c>
      <c r="AO102" s="227">
        <v>100</v>
      </c>
      <c r="AP102" s="228">
        <f ca="1">OFFSET(tblEPAllocChrgRate[[#This Row],[UVL01]],0,MATCH(base,tblEPAllocChrgRate[#Headers],0)-3)</f>
        <v>0.02</v>
      </c>
      <c r="AQ102" s="256">
        <v>0.02</v>
      </c>
      <c r="AR102" s="229">
        <v>0</v>
      </c>
      <c r="AS102" s="230">
        <v>0</v>
      </c>
      <c r="AT102" s="230">
        <f>tblEPAllocChrgRate[[#This Row],[UVL01]]</f>
        <v>0.02</v>
      </c>
      <c r="AW102" s="200">
        <v>100</v>
      </c>
      <c r="AX102" s="228">
        <f ca="1">OFFSET(tblSurrChrgRate[[#This Row],[UVL01]],0,MATCH(base,tblSurrChrgRate[#Headers],0)-3)</f>
        <v>0</v>
      </c>
      <c r="AY102" s="245">
        <v>0</v>
      </c>
      <c r="AZ102" s="245">
        <v>0</v>
      </c>
      <c r="BA102" s="246">
        <v>0</v>
      </c>
      <c r="BB102" s="246">
        <f>tblSurrChrgRate[[#This Row],[UVL01]]</f>
        <v>0</v>
      </c>
      <c r="BU102" s="200">
        <v>2115</v>
      </c>
      <c r="BV102" s="218">
        <f ca="1">OFFSET(tblAdminChrg[[#This Row],[UVL01]],0,MATCH(base,tblAdminChrg[#Headers],0)-3)</f>
        <v>25000</v>
      </c>
      <c r="BW102" s="215">
        <v>25000</v>
      </c>
      <c r="BX102" s="215">
        <v>66000</v>
      </c>
      <c r="BY102" s="219">
        <v>66000</v>
      </c>
      <c r="BZ102" s="219">
        <v>40000</v>
      </c>
    </row>
    <row r="103" spans="14:78" x14ac:dyDescent="0.25">
      <c r="BU103" s="200">
        <v>2116</v>
      </c>
      <c r="BV103" s="218">
        <f ca="1">OFFSET(tblAdminChrg[[#This Row],[UVL01]],0,MATCH(base,tblAdminChrg[#Headers],0)-3)</f>
        <v>0</v>
      </c>
      <c r="BW103" s="215"/>
      <c r="BX103" s="215">
        <v>66000</v>
      </c>
      <c r="BY103" s="219">
        <v>66000</v>
      </c>
      <c r="BZ103" s="219">
        <v>40000</v>
      </c>
    </row>
    <row r="104" spans="14:78" x14ac:dyDescent="0.25">
      <c r="BU104" s="200">
        <v>2117</v>
      </c>
      <c r="BV104" s="218">
        <f ca="1">OFFSET(tblAdminChrg[[#This Row],[UVL01]],0,MATCH(base,tblAdminChrg[#Headers],0)-3)</f>
        <v>0</v>
      </c>
      <c r="BW104" s="215"/>
      <c r="BX104" s="215">
        <v>66000</v>
      </c>
      <c r="BY104" s="219">
        <v>66000</v>
      </c>
      <c r="BZ104" s="219">
        <v>40000</v>
      </c>
    </row>
    <row r="105" spans="14:78" x14ac:dyDescent="0.25">
      <c r="BU105" s="200">
        <v>2118</v>
      </c>
      <c r="BV105" s="218">
        <f ca="1">OFFSET(tblAdminChrg[[#This Row],[UVL01]],0,MATCH(base,tblAdminChrg[#Headers],0)-3)</f>
        <v>0</v>
      </c>
      <c r="BW105" s="215"/>
      <c r="BX105" s="215">
        <v>66000</v>
      </c>
      <c r="BY105" s="219">
        <v>66000</v>
      </c>
      <c r="BZ105" s="219">
        <v>40000</v>
      </c>
    </row>
    <row r="106" spans="14:78" x14ac:dyDescent="0.25">
      <c r="BU106" s="200">
        <v>2119</v>
      </c>
      <c r="BV106" s="218">
        <f ca="1">OFFSET(tblAdminChrg[[#This Row],[UVL01]],0,MATCH(base,tblAdminChrg[#Headers],0)-3)</f>
        <v>0</v>
      </c>
      <c r="BW106" s="215"/>
      <c r="BX106" s="215">
        <v>66000</v>
      </c>
      <c r="BY106" s="219">
        <v>66000</v>
      </c>
      <c r="BZ106" s="219">
        <v>40000</v>
      </c>
    </row>
    <row r="107" spans="14:78" x14ac:dyDescent="0.25">
      <c r="BU107" s="200">
        <v>2120</v>
      </c>
      <c r="BV107" s="218">
        <f ca="1">OFFSET(tblAdminChrg[[#This Row],[UVL01]],0,MATCH(base,tblAdminChrg[#Headers],0)-3)</f>
        <v>0</v>
      </c>
      <c r="BW107" s="215"/>
      <c r="BX107" s="215">
        <v>66000</v>
      </c>
      <c r="BY107" s="219">
        <v>66000</v>
      </c>
      <c r="BZ107" s="219">
        <v>40000</v>
      </c>
    </row>
    <row r="108" spans="14:78" x14ac:dyDescent="0.25">
      <c r="BU108" s="200">
        <v>2121</v>
      </c>
      <c r="BV108" s="218">
        <f ca="1">OFFSET(tblAdminChrg[[#This Row],[UVL01]],0,MATCH(base,tblAdminChrg[#Headers],0)-3)</f>
        <v>0</v>
      </c>
      <c r="BW108" s="215"/>
      <c r="BX108" s="215">
        <v>66000</v>
      </c>
      <c r="BY108" s="219">
        <v>66000</v>
      </c>
      <c r="BZ108" s="219">
        <v>40000</v>
      </c>
    </row>
    <row r="109" spans="14:78" x14ac:dyDescent="0.25">
      <c r="BU109" s="227">
        <v>2122</v>
      </c>
      <c r="BV109" s="257">
        <f ca="1">OFFSET(tblAdminChrg[[#This Row],[UVL01]],0,MATCH(base,tblAdminChrg[#Headers],0)-3)</f>
        <v>0</v>
      </c>
      <c r="BW109" s="233"/>
      <c r="BX109" s="233">
        <v>66000</v>
      </c>
      <c r="BY109" s="258">
        <v>66000</v>
      </c>
      <c r="BZ109" s="258">
        <v>40000</v>
      </c>
    </row>
  </sheetData>
  <mergeCells count="14">
    <mergeCell ref="DA1:DE1"/>
    <mergeCell ref="DH1:DK1"/>
    <mergeCell ref="BE1:BJ1"/>
    <mergeCell ref="BM1:BR1"/>
    <mergeCell ref="BU1:BZ1"/>
    <mergeCell ref="CC1:CH1"/>
    <mergeCell ref="CK1:CP1"/>
    <mergeCell ref="CS1:CX1"/>
    <mergeCell ref="AW1:BB1"/>
    <mergeCell ref="B1:K1"/>
    <mergeCell ref="N1:W1"/>
    <mergeCell ref="Z1:AD1"/>
    <mergeCell ref="AG1:AL1"/>
    <mergeCell ref="AO1:AT1"/>
  </mergeCells>
  <conditionalFormatting sqref="D3:K68">
    <cfRule type="expression" dxfId="16" priority="2">
      <formula>D$2=(base&amp;"_"&amp;mainLI_gender)</formula>
    </cfRule>
  </conditionalFormatting>
  <conditionalFormatting sqref="P3:W102">
    <cfRule type="expression" dxfId="15" priority="12">
      <formula>P$2=(base&amp;"_"&amp;mainLI_gender)</formula>
    </cfRule>
  </conditionalFormatting>
  <conditionalFormatting sqref="AA3:AD3">
    <cfRule type="expression" dxfId="14" priority="8">
      <formula>AA$2=base</formula>
    </cfRule>
  </conditionalFormatting>
  <conditionalFormatting sqref="AI3:AL102">
    <cfRule type="expression" dxfId="13" priority="7">
      <formula>AI$2=base</formula>
    </cfRule>
  </conditionalFormatting>
  <conditionalFormatting sqref="AQ3:AT102">
    <cfRule type="expression" dxfId="12" priority="4">
      <formula>AQ$2=base</formula>
    </cfRule>
  </conditionalFormatting>
  <conditionalFormatting sqref="AY3:BB102">
    <cfRule type="expression" dxfId="11" priority="5">
      <formula>AY$2=base</formula>
    </cfRule>
  </conditionalFormatting>
  <conditionalFormatting sqref="BG3:BJ22">
    <cfRule type="expression" dxfId="10" priority="6">
      <formula>BG$2=base</formula>
    </cfRule>
  </conditionalFormatting>
  <conditionalFormatting sqref="BM3:BR20">
    <cfRule type="expression" dxfId="9" priority="3">
      <formula>$BM3=base</formula>
    </cfRule>
  </conditionalFormatting>
  <conditionalFormatting sqref="BW3:BZ109">
    <cfRule type="expression" dxfId="8" priority="9">
      <formula>BW$2=base</formula>
    </cfRule>
  </conditionalFormatting>
  <conditionalFormatting sqref="CE3:CH5">
    <cfRule type="expression" dxfId="7" priority="1">
      <formula>CE$2=base</formula>
    </cfRule>
  </conditionalFormatting>
  <conditionalFormatting sqref="CM3:CP7">
    <cfRule type="expression" dxfId="6" priority="11">
      <formula>CM$2=base</formula>
    </cfRule>
  </conditionalFormatting>
  <conditionalFormatting sqref="CU3:CX12">
    <cfRule type="expression" dxfId="5" priority="10">
      <formula>CU$2=base</formula>
    </cfRule>
  </conditionalFormatting>
  <pageMargins left="0.7" right="0.7" top="0.75" bottom="0.75" header="0.3" footer="0.3"/>
  <legacy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D7854-7E80-4D4D-9C1E-E13EA6AC6756}">
  <sheetPr codeName="Sheet8"/>
  <dimension ref="B1:CS97"/>
  <sheetViews>
    <sheetView zoomScale="70" zoomScaleNormal="70" workbookViewId="0">
      <selection activeCell="I3" sqref="I3"/>
    </sheetView>
  </sheetViews>
  <sheetFormatPr defaultColWidth="9.140625" defaultRowHeight="15" x14ac:dyDescent="0.25"/>
  <cols>
    <col min="1" max="1" width="7.5703125" style="249" customWidth="1"/>
    <col min="2" max="2" width="27.85546875" style="72" customWidth="1"/>
    <col min="3" max="4" width="5.7109375" style="72" customWidth="1"/>
    <col min="5" max="5" width="12.7109375" style="72" customWidth="1"/>
    <col min="6" max="6" width="13" style="72" customWidth="1"/>
    <col min="7" max="7" width="27.140625" style="72" customWidth="1"/>
    <col min="8" max="9" width="5.7109375" style="72" customWidth="1"/>
    <col min="10" max="10" width="9" style="72" customWidth="1"/>
    <col min="11" max="11" width="10.140625" style="72" customWidth="1"/>
    <col min="12" max="12" width="12.140625" style="72" customWidth="1"/>
    <col min="13" max="14" width="5.7109375" style="72" customWidth="1"/>
    <col min="15" max="15" width="9" style="72" customWidth="1"/>
    <col min="16" max="16" width="10.140625" style="72" customWidth="1"/>
    <col min="17" max="17" width="12.140625" style="72" customWidth="1"/>
    <col min="18" max="19" width="5.7109375" style="72" customWidth="1"/>
    <col min="20" max="20" width="11.7109375" style="72" customWidth="1"/>
    <col min="21" max="21" width="11.5703125" style="72" customWidth="1"/>
    <col min="22" max="22" width="13.7109375" style="72" customWidth="1"/>
    <col min="23" max="24" width="5.7109375" style="72" customWidth="1"/>
    <col min="25" max="25" width="9" style="72" customWidth="1"/>
    <col min="26" max="26" width="10.140625" style="72" customWidth="1"/>
    <col min="27" max="27" width="12.140625" style="72" customWidth="1"/>
    <col min="28" max="29" width="5.7109375" style="72" customWidth="1"/>
    <col min="30" max="31" width="14.28515625" style="72" customWidth="1"/>
    <col min="32" max="32" width="6" style="72" customWidth="1"/>
    <col min="33" max="33" width="6.140625" style="72" customWidth="1"/>
    <col min="34" max="34" width="8.5703125" style="72" customWidth="1"/>
    <col min="35" max="43" width="7" style="72" customWidth="1"/>
    <col min="44" max="77" width="6.140625" style="72" customWidth="1"/>
    <col min="78" max="79" width="5.7109375" style="72" customWidth="1"/>
    <col min="80" max="80" width="4.42578125" style="72" customWidth="1"/>
    <col min="81" max="93" width="10.5703125" style="72" customWidth="1"/>
    <col min="94" max="97" width="9" style="72" customWidth="1"/>
    <col min="98" max="16384" width="9.140625" style="249"/>
  </cols>
  <sheetData>
    <row r="1" spans="2:97" ht="19.5" x14ac:dyDescent="0.3">
      <c r="B1" s="295" t="s">
        <v>438</v>
      </c>
      <c r="E1" s="390" t="s">
        <v>437</v>
      </c>
      <c r="F1" s="390"/>
      <c r="G1" s="390"/>
      <c r="J1" s="390" t="s">
        <v>271</v>
      </c>
      <c r="K1" s="390"/>
      <c r="L1" s="390"/>
      <c r="O1" s="390" t="s">
        <v>257</v>
      </c>
      <c r="P1" s="390"/>
      <c r="Q1" s="390"/>
      <c r="T1" s="390" t="s">
        <v>261</v>
      </c>
      <c r="U1" s="390"/>
      <c r="V1" s="390"/>
      <c r="Y1" s="390" t="s">
        <v>253</v>
      </c>
      <c r="Z1" s="390"/>
      <c r="AA1" s="390"/>
      <c r="AD1" s="390" t="s">
        <v>436</v>
      </c>
      <c r="AE1" s="390"/>
      <c r="AH1" s="397" t="s">
        <v>255</v>
      </c>
      <c r="AI1" s="397"/>
      <c r="AJ1" s="397"/>
      <c r="AK1" s="397"/>
      <c r="AL1" s="397"/>
      <c r="AM1" s="397"/>
      <c r="AN1" s="397"/>
      <c r="AO1" s="397"/>
      <c r="AP1" s="397"/>
      <c r="AQ1" s="397"/>
      <c r="AR1" s="397"/>
      <c r="AS1" s="397"/>
      <c r="AT1" s="397"/>
      <c r="AU1" s="397"/>
      <c r="AV1" s="397"/>
      <c r="AW1" s="397"/>
      <c r="AX1" s="397"/>
      <c r="AY1" s="397"/>
      <c r="AZ1" s="397"/>
      <c r="BA1" s="397"/>
      <c r="BB1" s="397"/>
      <c r="BC1" s="397"/>
      <c r="BD1" s="397"/>
      <c r="BE1" s="397"/>
      <c r="BF1" s="397"/>
      <c r="BG1" s="397"/>
      <c r="BH1" s="397"/>
      <c r="BI1" s="397"/>
      <c r="BJ1" s="397"/>
      <c r="BK1" s="397"/>
      <c r="BL1" s="397"/>
      <c r="BM1" s="397"/>
      <c r="BN1" s="397"/>
      <c r="BO1" s="397"/>
      <c r="BP1" s="397"/>
      <c r="BQ1" s="397"/>
      <c r="BR1" s="397"/>
      <c r="BS1" s="397"/>
      <c r="BT1" s="397"/>
      <c r="BU1" s="397"/>
      <c r="BV1" s="397"/>
      <c r="BW1" s="397"/>
      <c r="BX1" s="397"/>
      <c r="BY1" s="397"/>
      <c r="CB1" s="397" t="s">
        <v>258</v>
      </c>
      <c r="CC1" s="397"/>
      <c r="CD1" s="397"/>
      <c r="CE1" s="397"/>
      <c r="CF1" s="397"/>
      <c r="CG1" s="397"/>
      <c r="CH1" s="397"/>
      <c r="CI1" s="397"/>
      <c r="CJ1" s="397"/>
      <c r="CK1" s="397"/>
      <c r="CL1" s="397"/>
      <c r="CM1" s="397"/>
      <c r="CN1" s="397"/>
      <c r="CO1" s="397"/>
      <c r="CP1" s="397"/>
      <c r="CQ1" s="397"/>
      <c r="CR1" s="397"/>
      <c r="CS1" s="397"/>
    </row>
    <row r="2" spans="2:97" x14ac:dyDescent="0.25">
      <c r="B2" s="294" t="s">
        <v>435</v>
      </c>
      <c r="E2" s="185" t="s">
        <v>434</v>
      </c>
      <c r="F2" s="293" t="s">
        <v>433</v>
      </c>
      <c r="G2" s="186" t="s">
        <v>432</v>
      </c>
      <c r="J2" s="185" t="s">
        <v>20</v>
      </c>
      <c r="K2" s="293" t="s">
        <v>429</v>
      </c>
      <c r="L2" s="186" t="s">
        <v>179</v>
      </c>
      <c r="O2" s="185" t="s">
        <v>20</v>
      </c>
      <c r="P2" s="293" t="s">
        <v>429</v>
      </c>
      <c r="Q2" s="186" t="s">
        <v>179</v>
      </c>
      <c r="T2" s="185" t="s">
        <v>246</v>
      </c>
      <c r="U2" s="293" t="s">
        <v>431</v>
      </c>
      <c r="V2" s="186" t="s">
        <v>306</v>
      </c>
      <c r="Y2" s="185" t="s">
        <v>430</v>
      </c>
      <c r="Z2" s="293" t="s">
        <v>429</v>
      </c>
      <c r="AA2" s="186" t="s">
        <v>179</v>
      </c>
      <c r="AD2" s="185" t="s">
        <v>428</v>
      </c>
      <c r="AE2" s="186" t="s">
        <v>427</v>
      </c>
      <c r="AH2" s="395" t="s">
        <v>426</v>
      </c>
      <c r="AI2" s="395"/>
      <c r="AJ2" s="395"/>
      <c r="AK2" s="395"/>
      <c r="AL2" s="266"/>
      <c r="AM2" s="266"/>
      <c r="AN2" s="266"/>
      <c r="AO2" s="266"/>
      <c r="AP2" s="266"/>
      <c r="AQ2" s="266"/>
      <c r="AR2" s="266"/>
      <c r="AS2" s="266"/>
      <c r="AT2" s="266"/>
      <c r="AU2" s="266"/>
      <c r="AV2" s="266"/>
      <c r="AW2" s="266"/>
      <c r="AX2" s="266"/>
      <c r="AY2" s="266"/>
      <c r="AZ2" s="266"/>
      <c r="BA2" s="266"/>
      <c r="BB2" s="266"/>
      <c r="BC2" s="266"/>
      <c r="BD2" s="266"/>
      <c r="BE2" s="266"/>
      <c r="BF2" s="266"/>
      <c r="BG2" s="266"/>
      <c r="BH2" s="266"/>
      <c r="BI2" s="266"/>
      <c r="BJ2" s="266"/>
      <c r="BK2" s="266"/>
      <c r="BL2" s="266"/>
      <c r="BM2" s="266"/>
      <c r="BN2" s="266"/>
      <c r="BO2" s="266"/>
      <c r="BP2" s="266"/>
      <c r="BQ2" s="266"/>
      <c r="BR2" s="266"/>
      <c r="BS2" s="266"/>
      <c r="BT2" s="266"/>
      <c r="BU2" s="266"/>
      <c r="BV2" s="266"/>
      <c r="BW2" s="266"/>
      <c r="BX2" s="266"/>
      <c r="BY2" s="266"/>
      <c r="BZ2" s="266"/>
      <c r="CA2" s="266"/>
      <c r="CB2" s="266"/>
    </row>
    <row r="3" spans="2:97" x14ac:dyDescent="0.25">
      <c r="B3" s="292">
        <v>1.4E-3</v>
      </c>
      <c r="E3" s="290">
        <v>0</v>
      </c>
      <c r="F3" s="289">
        <v>60</v>
      </c>
      <c r="G3" s="288">
        <v>1.1800000000000001E-3</v>
      </c>
      <c r="J3" s="114">
        <v>1</v>
      </c>
      <c r="K3" s="264">
        <v>1.27</v>
      </c>
      <c r="L3" s="263">
        <v>0.95</v>
      </c>
      <c r="O3" s="114">
        <v>1</v>
      </c>
      <c r="P3" s="264">
        <v>2.12</v>
      </c>
      <c r="Q3" s="263">
        <v>1.64</v>
      </c>
      <c r="T3" s="281">
        <v>1</v>
      </c>
      <c r="U3" s="280">
        <v>70000</v>
      </c>
      <c r="V3" s="279">
        <v>63000</v>
      </c>
      <c r="Y3" s="114">
        <v>18</v>
      </c>
      <c r="Z3" s="101">
        <v>1.22</v>
      </c>
      <c r="AA3" s="273">
        <v>0.97</v>
      </c>
      <c r="AD3" s="114">
        <v>0</v>
      </c>
      <c r="AE3" s="272">
        <f>1.035^(-0.5)*0.5</f>
        <v>0.49147318718299043</v>
      </c>
      <c r="AG3" s="291"/>
      <c r="AH3" s="396" t="s">
        <v>269</v>
      </c>
      <c r="AI3" s="396"/>
      <c r="AJ3" s="396"/>
      <c r="AK3" s="396"/>
      <c r="AL3" s="396"/>
      <c r="AM3" s="396"/>
      <c r="AN3" s="396"/>
      <c r="AO3" s="396"/>
      <c r="AP3" s="396"/>
      <c r="AQ3" s="396"/>
      <c r="AR3" s="396"/>
      <c r="AS3" s="396"/>
      <c r="AT3" s="396"/>
      <c r="AU3" s="396"/>
      <c r="AV3" s="396"/>
      <c r="AW3" s="396"/>
      <c r="AX3" s="396"/>
      <c r="AY3" s="396"/>
      <c r="AZ3" s="396"/>
      <c r="BA3" s="396"/>
      <c r="BB3" s="396"/>
      <c r="BC3" s="396"/>
      <c r="BD3" s="396"/>
      <c r="BE3" s="396"/>
      <c r="BF3" s="396"/>
      <c r="BG3" s="396"/>
      <c r="BH3" s="396"/>
      <c r="BI3" s="396"/>
      <c r="BJ3" s="396"/>
      <c r="BK3" s="396"/>
      <c r="BL3" s="396"/>
      <c r="BM3" s="396"/>
      <c r="BN3" s="396"/>
      <c r="BO3" s="396"/>
      <c r="BP3" s="396"/>
      <c r="BQ3" s="396"/>
      <c r="BR3" s="396"/>
      <c r="BS3" s="396"/>
      <c r="BT3" s="396"/>
      <c r="BU3" s="396"/>
      <c r="BV3" s="396"/>
      <c r="BW3" s="396"/>
      <c r="BX3" s="396"/>
      <c r="BY3" s="396"/>
      <c r="CC3" s="398" t="s">
        <v>269</v>
      </c>
      <c r="CD3" s="398"/>
      <c r="CE3" s="398"/>
      <c r="CF3" s="398"/>
      <c r="CG3" s="398"/>
      <c r="CH3" s="398"/>
      <c r="CI3" s="398"/>
      <c r="CJ3" s="398"/>
      <c r="CK3" s="398"/>
      <c r="CL3" s="398"/>
      <c r="CM3" s="398"/>
      <c r="CN3" s="398"/>
      <c r="CO3" s="398"/>
      <c r="CP3" s="398"/>
      <c r="CQ3" s="398"/>
      <c r="CR3" s="398"/>
      <c r="CS3" s="398"/>
    </row>
    <row r="4" spans="2:97" x14ac:dyDescent="0.25">
      <c r="E4" s="290">
        <v>61</v>
      </c>
      <c r="F4" s="289">
        <v>65</v>
      </c>
      <c r="G4" s="288">
        <v>1.42E-3</v>
      </c>
      <c r="J4" s="114">
        <v>2</v>
      </c>
      <c r="K4" s="264">
        <v>1.25</v>
      </c>
      <c r="L4" s="263">
        <v>0.85</v>
      </c>
      <c r="O4" s="114">
        <v>2</v>
      </c>
      <c r="P4" s="264">
        <v>2.08</v>
      </c>
      <c r="Q4" s="263">
        <v>1.54</v>
      </c>
      <c r="T4" s="281">
        <v>2</v>
      </c>
      <c r="U4" s="280">
        <v>140000</v>
      </c>
      <c r="V4" s="279">
        <v>126000</v>
      </c>
      <c r="Y4" s="114">
        <v>19</v>
      </c>
      <c r="Z4" s="101">
        <v>1.31</v>
      </c>
      <c r="AA4" s="273">
        <v>1</v>
      </c>
      <c r="AD4" s="114">
        <v>1</v>
      </c>
      <c r="AE4" s="272">
        <f t="shared" ref="AE4:AE49" si="0">AE3+1.035^(-(0.5+AD4))</f>
        <v>1.4411798290824889</v>
      </c>
      <c r="AH4" s="265" t="s">
        <v>20</v>
      </c>
      <c r="AI4" s="287">
        <v>5</v>
      </c>
      <c r="AJ4" s="287">
        <v>6</v>
      </c>
      <c r="AK4" s="287">
        <v>7</v>
      </c>
      <c r="AL4" s="287">
        <v>8</v>
      </c>
      <c r="AM4" s="287">
        <v>9</v>
      </c>
      <c r="AN4" s="287">
        <v>10</v>
      </c>
      <c r="AO4" s="287">
        <v>11</v>
      </c>
      <c r="AP4" s="287">
        <v>12</v>
      </c>
      <c r="AQ4" s="287">
        <v>13</v>
      </c>
      <c r="AR4" s="287">
        <v>14</v>
      </c>
      <c r="AS4" s="287">
        <v>15</v>
      </c>
      <c r="AT4" s="287">
        <v>16</v>
      </c>
      <c r="AU4" s="287">
        <v>17</v>
      </c>
      <c r="AV4" s="287">
        <v>18</v>
      </c>
      <c r="AW4" s="287">
        <v>19</v>
      </c>
      <c r="AX4" s="287">
        <v>20</v>
      </c>
      <c r="AY4" s="287">
        <v>21</v>
      </c>
      <c r="AZ4" s="287">
        <v>22</v>
      </c>
      <c r="BA4" s="287">
        <v>23</v>
      </c>
      <c r="BB4" s="287">
        <v>24</v>
      </c>
      <c r="BC4" s="287">
        <v>25</v>
      </c>
      <c r="BD4" s="287">
        <v>26</v>
      </c>
      <c r="BE4" s="287">
        <v>27</v>
      </c>
      <c r="BF4" s="287">
        <v>28</v>
      </c>
      <c r="BG4" s="287">
        <v>29</v>
      </c>
      <c r="BH4" s="287">
        <v>30</v>
      </c>
      <c r="BI4" s="287">
        <v>31</v>
      </c>
      <c r="BJ4" s="287">
        <v>32</v>
      </c>
      <c r="BK4" s="287">
        <v>33</v>
      </c>
      <c r="BL4" s="287">
        <v>34</v>
      </c>
      <c r="BM4" s="287">
        <v>35</v>
      </c>
      <c r="BN4" s="287">
        <v>36</v>
      </c>
      <c r="BO4" s="287">
        <v>37</v>
      </c>
      <c r="BP4" s="287">
        <v>38</v>
      </c>
      <c r="BQ4" s="287">
        <v>39</v>
      </c>
      <c r="BR4" s="287">
        <v>40</v>
      </c>
      <c r="BS4" s="287">
        <v>41</v>
      </c>
      <c r="BT4" s="287">
        <v>42</v>
      </c>
      <c r="BU4" s="287">
        <v>43</v>
      </c>
      <c r="BV4" s="287">
        <v>44</v>
      </c>
      <c r="BW4" s="287">
        <v>45</v>
      </c>
      <c r="BX4" s="287">
        <v>46</v>
      </c>
      <c r="BY4" s="287">
        <v>47</v>
      </c>
      <c r="CB4" s="286" t="s">
        <v>20</v>
      </c>
      <c r="CC4" s="285">
        <v>17</v>
      </c>
      <c r="CD4" s="285">
        <v>16</v>
      </c>
      <c r="CE4" s="285">
        <v>15</v>
      </c>
      <c r="CF4" s="285">
        <v>14</v>
      </c>
      <c r="CG4" s="285">
        <v>13</v>
      </c>
      <c r="CH4" s="285">
        <v>12</v>
      </c>
      <c r="CI4" s="285">
        <v>11</v>
      </c>
      <c r="CJ4" s="285">
        <v>10</v>
      </c>
      <c r="CK4" s="285">
        <v>9</v>
      </c>
      <c r="CL4" s="285">
        <v>8</v>
      </c>
      <c r="CM4" s="285">
        <v>7</v>
      </c>
      <c r="CN4" s="285">
        <v>6</v>
      </c>
      <c r="CO4" s="285">
        <v>5</v>
      </c>
      <c r="CP4" s="285">
        <v>4</v>
      </c>
      <c r="CQ4" s="285">
        <v>3</v>
      </c>
      <c r="CR4" s="285">
        <v>2</v>
      </c>
      <c r="CS4" s="285">
        <v>1</v>
      </c>
    </row>
    <row r="5" spans="2:97" x14ac:dyDescent="0.25">
      <c r="E5" s="284">
        <v>66</v>
      </c>
      <c r="F5" s="283">
        <v>70</v>
      </c>
      <c r="G5" s="282">
        <v>1.7799999999999999E-3</v>
      </c>
      <c r="J5" s="114">
        <v>3</v>
      </c>
      <c r="K5" s="264">
        <v>1.24</v>
      </c>
      <c r="L5" s="263">
        <v>0.76</v>
      </c>
      <c r="O5" s="114">
        <v>3</v>
      </c>
      <c r="P5" s="264">
        <v>2.0299999999999998</v>
      </c>
      <c r="Q5" s="263">
        <v>1.45</v>
      </c>
      <c r="T5" s="281">
        <v>3</v>
      </c>
      <c r="U5" s="280">
        <v>280000</v>
      </c>
      <c r="V5" s="279">
        <v>252000</v>
      </c>
      <c r="Y5" s="114">
        <v>20</v>
      </c>
      <c r="Z5" s="101">
        <v>1.33</v>
      </c>
      <c r="AA5" s="273">
        <v>1.06</v>
      </c>
      <c r="AD5" s="114">
        <v>2</v>
      </c>
      <c r="AE5" s="272">
        <f t="shared" si="0"/>
        <v>2.3587707874394925</v>
      </c>
      <c r="AH5" s="260">
        <v>18</v>
      </c>
      <c r="AI5" s="259">
        <v>0.85</v>
      </c>
      <c r="AJ5" s="259">
        <v>0.87</v>
      </c>
      <c r="AK5" s="259">
        <v>0.89</v>
      </c>
      <c r="AL5" s="259">
        <v>0.9</v>
      </c>
      <c r="AM5" s="259">
        <v>0.9</v>
      </c>
      <c r="AN5" s="259">
        <v>0.91</v>
      </c>
      <c r="AO5" s="259">
        <v>0.91</v>
      </c>
      <c r="AP5" s="259">
        <v>0.92</v>
      </c>
      <c r="AQ5" s="259">
        <v>0.92</v>
      </c>
      <c r="AR5" s="259">
        <v>0.92</v>
      </c>
      <c r="AS5" s="259">
        <v>0.92</v>
      </c>
      <c r="AT5" s="259">
        <v>0.92</v>
      </c>
      <c r="AU5" s="259">
        <v>0.92</v>
      </c>
      <c r="AV5" s="259">
        <v>0.93</v>
      </c>
      <c r="AW5" s="259">
        <v>0.93</v>
      </c>
      <c r="AX5" s="259">
        <v>0.93</v>
      </c>
      <c r="AY5" s="259">
        <v>0.93</v>
      </c>
      <c r="AZ5" s="259">
        <v>0.93</v>
      </c>
      <c r="BA5" s="259">
        <v>0.94</v>
      </c>
      <c r="BB5" s="259">
        <v>0.94</v>
      </c>
      <c r="BC5" s="259">
        <v>0.94</v>
      </c>
      <c r="BD5" s="259">
        <v>0.95</v>
      </c>
      <c r="BE5" s="259">
        <v>0.96</v>
      </c>
      <c r="BF5" s="259">
        <v>0.96</v>
      </c>
      <c r="BG5" s="259">
        <v>0.97</v>
      </c>
      <c r="BH5" s="259">
        <v>0.98</v>
      </c>
      <c r="BI5" s="259">
        <v>0.99</v>
      </c>
      <c r="BJ5" s="259">
        <v>1</v>
      </c>
      <c r="BK5" s="259">
        <v>1.01</v>
      </c>
      <c r="BL5" s="259">
        <v>1.02</v>
      </c>
      <c r="BM5" s="259">
        <v>1.03</v>
      </c>
      <c r="BN5" s="259">
        <v>1.04</v>
      </c>
      <c r="BO5" s="259">
        <v>1.05</v>
      </c>
      <c r="BP5" s="259">
        <v>1.06</v>
      </c>
      <c r="BQ5" s="259">
        <v>1.08</v>
      </c>
      <c r="BR5" s="259">
        <v>1.0900000000000001</v>
      </c>
      <c r="BS5" s="259">
        <v>1.1000000000000001</v>
      </c>
      <c r="BT5" s="259">
        <v>1.1200000000000001</v>
      </c>
      <c r="BU5" s="259">
        <v>1.1299999999999999</v>
      </c>
      <c r="BV5" s="259">
        <v>1.1399999999999999</v>
      </c>
      <c r="BW5" s="259">
        <v>1.1599999999999999</v>
      </c>
      <c r="BX5" s="259">
        <v>1.17</v>
      </c>
      <c r="BY5" s="259">
        <v>1.19</v>
      </c>
      <c r="CB5" s="275">
        <v>20</v>
      </c>
      <c r="CC5" s="274">
        <v>366888</v>
      </c>
      <c r="CD5" s="274">
        <v>350729</v>
      </c>
      <c r="CE5" s="274">
        <v>334005</v>
      </c>
      <c r="CF5" s="274">
        <v>316695</v>
      </c>
      <c r="CG5" s="274">
        <v>298779</v>
      </c>
      <c r="CH5" s="274">
        <v>280237</v>
      </c>
      <c r="CI5" s="274">
        <v>261045</v>
      </c>
      <c r="CJ5" s="274">
        <v>241182</v>
      </c>
      <c r="CK5" s="274">
        <v>220623</v>
      </c>
      <c r="CL5" s="274">
        <v>199345</v>
      </c>
      <c r="CM5" s="274">
        <v>177322</v>
      </c>
      <c r="CN5" s="274">
        <v>154528</v>
      </c>
      <c r="CO5" s="274">
        <v>130937</v>
      </c>
      <c r="CP5" s="274">
        <v>106519</v>
      </c>
      <c r="CQ5" s="274">
        <v>81247</v>
      </c>
      <c r="CR5" s="274">
        <v>55091</v>
      </c>
      <c r="CS5" s="274">
        <v>28019</v>
      </c>
    </row>
    <row r="6" spans="2:97" x14ac:dyDescent="0.25">
      <c r="J6" s="114">
        <v>4</v>
      </c>
      <c r="K6" s="264">
        <v>1.22</v>
      </c>
      <c r="L6" s="263">
        <v>0.69</v>
      </c>
      <c r="O6" s="114">
        <v>4</v>
      </c>
      <c r="P6" s="264">
        <v>1.85</v>
      </c>
      <c r="Q6" s="263">
        <v>1.31</v>
      </c>
      <c r="T6" s="281">
        <v>4</v>
      </c>
      <c r="U6" s="280">
        <v>400000</v>
      </c>
      <c r="V6" s="279">
        <v>360000</v>
      </c>
      <c r="Y6" s="114">
        <v>21</v>
      </c>
      <c r="Z6" s="101">
        <v>1.31</v>
      </c>
      <c r="AA6" s="273">
        <v>1.06</v>
      </c>
      <c r="AD6" s="114">
        <v>3</v>
      </c>
      <c r="AE6" s="272">
        <f t="shared" si="0"/>
        <v>3.2453320998617183</v>
      </c>
      <c r="AH6" s="260">
        <v>19</v>
      </c>
      <c r="AI6" s="259">
        <v>0.87</v>
      </c>
      <c r="AJ6" s="259">
        <v>0.89</v>
      </c>
      <c r="AK6" s="259">
        <v>0.91</v>
      </c>
      <c r="AL6" s="259">
        <v>0.92</v>
      </c>
      <c r="AM6" s="259">
        <v>0.93</v>
      </c>
      <c r="AN6" s="259">
        <v>0.93</v>
      </c>
      <c r="AO6" s="259">
        <v>0.94</v>
      </c>
      <c r="AP6" s="259">
        <v>0.94</v>
      </c>
      <c r="AQ6" s="259">
        <v>0.94</v>
      </c>
      <c r="AR6" s="259">
        <v>0.94</v>
      </c>
      <c r="AS6" s="259">
        <v>0.95</v>
      </c>
      <c r="AT6" s="259">
        <v>0.95</v>
      </c>
      <c r="AU6" s="259">
        <v>0.95</v>
      </c>
      <c r="AV6" s="259">
        <v>0.95</v>
      </c>
      <c r="AW6" s="259">
        <v>0.95</v>
      </c>
      <c r="AX6" s="259">
        <v>0.96</v>
      </c>
      <c r="AY6" s="259">
        <v>0.96</v>
      </c>
      <c r="AZ6" s="259">
        <v>0.96</v>
      </c>
      <c r="BA6" s="259">
        <v>0.97</v>
      </c>
      <c r="BB6" s="259">
        <v>0.97</v>
      </c>
      <c r="BC6" s="259">
        <v>0.98</v>
      </c>
      <c r="BD6" s="259">
        <v>0.99</v>
      </c>
      <c r="BE6" s="259">
        <v>0.99</v>
      </c>
      <c r="BF6" s="259">
        <v>1</v>
      </c>
      <c r="BG6" s="259">
        <v>1.01</v>
      </c>
      <c r="BH6" s="259">
        <v>1.02</v>
      </c>
      <c r="BI6" s="259">
        <v>1.03</v>
      </c>
      <c r="BJ6" s="259">
        <v>1.04</v>
      </c>
      <c r="BK6" s="259">
        <v>1.05</v>
      </c>
      <c r="BL6" s="259">
        <v>1.06</v>
      </c>
      <c r="BM6" s="259">
        <v>1.08</v>
      </c>
      <c r="BN6" s="259">
        <v>1.0900000000000001</v>
      </c>
      <c r="BO6" s="259">
        <v>1.1000000000000001</v>
      </c>
      <c r="BP6" s="259">
        <v>1.1200000000000001</v>
      </c>
      <c r="BQ6" s="259">
        <v>1.1299999999999999</v>
      </c>
      <c r="BR6" s="259">
        <v>1.1399999999999999</v>
      </c>
      <c r="BS6" s="259">
        <v>1.1599999999999999</v>
      </c>
      <c r="BT6" s="259">
        <v>1.17</v>
      </c>
      <c r="BU6" s="259">
        <v>1.19</v>
      </c>
      <c r="BV6" s="259">
        <v>1.21</v>
      </c>
      <c r="BW6" s="259">
        <v>1.22</v>
      </c>
      <c r="BX6" s="259">
        <v>1.24</v>
      </c>
      <c r="BY6" s="259">
        <v>0</v>
      </c>
      <c r="CB6" s="275">
        <v>21</v>
      </c>
      <c r="CC6" s="274">
        <v>366888</v>
      </c>
      <c r="CD6" s="274">
        <v>350729</v>
      </c>
      <c r="CE6" s="274">
        <v>334005</v>
      </c>
      <c r="CF6" s="274">
        <v>316695</v>
      </c>
      <c r="CG6" s="274">
        <v>298779</v>
      </c>
      <c r="CH6" s="274">
        <v>280237</v>
      </c>
      <c r="CI6" s="274">
        <v>261045</v>
      </c>
      <c r="CJ6" s="274">
        <v>241182</v>
      </c>
      <c r="CK6" s="274">
        <v>220623</v>
      </c>
      <c r="CL6" s="274">
        <v>199345</v>
      </c>
      <c r="CM6" s="274">
        <v>177322</v>
      </c>
      <c r="CN6" s="274">
        <v>154528</v>
      </c>
      <c r="CO6" s="274">
        <v>130937</v>
      </c>
      <c r="CP6" s="274">
        <v>106519</v>
      </c>
      <c r="CQ6" s="274">
        <v>81247</v>
      </c>
      <c r="CR6" s="274">
        <v>55091</v>
      </c>
      <c r="CS6" s="274">
        <v>28019</v>
      </c>
    </row>
    <row r="7" spans="2:97" x14ac:dyDescent="0.25">
      <c r="J7" s="114">
        <v>5</v>
      </c>
      <c r="K7" s="264">
        <v>1.18</v>
      </c>
      <c r="L7" s="263">
        <v>0.64</v>
      </c>
      <c r="O7" s="114">
        <v>5</v>
      </c>
      <c r="P7" s="264">
        <v>1.69</v>
      </c>
      <c r="Q7" s="263">
        <v>1.18</v>
      </c>
      <c r="T7" s="281">
        <v>5</v>
      </c>
      <c r="U7" s="280">
        <v>70000</v>
      </c>
      <c r="V7" s="279">
        <v>142000</v>
      </c>
      <c r="Y7" s="114">
        <v>22</v>
      </c>
      <c r="Z7" s="101">
        <v>1.28</v>
      </c>
      <c r="AA7" s="273">
        <v>1.06</v>
      </c>
      <c r="AD7" s="114">
        <v>4</v>
      </c>
      <c r="AE7" s="272">
        <f t="shared" si="0"/>
        <v>4.1019130780474438</v>
      </c>
      <c r="AH7" s="260">
        <v>20</v>
      </c>
      <c r="AI7" s="259">
        <v>0.89</v>
      </c>
      <c r="AJ7" s="259">
        <v>0.91</v>
      </c>
      <c r="AK7" s="259">
        <v>0.93</v>
      </c>
      <c r="AL7" s="259">
        <v>0.94</v>
      </c>
      <c r="AM7" s="259">
        <v>0.95</v>
      </c>
      <c r="AN7" s="259">
        <v>0.95</v>
      </c>
      <c r="AO7" s="259">
        <v>0.96</v>
      </c>
      <c r="AP7" s="259">
        <v>0.96</v>
      </c>
      <c r="AQ7" s="259">
        <v>0.97</v>
      </c>
      <c r="AR7" s="259">
        <v>0.97</v>
      </c>
      <c r="AS7" s="259">
        <v>0.97</v>
      </c>
      <c r="AT7" s="259">
        <v>0.97</v>
      </c>
      <c r="AU7" s="259">
        <v>0.98</v>
      </c>
      <c r="AV7" s="259">
        <v>0.98</v>
      </c>
      <c r="AW7" s="259">
        <v>0.98</v>
      </c>
      <c r="AX7" s="259">
        <v>0.99</v>
      </c>
      <c r="AY7" s="259">
        <v>0.99</v>
      </c>
      <c r="AZ7" s="259">
        <v>1</v>
      </c>
      <c r="BA7" s="259">
        <v>1</v>
      </c>
      <c r="BB7" s="259">
        <v>1.01</v>
      </c>
      <c r="BC7" s="259">
        <v>1.02</v>
      </c>
      <c r="BD7" s="259">
        <v>1.03</v>
      </c>
      <c r="BE7" s="259">
        <v>1.03</v>
      </c>
      <c r="BF7" s="259">
        <v>1.04</v>
      </c>
      <c r="BG7" s="259">
        <v>1.06</v>
      </c>
      <c r="BH7" s="259">
        <v>1.07</v>
      </c>
      <c r="BI7" s="259">
        <v>1.08</v>
      </c>
      <c r="BJ7" s="259">
        <v>1.0900000000000001</v>
      </c>
      <c r="BK7" s="259">
        <v>1.1000000000000001</v>
      </c>
      <c r="BL7" s="259">
        <v>1.1200000000000001</v>
      </c>
      <c r="BM7" s="259">
        <v>1.1299999999999999</v>
      </c>
      <c r="BN7" s="259">
        <v>1.1399999999999999</v>
      </c>
      <c r="BO7" s="259">
        <v>1.1599999999999999</v>
      </c>
      <c r="BP7" s="259">
        <v>1.17</v>
      </c>
      <c r="BQ7" s="259">
        <v>1.19</v>
      </c>
      <c r="BR7" s="259">
        <v>1.2</v>
      </c>
      <c r="BS7" s="259">
        <v>1.22</v>
      </c>
      <c r="BT7" s="259">
        <v>1.24</v>
      </c>
      <c r="BU7" s="259">
        <v>1.25</v>
      </c>
      <c r="BV7" s="259">
        <v>1.27</v>
      </c>
      <c r="BW7" s="259">
        <v>1.29</v>
      </c>
      <c r="BX7" s="259">
        <v>0</v>
      </c>
      <c r="BY7" s="259">
        <v>0</v>
      </c>
      <c r="CB7" s="275">
        <v>22</v>
      </c>
      <c r="CC7" s="274">
        <v>366888</v>
      </c>
      <c r="CD7" s="274">
        <v>350729</v>
      </c>
      <c r="CE7" s="274">
        <v>334005</v>
      </c>
      <c r="CF7" s="274">
        <v>316695</v>
      </c>
      <c r="CG7" s="274">
        <v>298779</v>
      </c>
      <c r="CH7" s="274">
        <v>280237</v>
      </c>
      <c r="CI7" s="274">
        <v>261045</v>
      </c>
      <c r="CJ7" s="274">
        <v>241182</v>
      </c>
      <c r="CK7" s="274">
        <v>220623</v>
      </c>
      <c r="CL7" s="274">
        <v>199345</v>
      </c>
      <c r="CM7" s="274">
        <v>177322</v>
      </c>
      <c r="CN7" s="274">
        <v>154528</v>
      </c>
      <c r="CO7" s="274">
        <v>130937</v>
      </c>
      <c r="CP7" s="274">
        <v>106519</v>
      </c>
      <c r="CQ7" s="274">
        <v>81247</v>
      </c>
      <c r="CR7" s="274">
        <v>55091</v>
      </c>
      <c r="CS7" s="274">
        <v>28019</v>
      </c>
    </row>
    <row r="8" spans="2:97" x14ac:dyDescent="0.25">
      <c r="J8" s="114">
        <v>6</v>
      </c>
      <c r="K8" s="264">
        <v>1.1499999999999999</v>
      </c>
      <c r="L8" s="263">
        <v>0.6</v>
      </c>
      <c r="O8" s="114">
        <v>6</v>
      </c>
      <c r="P8" s="264">
        <v>1.61</v>
      </c>
      <c r="Q8" s="263">
        <v>1.1100000000000001</v>
      </c>
      <c r="T8" s="281">
        <v>6</v>
      </c>
      <c r="U8" s="280">
        <v>140000</v>
      </c>
      <c r="V8" s="279">
        <v>283000</v>
      </c>
      <c r="Y8" s="114">
        <v>23</v>
      </c>
      <c r="Z8" s="101">
        <v>1.28</v>
      </c>
      <c r="AA8" s="273">
        <v>1.08</v>
      </c>
      <c r="AD8" s="114">
        <v>5</v>
      </c>
      <c r="AE8" s="272">
        <f t="shared" si="0"/>
        <v>4.9295275497244733</v>
      </c>
      <c r="AH8" s="260">
        <v>21</v>
      </c>
      <c r="AI8" s="259">
        <v>0.91</v>
      </c>
      <c r="AJ8" s="259">
        <v>0.93</v>
      </c>
      <c r="AK8" s="259">
        <v>0.95</v>
      </c>
      <c r="AL8" s="259">
        <v>0.96</v>
      </c>
      <c r="AM8" s="259">
        <v>0.97</v>
      </c>
      <c r="AN8" s="259">
        <v>0.97</v>
      </c>
      <c r="AO8" s="259">
        <v>0.98</v>
      </c>
      <c r="AP8" s="259">
        <v>0.99</v>
      </c>
      <c r="AQ8" s="259">
        <v>0.99</v>
      </c>
      <c r="AR8" s="259">
        <v>0.99</v>
      </c>
      <c r="AS8" s="259">
        <v>1</v>
      </c>
      <c r="AT8" s="259">
        <v>1</v>
      </c>
      <c r="AU8" s="259">
        <v>1</v>
      </c>
      <c r="AV8" s="259">
        <v>1.01</v>
      </c>
      <c r="AW8" s="259">
        <v>1.01</v>
      </c>
      <c r="AX8" s="259">
        <v>1.02</v>
      </c>
      <c r="AY8" s="259">
        <v>1.02</v>
      </c>
      <c r="AZ8" s="259">
        <v>1.03</v>
      </c>
      <c r="BA8" s="259">
        <v>1.04</v>
      </c>
      <c r="BB8" s="259">
        <v>1.05</v>
      </c>
      <c r="BC8" s="259">
        <v>1.06</v>
      </c>
      <c r="BD8" s="259">
        <v>1.07</v>
      </c>
      <c r="BE8" s="259">
        <v>1.08</v>
      </c>
      <c r="BF8" s="259">
        <v>1.0900000000000001</v>
      </c>
      <c r="BG8" s="259">
        <v>1.1000000000000001</v>
      </c>
      <c r="BH8" s="259">
        <v>1.1200000000000001</v>
      </c>
      <c r="BI8" s="259">
        <v>1.1299999999999999</v>
      </c>
      <c r="BJ8" s="259">
        <v>1.1399999999999999</v>
      </c>
      <c r="BK8" s="259">
        <v>1.1599999999999999</v>
      </c>
      <c r="BL8" s="259">
        <v>1.17</v>
      </c>
      <c r="BM8" s="259">
        <v>1.19</v>
      </c>
      <c r="BN8" s="259">
        <v>1.2</v>
      </c>
      <c r="BO8" s="259">
        <v>1.22</v>
      </c>
      <c r="BP8" s="259">
        <v>1.24</v>
      </c>
      <c r="BQ8" s="259">
        <v>1.25</v>
      </c>
      <c r="BR8" s="259">
        <v>1.27</v>
      </c>
      <c r="BS8" s="259">
        <v>1.29</v>
      </c>
      <c r="BT8" s="259">
        <v>1.31</v>
      </c>
      <c r="BU8" s="259">
        <v>1.32</v>
      </c>
      <c r="BV8" s="259">
        <v>1.34</v>
      </c>
      <c r="BW8" s="259">
        <v>0</v>
      </c>
      <c r="BX8" s="259">
        <v>0</v>
      </c>
      <c r="BY8" s="259">
        <v>0</v>
      </c>
      <c r="CB8" s="275">
        <v>23</v>
      </c>
      <c r="CC8" s="274">
        <v>354237</v>
      </c>
      <c r="CD8" s="274">
        <v>338635</v>
      </c>
      <c r="CE8" s="274">
        <v>322488</v>
      </c>
      <c r="CF8" s="274">
        <v>305775</v>
      </c>
      <c r="CG8" s="274">
        <v>288477</v>
      </c>
      <c r="CH8" s="274">
        <v>270573</v>
      </c>
      <c r="CI8" s="274">
        <v>252043</v>
      </c>
      <c r="CJ8" s="274">
        <v>232865</v>
      </c>
      <c r="CK8" s="274">
        <v>213015</v>
      </c>
      <c r="CL8" s="274">
        <v>192471</v>
      </c>
      <c r="CM8" s="274">
        <v>171207</v>
      </c>
      <c r="CN8" s="274">
        <v>149199</v>
      </c>
      <c r="CO8" s="274">
        <v>126421</v>
      </c>
      <c r="CP8" s="274">
        <v>102846</v>
      </c>
      <c r="CQ8" s="274">
        <v>78446</v>
      </c>
      <c r="CR8" s="274">
        <v>53191</v>
      </c>
      <c r="CS8" s="274">
        <v>27053</v>
      </c>
    </row>
    <row r="9" spans="2:97" x14ac:dyDescent="0.25">
      <c r="J9" s="114">
        <v>7</v>
      </c>
      <c r="K9" s="264">
        <v>1.0900000000000001</v>
      </c>
      <c r="L9" s="263">
        <v>0.57999999999999996</v>
      </c>
      <c r="O9" s="114">
        <v>7</v>
      </c>
      <c r="P9" s="264">
        <v>1.55</v>
      </c>
      <c r="Q9" s="263">
        <v>1.06</v>
      </c>
      <c r="T9" s="281">
        <v>7</v>
      </c>
      <c r="U9" s="280">
        <v>280000</v>
      </c>
      <c r="V9" s="279">
        <v>566000</v>
      </c>
      <c r="Y9" s="114">
        <v>24</v>
      </c>
      <c r="Z9" s="101">
        <v>1.28</v>
      </c>
      <c r="AA9" s="273">
        <v>1.1100000000000001</v>
      </c>
      <c r="AD9" s="114">
        <v>6</v>
      </c>
      <c r="AE9" s="272">
        <f t="shared" si="0"/>
        <v>5.7291550585911688</v>
      </c>
      <c r="AH9" s="260">
        <v>22</v>
      </c>
      <c r="AI9" s="259">
        <v>0.93</v>
      </c>
      <c r="AJ9" s="259">
        <v>0.95</v>
      </c>
      <c r="AK9" s="259">
        <v>0.97</v>
      </c>
      <c r="AL9" s="259">
        <v>0.98</v>
      </c>
      <c r="AM9" s="259">
        <v>0.99</v>
      </c>
      <c r="AN9" s="259">
        <v>1</v>
      </c>
      <c r="AO9" s="259">
        <v>1</v>
      </c>
      <c r="AP9" s="259">
        <v>1.01</v>
      </c>
      <c r="AQ9" s="259">
        <v>1.02</v>
      </c>
      <c r="AR9" s="259">
        <v>1.02</v>
      </c>
      <c r="AS9" s="259">
        <v>1.02</v>
      </c>
      <c r="AT9" s="259">
        <v>1.03</v>
      </c>
      <c r="AU9" s="259">
        <v>1.03</v>
      </c>
      <c r="AV9" s="259">
        <v>1.04</v>
      </c>
      <c r="AW9" s="259">
        <v>1.05</v>
      </c>
      <c r="AX9" s="259">
        <v>1.05</v>
      </c>
      <c r="AY9" s="259">
        <v>1.06</v>
      </c>
      <c r="AZ9" s="259">
        <v>1.07</v>
      </c>
      <c r="BA9" s="259">
        <v>1.08</v>
      </c>
      <c r="BB9" s="259">
        <v>1.0900000000000001</v>
      </c>
      <c r="BC9" s="259">
        <v>1.1000000000000001</v>
      </c>
      <c r="BD9" s="259">
        <v>1.1200000000000001</v>
      </c>
      <c r="BE9" s="259">
        <v>1.1299999999999999</v>
      </c>
      <c r="BF9" s="259">
        <v>1.1399999999999999</v>
      </c>
      <c r="BG9" s="259">
        <v>1.1599999999999999</v>
      </c>
      <c r="BH9" s="259">
        <v>1.17</v>
      </c>
      <c r="BI9" s="259">
        <v>1.19</v>
      </c>
      <c r="BJ9" s="259">
        <v>1.2</v>
      </c>
      <c r="BK9" s="259">
        <v>1.22</v>
      </c>
      <c r="BL9" s="259">
        <v>1.23</v>
      </c>
      <c r="BM9" s="259">
        <v>1.25</v>
      </c>
      <c r="BN9" s="259">
        <v>1.27</v>
      </c>
      <c r="BO9" s="259">
        <v>1.29</v>
      </c>
      <c r="BP9" s="259">
        <v>1.3</v>
      </c>
      <c r="BQ9" s="259">
        <v>1.32</v>
      </c>
      <c r="BR9" s="259">
        <v>1.34</v>
      </c>
      <c r="BS9" s="259">
        <v>1.36</v>
      </c>
      <c r="BT9" s="259">
        <v>1.38</v>
      </c>
      <c r="BU9" s="259">
        <v>1.4</v>
      </c>
      <c r="BV9" s="259">
        <v>0</v>
      </c>
      <c r="BW9" s="259">
        <v>0</v>
      </c>
      <c r="BX9" s="259">
        <v>0</v>
      </c>
      <c r="BY9" s="259">
        <v>0</v>
      </c>
      <c r="CB9" s="275">
        <v>24</v>
      </c>
      <c r="CC9" s="274">
        <v>354237</v>
      </c>
      <c r="CD9" s="274">
        <v>338635</v>
      </c>
      <c r="CE9" s="274">
        <v>322488</v>
      </c>
      <c r="CF9" s="274">
        <v>305775</v>
      </c>
      <c r="CG9" s="274">
        <v>288477</v>
      </c>
      <c r="CH9" s="274">
        <v>270573</v>
      </c>
      <c r="CI9" s="274">
        <v>252043</v>
      </c>
      <c r="CJ9" s="274">
        <v>232865</v>
      </c>
      <c r="CK9" s="274">
        <v>213015</v>
      </c>
      <c r="CL9" s="274">
        <v>192471</v>
      </c>
      <c r="CM9" s="274">
        <v>171207</v>
      </c>
      <c r="CN9" s="274">
        <v>149199</v>
      </c>
      <c r="CO9" s="274">
        <v>126421</v>
      </c>
      <c r="CP9" s="274">
        <v>102846</v>
      </c>
      <c r="CQ9" s="274">
        <v>78446</v>
      </c>
      <c r="CR9" s="274">
        <v>53191</v>
      </c>
      <c r="CS9" s="274">
        <v>27053</v>
      </c>
    </row>
    <row r="10" spans="2:97" x14ac:dyDescent="0.25">
      <c r="J10" s="114">
        <v>8</v>
      </c>
      <c r="K10" s="264">
        <v>1.05</v>
      </c>
      <c r="L10" s="263">
        <v>0.56000000000000005</v>
      </c>
      <c r="O10" s="114">
        <v>8</v>
      </c>
      <c r="P10" s="264">
        <v>1.53</v>
      </c>
      <c r="Q10" s="263">
        <v>1.03</v>
      </c>
      <c r="T10" s="278">
        <v>8</v>
      </c>
      <c r="U10" s="277">
        <v>500000</v>
      </c>
      <c r="V10" s="276">
        <v>1011000</v>
      </c>
      <c r="Y10" s="114">
        <v>25</v>
      </c>
      <c r="Z10" s="101">
        <v>1.25</v>
      </c>
      <c r="AA10" s="273">
        <v>1.17</v>
      </c>
      <c r="AD10" s="114">
        <v>7</v>
      </c>
      <c r="AE10" s="272">
        <f t="shared" si="0"/>
        <v>6.5017420236797632</v>
      </c>
      <c r="AH10" s="260">
        <v>23</v>
      </c>
      <c r="AI10" s="259">
        <v>0.95</v>
      </c>
      <c r="AJ10" s="259">
        <v>0.97</v>
      </c>
      <c r="AK10" s="259">
        <v>0.99</v>
      </c>
      <c r="AL10" s="259">
        <v>1</v>
      </c>
      <c r="AM10" s="259">
        <v>1.02</v>
      </c>
      <c r="AN10" s="259">
        <v>1.02</v>
      </c>
      <c r="AO10" s="259">
        <v>1.03</v>
      </c>
      <c r="AP10" s="259">
        <v>1.04</v>
      </c>
      <c r="AQ10" s="259">
        <v>1.04</v>
      </c>
      <c r="AR10" s="259">
        <v>1.05</v>
      </c>
      <c r="AS10" s="259">
        <v>1.06</v>
      </c>
      <c r="AT10" s="259">
        <v>1.06</v>
      </c>
      <c r="AU10" s="259">
        <v>1.07</v>
      </c>
      <c r="AV10" s="259">
        <v>1.08</v>
      </c>
      <c r="AW10" s="259">
        <v>1.0900000000000001</v>
      </c>
      <c r="AX10" s="259">
        <v>1.1000000000000001</v>
      </c>
      <c r="AY10" s="259">
        <v>1.1100000000000001</v>
      </c>
      <c r="AZ10" s="259">
        <v>1.1200000000000001</v>
      </c>
      <c r="BA10" s="259">
        <v>1.1299999999999999</v>
      </c>
      <c r="BB10" s="259">
        <v>1.1399999999999999</v>
      </c>
      <c r="BC10" s="259">
        <v>1.1599999999999999</v>
      </c>
      <c r="BD10" s="259">
        <v>1.17</v>
      </c>
      <c r="BE10" s="259">
        <v>1.18</v>
      </c>
      <c r="BF10" s="259">
        <v>1.2</v>
      </c>
      <c r="BG10" s="259">
        <v>1.22</v>
      </c>
      <c r="BH10" s="259">
        <v>1.23</v>
      </c>
      <c r="BI10" s="259">
        <v>1.25</v>
      </c>
      <c r="BJ10" s="259">
        <v>1.27</v>
      </c>
      <c r="BK10" s="259">
        <v>1.28</v>
      </c>
      <c r="BL10" s="259">
        <v>1.3</v>
      </c>
      <c r="BM10" s="259">
        <v>1.32</v>
      </c>
      <c r="BN10" s="259">
        <v>1.34</v>
      </c>
      <c r="BO10" s="259">
        <v>1.36</v>
      </c>
      <c r="BP10" s="259">
        <v>1.38</v>
      </c>
      <c r="BQ10" s="259">
        <v>1.4</v>
      </c>
      <c r="BR10" s="259">
        <v>1.42</v>
      </c>
      <c r="BS10" s="259">
        <v>1.44</v>
      </c>
      <c r="BT10" s="259">
        <v>1.46</v>
      </c>
      <c r="BU10" s="259">
        <v>0</v>
      </c>
      <c r="BV10" s="259">
        <v>0</v>
      </c>
      <c r="BW10" s="259">
        <v>0</v>
      </c>
      <c r="BX10" s="259">
        <v>0</v>
      </c>
      <c r="BY10" s="259">
        <v>0</v>
      </c>
      <c r="CB10" s="275">
        <v>25</v>
      </c>
      <c r="CC10" s="274">
        <v>341586</v>
      </c>
      <c r="CD10" s="274">
        <v>326541</v>
      </c>
      <c r="CE10" s="274">
        <v>310970</v>
      </c>
      <c r="CF10" s="274">
        <v>294854</v>
      </c>
      <c r="CG10" s="274">
        <v>278174</v>
      </c>
      <c r="CH10" s="274">
        <v>260910</v>
      </c>
      <c r="CI10" s="274">
        <v>243042</v>
      </c>
      <c r="CJ10" s="274">
        <v>224548</v>
      </c>
      <c r="CK10" s="274">
        <v>205408</v>
      </c>
      <c r="CL10" s="274">
        <v>185597</v>
      </c>
      <c r="CM10" s="274">
        <v>165093</v>
      </c>
      <c r="CN10" s="274">
        <v>143871</v>
      </c>
      <c r="CO10" s="274">
        <v>121906</v>
      </c>
      <c r="CP10" s="274">
        <v>99173</v>
      </c>
      <c r="CQ10" s="274">
        <v>75644</v>
      </c>
      <c r="CR10" s="274">
        <v>51292</v>
      </c>
      <c r="CS10" s="274">
        <v>26087</v>
      </c>
    </row>
    <row r="11" spans="2:97" x14ac:dyDescent="0.25">
      <c r="J11" s="114">
        <v>9</v>
      </c>
      <c r="K11" s="264">
        <v>1.05</v>
      </c>
      <c r="L11" s="263">
        <v>0.57999999999999996</v>
      </c>
      <c r="O11" s="114">
        <v>9</v>
      </c>
      <c r="P11" s="264">
        <v>1.51</v>
      </c>
      <c r="Q11" s="263">
        <v>1.06</v>
      </c>
      <c r="Y11" s="114">
        <v>26</v>
      </c>
      <c r="Z11" s="101">
        <v>1.28</v>
      </c>
      <c r="AA11" s="273">
        <v>1.31</v>
      </c>
      <c r="AD11" s="114">
        <v>8</v>
      </c>
      <c r="AE11" s="272">
        <f t="shared" si="0"/>
        <v>7.2482028595141541</v>
      </c>
      <c r="AH11" s="260">
        <v>24</v>
      </c>
      <c r="AI11" s="259">
        <v>0.97</v>
      </c>
      <c r="AJ11" s="259">
        <v>1</v>
      </c>
      <c r="AK11" s="259">
        <v>1.02</v>
      </c>
      <c r="AL11" s="259">
        <v>1.03</v>
      </c>
      <c r="AM11" s="259">
        <v>1.04</v>
      </c>
      <c r="AN11" s="259">
        <v>1.05</v>
      </c>
      <c r="AO11" s="259">
        <v>1.06</v>
      </c>
      <c r="AP11" s="259">
        <v>1.07</v>
      </c>
      <c r="AQ11" s="259">
        <v>1.08</v>
      </c>
      <c r="AR11" s="259">
        <v>1.08</v>
      </c>
      <c r="AS11" s="259">
        <v>1.0900000000000001</v>
      </c>
      <c r="AT11" s="259">
        <v>1.1000000000000001</v>
      </c>
      <c r="AU11" s="259">
        <v>1.1100000000000001</v>
      </c>
      <c r="AV11" s="259">
        <v>1.1200000000000001</v>
      </c>
      <c r="AW11" s="259">
        <v>1.1299999999999999</v>
      </c>
      <c r="AX11" s="259">
        <v>1.1399999999999999</v>
      </c>
      <c r="AY11" s="259">
        <v>1.1599999999999999</v>
      </c>
      <c r="AZ11" s="259">
        <v>1.17</v>
      </c>
      <c r="BA11" s="259">
        <v>1.18</v>
      </c>
      <c r="BB11" s="259">
        <v>1.2</v>
      </c>
      <c r="BC11" s="259">
        <v>1.21</v>
      </c>
      <c r="BD11" s="259">
        <v>1.23</v>
      </c>
      <c r="BE11" s="259">
        <v>1.25</v>
      </c>
      <c r="BF11" s="259">
        <v>1.26</v>
      </c>
      <c r="BG11" s="259">
        <v>1.28</v>
      </c>
      <c r="BH11" s="259">
        <v>1.3</v>
      </c>
      <c r="BI11" s="259">
        <v>1.32</v>
      </c>
      <c r="BJ11" s="259">
        <v>1.34</v>
      </c>
      <c r="BK11" s="259">
        <v>1.36</v>
      </c>
      <c r="BL11" s="259">
        <v>1.38</v>
      </c>
      <c r="BM11" s="259">
        <v>1.4</v>
      </c>
      <c r="BN11" s="259">
        <v>1.42</v>
      </c>
      <c r="BO11" s="259">
        <v>1.44</v>
      </c>
      <c r="BP11" s="259">
        <v>1.46</v>
      </c>
      <c r="BQ11" s="259">
        <v>1.48</v>
      </c>
      <c r="BR11" s="259">
        <v>1.5</v>
      </c>
      <c r="BS11" s="259">
        <v>1.53</v>
      </c>
      <c r="BT11" s="259">
        <v>0</v>
      </c>
      <c r="BU11" s="259">
        <v>0</v>
      </c>
      <c r="BV11" s="259">
        <v>0</v>
      </c>
      <c r="BW11" s="259">
        <v>0</v>
      </c>
      <c r="BX11" s="259">
        <v>0</v>
      </c>
      <c r="BY11" s="259">
        <v>0</v>
      </c>
      <c r="CB11" s="275">
        <v>26</v>
      </c>
      <c r="CC11" s="274">
        <v>328934</v>
      </c>
      <c r="CD11" s="274">
        <v>314447</v>
      </c>
      <c r="CE11" s="274">
        <v>299453</v>
      </c>
      <c r="CF11" s="274">
        <v>283934</v>
      </c>
      <c r="CG11" s="274">
        <v>267871</v>
      </c>
      <c r="CH11" s="274">
        <v>251247</v>
      </c>
      <c r="CI11" s="274">
        <v>234040</v>
      </c>
      <c r="CJ11" s="274">
        <v>216232</v>
      </c>
      <c r="CK11" s="274">
        <v>197800</v>
      </c>
      <c r="CL11" s="274">
        <v>178723</v>
      </c>
      <c r="CM11" s="274">
        <v>158978</v>
      </c>
      <c r="CN11" s="274">
        <v>138542</v>
      </c>
      <c r="CO11" s="274">
        <v>117391</v>
      </c>
      <c r="CP11" s="274">
        <v>95500</v>
      </c>
      <c r="CQ11" s="274">
        <v>72843</v>
      </c>
      <c r="CR11" s="274">
        <v>49392</v>
      </c>
      <c r="CS11" s="274">
        <v>25121</v>
      </c>
    </row>
    <row r="12" spans="2:97" x14ac:dyDescent="0.25">
      <c r="J12" s="114">
        <v>10</v>
      </c>
      <c r="K12" s="264">
        <v>1.04</v>
      </c>
      <c r="L12" s="263">
        <v>0.57999999999999996</v>
      </c>
      <c r="O12" s="114">
        <v>10</v>
      </c>
      <c r="P12" s="264">
        <v>1.51</v>
      </c>
      <c r="Q12" s="263">
        <v>1.06</v>
      </c>
      <c r="Y12" s="114">
        <v>27</v>
      </c>
      <c r="Z12" s="101">
        <v>1.31</v>
      </c>
      <c r="AA12" s="273">
        <v>1.47</v>
      </c>
      <c r="AD12" s="114">
        <v>9</v>
      </c>
      <c r="AE12" s="272">
        <f t="shared" si="0"/>
        <v>7.9694210583879617</v>
      </c>
      <c r="AH12" s="260">
        <v>25</v>
      </c>
      <c r="AI12" s="259">
        <v>1</v>
      </c>
      <c r="AJ12" s="259">
        <v>1.02</v>
      </c>
      <c r="AK12" s="259">
        <v>1.05</v>
      </c>
      <c r="AL12" s="259">
        <v>1.06</v>
      </c>
      <c r="AM12" s="259">
        <v>1.07</v>
      </c>
      <c r="AN12" s="259">
        <v>1.0900000000000001</v>
      </c>
      <c r="AO12" s="259">
        <v>1.1000000000000001</v>
      </c>
      <c r="AP12" s="259">
        <v>1.1000000000000001</v>
      </c>
      <c r="AQ12" s="259">
        <v>1.1100000000000001</v>
      </c>
      <c r="AR12" s="259">
        <v>1.1200000000000001</v>
      </c>
      <c r="AS12" s="259">
        <v>1.1299999999999999</v>
      </c>
      <c r="AT12" s="259">
        <v>1.1399999999999999</v>
      </c>
      <c r="AU12" s="259">
        <v>1.1599999999999999</v>
      </c>
      <c r="AV12" s="259">
        <v>1.17</v>
      </c>
      <c r="AW12" s="259">
        <v>1.18</v>
      </c>
      <c r="AX12" s="259">
        <v>1.2</v>
      </c>
      <c r="AY12" s="259">
        <v>1.21</v>
      </c>
      <c r="AZ12" s="259">
        <v>1.23</v>
      </c>
      <c r="BA12" s="259">
        <v>1.24</v>
      </c>
      <c r="BB12" s="259">
        <v>1.26</v>
      </c>
      <c r="BC12" s="259">
        <v>1.28</v>
      </c>
      <c r="BD12" s="259">
        <v>1.3</v>
      </c>
      <c r="BE12" s="259">
        <v>1.31</v>
      </c>
      <c r="BF12" s="259">
        <v>1.33</v>
      </c>
      <c r="BG12" s="259">
        <v>1.35</v>
      </c>
      <c r="BH12" s="259">
        <v>1.37</v>
      </c>
      <c r="BI12" s="259">
        <v>1.39</v>
      </c>
      <c r="BJ12" s="259">
        <v>1.41</v>
      </c>
      <c r="BK12" s="259">
        <v>1.44</v>
      </c>
      <c r="BL12" s="259">
        <v>1.46</v>
      </c>
      <c r="BM12" s="259">
        <v>1.48</v>
      </c>
      <c r="BN12" s="259">
        <v>1.5</v>
      </c>
      <c r="BO12" s="259">
        <v>1.52</v>
      </c>
      <c r="BP12" s="259">
        <v>1.55</v>
      </c>
      <c r="BQ12" s="259">
        <v>1.57</v>
      </c>
      <c r="BR12" s="259">
        <v>1.59</v>
      </c>
      <c r="BS12" s="259">
        <v>0</v>
      </c>
      <c r="BT12" s="259">
        <v>0</v>
      </c>
      <c r="BU12" s="259">
        <v>0</v>
      </c>
      <c r="BV12" s="259">
        <v>0</v>
      </c>
      <c r="BW12" s="259">
        <v>0</v>
      </c>
      <c r="BX12" s="259">
        <v>0</v>
      </c>
      <c r="BY12" s="259">
        <v>0</v>
      </c>
      <c r="CB12" s="275">
        <v>27</v>
      </c>
      <c r="CC12" s="274">
        <v>328934</v>
      </c>
      <c r="CD12" s="274">
        <v>314447</v>
      </c>
      <c r="CE12" s="274">
        <v>299453</v>
      </c>
      <c r="CF12" s="274">
        <v>283934</v>
      </c>
      <c r="CG12" s="274">
        <v>267871</v>
      </c>
      <c r="CH12" s="274">
        <v>251247</v>
      </c>
      <c r="CI12" s="274">
        <v>234040</v>
      </c>
      <c r="CJ12" s="274">
        <v>216232</v>
      </c>
      <c r="CK12" s="274">
        <v>197800</v>
      </c>
      <c r="CL12" s="274">
        <v>178723</v>
      </c>
      <c r="CM12" s="274">
        <v>158978</v>
      </c>
      <c r="CN12" s="274">
        <v>138542</v>
      </c>
      <c r="CO12" s="274">
        <v>117391</v>
      </c>
      <c r="CP12" s="274">
        <v>95500</v>
      </c>
      <c r="CQ12" s="274">
        <v>72843</v>
      </c>
      <c r="CR12" s="274">
        <v>49392</v>
      </c>
      <c r="CS12" s="274">
        <v>25121</v>
      </c>
    </row>
    <row r="13" spans="2:97" x14ac:dyDescent="0.25">
      <c r="J13" s="114">
        <v>11</v>
      </c>
      <c r="K13" s="264">
        <v>1.02</v>
      </c>
      <c r="L13" s="263">
        <v>0.62</v>
      </c>
      <c r="O13" s="114">
        <v>11</v>
      </c>
      <c r="P13" s="264">
        <v>1.52</v>
      </c>
      <c r="Q13" s="263">
        <v>1.0900000000000001</v>
      </c>
      <c r="Y13" s="114">
        <v>28</v>
      </c>
      <c r="Z13" s="101">
        <v>1.39</v>
      </c>
      <c r="AA13" s="273">
        <v>1.67</v>
      </c>
      <c r="AD13" s="114">
        <v>10</v>
      </c>
      <c r="AE13" s="272">
        <f t="shared" si="0"/>
        <v>8.6662502360438154</v>
      </c>
      <c r="AH13" s="260">
        <v>26</v>
      </c>
      <c r="AI13" s="259">
        <v>1.03</v>
      </c>
      <c r="AJ13" s="259">
        <v>1.06</v>
      </c>
      <c r="AK13" s="259">
        <v>1.08</v>
      </c>
      <c r="AL13" s="259">
        <v>1.1000000000000001</v>
      </c>
      <c r="AM13" s="259">
        <v>1.1100000000000001</v>
      </c>
      <c r="AN13" s="259">
        <v>1.1200000000000001</v>
      </c>
      <c r="AO13" s="259">
        <v>1.1299999999999999</v>
      </c>
      <c r="AP13" s="259">
        <v>1.1399999999999999</v>
      </c>
      <c r="AQ13" s="259">
        <v>1.1599999999999999</v>
      </c>
      <c r="AR13" s="259">
        <v>1.17</v>
      </c>
      <c r="AS13" s="259">
        <v>1.18</v>
      </c>
      <c r="AT13" s="259">
        <v>1.19</v>
      </c>
      <c r="AU13" s="259">
        <v>1.21</v>
      </c>
      <c r="AV13" s="259">
        <v>1.22</v>
      </c>
      <c r="AW13" s="259">
        <v>1.24</v>
      </c>
      <c r="AX13" s="259">
        <v>1.26</v>
      </c>
      <c r="AY13" s="259">
        <v>1.27</v>
      </c>
      <c r="AZ13" s="259">
        <v>1.29</v>
      </c>
      <c r="BA13" s="259">
        <v>1.31</v>
      </c>
      <c r="BB13" s="259">
        <v>1.33</v>
      </c>
      <c r="BC13" s="259">
        <v>1.35</v>
      </c>
      <c r="BD13" s="259">
        <v>1.37</v>
      </c>
      <c r="BE13" s="259">
        <v>1.39</v>
      </c>
      <c r="BF13" s="259">
        <v>1.41</v>
      </c>
      <c r="BG13" s="259">
        <v>1.43</v>
      </c>
      <c r="BH13" s="259">
        <v>1.45</v>
      </c>
      <c r="BI13" s="259">
        <v>1.48</v>
      </c>
      <c r="BJ13" s="259">
        <v>1.5</v>
      </c>
      <c r="BK13" s="259">
        <v>1.52</v>
      </c>
      <c r="BL13" s="259">
        <v>1.55</v>
      </c>
      <c r="BM13" s="259">
        <v>1.57</v>
      </c>
      <c r="BN13" s="259">
        <v>1.59</v>
      </c>
      <c r="BO13" s="259">
        <v>1.62</v>
      </c>
      <c r="BP13" s="259">
        <v>1.64</v>
      </c>
      <c r="BQ13" s="259">
        <v>1.67</v>
      </c>
      <c r="BR13" s="259">
        <v>0</v>
      </c>
      <c r="BS13" s="259">
        <v>0</v>
      </c>
      <c r="BT13" s="259">
        <v>0</v>
      </c>
      <c r="BU13" s="259">
        <v>0</v>
      </c>
      <c r="BV13" s="259">
        <v>0</v>
      </c>
      <c r="BW13" s="259">
        <v>0</v>
      </c>
      <c r="BX13" s="259">
        <v>0</v>
      </c>
      <c r="BY13" s="259">
        <v>0</v>
      </c>
      <c r="CB13" s="275">
        <v>28</v>
      </c>
      <c r="CC13" s="274">
        <v>328934</v>
      </c>
      <c r="CD13" s="274">
        <v>314447</v>
      </c>
      <c r="CE13" s="274">
        <v>299453</v>
      </c>
      <c r="CF13" s="274">
        <v>283934</v>
      </c>
      <c r="CG13" s="274">
        <v>267871</v>
      </c>
      <c r="CH13" s="274">
        <v>251247</v>
      </c>
      <c r="CI13" s="274">
        <v>234040</v>
      </c>
      <c r="CJ13" s="274">
        <v>216232</v>
      </c>
      <c r="CK13" s="274">
        <v>197800</v>
      </c>
      <c r="CL13" s="274">
        <v>178723</v>
      </c>
      <c r="CM13" s="274">
        <v>158978</v>
      </c>
      <c r="CN13" s="274">
        <v>138542</v>
      </c>
      <c r="CO13" s="274">
        <v>117391</v>
      </c>
      <c r="CP13" s="274">
        <v>95500</v>
      </c>
      <c r="CQ13" s="274">
        <v>72843</v>
      </c>
      <c r="CR13" s="274">
        <v>49392</v>
      </c>
      <c r="CS13" s="274">
        <v>25121</v>
      </c>
    </row>
    <row r="14" spans="2:97" x14ac:dyDescent="0.25">
      <c r="J14" s="114">
        <v>12</v>
      </c>
      <c r="K14" s="264">
        <v>1.02</v>
      </c>
      <c r="L14" s="263">
        <v>0.64</v>
      </c>
      <c r="O14" s="114">
        <v>12</v>
      </c>
      <c r="P14" s="264">
        <v>1.53</v>
      </c>
      <c r="Q14" s="263">
        <v>1.1200000000000001</v>
      </c>
      <c r="Y14" s="114">
        <v>29</v>
      </c>
      <c r="Z14" s="101">
        <v>1.47</v>
      </c>
      <c r="AA14" s="273">
        <v>1.86</v>
      </c>
      <c r="AD14" s="114">
        <v>11</v>
      </c>
      <c r="AE14" s="272">
        <f t="shared" si="0"/>
        <v>9.3395151419914999</v>
      </c>
      <c r="AH14" s="260">
        <v>27</v>
      </c>
      <c r="AI14" s="259">
        <v>1.06</v>
      </c>
      <c r="AJ14" s="259">
        <v>1.0900000000000001</v>
      </c>
      <c r="AK14" s="259">
        <v>1.1200000000000001</v>
      </c>
      <c r="AL14" s="259">
        <v>1.1299999999999999</v>
      </c>
      <c r="AM14" s="259">
        <v>1.1499999999999999</v>
      </c>
      <c r="AN14" s="259">
        <v>1.1599999999999999</v>
      </c>
      <c r="AO14" s="259">
        <v>1.18</v>
      </c>
      <c r="AP14" s="259">
        <v>1.19</v>
      </c>
      <c r="AQ14" s="259">
        <v>1.2</v>
      </c>
      <c r="AR14" s="259">
        <v>1.22</v>
      </c>
      <c r="AS14" s="259">
        <v>1.23</v>
      </c>
      <c r="AT14" s="259">
        <v>1.25</v>
      </c>
      <c r="AU14" s="259">
        <v>1.27</v>
      </c>
      <c r="AV14" s="259">
        <v>1.29</v>
      </c>
      <c r="AW14" s="259">
        <v>1.31</v>
      </c>
      <c r="AX14" s="259">
        <v>1.32</v>
      </c>
      <c r="AY14" s="259">
        <v>1.34</v>
      </c>
      <c r="AZ14" s="259">
        <v>1.37</v>
      </c>
      <c r="BA14" s="259">
        <v>1.39</v>
      </c>
      <c r="BB14" s="259">
        <v>1.41</v>
      </c>
      <c r="BC14" s="259">
        <v>1.43</v>
      </c>
      <c r="BD14" s="259">
        <v>1.45</v>
      </c>
      <c r="BE14" s="259">
        <v>1.47</v>
      </c>
      <c r="BF14" s="259">
        <v>1.5</v>
      </c>
      <c r="BG14" s="259">
        <v>1.52</v>
      </c>
      <c r="BH14" s="259">
        <v>1.54</v>
      </c>
      <c r="BI14" s="259">
        <v>1.57</v>
      </c>
      <c r="BJ14" s="259">
        <v>1.59</v>
      </c>
      <c r="BK14" s="259">
        <v>1.62</v>
      </c>
      <c r="BL14" s="259">
        <v>1.64</v>
      </c>
      <c r="BM14" s="259">
        <v>1.67</v>
      </c>
      <c r="BN14" s="259">
        <v>1.69</v>
      </c>
      <c r="BO14" s="259">
        <v>1.72</v>
      </c>
      <c r="BP14" s="259">
        <v>1.75</v>
      </c>
      <c r="BQ14" s="259">
        <v>0</v>
      </c>
      <c r="BR14" s="259">
        <v>0</v>
      </c>
      <c r="BS14" s="259">
        <v>0</v>
      </c>
      <c r="BT14" s="259">
        <v>0</v>
      </c>
      <c r="BU14" s="259">
        <v>0</v>
      </c>
      <c r="BV14" s="259">
        <v>0</v>
      </c>
      <c r="BW14" s="259">
        <v>0</v>
      </c>
      <c r="BX14" s="259">
        <v>0</v>
      </c>
      <c r="BY14" s="259">
        <v>0</v>
      </c>
      <c r="CB14" s="275">
        <v>29</v>
      </c>
      <c r="CC14" s="274">
        <v>328934</v>
      </c>
      <c r="CD14" s="274">
        <v>314447</v>
      </c>
      <c r="CE14" s="274">
        <v>299453</v>
      </c>
      <c r="CF14" s="274">
        <v>283934</v>
      </c>
      <c r="CG14" s="274">
        <v>267871</v>
      </c>
      <c r="CH14" s="274">
        <v>251247</v>
      </c>
      <c r="CI14" s="274">
        <v>234040</v>
      </c>
      <c r="CJ14" s="274">
        <v>216232</v>
      </c>
      <c r="CK14" s="274">
        <v>197800</v>
      </c>
      <c r="CL14" s="274">
        <v>178723</v>
      </c>
      <c r="CM14" s="274">
        <v>158978</v>
      </c>
      <c r="CN14" s="274">
        <v>138542</v>
      </c>
      <c r="CO14" s="274">
        <v>117391</v>
      </c>
      <c r="CP14" s="274">
        <v>95500</v>
      </c>
      <c r="CQ14" s="274">
        <v>72843</v>
      </c>
      <c r="CR14" s="274">
        <v>49392</v>
      </c>
      <c r="CS14" s="274">
        <v>25121</v>
      </c>
    </row>
    <row r="15" spans="2:97" x14ac:dyDescent="0.25">
      <c r="J15" s="114">
        <v>13</v>
      </c>
      <c r="K15" s="264">
        <v>0.98</v>
      </c>
      <c r="L15" s="263">
        <v>0.67</v>
      </c>
      <c r="O15" s="114">
        <v>13</v>
      </c>
      <c r="P15" s="264">
        <v>1.53</v>
      </c>
      <c r="Q15" s="263">
        <v>1.18</v>
      </c>
      <c r="Y15" s="114">
        <v>30</v>
      </c>
      <c r="Z15" s="101">
        <v>1.58</v>
      </c>
      <c r="AA15" s="273">
        <v>2.06</v>
      </c>
      <c r="AD15" s="114">
        <v>12</v>
      </c>
      <c r="AE15" s="272">
        <f t="shared" si="0"/>
        <v>9.9900126356607597</v>
      </c>
      <c r="AH15" s="260">
        <v>28</v>
      </c>
      <c r="AI15" s="259">
        <v>1.1000000000000001</v>
      </c>
      <c r="AJ15" s="259">
        <v>1.1299999999999999</v>
      </c>
      <c r="AK15" s="259">
        <v>1.1499999999999999</v>
      </c>
      <c r="AL15" s="259">
        <v>1.18</v>
      </c>
      <c r="AM15" s="259">
        <v>1.19</v>
      </c>
      <c r="AN15" s="259">
        <v>1.21</v>
      </c>
      <c r="AO15" s="259">
        <v>1.23</v>
      </c>
      <c r="AP15" s="259">
        <v>1.24</v>
      </c>
      <c r="AQ15" s="259">
        <v>1.26</v>
      </c>
      <c r="AR15" s="259">
        <v>1.28</v>
      </c>
      <c r="AS15" s="259">
        <v>1.3</v>
      </c>
      <c r="AT15" s="259">
        <v>1.32</v>
      </c>
      <c r="AU15" s="259">
        <v>1.34</v>
      </c>
      <c r="AV15" s="259">
        <v>1.36</v>
      </c>
      <c r="AW15" s="259">
        <v>1.38</v>
      </c>
      <c r="AX15" s="259">
        <v>1.4</v>
      </c>
      <c r="AY15" s="259">
        <v>1.42</v>
      </c>
      <c r="AZ15" s="259">
        <v>1.45</v>
      </c>
      <c r="BA15" s="259">
        <v>1.47</v>
      </c>
      <c r="BB15" s="259">
        <v>1.49</v>
      </c>
      <c r="BC15" s="259">
        <v>1.52</v>
      </c>
      <c r="BD15" s="259">
        <v>1.54</v>
      </c>
      <c r="BE15" s="259">
        <v>1.57</v>
      </c>
      <c r="BF15" s="259">
        <v>1.59</v>
      </c>
      <c r="BG15" s="259">
        <v>1.62</v>
      </c>
      <c r="BH15" s="259">
        <v>1.64</v>
      </c>
      <c r="BI15" s="259">
        <v>1.67</v>
      </c>
      <c r="BJ15" s="259">
        <v>1.7</v>
      </c>
      <c r="BK15" s="259">
        <v>1.72</v>
      </c>
      <c r="BL15" s="259">
        <v>1.75</v>
      </c>
      <c r="BM15" s="259">
        <v>1.78</v>
      </c>
      <c r="BN15" s="259">
        <v>1.8</v>
      </c>
      <c r="BO15" s="259">
        <v>1.83</v>
      </c>
      <c r="BP15" s="259">
        <v>0</v>
      </c>
      <c r="BQ15" s="259">
        <v>0</v>
      </c>
      <c r="BR15" s="259">
        <v>0</v>
      </c>
      <c r="BS15" s="259">
        <v>0</v>
      </c>
      <c r="BT15" s="259">
        <v>0</v>
      </c>
      <c r="BU15" s="259">
        <v>0</v>
      </c>
      <c r="BV15" s="259">
        <v>0</v>
      </c>
      <c r="BW15" s="259">
        <v>0</v>
      </c>
      <c r="BX15" s="259">
        <v>0</v>
      </c>
      <c r="BY15" s="259">
        <v>0</v>
      </c>
      <c r="CB15" s="275">
        <v>30</v>
      </c>
      <c r="CC15" s="274">
        <v>341586</v>
      </c>
      <c r="CD15" s="274">
        <v>326541</v>
      </c>
      <c r="CE15" s="274">
        <v>310970</v>
      </c>
      <c r="CF15" s="274">
        <v>294854</v>
      </c>
      <c r="CG15" s="274">
        <v>278174</v>
      </c>
      <c r="CH15" s="274">
        <v>260910</v>
      </c>
      <c r="CI15" s="274">
        <v>243042</v>
      </c>
      <c r="CJ15" s="274">
        <v>224548</v>
      </c>
      <c r="CK15" s="274">
        <v>205408</v>
      </c>
      <c r="CL15" s="274">
        <v>185597</v>
      </c>
      <c r="CM15" s="274">
        <v>165093</v>
      </c>
      <c r="CN15" s="274">
        <v>143871</v>
      </c>
      <c r="CO15" s="274">
        <v>121906</v>
      </c>
      <c r="CP15" s="274">
        <v>99173</v>
      </c>
      <c r="CQ15" s="274">
        <v>75644</v>
      </c>
      <c r="CR15" s="274">
        <v>51292</v>
      </c>
      <c r="CS15" s="274">
        <v>26087</v>
      </c>
    </row>
    <row r="16" spans="2:97" x14ac:dyDescent="0.25">
      <c r="J16" s="114">
        <v>14</v>
      </c>
      <c r="K16" s="264">
        <v>0.93</v>
      </c>
      <c r="L16" s="263">
        <v>0.73</v>
      </c>
      <c r="O16" s="114">
        <v>14</v>
      </c>
      <c r="P16" s="264">
        <v>1.51</v>
      </c>
      <c r="Q16" s="263">
        <v>1.24</v>
      </c>
      <c r="Y16" s="114">
        <v>31</v>
      </c>
      <c r="Z16" s="101">
        <v>1.69</v>
      </c>
      <c r="AA16" s="273">
        <v>2.25</v>
      </c>
      <c r="AD16" s="114">
        <v>13</v>
      </c>
      <c r="AE16" s="272">
        <f t="shared" si="0"/>
        <v>10.618512629544103</v>
      </c>
      <c r="AH16" s="260">
        <v>29</v>
      </c>
      <c r="AI16" s="259">
        <v>1.1399999999999999</v>
      </c>
      <c r="AJ16" s="259">
        <v>1.17</v>
      </c>
      <c r="AK16" s="259">
        <v>1.2</v>
      </c>
      <c r="AL16" s="259">
        <v>1.22</v>
      </c>
      <c r="AM16" s="259">
        <v>1.24</v>
      </c>
      <c r="AN16" s="259">
        <v>1.26</v>
      </c>
      <c r="AO16" s="259">
        <v>1.28</v>
      </c>
      <c r="AP16" s="259">
        <v>1.3</v>
      </c>
      <c r="AQ16" s="259">
        <v>1.32</v>
      </c>
      <c r="AR16" s="259">
        <v>1.34</v>
      </c>
      <c r="AS16" s="259">
        <v>1.37</v>
      </c>
      <c r="AT16" s="259">
        <v>1.39</v>
      </c>
      <c r="AU16" s="259">
        <v>1.41</v>
      </c>
      <c r="AV16" s="259">
        <v>1.44</v>
      </c>
      <c r="AW16" s="259">
        <v>1.46</v>
      </c>
      <c r="AX16" s="259">
        <v>1.49</v>
      </c>
      <c r="AY16" s="259">
        <v>1.51</v>
      </c>
      <c r="AZ16" s="259">
        <v>1.54</v>
      </c>
      <c r="BA16" s="259">
        <v>1.56</v>
      </c>
      <c r="BB16" s="259">
        <v>1.59</v>
      </c>
      <c r="BC16" s="259">
        <v>1.61</v>
      </c>
      <c r="BD16" s="259">
        <v>1.64</v>
      </c>
      <c r="BE16" s="259">
        <v>1.67</v>
      </c>
      <c r="BF16" s="259">
        <v>1.69</v>
      </c>
      <c r="BG16" s="259">
        <v>1.72</v>
      </c>
      <c r="BH16" s="259">
        <v>1.75</v>
      </c>
      <c r="BI16" s="259">
        <v>1.78</v>
      </c>
      <c r="BJ16" s="259">
        <v>1.81</v>
      </c>
      <c r="BK16" s="259">
        <v>1.83</v>
      </c>
      <c r="BL16" s="259">
        <v>1.86</v>
      </c>
      <c r="BM16" s="259">
        <v>1.89</v>
      </c>
      <c r="BN16" s="259">
        <v>1.92</v>
      </c>
      <c r="BO16" s="259">
        <v>0</v>
      </c>
      <c r="BP16" s="259">
        <v>0</v>
      </c>
      <c r="BQ16" s="259">
        <v>0</v>
      </c>
      <c r="BR16" s="259">
        <v>0</v>
      </c>
      <c r="BS16" s="259">
        <v>0</v>
      </c>
      <c r="BT16" s="259">
        <v>0</v>
      </c>
      <c r="BU16" s="259">
        <v>0</v>
      </c>
      <c r="BV16" s="259">
        <v>0</v>
      </c>
      <c r="BW16" s="259">
        <v>0</v>
      </c>
      <c r="BX16" s="259">
        <v>0</v>
      </c>
      <c r="BY16" s="259">
        <v>0</v>
      </c>
      <c r="CB16" s="275">
        <v>31</v>
      </c>
      <c r="CC16" s="274">
        <v>354237</v>
      </c>
      <c r="CD16" s="274">
        <v>338635</v>
      </c>
      <c r="CE16" s="274">
        <v>322488</v>
      </c>
      <c r="CF16" s="274">
        <v>305775</v>
      </c>
      <c r="CG16" s="274">
        <v>288477</v>
      </c>
      <c r="CH16" s="274">
        <v>270573</v>
      </c>
      <c r="CI16" s="274">
        <v>252043</v>
      </c>
      <c r="CJ16" s="274">
        <v>232865</v>
      </c>
      <c r="CK16" s="274">
        <v>213015</v>
      </c>
      <c r="CL16" s="274">
        <v>192471</v>
      </c>
      <c r="CM16" s="274">
        <v>171207</v>
      </c>
      <c r="CN16" s="274">
        <v>149199</v>
      </c>
      <c r="CO16" s="274">
        <v>126421</v>
      </c>
      <c r="CP16" s="274">
        <v>102846</v>
      </c>
      <c r="CQ16" s="274">
        <v>78446</v>
      </c>
      <c r="CR16" s="274">
        <v>53191</v>
      </c>
      <c r="CS16" s="274">
        <v>27053</v>
      </c>
    </row>
    <row r="17" spans="10:97" x14ac:dyDescent="0.25">
      <c r="J17" s="114">
        <v>15</v>
      </c>
      <c r="K17" s="264">
        <v>0.91</v>
      </c>
      <c r="L17" s="263">
        <v>0.78</v>
      </c>
      <c r="O17" s="114">
        <v>15</v>
      </c>
      <c r="P17" s="264">
        <v>1.51</v>
      </c>
      <c r="Q17" s="263">
        <v>1.3</v>
      </c>
      <c r="Y17" s="114">
        <v>32</v>
      </c>
      <c r="Z17" s="101">
        <v>1.83</v>
      </c>
      <c r="AA17" s="273">
        <v>2.44</v>
      </c>
      <c r="AD17" s="114">
        <v>14</v>
      </c>
      <c r="AE17" s="272">
        <f t="shared" si="0"/>
        <v>11.225759000445883</v>
      </c>
      <c r="AH17" s="260">
        <v>30</v>
      </c>
      <c r="AI17" s="259">
        <v>1.18</v>
      </c>
      <c r="AJ17" s="259">
        <v>1.22</v>
      </c>
      <c r="AK17" s="259">
        <v>1.25</v>
      </c>
      <c r="AL17" s="259">
        <v>1.27</v>
      </c>
      <c r="AM17" s="259">
        <v>1.3</v>
      </c>
      <c r="AN17" s="259">
        <v>1.32</v>
      </c>
      <c r="AO17" s="259">
        <v>1.35</v>
      </c>
      <c r="AP17" s="259">
        <v>1.37</v>
      </c>
      <c r="AQ17" s="259">
        <v>1.4</v>
      </c>
      <c r="AR17" s="259">
        <v>1.42</v>
      </c>
      <c r="AS17" s="259">
        <v>1.45</v>
      </c>
      <c r="AT17" s="259">
        <v>1.47</v>
      </c>
      <c r="AU17" s="259">
        <v>1.5</v>
      </c>
      <c r="AV17" s="259">
        <v>1.53</v>
      </c>
      <c r="AW17" s="259">
        <v>1.55</v>
      </c>
      <c r="AX17" s="259">
        <v>1.58</v>
      </c>
      <c r="AY17" s="259">
        <v>1.61</v>
      </c>
      <c r="AZ17" s="259">
        <v>1.63</v>
      </c>
      <c r="BA17" s="259">
        <v>1.66</v>
      </c>
      <c r="BB17" s="259">
        <v>1.69</v>
      </c>
      <c r="BC17" s="259">
        <v>1.72</v>
      </c>
      <c r="BD17" s="259">
        <v>1.75</v>
      </c>
      <c r="BE17" s="259">
        <v>1.78</v>
      </c>
      <c r="BF17" s="259">
        <v>1.81</v>
      </c>
      <c r="BG17" s="259">
        <v>1.84</v>
      </c>
      <c r="BH17" s="259">
        <v>1.87</v>
      </c>
      <c r="BI17" s="259">
        <v>1.9</v>
      </c>
      <c r="BJ17" s="259">
        <v>1.93</v>
      </c>
      <c r="BK17" s="259">
        <v>1.96</v>
      </c>
      <c r="BL17" s="259">
        <v>1.99</v>
      </c>
      <c r="BM17" s="259">
        <v>2.02</v>
      </c>
      <c r="BN17" s="259">
        <v>0</v>
      </c>
      <c r="BO17" s="259">
        <v>0</v>
      </c>
      <c r="BP17" s="259">
        <v>0</v>
      </c>
      <c r="BQ17" s="259">
        <v>0</v>
      </c>
      <c r="BR17" s="259">
        <v>0</v>
      </c>
      <c r="BS17" s="259">
        <v>0</v>
      </c>
      <c r="BT17" s="259">
        <v>0</v>
      </c>
      <c r="BU17" s="259">
        <v>0</v>
      </c>
      <c r="BV17" s="259">
        <v>0</v>
      </c>
      <c r="BW17" s="259">
        <v>0</v>
      </c>
      <c r="BX17" s="259">
        <v>0</v>
      </c>
      <c r="BY17" s="259">
        <v>0</v>
      </c>
      <c r="CB17" s="275">
        <v>32</v>
      </c>
      <c r="CC17" s="274">
        <v>366888</v>
      </c>
      <c r="CD17" s="274">
        <v>350729</v>
      </c>
      <c r="CE17" s="274">
        <v>334005</v>
      </c>
      <c r="CF17" s="274">
        <v>316695</v>
      </c>
      <c r="CG17" s="274">
        <v>298779</v>
      </c>
      <c r="CH17" s="274">
        <v>280237</v>
      </c>
      <c r="CI17" s="274">
        <v>261045</v>
      </c>
      <c r="CJ17" s="274">
        <v>241182</v>
      </c>
      <c r="CK17" s="274">
        <v>220623</v>
      </c>
      <c r="CL17" s="274">
        <v>199345</v>
      </c>
      <c r="CM17" s="274">
        <v>177322</v>
      </c>
      <c r="CN17" s="274">
        <v>154528</v>
      </c>
      <c r="CO17" s="274">
        <v>130937</v>
      </c>
      <c r="CP17" s="274">
        <v>106519</v>
      </c>
      <c r="CQ17" s="274">
        <v>81247</v>
      </c>
      <c r="CR17" s="274">
        <v>55091</v>
      </c>
      <c r="CS17" s="274">
        <v>28019</v>
      </c>
    </row>
    <row r="18" spans="10:97" x14ac:dyDescent="0.25">
      <c r="J18" s="114">
        <v>16</v>
      </c>
      <c r="K18" s="264">
        <v>1</v>
      </c>
      <c r="L18" s="263">
        <v>0.84</v>
      </c>
      <c r="O18" s="114">
        <v>16</v>
      </c>
      <c r="P18" s="264">
        <v>1.6</v>
      </c>
      <c r="Q18" s="263">
        <v>1.36</v>
      </c>
      <c r="Y18" s="114">
        <v>33</v>
      </c>
      <c r="Z18" s="101">
        <v>1.94</v>
      </c>
      <c r="AA18" s="273">
        <v>2.64</v>
      </c>
      <c r="AD18" s="114">
        <v>15</v>
      </c>
      <c r="AE18" s="272">
        <f t="shared" si="0"/>
        <v>11.812470469916203</v>
      </c>
      <c r="AH18" s="260">
        <v>31</v>
      </c>
      <c r="AI18" s="259">
        <v>1.23</v>
      </c>
      <c r="AJ18" s="259">
        <v>1.27</v>
      </c>
      <c r="AK18" s="259">
        <v>1.3</v>
      </c>
      <c r="AL18" s="259">
        <v>1.33</v>
      </c>
      <c r="AM18" s="259">
        <v>1.36</v>
      </c>
      <c r="AN18" s="259">
        <v>1.39</v>
      </c>
      <c r="AO18" s="259">
        <v>1.42</v>
      </c>
      <c r="AP18" s="259">
        <v>1.45</v>
      </c>
      <c r="AQ18" s="259">
        <v>1.48</v>
      </c>
      <c r="AR18" s="259">
        <v>1.51</v>
      </c>
      <c r="AS18" s="259">
        <v>1.54</v>
      </c>
      <c r="AT18" s="259">
        <v>1.57</v>
      </c>
      <c r="AU18" s="259">
        <v>1.6</v>
      </c>
      <c r="AV18" s="259">
        <v>1.63</v>
      </c>
      <c r="AW18" s="259">
        <v>1.66</v>
      </c>
      <c r="AX18" s="259">
        <v>1.68</v>
      </c>
      <c r="AY18" s="259">
        <v>1.71</v>
      </c>
      <c r="AZ18" s="259">
        <v>1.74</v>
      </c>
      <c r="BA18" s="259">
        <v>1.77</v>
      </c>
      <c r="BB18" s="259">
        <v>1.8</v>
      </c>
      <c r="BC18" s="259">
        <v>1.84</v>
      </c>
      <c r="BD18" s="259">
        <v>1.87</v>
      </c>
      <c r="BE18" s="259">
        <v>1.9</v>
      </c>
      <c r="BF18" s="259">
        <v>1.93</v>
      </c>
      <c r="BG18" s="259">
        <v>1.96</v>
      </c>
      <c r="BH18" s="259">
        <v>1.99</v>
      </c>
      <c r="BI18" s="259">
        <v>2.0299999999999998</v>
      </c>
      <c r="BJ18" s="259">
        <v>2.06</v>
      </c>
      <c r="BK18" s="259">
        <v>2.09</v>
      </c>
      <c r="BL18" s="259">
        <v>2.12</v>
      </c>
      <c r="BM18" s="259">
        <v>0</v>
      </c>
      <c r="BN18" s="259">
        <v>0</v>
      </c>
      <c r="BO18" s="259">
        <v>0</v>
      </c>
      <c r="BP18" s="259">
        <v>0</v>
      </c>
      <c r="BQ18" s="259">
        <v>0</v>
      </c>
      <c r="BR18" s="259">
        <v>0</v>
      </c>
      <c r="BS18" s="259">
        <v>0</v>
      </c>
      <c r="BT18" s="259">
        <v>0</v>
      </c>
      <c r="BU18" s="259">
        <v>0</v>
      </c>
      <c r="BV18" s="259">
        <v>0</v>
      </c>
      <c r="BW18" s="259">
        <v>0</v>
      </c>
      <c r="BX18" s="259">
        <v>0</v>
      </c>
      <c r="BY18" s="259">
        <v>0</v>
      </c>
      <c r="CB18" s="275">
        <v>33</v>
      </c>
      <c r="CC18" s="274">
        <v>379540</v>
      </c>
      <c r="CD18" s="274">
        <v>362824</v>
      </c>
      <c r="CE18" s="274">
        <v>345522</v>
      </c>
      <c r="CF18" s="274">
        <v>327616</v>
      </c>
      <c r="CG18" s="274">
        <v>309082</v>
      </c>
      <c r="CH18" s="274">
        <v>289900</v>
      </c>
      <c r="CI18" s="274">
        <v>270047</v>
      </c>
      <c r="CJ18" s="274">
        <v>249498</v>
      </c>
      <c r="CK18" s="274">
        <v>228231</v>
      </c>
      <c r="CL18" s="274">
        <v>206219</v>
      </c>
      <c r="CM18" s="274">
        <v>183436</v>
      </c>
      <c r="CN18" s="274">
        <v>159857</v>
      </c>
      <c r="CO18" s="274">
        <v>135452</v>
      </c>
      <c r="CP18" s="274">
        <v>110192</v>
      </c>
      <c r="CQ18" s="274">
        <v>84049</v>
      </c>
      <c r="CR18" s="274">
        <v>56991</v>
      </c>
      <c r="CS18" s="274">
        <v>28986</v>
      </c>
    </row>
    <row r="19" spans="10:97" x14ac:dyDescent="0.25">
      <c r="J19" s="114">
        <v>17</v>
      </c>
      <c r="K19" s="264">
        <v>1.1299999999999999</v>
      </c>
      <c r="L19" s="263">
        <v>0.87</v>
      </c>
      <c r="O19" s="114">
        <v>17</v>
      </c>
      <c r="P19" s="264">
        <v>1.72</v>
      </c>
      <c r="Q19" s="263">
        <v>1.44</v>
      </c>
      <c r="Y19" s="114">
        <v>34</v>
      </c>
      <c r="Z19" s="101">
        <v>2.08</v>
      </c>
      <c r="AA19" s="273">
        <v>2.86</v>
      </c>
      <c r="AD19" s="114">
        <v>16</v>
      </c>
      <c r="AE19" s="272">
        <f t="shared" si="0"/>
        <v>12.379341454911682</v>
      </c>
      <c r="AH19" s="260">
        <v>32</v>
      </c>
      <c r="AI19" s="259">
        <v>1.28</v>
      </c>
      <c r="AJ19" s="259">
        <v>1.33</v>
      </c>
      <c r="AK19" s="259">
        <v>1.37</v>
      </c>
      <c r="AL19" s="259">
        <v>1.41</v>
      </c>
      <c r="AM19" s="259">
        <v>1.44</v>
      </c>
      <c r="AN19" s="259">
        <v>1.47</v>
      </c>
      <c r="AO19" s="259">
        <v>1.51</v>
      </c>
      <c r="AP19" s="259">
        <v>1.54</v>
      </c>
      <c r="AQ19" s="259">
        <v>1.58</v>
      </c>
      <c r="AR19" s="259">
        <v>1.61</v>
      </c>
      <c r="AS19" s="259">
        <v>1.64</v>
      </c>
      <c r="AT19" s="259">
        <v>1.67</v>
      </c>
      <c r="AU19" s="259">
        <v>1.71</v>
      </c>
      <c r="AV19" s="259">
        <v>1.74</v>
      </c>
      <c r="AW19" s="259">
        <v>1.77</v>
      </c>
      <c r="AX19" s="259">
        <v>1.8</v>
      </c>
      <c r="AY19" s="259">
        <v>1.83</v>
      </c>
      <c r="AZ19" s="259">
        <v>1.87</v>
      </c>
      <c r="BA19" s="259">
        <v>1.9</v>
      </c>
      <c r="BB19" s="259">
        <v>1.93</v>
      </c>
      <c r="BC19" s="259">
        <v>1.96</v>
      </c>
      <c r="BD19" s="259">
        <v>2</v>
      </c>
      <c r="BE19" s="259">
        <v>2.0299999999999998</v>
      </c>
      <c r="BF19" s="259">
        <v>2.06</v>
      </c>
      <c r="BG19" s="259">
        <v>2.1</v>
      </c>
      <c r="BH19" s="259">
        <v>2.13</v>
      </c>
      <c r="BI19" s="259">
        <v>2.17</v>
      </c>
      <c r="BJ19" s="259">
        <v>2.2000000000000002</v>
      </c>
      <c r="BK19" s="259">
        <v>2.2400000000000002</v>
      </c>
      <c r="BL19" s="259">
        <v>0</v>
      </c>
      <c r="BM19" s="259">
        <v>0</v>
      </c>
      <c r="BN19" s="259">
        <v>0</v>
      </c>
      <c r="BO19" s="259">
        <v>0</v>
      </c>
      <c r="BP19" s="259">
        <v>0</v>
      </c>
      <c r="BQ19" s="259">
        <v>0</v>
      </c>
      <c r="BR19" s="259">
        <v>0</v>
      </c>
      <c r="BS19" s="259">
        <v>0</v>
      </c>
      <c r="BT19" s="259">
        <v>0</v>
      </c>
      <c r="BU19" s="259">
        <v>0</v>
      </c>
      <c r="BV19" s="259">
        <v>0</v>
      </c>
      <c r="BW19" s="259">
        <v>0</v>
      </c>
      <c r="BX19" s="259">
        <v>0</v>
      </c>
      <c r="BY19" s="259">
        <v>0</v>
      </c>
      <c r="CB19" s="275">
        <v>34</v>
      </c>
      <c r="CC19" s="274">
        <v>392191</v>
      </c>
      <c r="CD19" s="274">
        <v>374918</v>
      </c>
      <c r="CE19" s="274">
        <v>357040</v>
      </c>
      <c r="CF19" s="274">
        <v>338536</v>
      </c>
      <c r="CG19" s="274">
        <v>319385</v>
      </c>
      <c r="CH19" s="274">
        <v>299563</v>
      </c>
      <c r="CI19" s="274">
        <v>279048</v>
      </c>
      <c r="CJ19" s="274">
        <v>257815</v>
      </c>
      <c r="CK19" s="274">
        <v>235838</v>
      </c>
      <c r="CL19" s="274">
        <v>213093</v>
      </c>
      <c r="CM19" s="274">
        <v>189551</v>
      </c>
      <c r="CN19" s="274">
        <v>165185</v>
      </c>
      <c r="CO19" s="274">
        <v>139967</v>
      </c>
      <c r="CP19" s="274">
        <v>113865</v>
      </c>
      <c r="CQ19" s="274">
        <v>86851</v>
      </c>
      <c r="CR19" s="274">
        <v>58891</v>
      </c>
      <c r="CS19" s="274">
        <v>29952</v>
      </c>
    </row>
    <row r="20" spans="10:97" x14ac:dyDescent="0.25">
      <c r="J20" s="114">
        <v>18</v>
      </c>
      <c r="K20" s="264">
        <v>1.25</v>
      </c>
      <c r="L20" s="263">
        <v>0.93</v>
      </c>
      <c r="O20" s="114">
        <v>18</v>
      </c>
      <c r="P20" s="264">
        <v>1.87</v>
      </c>
      <c r="Q20" s="263">
        <v>1.56</v>
      </c>
      <c r="Y20" s="114">
        <v>35</v>
      </c>
      <c r="Z20" s="101">
        <v>2.2799999999999998</v>
      </c>
      <c r="AA20" s="273">
        <v>3.08</v>
      </c>
      <c r="AD20" s="114">
        <v>17</v>
      </c>
      <c r="AE20" s="272">
        <f t="shared" si="0"/>
        <v>12.927042889689922</v>
      </c>
      <c r="AH20" s="260">
        <v>33</v>
      </c>
      <c r="AI20" s="259">
        <v>1.35</v>
      </c>
      <c r="AJ20" s="259">
        <v>1.4</v>
      </c>
      <c r="AK20" s="259">
        <v>1.45</v>
      </c>
      <c r="AL20" s="259">
        <v>1.49</v>
      </c>
      <c r="AM20" s="259">
        <v>1.53</v>
      </c>
      <c r="AN20" s="259">
        <v>1.57</v>
      </c>
      <c r="AO20" s="259">
        <v>1.61</v>
      </c>
      <c r="AP20" s="259">
        <v>1.65</v>
      </c>
      <c r="AQ20" s="259">
        <v>1.69</v>
      </c>
      <c r="AR20" s="259">
        <v>1.72</v>
      </c>
      <c r="AS20" s="259">
        <v>1.76</v>
      </c>
      <c r="AT20" s="259">
        <v>1.79</v>
      </c>
      <c r="AU20" s="259">
        <v>1.83</v>
      </c>
      <c r="AV20" s="259">
        <v>1.86</v>
      </c>
      <c r="AW20" s="259">
        <v>1.9</v>
      </c>
      <c r="AX20" s="259">
        <v>1.93</v>
      </c>
      <c r="AY20" s="259">
        <v>1.96</v>
      </c>
      <c r="AZ20" s="259">
        <v>2</v>
      </c>
      <c r="BA20" s="259">
        <v>2.0299999999999998</v>
      </c>
      <c r="BB20" s="259">
        <v>2.0699999999999998</v>
      </c>
      <c r="BC20" s="259">
        <v>2.11</v>
      </c>
      <c r="BD20" s="259">
        <v>2.14</v>
      </c>
      <c r="BE20" s="259">
        <v>2.1800000000000002</v>
      </c>
      <c r="BF20" s="259">
        <v>2.21</v>
      </c>
      <c r="BG20" s="259">
        <v>2.25</v>
      </c>
      <c r="BH20" s="259">
        <v>2.2799999999999998</v>
      </c>
      <c r="BI20" s="259">
        <v>2.3199999999999998</v>
      </c>
      <c r="BJ20" s="259">
        <v>2.36</v>
      </c>
      <c r="BK20" s="259">
        <v>0</v>
      </c>
      <c r="BL20" s="259">
        <v>0</v>
      </c>
      <c r="BM20" s="259">
        <v>0</v>
      </c>
      <c r="BN20" s="259">
        <v>0</v>
      </c>
      <c r="BO20" s="259">
        <v>0</v>
      </c>
      <c r="BP20" s="259">
        <v>0</v>
      </c>
      <c r="BQ20" s="259">
        <v>0</v>
      </c>
      <c r="BR20" s="259">
        <v>0</v>
      </c>
      <c r="BS20" s="259">
        <v>0</v>
      </c>
      <c r="BT20" s="259">
        <v>0</v>
      </c>
      <c r="BU20" s="259">
        <v>0</v>
      </c>
      <c r="BV20" s="259">
        <v>0</v>
      </c>
      <c r="BW20" s="259">
        <v>0</v>
      </c>
      <c r="BX20" s="259">
        <v>0</v>
      </c>
      <c r="BY20" s="259">
        <v>0</v>
      </c>
      <c r="CB20" s="275">
        <v>35</v>
      </c>
      <c r="CC20" s="274">
        <v>417494</v>
      </c>
      <c r="CD20" s="274">
        <v>399106</v>
      </c>
      <c r="CE20" s="274">
        <v>380075</v>
      </c>
      <c r="CF20" s="274">
        <v>360377</v>
      </c>
      <c r="CG20" s="274">
        <v>339990</v>
      </c>
      <c r="CH20" s="274">
        <v>318890</v>
      </c>
      <c r="CI20" s="274">
        <v>297051</v>
      </c>
      <c r="CJ20" s="274">
        <v>274448</v>
      </c>
      <c r="CK20" s="274">
        <v>251054</v>
      </c>
      <c r="CL20" s="274">
        <v>226841</v>
      </c>
      <c r="CM20" s="274">
        <v>201780</v>
      </c>
      <c r="CN20" s="274">
        <v>175842</v>
      </c>
      <c r="CO20" s="274">
        <v>148997</v>
      </c>
      <c r="CP20" s="274">
        <v>121212</v>
      </c>
      <c r="CQ20" s="274">
        <v>92454</v>
      </c>
      <c r="CR20" s="274">
        <v>62690</v>
      </c>
      <c r="CS20" s="274">
        <v>31884</v>
      </c>
    </row>
    <row r="21" spans="10:97" x14ac:dyDescent="0.25">
      <c r="J21" s="114">
        <v>19</v>
      </c>
      <c r="K21" s="264">
        <v>1.27</v>
      </c>
      <c r="L21" s="263">
        <v>0.96</v>
      </c>
      <c r="O21" s="114">
        <v>19</v>
      </c>
      <c r="P21" s="264">
        <v>1.66</v>
      </c>
      <c r="Q21" s="263">
        <v>1.42</v>
      </c>
      <c r="Y21" s="114">
        <v>36</v>
      </c>
      <c r="Z21" s="101">
        <v>2.5</v>
      </c>
      <c r="AA21" s="273">
        <v>3.36</v>
      </c>
      <c r="AD21" s="114">
        <v>18</v>
      </c>
      <c r="AE21" s="272">
        <f t="shared" si="0"/>
        <v>13.456223019910443</v>
      </c>
      <c r="AH21" s="260">
        <v>34</v>
      </c>
      <c r="AI21" s="259">
        <v>1.43</v>
      </c>
      <c r="AJ21" s="259">
        <v>1.49</v>
      </c>
      <c r="AK21" s="259">
        <v>1.55</v>
      </c>
      <c r="AL21" s="259">
        <v>1.59</v>
      </c>
      <c r="AM21" s="259">
        <v>1.64</v>
      </c>
      <c r="AN21" s="259">
        <v>1.69</v>
      </c>
      <c r="AO21" s="259">
        <v>1.73</v>
      </c>
      <c r="AP21" s="259">
        <v>1.77</v>
      </c>
      <c r="AQ21" s="259">
        <v>1.81</v>
      </c>
      <c r="AR21" s="259">
        <v>1.85</v>
      </c>
      <c r="AS21" s="259">
        <v>1.89</v>
      </c>
      <c r="AT21" s="259">
        <v>1.93</v>
      </c>
      <c r="AU21" s="259">
        <v>1.96</v>
      </c>
      <c r="AV21" s="259">
        <v>2</v>
      </c>
      <c r="AW21" s="259">
        <v>2.04</v>
      </c>
      <c r="AX21" s="259">
        <v>2.0699999999999998</v>
      </c>
      <c r="AY21" s="259">
        <v>2.11</v>
      </c>
      <c r="AZ21" s="259">
        <v>2.15</v>
      </c>
      <c r="BA21" s="259">
        <v>2.1800000000000002</v>
      </c>
      <c r="BB21" s="259">
        <v>2.2200000000000002</v>
      </c>
      <c r="BC21" s="259">
        <v>2.2599999999999998</v>
      </c>
      <c r="BD21" s="259">
        <v>2.2999999999999998</v>
      </c>
      <c r="BE21" s="259">
        <v>2.33</v>
      </c>
      <c r="BF21" s="259">
        <v>2.37</v>
      </c>
      <c r="BG21" s="259">
        <v>2.41</v>
      </c>
      <c r="BH21" s="259">
        <v>2.4500000000000002</v>
      </c>
      <c r="BI21" s="259">
        <v>2.48</v>
      </c>
      <c r="BJ21" s="259">
        <v>0</v>
      </c>
      <c r="BK21" s="259">
        <v>0</v>
      </c>
      <c r="BL21" s="259">
        <v>0</v>
      </c>
      <c r="BM21" s="259">
        <v>0</v>
      </c>
      <c r="BN21" s="259">
        <v>0</v>
      </c>
      <c r="BO21" s="259">
        <v>0</v>
      </c>
      <c r="BP21" s="259">
        <v>0</v>
      </c>
      <c r="BQ21" s="259">
        <v>0</v>
      </c>
      <c r="BR21" s="259">
        <v>0</v>
      </c>
      <c r="BS21" s="259">
        <v>0</v>
      </c>
      <c r="BT21" s="259">
        <v>0</v>
      </c>
      <c r="BU21" s="259">
        <v>0</v>
      </c>
      <c r="BV21" s="259">
        <v>0</v>
      </c>
      <c r="BW21" s="259">
        <v>0</v>
      </c>
      <c r="BX21" s="259">
        <v>0</v>
      </c>
      <c r="BY21" s="259">
        <v>0</v>
      </c>
      <c r="CB21" s="275">
        <v>36</v>
      </c>
      <c r="CC21" s="274">
        <v>455448</v>
      </c>
      <c r="CD21" s="274">
        <v>435388</v>
      </c>
      <c r="CE21" s="274">
        <v>414627</v>
      </c>
      <c r="CF21" s="274">
        <v>393139</v>
      </c>
      <c r="CG21" s="274">
        <v>370899</v>
      </c>
      <c r="CH21" s="274">
        <v>347880</v>
      </c>
      <c r="CI21" s="274">
        <v>324056</v>
      </c>
      <c r="CJ21" s="274">
        <v>299398</v>
      </c>
      <c r="CK21" s="274">
        <v>273877</v>
      </c>
      <c r="CL21" s="274">
        <v>247462</v>
      </c>
      <c r="CM21" s="274">
        <v>220124</v>
      </c>
      <c r="CN21" s="274">
        <v>191828</v>
      </c>
      <c r="CO21" s="274">
        <v>162542</v>
      </c>
      <c r="CP21" s="274">
        <v>132231</v>
      </c>
      <c r="CQ21" s="274">
        <v>100859</v>
      </c>
      <c r="CR21" s="274">
        <v>68389</v>
      </c>
      <c r="CS21" s="274">
        <v>34783</v>
      </c>
    </row>
    <row r="22" spans="10:97" x14ac:dyDescent="0.25">
      <c r="J22" s="114">
        <v>20</v>
      </c>
      <c r="K22" s="264">
        <v>1.27</v>
      </c>
      <c r="L22" s="263">
        <v>0.98</v>
      </c>
      <c r="O22" s="114">
        <v>20</v>
      </c>
      <c r="P22" s="264">
        <v>1.69</v>
      </c>
      <c r="Q22" s="263">
        <v>1.51</v>
      </c>
      <c r="Y22" s="114">
        <v>37</v>
      </c>
      <c r="Z22" s="101">
        <v>2.78</v>
      </c>
      <c r="AA22" s="273">
        <v>3.67</v>
      </c>
      <c r="AD22" s="114">
        <v>19</v>
      </c>
      <c r="AE22" s="272">
        <f t="shared" si="0"/>
        <v>13.967508169881961</v>
      </c>
      <c r="AH22" s="260">
        <v>35</v>
      </c>
      <c r="AI22" s="259">
        <v>1.53</v>
      </c>
      <c r="AJ22" s="259">
        <v>1.6</v>
      </c>
      <c r="AK22" s="259">
        <v>1.66</v>
      </c>
      <c r="AL22" s="259">
        <v>1.72</v>
      </c>
      <c r="AM22" s="259">
        <v>1.77</v>
      </c>
      <c r="AN22" s="259">
        <v>1.82</v>
      </c>
      <c r="AO22" s="259">
        <v>1.86</v>
      </c>
      <c r="AP22" s="259">
        <v>1.91</v>
      </c>
      <c r="AQ22" s="259">
        <v>1.95</v>
      </c>
      <c r="AR22" s="259">
        <v>1.99</v>
      </c>
      <c r="AS22" s="259">
        <v>2.0299999999999998</v>
      </c>
      <c r="AT22" s="259">
        <v>2.0699999999999998</v>
      </c>
      <c r="AU22" s="259">
        <v>2.11</v>
      </c>
      <c r="AV22" s="259">
        <v>2.15</v>
      </c>
      <c r="AW22" s="259">
        <v>2.19</v>
      </c>
      <c r="AX22" s="259">
        <v>2.23</v>
      </c>
      <c r="AY22" s="259">
        <v>2.27</v>
      </c>
      <c r="AZ22" s="259">
        <v>2.31</v>
      </c>
      <c r="BA22" s="259">
        <v>2.35</v>
      </c>
      <c r="BB22" s="259">
        <v>2.39</v>
      </c>
      <c r="BC22" s="259">
        <v>2.4300000000000002</v>
      </c>
      <c r="BD22" s="259">
        <v>2.46</v>
      </c>
      <c r="BE22" s="259">
        <v>2.5</v>
      </c>
      <c r="BF22" s="259">
        <v>2.54</v>
      </c>
      <c r="BG22" s="259">
        <v>2.58</v>
      </c>
      <c r="BH22" s="259">
        <v>2.62</v>
      </c>
      <c r="BI22" s="259">
        <v>0</v>
      </c>
      <c r="BJ22" s="259">
        <v>0</v>
      </c>
      <c r="BK22" s="259">
        <v>0</v>
      </c>
      <c r="BL22" s="259">
        <v>0</v>
      </c>
      <c r="BM22" s="259">
        <v>0</v>
      </c>
      <c r="BN22" s="259">
        <v>0</v>
      </c>
      <c r="BO22" s="259">
        <v>0</v>
      </c>
      <c r="BP22" s="259">
        <v>0</v>
      </c>
      <c r="BQ22" s="259">
        <v>0</v>
      </c>
      <c r="BR22" s="259">
        <v>0</v>
      </c>
      <c r="BS22" s="259">
        <v>0</v>
      </c>
      <c r="BT22" s="259">
        <v>0</v>
      </c>
      <c r="BU22" s="259">
        <v>0</v>
      </c>
      <c r="BV22" s="259">
        <v>0</v>
      </c>
      <c r="BW22" s="259">
        <v>0</v>
      </c>
      <c r="BX22" s="259">
        <v>0</v>
      </c>
      <c r="BY22" s="259">
        <v>0</v>
      </c>
      <c r="CB22" s="275">
        <v>37</v>
      </c>
      <c r="CC22" s="274">
        <v>480750</v>
      </c>
      <c r="CD22" s="274">
        <v>459576</v>
      </c>
      <c r="CE22" s="274">
        <v>437662</v>
      </c>
      <c r="CF22" s="274">
        <v>414980</v>
      </c>
      <c r="CG22" s="274">
        <v>391504</v>
      </c>
      <c r="CH22" s="274">
        <v>367207</v>
      </c>
      <c r="CI22" s="274">
        <v>342059</v>
      </c>
      <c r="CJ22" s="274">
        <v>316031</v>
      </c>
      <c r="CK22" s="274">
        <v>289092</v>
      </c>
      <c r="CL22" s="274">
        <v>261210</v>
      </c>
      <c r="CM22" s="274">
        <v>232353</v>
      </c>
      <c r="CN22" s="274">
        <v>202485</v>
      </c>
      <c r="CO22" s="274">
        <v>171572</v>
      </c>
      <c r="CP22" s="274">
        <v>139577</v>
      </c>
      <c r="CQ22" s="274">
        <v>106462</v>
      </c>
      <c r="CR22" s="274">
        <v>72188</v>
      </c>
      <c r="CS22" s="274">
        <v>36715</v>
      </c>
    </row>
    <row r="23" spans="10:97" x14ac:dyDescent="0.25">
      <c r="J23" s="114">
        <v>21</v>
      </c>
      <c r="K23" s="264">
        <v>1.2</v>
      </c>
      <c r="L23" s="263">
        <v>0.98</v>
      </c>
      <c r="O23" s="114">
        <v>21</v>
      </c>
      <c r="P23" s="264">
        <v>1.67</v>
      </c>
      <c r="Q23" s="263">
        <v>1.54</v>
      </c>
      <c r="Y23" s="114">
        <v>38</v>
      </c>
      <c r="Z23" s="101">
        <v>3.08</v>
      </c>
      <c r="AA23" s="273">
        <v>3.94</v>
      </c>
      <c r="AD23" s="114">
        <v>20</v>
      </c>
      <c r="AE23" s="272">
        <f t="shared" si="0"/>
        <v>14.461503483864105</v>
      </c>
      <c r="AH23" s="260">
        <v>36</v>
      </c>
      <c r="AI23" s="259">
        <v>1.65</v>
      </c>
      <c r="AJ23" s="259">
        <v>1.73</v>
      </c>
      <c r="AK23" s="259">
        <v>1.8</v>
      </c>
      <c r="AL23" s="259">
        <v>1.86</v>
      </c>
      <c r="AM23" s="259">
        <v>1.91</v>
      </c>
      <c r="AN23" s="259">
        <v>1.97</v>
      </c>
      <c r="AO23" s="259">
        <v>2.0099999999999998</v>
      </c>
      <c r="AP23" s="259">
        <v>2.06</v>
      </c>
      <c r="AQ23" s="259">
        <v>2.11</v>
      </c>
      <c r="AR23" s="259">
        <v>2.15</v>
      </c>
      <c r="AS23" s="259">
        <v>2.19</v>
      </c>
      <c r="AT23" s="259">
        <v>2.23</v>
      </c>
      <c r="AU23" s="259">
        <v>2.2799999999999998</v>
      </c>
      <c r="AV23" s="259">
        <v>2.3199999999999998</v>
      </c>
      <c r="AW23" s="259">
        <v>2.36</v>
      </c>
      <c r="AX23" s="259">
        <v>2.4</v>
      </c>
      <c r="AY23" s="259">
        <v>2.44</v>
      </c>
      <c r="AZ23" s="259">
        <v>2.48</v>
      </c>
      <c r="BA23" s="259">
        <v>2.52</v>
      </c>
      <c r="BB23" s="259">
        <v>2.56</v>
      </c>
      <c r="BC23" s="259">
        <v>2.61</v>
      </c>
      <c r="BD23" s="259">
        <v>2.65</v>
      </c>
      <c r="BE23" s="259">
        <v>2.69</v>
      </c>
      <c r="BF23" s="259">
        <v>2.73</v>
      </c>
      <c r="BG23" s="259">
        <v>2.77</v>
      </c>
      <c r="BH23" s="259">
        <v>0</v>
      </c>
      <c r="BI23" s="259">
        <v>0</v>
      </c>
      <c r="BJ23" s="259">
        <v>0</v>
      </c>
      <c r="BK23" s="259">
        <v>0</v>
      </c>
      <c r="BL23" s="259">
        <v>0</v>
      </c>
      <c r="BM23" s="259">
        <v>0</v>
      </c>
      <c r="BN23" s="259">
        <v>0</v>
      </c>
      <c r="BO23" s="259">
        <v>0</v>
      </c>
      <c r="BP23" s="259">
        <v>0</v>
      </c>
      <c r="BQ23" s="259">
        <v>0</v>
      </c>
      <c r="BR23" s="259">
        <v>0</v>
      </c>
      <c r="BS23" s="259">
        <v>0</v>
      </c>
      <c r="BT23" s="259">
        <v>0</v>
      </c>
      <c r="BU23" s="259">
        <v>0</v>
      </c>
      <c r="BV23" s="259">
        <v>0</v>
      </c>
      <c r="BW23" s="259">
        <v>0</v>
      </c>
      <c r="BX23" s="259">
        <v>0</v>
      </c>
      <c r="BY23" s="259">
        <v>0</v>
      </c>
      <c r="CB23" s="275">
        <v>38</v>
      </c>
      <c r="CC23" s="274">
        <v>518704</v>
      </c>
      <c r="CD23" s="274">
        <v>495859</v>
      </c>
      <c r="CE23" s="274">
        <v>472214</v>
      </c>
      <c r="CF23" s="274">
        <v>447741</v>
      </c>
      <c r="CG23" s="274">
        <v>422412</v>
      </c>
      <c r="CH23" s="274">
        <v>396197</v>
      </c>
      <c r="CI23" s="274">
        <v>369064</v>
      </c>
      <c r="CJ23" s="274">
        <v>340981</v>
      </c>
      <c r="CK23" s="274">
        <v>311915</v>
      </c>
      <c r="CL23" s="274">
        <v>281832</v>
      </c>
      <c r="CM23" s="274">
        <v>250696</v>
      </c>
      <c r="CN23" s="274">
        <v>218471</v>
      </c>
      <c r="CO23" s="274">
        <v>185117</v>
      </c>
      <c r="CP23" s="274">
        <v>150596</v>
      </c>
      <c r="CQ23" s="274">
        <v>114867</v>
      </c>
      <c r="CR23" s="274">
        <v>77887</v>
      </c>
      <c r="CS23" s="274">
        <v>39614</v>
      </c>
    </row>
    <row r="24" spans="10:97" x14ac:dyDescent="0.25">
      <c r="J24" s="114">
        <v>22</v>
      </c>
      <c r="K24" s="264">
        <v>1.18</v>
      </c>
      <c r="L24" s="263">
        <v>0.98</v>
      </c>
      <c r="O24" s="114">
        <v>22</v>
      </c>
      <c r="P24" s="264">
        <v>1.65</v>
      </c>
      <c r="Q24" s="263">
        <v>1.58</v>
      </c>
      <c r="Y24" s="114">
        <v>39</v>
      </c>
      <c r="Z24" s="101">
        <v>3.44</v>
      </c>
      <c r="AA24" s="273">
        <v>4.22</v>
      </c>
      <c r="AD24" s="114">
        <v>21</v>
      </c>
      <c r="AE24" s="272">
        <f t="shared" si="0"/>
        <v>14.938793642300958</v>
      </c>
      <c r="AH24" s="260">
        <v>37</v>
      </c>
      <c r="AI24" s="259">
        <v>1.79</v>
      </c>
      <c r="AJ24" s="259">
        <v>1.88</v>
      </c>
      <c r="AK24" s="259">
        <v>1.95</v>
      </c>
      <c r="AL24" s="259">
        <v>2.0099999999999998</v>
      </c>
      <c r="AM24" s="259">
        <v>2.0699999999999998</v>
      </c>
      <c r="AN24" s="259">
        <v>2.13</v>
      </c>
      <c r="AO24" s="259">
        <v>2.1800000000000002</v>
      </c>
      <c r="AP24" s="259">
        <v>2.23</v>
      </c>
      <c r="AQ24" s="259">
        <v>2.2799999999999998</v>
      </c>
      <c r="AR24" s="259">
        <v>2.3199999999999998</v>
      </c>
      <c r="AS24" s="259">
        <v>2.37</v>
      </c>
      <c r="AT24" s="259">
        <v>2.41</v>
      </c>
      <c r="AU24" s="259">
        <v>2.4500000000000002</v>
      </c>
      <c r="AV24" s="259">
        <v>2.5</v>
      </c>
      <c r="AW24" s="259">
        <v>2.54</v>
      </c>
      <c r="AX24" s="259">
        <v>2.58</v>
      </c>
      <c r="AY24" s="259">
        <v>2.63</v>
      </c>
      <c r="AZ24" s="259">
        <v>2.67</v>
      </c>
      <c r="BA24" s="259">
        <v>2.71</v>
      </c>
      <c r="BB24" s="259">
        <v>2.76</v>
      </c>
      <c r="BC24" s="259">
        <v>2.8</v>
      </c>
      <c r="BD24" s="259">
        <v>2.84</v>
      </c>
      <c r="BE24" s="259">
        <v>2.89</v>
      </c>
      <c r="BF24" s="259">
        <v>2.93</v>
      </c>
      <c r="BG24" s="259">
        <v>0</v>
      </c>
      <c r="BH24" s="259">
        <v>0</v>
      </c>
      <c r="BI24" s="259">
        <v>0</v>
      </c>
      <c r="BJ24" s="259">
        <v>0</v>
      </c>
      <c r="BK24" s="259">
        <v>0</v>
      </c>
      <c r="BL24" s="259">
        <v>0</v>
      </c>
      <c r="BM24" s="259">
        <v>0</v>
      </c>
      <c r="BN24" s="259">
        <v>0</v>
      </c>
      <c r="BO24" s="259">
        <v>0</v>
      </c>
      <c r="BP24" s="259">
        <v>0</v>
      </c>
      <c r="BQ24" s="259">
        <v>0</v>
      </c>
      <c r="BR24" s="259">
        <v>0</v>
      </c>
      <c r="BS24" s="259">
        <v>0</v>
      </c>
      <c r="BT24" s="259">
        <v>0</v>
      </c>
      <c r="BU24" s="259">
        <v>0</v>
      </c>
      <c r="BV24" s="259">
        <v>0</v>
      </c>
      <c r="BW24" s="259">
        <v>0</v>
      </c>
      <c r="BX24" s="259">
        <v>0</v>
      </c>
      <c r="BY24" s="259">
        <v>0</v>
      </c>
      <c r="CB24" s="275">
        <v>39</v>
      </c>
      <c r="CC24" s="274">
        <v>556658</v>
      </c>
      <c r="CD24" s="274">
        <v>532141</v>
      </c>
      <c r="CE24" s="274">
        <v>506766</v>
      </c>
      <c r="CF24" s="274">
        <v>480503</v>
      </c>
      <c r="CG24" s="274">
        <v>453320</v>
      </c>
      <c r="CH24" s="274">
        <v>425187</v>
      </c>
      <c r="CI24" s="274">
        <v>396068</v>
      </c>
      <c r="CJ24" s="274">
        <v>365931</v>
      </c>
      <c r="CK24" s="274">
        <v>334738</v>
      </c>
      <c r="CL24" s="274">
        <v>302454</v>
      </c>
      <c r="CM24" s="274">
        <v>269040</v>
      </c>
      <c r="CN24" s="274">
        <v>234456</v>
      </c>
      <c r="CO24" s="274">
        <v>198662</v>
      </c>
      <c r="CP24" s="274">
        <v>161615</v>
      </c>
      <c r="CQ24" s="274">
        <v>123272</v>
      </c>
      <c r="CR24" s="274">
        <v>83587</v>
      </c>
      <c r="CS24" s="274">
        <v>42512</v>
      </c>
    </row>
    <row r="25" spans="10:97" x14ac:dyDescent="0.25">
      <c r="J25" s="114">
        <v>23</v>
      </c>
      <c r="K25" s="264">
        <v>1.1599999999999999</v>
      </c>
      <c r="L25" s="263">
        <v>1.02</v>
      </c>
      <c r="O25" s="114">
        <v>23</v>
      </c>
      <c r="P25" s="264">
        <v>1.65</v>
      </c>
      <c r="Q25" s="263">
        <v>1.64</v>
      </c>
      <c r="Y25" s="114">
        <v>40</v>
      </c>
      <c r="Z25" s="101">
        <v>3.86</v>
      </c>
      <c r="AA25" s="273">
        <v>4.5</v>
      </c>
      <c r="AD25" s="114">
        <v>22</v>
      </c>
      <c r="AE25" s="272">
        <f t="shared" si="0"/>
        <v>15.399943553834149</v>
      </c>
      <c r="AH25" s="260">
        <v>38</v>
      </c>
      <c r="AI25" s="259">
        <v>1.95</v>
      </c>
      <c r="AJ25" s="259">
        <v>2.04</v>
      </c>
      <c r="AK25" s="259">
        <v>2.12</v>
      </c>
      <c r="AL25" s="259">
        <v>2.19</v>
      </c>
      <c r="AM25" s="259">
        <v>2.25</v>
      </c>
      <c r="AN25" s="259">
        <v>2.2999999999999998</v>
      </c>
      <c r="AO25" s="259">
        <v>2.36</v>
      </c>
      <c r="AP25" s="259">
        <v>2.41</v>
      </c>
      <c r="AQ25" s="259">
        <v>2.46</v>
      </c>
      <c r="AR25" s="259">
        <v>2.5</v>
      </c>
      <c r="AS25" s="259">
        <v>2.5499999999999998</v>
      </c>
      <c r="AT25" s="259">
        <v>2.6</v>
      </c>
      <c r="AU25" s="259">
        <v>2.64</v>
      </c>
      <c r="AV25" s="259">
        <v>2.69</v>
      </c>
      <c r="AW25" s="259">
        <v>2.73</v>
      </c>
      <c r="AX25" s="259">
        <v>2.78</v>
      </c>
      <c r="AY25" s="259">
        <v>2.83</v>
      </c>
      <c r="AZ25" s="259">
        <v>2.87</v>
      </c>
      <c r="BA25" s="259">
        <v>2.92</v>
      </c>
      <c r="BB25" s="259">
        <v>2.96</v>
      </c>
      <c r="BC25" s="259">
        <v>3.01</v>
      </c>
      <c r="BD25" s="259">
        <v>3.05</v>
      </c>
      <c r="BE25" s="259">
        <v>3.1</v>
      </c>
      <c r="BF25" s="259">
        <v>0</v>
      </c>
      <c r="BG25" s="259">
        <v>0</v>
      </c>
      <c r="BH25" s="259">
        <v>0</v>
      </c>
      <c r="BI25" s="259">
        <v>0</v>
      </c>
      <c r="BJ25" s="259">
        <v>0</v>
      </c>
      <c r="BK25" s="259">
        <v>0</v>
      </c>
      <c r="BL25" s="259">
        <v>0</v>
      </c>
      <c r="BM25" s="259">
        <v>0</v>
      </c>
      <c r="BN25" s="259">
        <v>0</v>
      </c>
      <c r="BO25" s="259">
        <v>0</v>
      </c>
      <c r="BP25" s="259">
        <v>0</v>
      </c>
      <c r="BQ25" s="259">
        <v>0</v>
      </c>
      <c r="BR25" s="259">
        <v>0</v>
      </c>
      <c r="BS25" s="259">
        <v>0</v>
      </c>
      <c r="BT25" s="259">
        <v>0</v>
      </c>
      <c r="BU25" s="259">
        <v>0</v>
      </c>
      <c r="BV25" s="259">
        <v>0</v>
      </c>
      <c r="BW25" s="259">
        <v>0</v>
      </c>
      <c r="BX25" s="259">
        <v>0</v>
      </c>
      <c r="BY25" s="259">
        <v>0</v>
      </c>
      <c r="CB25" s="275">
        <v>40</v>
      </c>
      <c r="CC25" s="274">
        <v>607263</v>
      </c>
      <c r="CD25" s="274">
        <v>580518</v>
      </c>
      <c r="CE25" s="274">
        <v>552836</v>
      </c>
      <c r="CF25" s="274">
        <v>524185</v>
      </c>
      <c r="CG25" s="274">
        <v>494531</v>
      </c>
      <c r="CH25" s="274">
        <v>463840</v>
      </c>
      <c r="CI25" s="274">
        <v>432074</v>
      </c>
      <c r="CJ25" s="274">
        <v>399197</v>
      </c>
      <c r="CK25" s="274">
        <v>365169</v>
      </c>
      <c r="CL25" s="274">
        <v>329950</v>
      </c>
      <c r="CM25" s="274">
        <v>293498</v>
      </c>
      <c r="CN25" s="274">
        <v>255771</v>
      </c>
      <c r="CO25" s="274">
        <v>216723</v>
      </c>
      <c r="CP25" s="274">
        <v>176308</v>
      </c>
      <c r="CQ25" s="274">
        <v>134479</v>
      </c>
      <c r="CR25" s="274">
        <v>91185</v>
      </c>
      <c r="CS25" s="274">
        <v>46377</v>
      </c>
    </row>
    <row r="26" spans="10:97" x14ac:dyDescent="0.25">
      <c r="J26" s="114">
        <v>24</v>
      </c>
      <c r="K26" s="264">
        <v>1.1599999999999999</v>
      </c>
      <c r="L26" s="263">
        <v>1.05</v>
      </c>
      <c r="O26" s="114">
        <v>24</v>
      </c>
      <c r="P26" s="264">
        <v>1.66</v>
      </c>
      <c r="Q26" s="263">
        <v>1.71</v>
      </c>
      <c r="Y26" s="114">
        <v>41</v>
      </c>
      <c r="Z26" s="101">
        <v>4.33</v>
      </c>
      <c r="AA26" s="273">
        <v>4.83</v>
      </c>
      <c r="AD26" s="114">
        <v>23</v>
      </c>
      <c r="AE26" s="272">
        <f t="shared" si="0"/>
        <v>15.845499023914527</v>
      </c>
      <c r="AH26" s="260">
        <v>39</v>
      </c>
      <c r="AI26" s="259">
        <v>2.12</v>
      </c>
      <c r="AJ26" s="259">
        <v>2.2200000000000002</v>
      </c>
      <c r="AK26" s="259">
        <v>2.2999999999999998</v>
      </c>
      <c r="AL26" s="259">
        <v>2.37</v>
      </c>
      <c r="AM26" s="259">
        <v>2.4300000000000002</v>
      </c>
      <c r="AN26" s="259">
        <v>2.4900000000000002</v>
      </c>
      <c r="AO26" s="259">
        <v>2.5499999999999998</v>
      </c>
      <c r="AP26" s="259">
        <v>2.6</v>
      </c>
      <c r="AQ26" s="259">
        <v>2.65</v>
      </c>
      <c r="AR26" s="259">
        <v>2.7</v>
      </c>
      <c r="AS26" s="259">
        <v>2.75</v>
      </c>
      <c r="AT26" s="259">
        <v>2.8</v>
      </c>
      <c r="AU26" s="259">
        <v>2.84</v>
      </c>
      <c r="AV26" s="259">
        <v>2.89</v>
      </c>
      <c r="AW26" s="259">
        <v>2.94</v>
      </c>
      <c r="AX26" s="259">
        <v>2.99</v>
      </c>
      <c r="AY26" s="259">
        <v>3.04</v>
      </c>
      <c r="AZ26" s="259">
        <v>3.08</v>
      </c>
      <c r="BA26" s="259">
        <v>3.13</v>
      </c>
      <c r="BB26" s="259">
        <v>3.18</v>
      </c>
      <c r="BC26" s="259">
        <v>3.22</v>
      </c>
      <c r="BD26" s="259">
        <v>3.27</v>
      </c>
      <c r="BE26" s="259">
        <v>0</v>
      </c>
      <c r="BF26" s="259">
        <v>0</v>
      </c>
      <c r="BG26" s="259">
        <v>0</v>
      </c>
      <c r="BH26" s="259">
        <v>0</v>
      </c>
      <c r="BI26" s="259">
        <v>0</v>
      </c>
      <c r="BJ26" s="259">
        <v>0</v>
      </c>
      <c r="BK26" s="259">
        <v>0</v>
      </c>
      <c r="BL26" s="259">
        <v>0</v>
      </c>
      <c r="BM26" s="259">
        <v>0</v>
      </c>
      <c r="BN26" s="259">
        <v>0</v>
      </c>
      <c r="BO26" s="259">
        <v>0</v>
      </c>
      <c r="BP26" s="259">
        <v>0</v>
      </c>
      <c r="BQ26" s="259">
        <v>0</v>
      </c>
      <c r="BR26" s="259">
        <v>0</v>
      </c>
      <c r="BS26" s="259">
        <v>0</v>
      </c>
      <c r="BT26" s="259">
        <v>0</v>
      </c>
      <c r="BU26" s="259">
        <v>0</v>
      </c>
      <c r="BV26" s="259">
        <v>0</v>
      </c>
      <c r="BW26" s="259">
        <v>0</v>
      </c>
      <c r="BX26" s="259">
        <v>0</v>
      </c>
      <c r="BY26" s="259">
        <v>0</v>
      </c>
      <c r="CB26" s="275">
        <v>41</v>
      </c>
      <c r="CC26" s="274">
        <v>657869</v>
      </c>
      <c r="CD26" s="274">
        <v>628894</v>
      </c>
      <c r="CE26" s="274">
        <v>598905</v>
      </c>
      <c r="CF26" s="274">
        <v>567867</v>
      </c>
      <c r="CG26" s="274">
        <v>535742</v>
      </c>
      <c r="CH26" s="274">
        <v>502493</v>
      </c>
      <c r="CI26" s="274">
        <v>468081</v>
      </c>
      <c r="CJ26" s="274">
        <v>432463</v>
      </c>
      <c r="CK26" s="274">
        <v>395600</v>
      </c>
      <c r="CL26" s="274">
        <v>357446</v>
      </c>
      <c r="CM26" s="274">
        <v>317956</v>
      </c>
      <c r="CN26" s="274">
        <v>277085</v>
      </c>
      <c r="CO26" s="274">
        <v>234783</v>
      </c>
      <c r="CP26" s="274">
        <v>191000</v>
      </c>
      <c r="CQ26" s="274">
        <v>145685</v>
      </c>
      <c r="CR26" s="274">
        <v>98784</v>
      </c>
      <c r="CS26" s="274">
        <v>50242</v>
      </c>
    </row>
    <row r="27" spans="10:97" x14ac:dyDescent="0.25">
      <c r="J27" s="114">
        <v>25</v>
      </c>
      <c r="K27" s="264">
        <v>1.1499999999999999</v>
      </c>
      <c r="L27" s="263">
        <v>1.07</v>
      </c>
      <c r="O27" s="114">
        <v>25</v>
      </c>
      <c r="P27" s="264">
        <v>1.64</v>
      </c>
      <c r="Q27" s="263">
        <v>1.8</v>
      </c>
      <c r="Y27" s="114">
        <v>42</v>
      </c>
      <c r="Z27" s="101">
        <v>4.8899999999999997</v>
      </c>
      <c r="AA27" s="273">
        <v>5.19</v>
      </c>
      <c r="AD27" s="114">
        <v>24</v>
      </c>
      <c r="AE27" s="272">
        <f t="shared" si="0"/>
        <v>16.275987400803782</v>
      </c>
      <c r="AH27" s="260">
        <v>40</v>
      </c>
      <c r="AI27" s="259">
        <v>2.2999999999999998</v>
      </c>
      <c r="AJ27" s="259">
        <v>2.4</v>
      </c>
      <c r="AK27" s="259">
        <v>2.4900000000000002</v>
      </c>
      <c r="AL27" s="259">
        <v>2.56</v>
      </c>
      <c r="AM27" s="259">
        <v>2.62</v>
      </c>
      <c r="AN27" s="259">
        <v>2.69</v>
      </c>
      <c r="AO27" s="259">
        <v>2.74</v>
      </c>
      <c r="AP27" s="259">
        <v>2.8</v>
      </c>
      <c r="AQ27" s="259">
        <v>2.85</v>
      </c>
      <c r="AR27" s="259">
        <v>2.9</v>
      </c>
      <c r="AS27" s="259">
        <v>2.96</v>
      </c>
      <c r="AT27" s="259">
        <v>3.01</v>
      </c>
      <c r="AU27" s="259">
        <v>3.06</v>
      </c>
      <c r="AV27" s="259">
        <v>3.11</v>
      </c>
      <c r="AW27" s="259">
        <v>3.16</v>
      </c>
      <c r="AX27" s="259">
        <v>3.21</v>
      </c>
      <c r="AY27" s="259">
        <v>3.26</v>
      </c>
      <c r="AZ27" s="259">
        <v>3.31</v>
      </c>
      <c r="BA27" s="259">
        <v>3.36</v>
      </c>
      <c r="BB27" s="259">
        <v>3.41</v>
      </c>
      <c r="BC27" s="259">
        <v>3.46</v>
      </c>
      <c r="BD27" s="259">
        <v>0</v>
      </c>
      <c r="BE27" s="259">
        <v>0</v>
      </c>
      <c r="BF27" s="259">
        <v>0</v>
      </c>
      <c r="BG27" s="259">
        <v>0</v>
      </c>
      <c r="BH27" s="259">
        <v>0</v>
      </c>
      <c r="BI27" s="259">
        <v>0</v>
      </c>
      <c r="BJ27" s="259">
        <v>0</v>
      </c>
      <c r="BK27" s="259">
        <v>0</v>
      </c>
      <c r="BL27" s="259">
        <v>0</v>
      </c>
      <c r="BM27" s="259">
        <v>0</v>
      </c>
      <c r="BN27" s="259">
        <v>0</v>
      </c>
      <c r="BO27" s="259">
        <v>0</v>
      </c>
      <c r="BP27" s="259">
        <v>0</v>
      </c>
      <c r="BQ27" s="259">
        <v>0</v>
      </c>
      <c r="BR27" s="259">
        <v>0</v>
      </c>
      <c r="BS27" s="259">
        <v>0</v>
      </c>
      <c r="BT27" s="259">
        <v>0</v>
      </c>
      <c r="BU27" s="259">
        <v>0</v>
      </c>
      <c r="BV27" s="259">
        <v>0</v>
      </c>
      <c r="BW27" s="259">
        <v>0</v>
      </c>
      <c r="BX27" s="259">
        <v>0</v>
      </c>
      <c r="BY27" s="259">
        <v>0</v>
      </c>
      <c r="CB27" s="275">
        <v>42</v>
      </c>
      <c r="CC27" s="274">
        <v>721125</v>
      </c>
      <c r="CD27" s="274">
        <v>689365</v>
      </c>
      <c r="CE27" s="274">
        <v>656492</v>
      </c>
      <c r="CF27" s="274">
        <v>622470</v>
      </c>
      <c r="CG27" s="274">
        <v>587256</v>
      </c>
      <c r="CH27" s="274">
        <v>550810</v>
      </c>
      <c r="CI27" s="274">
        <v>513088</v>
      </c>
      <c r="CJ27" s="274">
        <v>474047</v>
      </c>
      <c r="CK27" s="274">
        <v>433638</v>
      </c>
      <c r="CL27" s="274">
        <v>391815</v>
      </c>
      <c r="CM27" s="274">
        <v>348529</v>
      </c>
      <c r="CN27" s="274">
        <v>303728</v>
      </c>
      <c r="CO27" s="274">
        <v>257358</v>
      </c>
      <c r="CP27" s="274">
        <v>209366</v>
      </c>
      <c r="CQ27" s="274">
        <v>159693</v>
      </c>
      <c r="CR27" s="274">
        <v>108283</v>
      </c>
      <c r="CS27" s="274">
        <v>55072</v>
      </c>
    </row>
    <row r="28" spans="10:97" x14ac:dyDescent="0.25">
      <c r="J28" s="114">
        <v>26</v>
      </c>
      <c r="K28" s="264">
        <v>1.18</v>
      </c>
      <c r="L28" s="263">
        <v>1.24</v>
      </c>
      <c r="O28" s="114">
        <v>26</v>
      </c>
      <c r="P28" s="264">
        <v>1.68</v>
      </c>
      <c r="Q28" s="263">
        <v>1.99</v>
      </c>
      <c r="Y28" s="114">
        <v>43</v>
      </c>
      <c r="Z28" s="101">
        <v>5.33</v>
      </c>
      <c r="AA28" s="273">
        <v>5.56</v>
      </c>
      <c r="AD28" s="114">
        <v>25</v>
      </c>
      <c r="AE28" s="272">
        <f t="shared" si="0"/>
        <v>16.691918199730598</v>
      </c>
      <c r="AH28" s="260">
        <v>41</v>
      </c>
      <c r="AI28" s="259">
        <v>2.4900000000000002</v>
      </c>
      <c r="AJ28" s="259">
        <v>2.59</v>
      </c>
      <c r="AK28" s="259">
        <v>2.68</v>
      </c>
      <c r="AL28" s="259">
        <v>2.76</v>
      </c>
      <c r="AM28" s="259">
        <v>2.82</v>
      </c>
      <c r="AN28" s="259">
        <v>2.89</v>
      </c>
      <c r="AO28" s="259">
        <v>2.95</v>
      </c>
      <c r="AP28" s="259">
        <v>3.01</v>
      </c>
      <c r="AQ28" s="259">
        <v>3.06</v>
      </c>
      <c r="AR28" s="259">
        <v>3.12</v>
      </c>
      <c r="AS28" s="259">
        <v>3.17</v>
      </c>
      <c r="AT28" s="259">
        <v>3.23</v>
      </c>
      <c r="AU28" s="259">
        <v>3.28</v>
      </c>
      <c r="AV28" s="259">
        <v>3.34</v>
      </c>
      <c r="AW28" s="259">
        <v>3.39</v>
      </c>
      <c r="AX28" s="259">
        <v>3.44</v>
      </c>
      <c r="AY28" s="259">
        <v>3.49</v>
      </c>
      <c r="AZ28" s="259">
        <v>3.54</v>
      </c>
      <c r="BA28" s="259">
        <v>3.59</v>
      </c>
      <c r="BB28" s="259">
        <v>3.65</v>
      </c>
      <c r="BC28" s="259">
        <v>0</v>
      </c>
      <c r="BD28" s="259">
        <v>0</v>
      </c>
      <c r="BE28" s="259">
        <v>0</v>
      </c>
      <c r="BF28" s="259">
        <v>0</v>
      </c>
      <c r="BG28" s="259">
        <v>0</v>
      </c>
      <c r="BH28" s="259">
        <v>0</v>
      </c>
      <c r="BI28" s="259">
        <v>0</v>
      </c>
      <c r="BJ28" s="259">
        <v>0</v>
      </c>
      <c r="BK28" s="259">
        <v>0</v>
      </c>
      <c r="BL28" s="259">
        <v>0</v>
      </c>
      <c r="BM28" s="259">
        <v>0</v>
      </c>
      <c r="BN28" s="259">
        <v>0</v>
      </c>
      <c r="BO28" s="259">
        <v>0</v>
      </c>
      <c r="BP28" s="259">
        <v>0</v>
      </c>
      <c r="BQ28" s="259">
        <v>0</v>
      </c>
      <c r="BR28" s="259">
        <v>0</v>
      </c>
      <c r="BS28" s="259">
        <v>0</v>
      </c>
      <c r="BT28" s="259">
        <v>0</v>
      </c>
      <c r="BU28" s="259">
        <v>0</v>
      </c>
      <c r="BV28" s="259">
        <v>0</v>
      </c>
      <c r="BW28" s="259">
        <v>0</v>
      </c>
      <c r="BX28" s="259">
        <v>0</v>
      </c>
      <c r="BY28" s="259">
        <v>0</v>
      </c>
      <c r="CB28" s="275">
        <v>43</v>
      </c>
      <c r="CC28" s="274">
        <v>784382</v>
      </c>
      <c r="CD28" s="274">
        <v>749835</v>
      </c>
      <c r="CE28" s="274">
        <v>714079</v>
      </c>
      <c r="CF28" s="274">
        <v>677072</v>
      </c>
      <c r="CG28" s="274">
        <v>638770</v>
      </c>
      <c r="CH28" s="274">
        <v>599127</v>
      </c>
      <c r="CI28" s="274">
        <v>558096</v>
      </c>
      <c r="CJ28" s="274">
        <v>515630</v>
      </c>
      <c r="CK28" s="274">
        <v>471677</v>
      </c>
      <c r="CL28" s="274">
        <v>426185</v>
      </c>
      <c r="CM28" s="274">
        <v>379102</v>
      </c>
      <c r="CN28" s="274">
        <v>330370</v>
      </c>
      <c r="CO28" s="274">
        <v>279933</v>
      </c>
      <c r="CP28" s="274">
        <v>227731</v>
      </c>
      <c r="CQ28" s="274">
        <v>173701</v>
      </c>
      <c r="CR28" s="274">
        <v>117781</v>
      </c>
      <c r="CS28" s="274">
        <v>59903</v>
      </c>
    </row>
    <row r="29" spans="10:97" x14ac:dyDescent="0.25">
      <c r="J29" s="114">
        <v>27</v>
      </c>
      <c r="K29" s="264">
        <v>1.24</v>
      </c>
      <c r="L29" s="263">
        <v>1.42</v>
      </c>
      <c r="O29" s="114">
        <v>27</v>
      </c>
      <c r="P29" s="264">
        <v>1.73</v>
      </c>
      <c r="Q29" s="263">
        <v>2.21</v>
      </c>
      <c r="Y29" s="114">
        <v>44</v>
      </c>
      <c r="Z29" s="101">
        <v>5.81</v>
      </c>
      <c r="AA29" s="273">
        <v>5.94</v>
      </c>
      <c r="AD29" s="114">
        <v>26</v>
      </c>
      <c r="AE29" s="272">
        <f t="shared" si="0"/>
        <v>17.093783705940083</v>
      </c>
      <c r="AH29" s="260">
        <v>42</v>
      </c>
      <c r="AI29" s="259">
        <v>2.68</v>
      </c>
      <c r="AJ29" s="259">
        <v>2.79</v>
      </c>
      <c r="AK29" s="259">
        <v>2.88</v>
      </c>
      <c r="AL29" s="259">
        <v>2.96</v>
      </c>
      <c r="AM29" s="259">
        <v>3.03</v>
      </c>
      <c r="AN29" s="259">
        <v>3.1</v>
      </c>
      <c r="AO29" s="259">
        <v>3.16</v>
      </c>
      <c r="AP29" s="259">
        <v>3.22</v>
      </c>
      <c r="AQ29" s="259">
        <v>3.28</v>
      </c>
      <c r="AR29" s="259">
        <v>3.34</v>
      </c>
      <c r="AS29" s="259">
        <v>3.4</v>
      </c>
      <c r="AT29" s="259">
        <v>3.46</v>
      </c>
      <c r="AU29" s="259">
        <v>3.52</v>
      </c>
      <c r="AV29" s="259">
        <v>3.57</v>
      </c>
      <c r="AW29" s="259">
        <v>3.63</v>
      </c>
      <c r="AX29" s="259">
        <v>3.68</v>
      </c>
      <c r="AY29" s="259">
        <v>3.74</v>
      </c>
      <c r="AZ29" s="259">
        <v>3.79</v>
      </c>
      <c r="BA29" s="259">
        <v>3.85</v>
      </c>
      <c r="BB29" s="259">
        <v>0</v>
      </c>
      <c r="BC29" s="259">
        <v>0</v>
      </c>
      <c r="BD29" s="259">
        <v>0</v>
      </c>
      <c r="BE29" s="259">
        <v>0</v>
      </c>
      <c r="BF29" s="259">
        <v>0</v>
      </c>
      <c r="BG29" s="259">
        <v>0</v>
      </c>
      <c r="BH29" s="259">
        <v>0</v>
      </c>
      <c r="BI29" s="259">
        <v>0</v>
      </c>
      <c r="BJ29" s="259">
        <v>0</v>
      </c>
      <c r="BK29" s="259">
        <v>0</v>
      </c>
      <c r="BL29" s="259">
        <v>0</v>
      </c>
      <c r="BM29" s="259">
        <v>0</v>
      </c>
      <c r="BN29" s="259">
        <v>0</v>
      </c>
      <c r="BO29" s="259">
        <v>0</v>
      </c>
      <c r="BP29" s="259">
        <v>0</v>
      </c>
      <c r="BQ29" s="259">
        <v>0</v>
      </c>
      <c r="BR29" s="259">
        <v>0</v>
      </c>
      <c r="BS29" s="259">
        <v>0</v>
      </c>
      <c r="BT29" s="259">
        <v>0</v>
      </c>
      <c r="BU29" s="259">
        <v>0</v>
      </c>
      <c r="BV29" s="259">
        <v>0</v>
      </c>
      <c r="BW29" s="259">
        <v>0</v>
      </c>
      <c r="BX29" s="259">
        <v>0</v>
      </c>
      <c r="BY29" s="259">
        <v>0</v>
      </c>
      <c r="CB29" s="275">
        <v>44</v>
      </c>
      <c r="CC29" s="274">
        <v>847638</v>
      </c>
      <c r="CD29" s="274">
        <v>810306</v>
      </c>
      <c r="CE29" s="274">
        <v>771667</v>
      </c>
      <c r="CF29" s="274">
        <v>731675</v>
      </c>
      <c r="CG29" s="274">
        <v>690283</v>
      </c>
      <c r="CH29" s="274">
        <v>647443</v>
      </c>
      <c r="CI29" s="274">
        <v>603104</v>
      </c>
      <c r="CJ29" s="274">
        <v>557213</v>
      </c>
      <c r="CK29" s="274">
        <v>509715</v>
      </c>
      <c r="CL29" s="274">
        <v>460555</v>
      </c>
      <c r="CM29" s="274">
        <v>409674</v>
      </c>
      <c r="CN29" s="274">
        <v>357013</v>
      </c>
      <c r="CO29" s="274">
        <v>302509</v>
      </c>
      <c r="CP29" s="274">
        <v>246096</v>
      </c>
      <c r="CQ29" s="274">
        <v>187710</v>
      </c>
      <c r="CR29" s="274">
        <v>127280</v>
      </c>
      <c r="CS29" s="274">
        <v>64734</v>
      </c>
    </row>
    <row r="30" spans="10:97" x14ac:dyDescent="0.25">
      <c r="J30" s="114">
        <v>28</v>
      </c>
      <c r="K30" s="264">
        <v>1.31</v>
      </c>
      <c r="L30" s="263">
        <v>1.62</v>
      </c>
      <c r="O30" s="114">
        <v>28</v>
      </c>
      <c r="P30" s="264">
        <v>1.85</v>
      </c>
      <c r="Q30" s="263">
        <v>2.4500000000000002</v>
      </c>
      <c r="Y30" s="114">
        <v>45</v>
      </c>
      <c r="Z30" s="101">
        <v>6.28</v>
      </c>
      <c r="AA30" s="273">
        <v>6.33</v>
      </c>
      <c r="AD30" s="114">
        <v>27</v>
      </c>
      <c r="AE30" s="272">
        <f t="shared" si="0"/>
        <v>17.482059557350212</v>
      </c>
      <c r="AH30" s="260">
        <v>43</v>
      </c>
      <c r="AI30" s="259">
        <v>2.87</v>
      </c>
      <c r="AJ30" s="259">
        <v>2.99</v>
      </c>
      <c r="AK30" s="259">
        <v>3.08</v>
      </c>
      <c r="AL30" s="259">
        <v>3.17</v>
      </c>
      <c r="AM30" s="259">
        <v>3.24</v>
      </c>
      <c r="AN30" s="259">
        <v>3.32</v>
      </c>
      <c r="AO30" s="259">
        <v>3.39</v>
      </c>
      <c r="AP30" s="259">
        <v>3.45</v>
      </c>
      <c r="AQ30" s="259">
        <v>3.52</v>
      </c>
      <c r="AR30" s="259">
        <v>3.58</v>
      </c>
      <c r="AS30" s="259">
        <v>3.64</v>
      </c>
      <c r="AT30" s="259">
        <v>3.71</v>
      </c>
      <c r="AU30" s="259">
        <v>3.77</v>
      </c>
      <c r="AV30" s="259">
        <v>3.82</v>
      </c>
      <c r="AW30" s="259">
        <v>3.88</v>
      </c>
      <c r="AX30" s="259">
        <v>3.94</v>
      </c>
      <c r="AY30" s="259">
        <v>4</v>
      </c>
      <c r="AZ30" s="259">
        <v>4.0599999999999996</v>
      </c>
      <c r="BA30" s="259">
        <v>0</v>
      </c>
      <c r="BB30" s="259">
        <v>0</v>
      </c>
      <c r="BC30" s="259">
        <v>0</v>
      </c>
      <c r="BD30" s="259">
        <v>0</v>
      </c>
      <c r="BE30" s="259">
        <v>0</v>
      </c>
      <c r="BF30" s="259">
        <v>0</v>
      </c>
      <c r="BG30" s="259">
        <v>0</v>
      </c>
      <c r="BH30" s="259">
        <v>0</v>
      </c>
      <c r="BI30" s="259">
        <v>0</v>
      </c>
      <c r="BJ30" s="259">
        <v>0</v>
      </c>
      <c r="BK30" s="259">
        <v>0</v>
      </c>
      <c r="BL30" s="259">
        <v>0</v>
      </c>
      <c r="BM30" s="259">
        <v>0</v>
      </c>
      <c r="BN30" s="259">
        <v>0</v>
      </c>
      <c r="BO30" s="259">
        <v>0</v>
      </c>
      <c r="BP30" s="259">
        <v>0</v>
      </c>
      <c r="BQ30" s="259">
        <v>0</v>
      </c>
      <c r="BR30" s="259">
        <v>0</v>
      </c>
      <c r="BS30" s="259">
        <v>0</v>
      </c>
      <c r="BT30" s="259">
        <v>0</v>
      </c>
      <c r="BU30" s="259">
        <v>0</v>
      </c>
      <c r="BV30" s="259">
        <v>0</v>
      </c>
      <c r="BW30" s="259">
        <v>0</v>
      </c>
      <c r="BX30" s="259">
        <v>0</v>
      </c>
      <c r="BY30" s="259">
        <v>0</v>
      </c>
      <c r="CB30" s="275">
        <v>45</v>
      </c>
      <c r="CC30" s="274">
        <v>923546</v>
      </c>
      <c r="CD30" s="274">
        <v>882871</v>
      </c>
      <c r="CE30" s="274">
        <v>840771</v>
      </c>
      <c r="CF30" s="274">
        <v>797198</v>
      </c>
      <c r="CG30" s="274">
        <v>752100</v>
      </c>
      <c r="CH30" s="274">
        <v>705423</v>
      </c>
      <c r="CI30" s="274">
        <v>657113</v>
      </c>
      <c r="CJ30" s="274">
        <v>607112</v>
      </c>
      <c r="CK30" s="274">
        <v>555361</v>
      </c>
      <c r="CL30" s="274">
        <v>501799</v>
      </c>
      <c r="CM30" s="274">
        <v>446362</v>
      </c>
      <c r="CN30" s="274">
        <v>388984</v>
      </c>
      <c r="CO30" s="274">
        <v>329599</v>
      </c>
      <c r="CP30" s="274">
        <v>268135</v>
      </c>
      <c r="CQ30" s="274">
        <v>204519</v>
      </c>
      <c r="CR30" s="274">
        <v>138678</v>
      </c>
      <c r="CS30" s="274">
        <v>70531</v>
      </c>
    </row>
    <row r="31" spans="10:97" x14ac:dyDescent="0.25">
      <c r="J31" s="114">
        <v>29</v>
      </c>
      <c r="K31" s="264">
        <v>1.42</v>
      </c>
      <c r="L31" s="263">
        <v>1.82</v>
      </c>
      <c r="O31" s="114">
        <v>29</v>
      </c>
      <c r="P31" s="264">
        <v>1.97</v>
      </c>
      <c r="Q31" s="263">
        <v>2.71</v>
      </c>
      <c r="Y31" s="114">
        <v>46</v>
      </c>
      <c r="Z31" s="101">
        <v>6.92</v>
      </c>
      <c r="AA31" s="273">
        <v>6.81</v>
      </c>
      <c r="AD31" s="114">
        <v>28</v>
      </c>
      <c r="AE31" s="272">
        <f t="shared" si="0"/>
        <v>17.857205307504927</v>
      </c>
      <c r="AH31" s="260">
        <v>44</v>
      </c>
      <c r="AI31" s="259">
        <v>3.07</v>
      </c>
      <c r="AJ31" s="259">
        <v>3.19</v>
      </c>
      <c r="AK31" s="259">
        <v>3.3</v>
      </c>
      <c r="AL31" s="259">
        <v>3.39</v>
      </c>
      <c r="AM31" s="259">
        <v>3.47</v>
      </c>
      <c r="AN31" s="259">
        <v>3.55</v>
      </c>
      <c r="AO31" s="259">
        <v>3.62</v>
      </c>
      <c r="AP31" s="259">
        <v>3.7</v>
      </c>
      <c r="AQ31" s="259">
        <v>3.77</v>
      </c>
      <c r="AR31" s="259">
        <v>3.83</v>
      </c>
      <c r="AS31" s="259">
        <v>3.9</v>
      </c>
      <c r="AT31" s="259">
        <v>3.96</v>
      </c>
      <c r="AU31" s="259">
        <v>4.03</v>
      </c>
      <c r="AV31" s="259">
        <v>4.09</v>
      </c>
      <c r="AW31" s="259">
        <v>4.1500000000000004</v>
      </c>
      <c r="AX31" s="259">
        <v>4.21</v>
      </c>
      <c r="AY31" s="259">
        <v>4.2699999999999996</v>
      </c>
      <c r="AZ31" s="259">
        <v>0</v>
      </c>
      <c r="BA31" s="259">
        <v>0</v>
      </c>
      <c r="BB31" s="259">
        <v>0</v>
      </c>
      <c r="BC31" s="259">
        <v>0</v>
      </c>
      <c r="BD31" s="259">
        <v>0</v>
      </c>
      <c r="BE31" s="259">
        <v>0</v>
      </c>
      <c r="BF31" s="259">
        <v>0</v>
      </c>
      <c r="BG31" s="259">
        <v>0</v>
      </c>
      <c r="BH31" s="259">
        <v>0</v>
      </c>
      <c r="BI31" s="259">
        <v>0</v>
      </c>
      <c r="BJ31" s="259">
        <v>0</v>
      </c>
      <c r="BK31" s="259">
        <v>0</v>
      </c>
      <c r="BL31" s="259">
        <v>0</v>
      </c>
      <c r="BM31" s="259">
        <v>0</v>
      </c>
      <c r="BN31" s="259">
        <v>0</v>
      </c>
      <c r="BO31" s="259">
        <v>0</v>
      </c>
      <c r="BP31" s="259">
        <v>0</v>
      </c>
      <c r="BQ31" s="259">
        <v>0</v>
      </c>
      <c r="BR31" s="259">
        <v>0</v>
      </c>
      <c r="BS31" s="259">
        <v>0</v>
      </c>
      <c r="BT31" s="259">
        <v>0</v>
      </c>
      <c r="BU31" s="259">
        <v>0</v>
      </c>
      <c r="BV31" s="259">
        <v>0</v>
      </c>
      <c r="BW31" s="259">
        <v>0</v>
      </c>
      <c r="BX31" s="259">
        <v>0</v>
      </c>
      <c r="BY31" s="259">
        <v>0</v>
      </c>
      <c r="CB31" s="275">
        <v>46</v>
      </c>
      <c r="CC31" s="274">
        <v>999454</v>
      </c>
      <c r="CD31" s="274">
        <v>955435</v>
      </c>
      <c r="CE31" s="274">
        <v>909875</v>
      </c>
      <c r="CF31" s="274">
        <v>862721</v>
      </c>
      <c r="CG31" s="274">
        <v>813916</v>
      </c>
      <c r="CH31" s="274">
        <v>763403</v>
      </c>
      <c r="CI31" s="274">
        <v>711123</v>
      </c>
      <c r="CJ31" s="274">
        <v>657012</v>
      </c>
      <c r="CK31" s="274">
        <v>601007</v>
      </c>
      <c r="CL31" s="274">
        <v>543042</v>
      </c>
      <c r="CM31" s="274">
        <v>483049</v>
      </c>
      <c r="CN31" s="274">
        <v>420956</v>
      </c>
      <c r="CO31" s="274">
        <v>356689</v>
      </c>
      <c r="CP31" s="274">
        <v>290173</v>
      </c>
      <c r="CQ31" s="274">
        <v>221329</v>
      </c>
      <c r="CR31" s="274">
        <v>150076</v>
      </c>
      <c r="CS31" s="274">
        <v>76329</v>
      </c>
    </row>
    <row r="32" spans="10:97" x14ac:dyDescent="0.25">
      <c r="J32" s="114">
        <v>30</v>
      </c>
      <c r="K32" s="264">
        <v>1.55</v>
      </c>
      <c r="L32" s="263">
        <v>2.04</v>
      </c>
      <c r="O32" s="114">
        <v>30</v>
      </c>
      <c r="P32" s="264">
        <v>2.13</v>
      </c>
      <c r="Q32" s="263">
        <v>2.95</v>
      </c>
      <c r="Y32" s="114">
        <v>47</v>
      </c>
      <c r="Z32" s="101">
        <v>7.58</v>
      </c>
      <c r="AA32" s="273">
        <v>7.33</v>
      </c>
      <c r="AD32" s="114">
        <v>29</v>
      </c>
      <c r="AE32" s="272">
        <f t="shared" si="0"/>
        <v>18.219664969490157</v>
      </c>
      <c r="AH32" s="260">
        <v>45</v>
      </c>
      <c r="AI32" s="259">
        <v>3.28</v>
      </c>
      <c r="AJ32" s="259">
        <v>3.41</v>
      </c>
      <c r="AK32" s="259">
        <v>3.52</v>
      </c>
      <c r="AL32" s="259">
        <v>3.62</v>
      </c>
      <c r="AM32" s="259">
        <v>3.71</v>
      </c>
      <c r="AN32" s="259">
        <v>3.8</v>
      </c>
      <c r="AO32" s="259">
        <v>3.88</v>
      </c>
      <c r="AP32" s="259">
        <v>3.96</v>
      </c>
      <c r="AQ32" s="259">
        <v>4.03</v>
      </c>
      <c r="AR32" s="259">
        <v>4.0999999999999996</v>
      </c>
      <c r="AS32" s="259">
        <v>4.17</v>
      </c>
      <c r="AT32" s="259">
        <v>4.24</v>
      </c>
      <c r="AU32" s="259">
        <v>4.3</v>
      </c>
      <c r="AV32" s="259">
        <v>4.37</v>
      </c>
      <c r="AW32" s="259">
        <v>4.43</v>
      </c>
      <c r="AX32" s="259">
        <v>4.5</v>
      </c>
      <c r="AY32" s="259">
        <v>0</v>
      </c>
      <c r="AZ32" s="259">
        <v>0</v>
      </c>
      <c r="BA32" s="259">
        <v>0</v>
      </c>
      <c r="BB32" s="259">
        <v>0</v>
      </c>
      <c r="BC32" s="259">
        <v>0</v>
      </c>
      <c r="BD32" s="259">
        <v>0</v>
      </c>
      <c r="BE32" s="259">
        <v>0</v>
      </c>
      <c r="BF32" s="259">
        <v>0</v>
      </c>
      <c r="BG32" s="259">
        <v>0</v>
      </c>
      <c r="BH32" s="259">
        <v>0</v>
      </c>
      <c r="BI32" s="259">
        <v>0</v>
      </c>
      <c r="BJ32" s="259">
        <v>0</v>
      </c>
      <c r="BK32" s="259">
        <v>0</v>
      </c>
      <c r="BL32" s="259">
        <v>0</v>
      </c>
      <c r="BM32" s="259">
        <v>0</v>
      </c>
      <c r="BN32" s="259">
        <v>0</v>
      </c>
      <c r="BO32" s="259">
        <v>0</v>
      </c>
      <c r="BP32" s="259">
        <v>0</v>
      </c>
      <c r="BQ32" s="259">
        <v>0</v>
      </c>
      <c r="BR32" s="259">
        <v>0</v>
      </c>
      <c r="BS32" s="259">
        <v>0</v>
      </c>
      <c r="BT32" s="259">
        <v>0</v>
      </c>
      <c r="BU32" s="259">
        <v>0</v>
      </c>
      <c r="BV32" s="259">
        <v>0</v>
      </c>
      <c r="BW32" s="259">
        <v>0</v>
      </c>
      <c r="BX32" s="259">
        <v>0</v>
      </c>
      <c r="BY32" s="259">
        <v>0</v>
      </c>
      <c r="CB32" s="275">
        <v>47</v>
      </c>
      <c r="CC32" s="274">
        <v>1075362</v>
      </c>
      <c r="CD32" s="274">
        <v>1028000</v>
      </c>
      <c r="CE32" s="274">
        <v>978980</v>
      </c>
      <c r="CF32" s="274">
        <v>928244</v>
      </c>
      <c r="CG32" s="274">
        <v>875733</v>
      </c>
      <c r="CH32" s="274">
        <v>821383</v>
      </c>
      <c r="CI32" s="274">
        <v>765132</v>
      </c>
      <c r="CJ32" s="274">
        <v>706911</v>
      </c>
      <c r="CK32" s="274">
        <v>646653</v>
      </c>
      <c r="CL32" s="274">
        <v>584286</v>
      </c>
      <c r="CM32" s="274">
        <v>519736</v>
      </c>
      <c r="CN32" s="274">
        <v>452927</v>
      </c>
      <c r="CO32" s="274">
        <v>383779</v>
      </c>
      <c r="CP32" s="274">
        <v>312212</v>
      </c>
      <c r="CQ32" s="274">
        <v>238139</v>
      </c>
      <c r="CR32" s="274">
        <v>161474</v>
      </c>
      <c r="CS32" s="274">
        <v>82126</v>
      </c>
    </row>
    <row r="33" spans="10:97" x14ac:dyDescent="0.25">
      <c r="J33" s="114">
        <v>31</v>
      </c>
      <c r="K33" s="264">
        <v>1.67</v>
      </c>
      <c r="L33" s="263">
        <v>2.27</v>
      </c>
      <c r="O33" s="114">
        <v>31</v>
      </c>
      <c r="P33" s="264">
        <v>2.2999999999999998</v>
      </c>
      <c r="Q33" s="263">
        <v>3.2</v>
      </c>
      <c r="Y33" s="114">
        <v>48</v>
      </c>
      <c r="Z33" s="101">
        <v>8.42</v>
      </c>
      <c r="AA33" s="273">
        <v>7.86</v>
      </c>
      <c r="AD33" s="114">
        <v>30</v>
      </c>
      <c r="AE33" s="272">
        <f t="shared" si="0"/>
        <v>18.569867541456563</v>
      </c>
      <c r="AH33" s="260">
        <v>46</v>
      </c>
      <c r="AI33" s="259">
        <v>3.5</v>
      </c>
      <c r="AJ33" s="259">
        <v>3.65</v>
      </c>
      <c r="AK33" s="259">
        <v>3.77</v>
      </c>
      <c r="AL33" s="259">
        <v>3.87</v>
      </c>
      <c r="AM33" s="259">
        <v>3.97</v>
      </c>
      <c r="AN33" s="259">
        <v>4.0599999999999996</v>
      </c>
      <c r="AO33" s="259">
        <v>4.1500000000000004</v>
      </c>
      <c r="AP33" s="259">
        <v>4.2300000000000004</v>
      </c>
      <c r="AQ33" s="259">
        <v>4.3099999999999996</v>
      </c>
      <c r="AR33" s="259">
        <v>4.3899999999999997</v>
      </c>
      <c r="AS33" s="259">
        <v>4.46</v>
      </c>
      <c r="AT33" s="259">
        <v>4.53</v>
      </c>
      <c r="AU33" s="259">
        <v>4.5999999999999996</v>
      </c>
      <c r="AV33" s="259">
        <v>4.67</v>
      </c>
      <c r="AW33" s="259">
        <v>4.74</v>
      </c>
      <c r="AX33" s="259">
        <v>0</v>
      </c>
      <c r="AY33" s="259">
        <v>0</v>
      </c>
      <c r="AZ33" s="259">
        <v>0</v>
      </c>
      <c r="BA33" s="259">
        <v>0</v>
      </c>
      <c r="BB33" s="259">
        <v>0</v>
      </c>
      <c r="BC33" s="259">
        <v>0</v>
      </c>
      <c r="BD33" s="259">
        <v>0</v>
      </c>
      <c r="BE33" s="259">
        <v>0</v>
      </c>
      <c r="BF33" s="259">
        <v>0</v>
      </c>
      <c r="BG33" s="259">
        <v>0</v>
      </c>
      <c r="BH33" s="259">
        <v>0</v>
      </c>
      <c r="BI33" s="259">
        <v>0</v>
      </c>
      <c r="BJ33" s="259">
        <v>0</v>
      </c>
      <c r="BK33" s="259">
        <v>0</v>
      </c>
      <c r="BL33" s="259">
        <v>0</v>
      </c>
      <c r="BM33" s="259">
        <v>0</v>
      </c>
      <c r="BN33" s="259">
        <v>0</v>
      </c>
      <c r="BO33" s="259">
        <v>0</v>
      </c>
      <c r="BP33" s="259">
        <v>0</v>
      </c>
      <c r="BQ33" s="259">
        <v>0</v>
      </c>
      <c r="BR33" s="259">
        <v>0</v>
      </c>
      <c r="BS33" s="259">
        <v>0</v>
      </c>
      <c r="BT33" s="259">
        <v>0</v>
      </c>
      <c r="BU33" s="259">
        <v>0</v>
      </c>
      <c r="BV33" s="259">
        <v>0</v>
      </c>
      <c r="BW33" s="259">
        <v>0</v>
      </c>
      <c r="BX33" s="259">
        <v>0</v>
      </c>
      <c r="BY33" s="259">
        <v>0</v>
      </c>
      <c r="CB33" s="275">
        <v>48</v>
      </c>
      <c r="CC33" s="274">
        <v>1163921</v>
      </c>
      <c r="CD33" s="274">
        <v>1112659</v>
      </c>
      <c r="CE33" s="274">
        <v>1059602</v>
      </c>
      <c r="CF33" s="274">
        <v>1004688</v>
      </c>
      <c r="CG33" s="274">
        <v>947852</v>
      </c>
      <c r="CH33" s="274">
        <v>889027</v>
      </c>
      <c r="CI33" s="274">
        <v>828143</v>
      </c>
      <c r="CJ33" s="274">
        <v>765128</v>
      </c>
      <c r="CK33" s="274">
        <v>699907</v>
      </c>
      <c r="CL33" s="274">
        <v>632404</v>
      </c>
      <c r="CM33" s="274">
        <v>562538</v>
      </c>
      <c r="CN33" s="274">
        <v>490227</v>
      </c>
      <c r="CO33" s="274">
        <v>415385</v>
      </c>
      <c r="CP33" s="274">
        <v>337923</v>
      </c>
      <c r="CQ33" s="274">
        <v>257751</v>
      </c>
      <c r="CR33" s="274">
        <v>174772</v>
      </c>
      <c r="CS33" s="274">
        <v>88889</v>
      </c>
    </row>
    <row r="34" spans="10:97" x14ac:dyDescent="0.25">
      <c r="J34" s="114">
        <v>32</v>
      </c>
      <c r="K34" s="264">
        <v>1.84</v>
      </c>
      <c r="L34" s="263">
        <v>2.5099999999999998</v>
      </c>
      <c r="O34" s="114">
        <v>32</v>
      </c>
      <c r="P34" s="264">
        <v>2.5</v>
      </c>
      <c r="Q34" s="263">
        <v>3.45</v>
      </c>
      <c r="Y34" s="114">
        <v>49</v>
      </c>
      <c r="Z34" s="101">
        <v>9.36</v>
      </c>
      <c r="AA34" s="273">
        <v>8.44</v>
      </c>
      <c r="AD34" s="114">
        <v>31</v>
      </c>
      <c r="AE34" s="272">
        <f t="shared" si="0"/>
        <v>18.908227514370967</v>
      </c>
      <c r="AH34" s="260">
        <v>47</v>
      </c>
      <c r="AI34" s="259">
        <v>3.75</v>
      </c>
      <c r="AJ34" s="259">
        <v>3.9</v>
      </c>
      <c r="AK34" s="259">
        <v>4.03</v>
      </c>
      <c r="AL34" s="259">
        <v>4.1500000000000004</v>
      </c>
      <c r="AM34" s="259">
        <v>4.25</v>
      </c>
      <c r="AN34" s="259">
        <v>4.3499999999999996</v>
      </c>
      <c r="AO34" s="259">
        <v>4.45</v>
      </c>
      <c r="AP34" s="259">
        <v>4.53</v>
      </c>
      <c r="AQ34" s="259">
        <v>4.62</v>
      </c>
      <c r="AR34" s="259">
        <v>4.6900000000000004</v>
      </c>
      <c r="AS34" s="259">
        <v>4.7699999999999996</v>
      </c>
      <c r="AT34" s="259">
        <v>4.84</v>
      </c>
      <c r="AU34" s="259">
        <v>4.92</v>
      </c>
      <c r="AV34" s="259">
        <v>4.99</v>
      </c>
      <c r="AW34" s="259">
        <v>0</v>
      </c>
      <c r="AX34" s="259">
        <v>0</v>
      </c>
      <c r="AY34" s="259">
        <v>0</v>
      </c>
      <c r="AZ34" s="259">
        <v>0</v>
      </c>
      <c r="BA34" s="259">
        <v>0</v>
      </c>
      <c r="BB34" s="259">
        <v>0</v>
      </c>
      <c r="BC34" s="259">
        <v>0</v>
      </c>
      <c r="BD34" s="259">
        <v>0</v>
      </c>
      <c r="BE34" s="259">
        <v>0</v>
      </c>
      <c r="BF34" s="259">
        <v>0</v>
      </c>
      <c r="BG34" s="259">
        <v>0</v>
      </c>
      <c r="BH34" s="259">
        <v>0</v>
      </c>
      <c r="BI34" s="259">
        <v>0</v>
      </c>
      <c r="BJ34" s="259">
        <v>0</v>
      </c>
      <c r="BK34" s="259">
        <v>0</v>
      </c>
      <c r="BL34" s="259">
        <v>0</v>
      </c>
      <c r="BM34" s="259">
        <v>0</v>
      </c>
      <c r="BN34" s="259">
        <v>0</v>
      </c>
      <c r="BO34" s="259">
        <v>0</v>
      </c>
      <c r="BP34" s="259">
        <v>0</v>
      </c>
      <c r="BQ34" s="259">
        <v>0</v>
      </c>
      <c r="BR34" s="259">
        <v>0</v>
      </c>
      <c r="BS34" s="259">
        <v>0</v>
      </c>
      <c r="BT34" s="259">
        <v>0</v>
      </c>
      <c r="BU34" s="259">
        <v>0</v>
      </c>
      <c r="BV34" s="259">
        <v>0</v>
      </c>
      <c r="BW34" s="259">
        <v>0</v>
      </c>
      <c r="BX34" s="259">
        <v>0</v>
      </c>
      <c r="BY34" s="259">
        <v>0</v>
      </c>
      <c r="CB34" s="275">
        <v>49</v>
      </c>
      <c r="CC34" s="274">
        <v>1252481</v>
      </c>
      <c r="CD34" s="274">
        <v>1197318</v>
      </c>
      <c r="CE34" s="274">
        <v>1140224</v>
      </c>
      <c r="CF34" s="274">
        <v>1081132</v>
      </c>
      <c r="CG34" s="274">
        <v>1019971</v>
      </c>
      <c r="CH34" s="274">
        <v>956670</v>
      </c>
      <c r="CI34" s="274">
        <v>891154</v>
      </c>
      <c r="CJ34" s="274">
        <v>823344</v>
      </c>
      <c r="CK34" s="274">
        <v>753161</v>
      </c>
      <c r="CL34" s="274">
        <v>680522</v>
      </c>
      <c r="CM34" s="274">
        <v>605340</v>
      </c>
      <c r="CN34" s="274">
        <v>527527</v>
      </c>
      <c r="CO34" s="274">
        <v>446990</v>
      </c>
      <c r="CP34" s="274">
        <v>363635</v>
      </c>
      <c r="CQ34" s="274">
        <v>277362</v>
      </c>
      <c r="CR34" s="274">
        <v>188070</v>
      </c>
      <c r="CS34" s="274">
        <v>95652</v>
      </c>
    </row>
    <row r="35" spans="10:97" x14ac:dyDescent="0.25">
      <c r="J35" s="114">
        <v>33</v>
      </c>
      <c r="K35" s="264">
        <v>2</v>
      </c>
      <c r="L35" s="263">
        <v>2.76</v>
      </c>
      <c r="O35" s="114">
        <v>33</v>
      </c>
      <c r="P35" s="264">
        <v>2.68</v>
      </c>
      <c r="Q35" s="263">
        <v>3.74</v>
      </c>
      <c r="Y35" s="114">
        <v>50</v>
      </c>
      <c r="Z35" s="101">
        <v>10.42</v>
      </c>
      <c r="AA35" s="273">
        <v>9.08</v>
      </c>
      <c r="AD35" s="114">
        <v>32</v>
      </c>
      <c r="AE35" s="272">
        <f t="shared" si="0"/>
        <v>19.235145362597443</v>
      </c>
      <c r="AH35" s="260">
        <v>48</v>
      </c>
      <c r="AI35" s="259">
        <v>4.01</v>
      </c>
      <c r="AJ35" s="259">
        <v>4.18</v>
      </c>
      <c r="AK35" s="259">
        <v>4.32</v>
      </c>
      <c r="AL35" s="259">
        <v>4.45</v>
      </c>
      <c r="AM35" s="259">
        <v>4.5599999999999996</v>
      </c>
      <c r="AN35" s="259">
        <v>4.67</v>
      </c>
      <c r="AO35" s="259">
        <v>4.76</v>
      </c>
      <c r="AP35" s="259">
        <v>4.8499999999999996</v>
      </c>
      <c r="AQ35" s="259">
        <v>4.9400000000000004</v>
      </c>
      <c r="AR35" s="259">
        <v>5.0199999999999996</v>
      </c>
      <c r="AS35" s="259">
        <v>5.0999999999999996</v>
      </c>
      <c r="AT35" s="259">
        <v>5.18</v>
      </c>
      <c r="AU35" s="259">
        <v>5.26</v>
      </c>
      <c r="AV35" s="259">
        <v>0</v>
      </c>
      <c r="AW35" s="259">
        <v>0</v>
      </c>
      <c r="AX35" s="259">
        <v>0</v>
      </c>
      <c r="AY35" s="259">
        <v>0</v>
      </c>
      <c r="AZ35" s="259">
        <v>0</v>
      </c>
      <c r="BA35" s="259">
        <v>0</v>
      </c>
      <c r="BB35" s="259">
        <v>0</v>
      </c>
      <c r="BC35" s="259">
        <v>0</v>
      </c>
      <c r="BD35" s="259">
        <v>0</v>
      </c>
      <c r="BE35" s="259">
        <v>0</v>
      </c>
      <c r="BF35" s="259">
        <v>0</v>
      </c>
      <c r="BG35" s="259">
        <v>0</v>
      </c>
      <c r="BH35" s="259">
        <v>0</v>
      </c>
      <c r="BI35" s="259">
        <v>0</v>
      </c>
      <c r="BJ35" s="259">
        <v>0</v>
      </c>
      <c r="BK35" s="259">
        <v>0</v>
      </c>
      <c r="BL35" s="259">
        <v>0</v>
      </c>
      <c r="BM35" s="259">
        <v>0</v>
      </c>
      <c r="BN35" s="259">
        <v>0</v>
      </c>
      <c r="BO35" s="259">
        <v>0</v>
      </c>
      <c r="BP35" s="259">
        <v>0</v>
      </c>
      <c r="BQ35" s="259">
        <v>0</v>
      </c>
      <c r="BR35" s="259">
        <v>0</v>
      </c>
      <c r="BS35" s="259">
        <v>0</v>
      </c>
      <c r="BT35" s="259">
        <v>0</v>
      </c>
      <c r="BU35" s="259">
        <v>0</v>
      </c>
      <c r="BV35" s="259">
        <v>0</v>
      </c>
      <c r="BW35" s="259">
        <v>0</v>
      </c>
      <c r="BX35" s="259">
        <v>0</v>
      </c>
      <c r="BY35" s="259">
        <v>0</v>
      </c>
      <c r="CB35" s="275">
        <v>50</v>
      </c>
      <c r="CC35" s="274">
        <v>1353691</v>
      </c>
      <c r="CD35" s="274">
        <v>1294070</v>
      </c>
      <c r="CE35" s="274">
        <v>1232363</v>
      </c>
      <c r="CF35" s="274">
        <v>1168496</v>
      </c>
      <c r="CG35" s="274">
        <v>1102393</v>
      </c>
      <c r="CH35" s="274">
        <v>1033977</v>
      </c>
      <c r="CI35" s="274">
        <v>963166</v>
      </c>
      <c r="CJ35" s="274">
        <v>889877</v>
      </c>
      <c r="CK35" s="274">
        <v>814022</v>
      </c>
      <c r="CL35" s="274">
        <v>735513</v>
      </c>
      <c r="CM35" s="274">
        <v>654256</v>
      </c>
      <c r="CN35" s="274">
        <v>570155</v>
      </c>
      <c r="CO35" s="274">
        <v>483111</v>
      </c>
      <c r="CP35" s="274">
        <v>393019</v>
      </c>
      <c r="CQ35" s="274">
        <v>299775</v>
      </c>
      <c r="CR35" s="274">
        <v>203267</v>
      </c>
      <c r="CS35" s="274">
        <v>103382</v>
      </c>
    </row>
    <row r="36" spans="10:97" x14ac:dyDescent="0.25">
      <c r="J36" s="114">
        <v>34</v>
      </c>
      <c r="K36" s="264">
        <v>2.2000000000000002</v>
      </c>
      <c r="L36" s="263">
        <v>3.04</v>
      </c>
      <c r="O36" s="114">
        <v>34</v>
      </c>
      <c r="P36" s="264">
        <v>2.89</v>
      </c>
      <c r="Q36" s="263">
        <v>4.0599999999999996</v>
      </c>
      <c r="Y36" s="114">
        <v>51</v>
      </c>
      <c r="Z36" s="101">
        <v>11.44</v>
      </c>
      <c r="AA36" s="273">
        <v>9.64</v>
      </c>
      <c r="AD36" s="114">
        <v>33</v>
      </c>
      <c r="AE36" s="272">
        <f t="shared" si="0"/>
        <v>19.551008017888726</v>
      </c>
      <c r="AH36" s="260">
        <v>49</v>
      </c>
      <c r="AI36" s="259">
        <v>4.3</v>
      </c>
      <c r="AJ36" s="259">
        <v>4.4800000000000004</v>
      </c>
      <c r="AK36" s="259">
        <v>4.63</v>
      </c>
      <c r="AL36" s="259">
        <v>4.7699999999999996</v>
      </c>
      <c r="AM36" s="259">
        <v>4.8899999999999997</v>
      </c>
      <c r="AN36" s="259">
        <v>5</v>
      </c>
      <c r="AO36" s="259">
        <v>5.0999999999999996</v>
      </c>
      <c r="AP36" s="259">
        <v>5.19</v>
      </c>
      <c r="AQ36" s="259">
        <v>5.28</v>
      </c>
      <c r="AR36" s="259">
        <v>5.37</v>
      </c>
      <c r="AS36" s="259">
        <v>5.45</v>
      </c>
      <c r="AT36" s="259">
        <v>5.54</v>
      </c>
      <c r="AU36" s="259">
        <v>0</v>
      </c>
      <c r="AV36" s="259">
        <v>0</v>
      </c>
      <c r="AW36" s="259">
        <v>0</v>
      </c>
      <c r="AX36" s="259">
        <v>0</v>
      </c>
      <c r="AY36" s="259">
        <v>0</v>
      </c>
      <c r="AZ36" s="259">
        <v>0</v>
      </c>
      <c r="BA36" s="259">
        <v>0</v>
      </c>
      <c r="BB36" s="259">
        <v>0</v>
      </c>
      <c r="BC36" s="259">
        <v>0</v>
      </c>
      <c r="BD36" s="259">
        <v>0</v>
      </c>
      <c r="BE36" s="259">
        <v>0</v>
      </c>
      <c r="BF36" s="259">
        <v>0</v>
      </c>
      <c r="BG36" s="259">
        <v>0</v>
      </c>
      <c r="BH36" s="259">
        <v>0</v>
      </c>
      <c r="BI36" s="259">
        <v>0</v>
      </c>
      <c r="BJ36" s="259">
        <v>0</v>
      </c>
      <c r="BK36" s="259">
        <v>0</v>
      </c>
      <c r="BL36" s="259">
        <v>0</v>
      </c>
      <c r="BM36" s="259">
        <v>0</v>
      </c>
      <c r="BN36" s="259">
        <v>0</v>
      </c>
      <c r="BO36" s="259">
        <v>0</v>
      </c>
      <c r="BP36" s="259">
        <v>0</v>
      </c>
      <c r="BQ36" s="259">
        <v>0</v>
      </c>
      <c r="BR36" s="259">
        <v>0</v>
      </c>
      <c r="BS36" s="259">
        <v>0</v>
      </c>
      <c r="BT36" s="259">
        <v>0</v>
      </c>
      <c r="BU36" s="259">
        <v>0</v>
      </c>
      <c r="BV36" s="259">
        <v>0</v>
      </c>
      <c r="BW36" s="259">
        <v>0</v>
      </c>
      <c r="BX36" s="259">
        <v>0</v>
      </c>
      <c r="BY36" s="259">
        <v>0</v>
      </c>
      <c r="CB36" s="275">
        <v>51</v>
      </c>
      <c r="CC36" s="274">
        <v>1480205</v>
      </c>
      <c r="CD36" s="274">
        <v>1415012</v>
      </c>
      <c r="CE36" s="274">
        <v>1347537</v>
      </c>
      <c r="CF36" s="274">
        <v>1277701</v>
      </c>
      <c r="CG36" s="274">
        <v>1205420</v>
      </c>
      <c r="CH36" s="274">
        <v>1130610</v>
      </c>
      <c r="CI36" s="274">
        <v>1053181</v>
      </c>
      <c r="CJ36" s="274">
        <v>973043</v>
      </c>
      <c r="CK36" s="274">
        <v>890099</v>
      </c>
      <c r="CL36" s="274">
        <v>804253</v>
      </c>
      <c r="CM36" s="274">
        <v>715402</v>
      </c>
      <c r="CN36" s="274">
        <v>623441</v>
      </c>
      <c r="CO36" s="274">
        <v>528261</v>
      </c>
      <c r="CP36" s="274">
        <v>429750</v>
      </c>
      <c r="CQ36" s="274">
        <v>327792</v>
      </c>
      <c r="CR36" s="274">
        <v>222264</v>
      </c>
      <c r="CS36" s="274">
        <v>113043</v>
      </c>
    </row>
    <row r="37" spans="10:97" x14ac:dyDescent="0.25">
      <c r="J37" s="114">
        <v>35</v>
      </c>
      <c r="K37" s="264">
        <v>2.4500000000000002</v>
      </c>
      <c r="L37" s="263">
        <v>3.35</v>
      </c>
      <c r="O37" s="114">
        <v>35</v>
      </c>
      <c r="P37" s="264">
        <v>3.16</v>
      </c>
      <c r="Q37" s="263">
        <v>4.3499999999999996</v>
      </c>
      <c r="Y37" s="114">
        <v>52</v>
      </c>
      <c r="Z37" s="101">
        <v>12.61</v>
      </c>
      <c r="AA37" s="273">
        <v>10.19</v>
      </c>
      <c r="AD37" s="114">
        <v>34</v>
      </c>
      <c r="AE37" s="272">
        <f t="shared" si="0"/>
        <v>19.856189327348901</v>
      </c>
      <c r="AH37" s="260">
        <v>50</v>
      </c>
      <c r="AI37" s="259">
        <v>4.6100000000000003</v>
      </c>
      <c r="AJ37" s="259">
        <v>4.8099999999999996</v>
      </c>
      <c r="AK37" s="259">
        <v>4.97</v>
      </c>
      <c r="AL37" s="259">
        <v>5.1100000000000003</v>
      </c>
      <c r="AM37" s="259">
        <v>5.24</v>
      </c>
      <c r="AN37" s="259">
        <v>5.35</v>
      </c>
      <c r="AO37" s="259">
        <v>5.45</v>
      </c>
      <c r="AP37" s="259">
        <v>5.55</v>
      </c>
      <c r="AQ37" s="259">
        <v>5.64</v>
      </c>
      <c r="AR37" s="259">
        <v>5.74</v>
      </c>
      <c r="AS37" s="259">
        <v>5.83</v>
      </c>
      <c r="AT37" s="259">
        <v>0</v>
      </c>
      <c r="AU37" s="259">
        <v>0</v>
      </c>
      <c r="AV37" s="259">
        <v>0</v>
      </c>
      <c r="AW37" s="259">
        <v>0</v>
      </c>
      <c r="AX37" s="259">
        <v>0</v>
      </c>
      <c r="AY37" s="259">
        <v>0</v>
      </c>
      <c r="AZ37" s="259">
        <v>0</v>
      </c>
      <c r="BA37" s="259">
        <v>0</v>
      </c>
      <c r="BB37" s="259">
        <v>0</v>
      </c>
      <c r="BC37" s="259">
        <v>0</v>
      </c>
      <c r="BD37" s="259">
        <v>0</v>
      </c>
      <c r="BE37" s="259">
        <v>0</v>
      </c>
      <c r="BF37" s="259">
        <v>0</v>
      </c>
      <c r="BG37" s="259">
        <v>0</v>
      </c>
      <c r="BH37" s="259">
        <v>0</v>
      </c>
      <c r="BI37" s="259">
        <v>0</v>
      </c>
      <c r="BJ37" s="259">
        <v>0</v>
      </c>
      <c r="BK37" s="259">
        <v>0</v>
      </c>
      <c r="BL37" s="259">
        <v>0</v>
      </c>
      <c r="BM37" s="259">
        <v>0</v>
      </c>
      <c r="BN37" s="259">
        <v>0</v>
      </c>
      <c r="BO37" s="259">
        <v>0</v>
      </c>
      <c r="BP37" s="259">
        <v>0</v>
      </c>
      <c r="BQ37" s="259">
        <v>0</v>
      </c>
      <c r="BR37" s="259">
        <v>0</v>
      </c>
      <c r="BS37" s="259">
        <v>0</v>
      </c>
      <c r="BT37" s="259">
        <v>0</v>
      </c>
      <c r="BU37" s="259">
        <v>0</v>
      </c>
      <c r="BV37" s="259">
        <v>0</v>
      </c>
      <c r="BW37" s="259">
        <v>0</v>
      </c>
      <c r="BX37" s="259">
        <v>0</v>
      </c>
      <c r="BY37" s="259">
        <v>0</v>
      </c>
      <c r="CB37" s="275">
        <v>52</v>
      </c>
      <c r="CC37" s="274">
        <v>1619369</v>
      </c>
      <c r="CD37" s="274">
        <v>1548047</v>
      </c>
      <c r="CE37" s="274">
        <v>1474229</v>
      </c>
      <c r="CF37" s="274">
        <v>1397827</v>
      </c>
      <c r="CG37" s="274">
        <v>1318751</v>
      </c>
      <c r="CH37" s="274">
        <v>1236907</v>
      </c>
      <c r="CI37" s="274">
        <v>1152199</v>
      </c>
      <c r="CJ37" s="274">
        <v>1064525</v>
      </c>
      <c r="CK37" s="274">
        <v>973784</v>
      </c>
      <c r="CL37" s="274">
        <v>879866</v>
      </c>
      <c r="CM37" s="274">
        <v>782662</v>
      </c>
      <c r="CN37" s="274">
        <v>682055</v>
      </c>
      <c r="CO37" s="274">
        <v>577927</v>
      </c>
      <c r="CP37" s="274">
        <v>470154</v>
      </c>
      <c r="CQ37" s="274">
        <v>358610</v>
      </c>
      <c r="CR37" s="274">
        <v>243161</v>
      </c>
      <c r="CS37" s="274">
        <v>123671</v>
      </c>
    </row>
    <row r="38" spans="10:97" x14ac:dyDescent="0.25">
      <c r="J38" s="114">
        <v>36</v>
      </c>
      <c r="K38" s="264">
        <v>2.76</v>
      </c>
      <c r="L38" s="263">
        <v>3.71</v>
      </c>
      <c r="O38" s="114">
        <v>36</v>
      </c>
      <c r="P38" s="264">
        <v>3.47</v>
      </c>
      <c r="Q38" s="263">
        <v>4.7300000000000004</v>
      </c>
      <c r="Y38" s="114">
        <v>53</v>
      </c>
      <c r="Z38" s="101">
        <v>13.86</v>
      </c>
      <c r="AA38" s="273">
        <v>10.81</v>
      </c>
      <c r="AD38" s="114">
        <v>35</v>
      </c>
      <c r="AE38" s="272">
        <f t="shared" si="0"/>
        <v>20.151050495909455</v>
      </c>
      <c r="AH38" s="260">
        <v>51</v>
      </c>
      <c r="AI38" s="259">
        <v>4.96</v>
      </c>
      <c r="AJ38" s="259">
        <v>5.16</v>
      </c>
      <c r="AK38" s="259">
        <v>5.34</v>
      </c>
      <c r="AL38" s="259">
        <v>5.48</v>
      </c>
      <c r="AM38" s="259">
        <v>5.61</v>
      </c>
      <c r="AN38" s="259">
        <v>5.73</v>
      </c>
      <c r="AO38" s="259">
        <v>5.83</v>
      </c>
      <c r="AP38" s="259">
        <v>5.93</v>
      </c>
      <c r="AQ38" s="259">
        <v>6.04</v>
      </c>
      <c r="AR38" s="259">
        <v>6.14</v>
      </c>
      <c r="AS38" s="259">
        <v>0</v>
      </c>
      <c r="AT38" s="259">
        <v>0</v>
      </c>
      <c r="AU38" s="259">
        <v>0</v>
      </c>
      <c r="AV38" s="259">
        <v>0</v>
      </c>
      <c r="AW38" s="259">
        <v>0</v>
      </c>
      <c r="AX38" s="259">
        <v>0</v>
      </c>
      <c r="AY38" s="259">
        <v>0</v>
      </c>
      <c r="AZ38" s="259">
        <v>0</v>
      </c>
      <c r="BA38" s="259">
        <v>0</v>
      </c>
      <c r="BB38" s="259">
        <v>0</v>
      </c>
      <c r="BC38" s="259">
        <v>0</v>
      </c>
      <c r="BD38" s="259">
        <v>0</v>
      </c>
      <c r="BE38" s="259">
        <v>0</v>
      </c>
      <c r="BF38" s="259">
        <v>0</v>
      </c>
      <c r="BG38" s="259">
        <v>0</v>
      </c>
      <c r="BH38" s="259">
        <v>0</v>
      </c>
      <c r="BI38" s="259">
        <v>0</v>
      </c>
      <c r="BJ38" s="259">
        <v>0</v>
      </c>
      <c r="BK38" s="259">
        <v>0</v>
      </c>
      <c r="BL38" s="259">
        <v>0</v>
      </c>
      <c r="BM38" s="259">
        <v>0</v>
      </c>
      <c r="BN38" s="259">
        <v>0</v>
      </c>
      <c r="BO38" s="259">
        <v>0</v>
      </c>
      <c r="BP38" s="259">
        <v>0</v>
      </c>
      <c r="BQ38" s="259">
        <v>0</v>
      </c>
      <c r="BR38" s="259">
        <v>0</v>
      </c>
      <c r="BS38" s="259">
        <v>0</v>
      </c>
      <c r="BT38" s="259">
        <v>0</v>
      </c>
      <c r="BU38" s="259">
        <v>0</v>
      </c>
      <c r="BV38" s="259">
        <v>0</v>
      </c>
      <c r="BW38" s="259">
        <v>0</v>
      </c>
      <c r="BX38" s="259">
        <v>0</v>
      </c>
      <c r="BY38" s="259">
        <v>0</v>
      </c>
      <c r="CB38" s="275">
        <v>53</v>
      </c>
      <c r="CC38" s="274">
        <v>1771185</v>
      </c>
      <c r="CD38" s="274">
        <v>1693176</v>
      </c>
      <c r="CE38" s="274">
        <v>1612438</v>
      </c>
      <c r="CF38" s="274">
        <v>1528873</v>
      </c>
      <c r="CG38" s="274">
        <v>1442383</v>
      </c>
      <c r="CH38" s="274">
        <v>1352867</v>
      </c>
      <c r="CI38" s="274">
        <v>1260217</v>
      </c>
      <c r="CJ38" s="274">
        <v>1164325</v>
      </c>
      <c r="CK38" s="274">
        <v>1065076</v>
      </c>
      <c r="CL38" s="274">
        <v>962354</v>
      </c>
      <c r="CM38" s="274">
        <v>856036</v>
      </c>
      <c r="CN38" s="274">
        <v>745997</v>
      </c>
      <c r="CO38" s="274">
        <v>632107</v>
      </c>
      <c r="CP38" s="274">
        <v>514231</v>
      </c>
      <c r="CQ38" s="274">
        <v>392229</v>
      </c>
      <c r="CR38" s="274">
        <v>265957</v>
      </c>
      <c r="CS38" s="274">
        <v>135266</v>
      </c>
    </row>
    <row r="39" spans="10:97" x14ac:dyDescent="0.25">
      <c r="J39" s="114">
        <v>37</v>
      </c>
      <c r="K39" s="264">
        <v>3.13</v>
      </c>
      <c r="L39" s="263">
        <v>4.1100000000000003</v>
      </c>
      <c r="O39" s="114">
        <v>37</v>
      </c>
      <c r="P39" s="264">
        <v>3.84</v>
      </c>
      <c r="Q39" s="263">
        <v>5.14</v>
      </c>
      <c r="Y39" s="114">
        <v>54</v>
      </c>
      <c r="Z39" s="101">
        <v>15.31</v>
      </c>
      <c r="AA39" s="273">
        <v>11.33</v>
      </c>
      <c r="AD39" s="114">
        <v>36</v>
      </c>
      <c r="AE39" s="272">
        <f t="shared" si="0"/>
        <v>20.435940513842361</v>
      </c>
      <c r="AH39" s="260">
        <v>52</v>
      </c>
      <c r="AI39" s="259">
        <v>5.33</v>
      </c>
      <c r="AJ39" s="259">
        <v>5.54</v>
      </c>
      <c r="AK39" s="259">
        <v>5.72</v>
      </c>
      <c r="AL39" s="259">
        <v>5.87</v>
      </c>
      <c r="AM39" s="259">
        <v>6</v>
      </c>
      <c r="AN39" s="259">
        <v>6.12</v>
      </c>
      <c r="AO39" s="259">
        <v>6.23</v>
      </c>
      <c r="AP39" s="259">
        <v>6.34</v>
      </c>
      <c r="AQ39" s="259">
        <v>6.46</v>
      </c>
      <c r="AR39" s="259">
        <v>0</v>
      </c>
      <c r="AS39" s="259">
        <v>0</v>
      </c>
      <c r="AT39" s="259">
        <v>0</v>
      </c>
      <c r="AU39" s="259">
        <v>0</v>
      </c>
      <c r="AV39" s="259">
        <v>0</v>
      </c>
      <c r="AW39" s="259">
        <v>0</v>
      </c>
      <c r="AX39" s="259">
        <v>0</v>
      </c>
      <c r="AY39" s="259">
        <v>0</v>
      </c>
      <c r="AZ39" s="259">
        <v>0</v>
      </c>
      <c r="BA39" s="259">
        <v>0</v>
      </c>
      <c r="BB39" s="259">
        <v>0</v>
      </c>
      <c r="BC39" s="259">
        <v>0</v>
      </c>
      <c r="BD39" s="259">
        <v>0</v>
      </c>
      <c r="BE39" s="259">
        <v>0</v>
      </c>
      <c r="BF39" s="259">
        <v>0</v>
      </c>
      <c r="BG39" s="259">
        <v>0</v>
      </c>
      <c r="BH39" s="259">
        <v>0</v>
      </c>
      <c r="BI39" s="259">
        <v>0</v>
      </c>
      <c r="BJ39" s="259">
        <v>0</v>
      </c>
      <c r="BK39" s="259">
        <v>0</v>
      </c>
      <c r="BL39" s="259">
        <v>0</v>
      </c>
      <c r="BM39" s="259">
        <v>0</v>
      </c>
      <c r="BN39" s="259">
        <v>0</v>
      </c>
      <c r="BO39" s="259">
        <v>0</v>
      </c>
      <c r="BP39" s="259">
        <v>0</v>
      </c>
      <c r="BQ39" s="259">
        <v>0</v>
      </c>
      <c r="BR39" s="259">
        <v>0</v>
      </c>
      <c r="BS39" s="259">
        <v>0</v>
      </c>
      <c r="BT39" s="259">
        <v>0</v>
      </c>
      <c r="BU39" s="259">
        <v>0</v>
      </c>
      <c r="BV39" s="259">
        <v>0</v>
      </c>
      <c r="BW39" s="259">
        <v>0</v>
      </c>
      <c r="BX39" s="259">
        <v>0</v>
      </c>
      <c r="BY39" s="259">
        <v>0</v>
      </c>
      <c r="CB39" s="275">
        <v>54</v>
      </c>
      <c r="CC39" s="274">
        <v>1935652</v>
      </c>
      <c r="CD39" s="274">
        <v>1850400</v>
      </c>
      <c r="CE39" s="274">
        <v>1762164</v>
      </c>
      <c r="CF39" s="274">
        <v>1670840</v>
      </c>
      <c r="CG39" s="274">
        <v>1576319</v>
      </c>
      <c r="CH39" s="274">
        <v>1478490</v>
      </c>
      <c r="CI39" s="274">
        <v>1377237</v>
      </c>
      <c r="CJ39" s="274">
        <v>1272441</v>
      </c>
      <c r="CK39" s="274">
        <v>1163976</v>
      </c>
      <c r="CL39" s="274">
        <v>1051715</v>
      </c>
      <c r="CM39" s="274">
        <v>935525</v>
      </c>
      <c r="CN39" s="274">
        <v>815269</v>
      </c>
      <c r="CO39" s="274">
        <v>690803</v>
      </c>
      <c r="CP39" s="274">
        <v>561981</v>
      </c>
      <c r="CQ39" s="274">
        <v>428650</v>
      </c>
      <c r="CR39" s="274">
        <v>290653</v>
      </c>
      <c r="CS39" s="274">
        <v>147826</v>
      </c>
    </row>
    <row r="40" spans="10:97" x14ac:dyDescent="0.25">
      <c r="J40" s="114">
        <v>38</v>
      </c>
      <c r="K40" s="264">
        <v>3.55</v>
      </c>
      <c r="L40" s="263">
        <v>4.49</v>
      </c>
      <c r="O40" s="114">
        <v>38</v>
      </c>
      <c r="P40" s="264">
        <v>4.25</v>
      </c>
      <c r="Q40" s="263">
        <v>5.53</v>
      </c>
      <c r="Y40" s="114">
        <v>55</v>
      </c>
      <c r="Z40" s="101">
        <v>16.89</v>
      </c>
      <c r="AA40" s="273">
        <v>12</v>
      </c>
      <c r="AD40" s="114">
        <v>37</v>
      </c>
      <c r="AE40" s="272">
        <f t="shared" si="0"/>
        <v>20.711196569816181</v>
      </c>
      <c r="AH40" s="260">
        <v>53</v>
      </c>
      <c r="AI40" s="259">
        <v>5.71</v>
      </c>
      <c r="AJ40" s="259">
        <v>5.93</v>
      </c>
      <c r="AK40" s="259">
        <v>6.11</v>
      </c>
      <c r="AL40" s="259">
        <v>6.27</v>
      </c>
      <c r="AM40" s="259">
        <v>6.4</v>
      </c>
      <c r="AN40" s="259">
        <v>6.53</v>
      </c>
      <c r="AO40" s="259">
        <v>6.65</v>
      </c>
      <c r="AP40" s="259">
        <v>6.78</v>
      </c>
      <c r="AQ40" s="259">
        <v>0</v>
      </c>
      <c r="AR40" s="259">
        <v>0</v>
      </c>
      <c r="AS40" s="259">
        <v>0</v>
      </c>
      <c r="AT40" s="259">
        <v>0</v>
      </c>
      <c r="AU40" s="259">
        <v>0</v>
      </c>
      <c r="AV40" s="259">
        <v>0</v>
      </c>
      <c r="AW40" s="259">
        <v>0</v>
      </c>
      <c r="AX40" s="259">
        <v>0</v>
      </c>
      <c r="AY40" s="259">
        <v>0</v>
      </c>
      <c r="AZ40" s="259">
        <v>0</v>
      </c>
      <c r="BA40" s="259">
        <v>0</v>
      </c>
      <c r="BB40" s="259">
        <v>0</v>
      </c>
      <c r="BC40" s="259">
        <v>0</v>
      </c>
      <c r="BD40" s="259">
        <v>0</v>
      </c>
      <c r="BE40" s="259">
        <v>0</v>
      </c>
      <c r="BF40" s="259">
        <v>0</v>
      </c>
      <c r="BG40" s="259">
        <v>0</v>
      </c>
      <c r="BH40" s="259">
        <v>0</v>
      </c>
      <c r="BI40" s="259">
        <v>0</v>
      </c>
      <c r="BJ40" s="259">
        <v>0</v>
      </c>
      <c r="BK40" s="259">
        <v>0</v>
      </c>
      <c r="BL40" s="259">
        <v>0</v>
      </c>
      <c r="BM40" s="259">
        <v>0</v>
      </c>
      <c r="BN40" s="259">
        <v>0</v>
      </c>
      <c r="BO40" s="259">
        <v>0</v>
      </c>
      <c r="BP40" s="259">
        <v>0</v>
      </c>
      <c r="BQ40" s="259">
        <v>0</v>
      </c>
      <c r="BR40" s="259">
        <v>0</v>
      </c>
      <c r="BS40" s="259">
        <v>0</v>
      </c>
      <c r="BT40" s="259">
        <v>0</v>
      </c>
      <c r="BU40" s="259">
        <v>0</v>
      </c>
      <c r="BV40" s="259">
        <v>0</v>
      </c>
      <c r="BW40" s="259">
        <v>0</v>
      </c>
      <c r="BX40" s="259">
        <v>0</v>
      </c>
      <c r="BY40" s="259">
        <v>0</v>
      </c>
      <c r="CB40" s="275">
        <v>55</v>
      </c>
      <c r="CC40" s="274">
        <v>2125422</v>
      </c>
      <c r="CD40" s="274">
        <v>2031812</v>
      </c>
      <c r="CE40" s="274">
        <v>1934925</v>
      </c>
      <c r="CF40" s="274">
        <v>1834647</v>
      </c>
      <c r="CG40" s="274">
        <v>1730860</v>
      </c>
      <c r="CH40" s="274">
        <v>1623440</v>
      </c>
      <c r="CI40" s="274">
        <v>1512261</v>
      </c>
      <c r="CJ40" s="274">
        <v>1397190</v>
      </c>
      <c r="CK40" s="274">
        <v>1278091</v>
      </c>
      <c r="CL40" s="274">
        <v>1154825</v>
      </c>
      <c r="CM40" s="274">
        <v>1027243</v>
      </c>
      <c r="CN40" s="274">
        <v>895197</v>
      </c>
      <c r="CO40" s="274">
        <v>758529</v>
      </c>
      <c r="CP40" s="274">
        <v>617077</v>
      </c>
      <c r="CQ40" s="274">
        <v>470675</v>
      </c>
      <c r="CR40" s="274">
        <v>319149</v>
      </c>
      <c r="CS40" s="274">
        <v>162319</v>
      </c>
    </row>
    <row r="41" spans="10:97" x14ac:dyDescent="0.25">
      <c r="J41" s="114">
        <v>39</v>
      </c>
      <c r="K41" s="264">
        <v>4.04</v>
      </c>
      <c r="L41" s="263">
        <v>4.87</v>
      </c>
      <c r="O41" s="114">
        <v>39</v>
      </c>
      <c r="P41" s="264">
        <v>4.7300000000000004</v>
      </c>
      <c r="Q41" s="263">
        <v>5.97</v>
      </c>
      <c r="Y41" s="114">
        <v>56</v>
      </c>
      <c r="Z41" s="101">
        <v>18.36</v>
      </c>
      <c r="AA41" s="273">
        <v>12.75</v>
      </c>
      <c r="AD41" s="114">
        <v>38</v>
      </c>
      <c r="AE41" s="272">
        <f t="shared" si="0"/>
        <v>20.977144449984124</v>
      </c>
      <c r="AH41" s="260">
        <v>54</v>
      </c>
      <c r="AI41" s="259">
        <v>6.1</v>
      </c>
      <c r="AJ41" s="259">
        <v>6.33</v>
      </c>
      <c r="AK41" s="259">
        <v>6.51</v>
      </c>
      <c r="AL41" s="259">
        <v>6.67</v>
      </c>
      <c r="AM41" s="259">
        <v>6.82</v>
      </c>
      <c r="AN41" s="259">
        <v>6.96</v>
      </c>
      <c r="AO41" s="259">
        <v>7.1</v>
      </c>
      <c r="AP41" s="259">
        <v>0</v>
      </c>
      <c r="AQ41" s="259">
        <v>0</v>
      </c>
      <c r="AR41" s="259">
        <v>0</v>
      </c>
      <c r="AS41" s="259">
        <v>0</v>
      </c>
      <c r="AT41" s="259">
        <v>0</v>
      </c>
      <c r="AU41" s="259">
        <v>0</v>
      </c>
      <c r="AV41" s="259">
        <v>0</v>
      </c>
      <c r="AW41" s="259">
        <v>0</v>
      </c>
      <c r="AX41" s="259">
        <v>0</v>
      </c>
      <c r="AY41" s="259">
        <v>0</v>
      </c>
      <c r="AZ41" s="259">
        <v>0</v>
      </c>
      <c r="BA41" s="259">
        <v>0</v>
      </c>
      <c r="BB41" s="259">
        <v>0</v>
      </c>
      <c r="BC41" s="259">
        <v>0</v>
      </c>
      <c r="BD41" s="259">
        <v>0</v>
      </c>
      <c r="BE41" s="259">
        <v>0</v>
      </c>
      <c r="BF41" s="259">
        <v>0</v>
      </c>
      <c r="BG41" s="259">
        <v>0</v>
      </c>
      <c r="BH41" s="259">
        <v>0</v>
      </c>
      <c r="BI41" s="259">
        <v>0</v>
      </c>
      <c r="BJ41" s="259">
        <v>0</v>
      </c>
      <c r="BK41" s="259">
        <v>0</v>
      </c>
      <c r="BL41" s="259">
        <v>0</v>
      </c>
      <c r="BM41" s="259">
        <v>0</v>
      </c>
      <c r="BN41" s="259">
        <v>0</v>
      </c>
      <c r="BO41" s="259">
        <v>0</v>
      </c>
      <c r="BP41" s="259">
        <v>0</v>
      </c>
      <c r="BQ41" s="259">
        <v>0</v>
      </c>
      <c r="BR41" s="259">
        <v>0</v>
      </c>
      <c r="BS41" s="259">
        <v>0</v>
      </c>
      <c r="BT41" s="259">
        <v>0</v>
      </c>
      <c r="BU41" s="259">
        <v>0</v>
      </c>
      <c r="BV41" s="259">
        <v>0</v>
      </c>
      <c r="BW41" s="259">
        <v>0</v>
      </c>
      <c r="BX41" s="259">
        <v>0</v>
      </c>
      <c r="BY41" s="259">
        <v>0</v>
      </c>
      <c r="CB41" s="275">
        <v>56</v>
      </c>
      <c r="CC41" s="274">
        <v>2327843</v>
      </c>
      <c r="CD41" s="274">
        <v>2225317</v>
      </c>
      <c r="CE41" s="274">
        <v>2119204</v>
      </c>
      <c r="CF41" s="274">
        <v>2009376</v>
      </c>
      <c r="CG41" s="274">
        <v>1895704</v>
      </c>
      <c r="CH41" s="274">
        <v>1778054</v>
      </c>
      <c r="CI41" s="274">
        <v>1656285</v>
      </c>
      <c r="CJ41" s="274">
        <v>1530255</v>
      </c>
      <c r="CK41" s="274">
        <v>1399814</v>
      </c>
      <c r="CL41" s="274">
        <v>1264808</v>
      </c>
      <c r="CM41" s="274">
        <v>1125076</v>
      </c>
      <c r="CN41" s="274">
        <v>980454</v>
      </c>
      <c r="CO41" s="274">
        <v>830770</v>
      </c>
      <c r="CP41" s="274">
        <v>675847</v>
      </c>
      <c r="CQ41" s="274">
        <v>515501</v>
      </c>
      <c r="CR41" s="274">
        <v>349544</v>
      </c>
      <c r="CS41" s="274">
        <v>177778</v>
      </c>
    </row>
    <row r="42" spans="10:97" x14ac:dyDescent="0.25">
      <c r="J42" s="114">
        <v>40</v>
      </c>
      <c r="K42" s="264">
        <v>4.62</v>
      </c>
      <c r="L42" s="263">
        <v>5.27</v>
      </c>
      <c r="O42" s="114">
        <v>40</v>
      </c>
      <c r="P42" s="264">
        <v>5.29</v>
      </c>
      <c r="Q42" s="263">
        <v>6.46</v>
      </c>
      <c r="Y42" s="114">
        <v>57</v>
      </c>
      <c r="Z42" s="101">
        <v>20.03</v>
      </c>
      <c r="AA42" s="273">
        <v>13.47</v>
      </c>
      <c r="AD42" s="114">
        <v>39</v>
      </c>
      <c r="AE42" s="272">
        <f t="shared" si="0"/>
        <v>21.23409892357634</v>
      </c>
      <c r="AH42" s="260">
        <v>55</v>
      </c>
      <c r="AI42" s="259">
        <v>6.49</v>
      </c>
      <c r="AJ42" s="259">
        <v>6.72</v>
      </c>
      <c r="AK42" s="259">
        <v>6.92</v>
      </c>
      <c r="AL42" s="259">
        <v>7.1</v>
      </c>
      <c r="AM42" s="259">
        <v>7.26</v>
      </c>
      <c r="AN42" s="259">
        <v>7.42</v>
      </c>
      <c r="AO42" s="259">
        <v>0</v>
      </c>
      <c r="AP42" s="259">
        <v>0</v>
      </c>
      <c r="AQ42" s="259">
        <v>0</v>
      </c>
      <c r="AR42" s="259">
        <v>0</v>
      </c>
      <c r="AS42" s="259">
        <v>0</v>
      </c>
      <c r="AT42" s="259">
        <v>0</v>
      </c>
      <c r="AU42" s="259">
        <v>0</v>
      </c>
      <c r="AV42" s="259">
        <v>0</v>
      </c>
      <c r="AW42" s="259">
        <v>0</v>
      </c>
      <c r="AX42" s="259">
        <v>0</v>
      </c>
      <c r="AY42" s="259">
        <v>0</v>
      </c>
      <c r="AZ42" s="259">
        <v>0</v>
      </c>
      <c r="BA42" s="259">
        <v>0</v>
      </c>
      <c r="BB42" s="259">
        <v>0</v>
      </c>
      <c r="BC42" s="259">
        <v>0</v>
      </c>
      <c r="BD42" s="259">
        <v>0</v>
      </c>
      <c r="BE42" s="259">
        <v>0</v>
      </c>
      <c r="BF42" s="259">
        <v>0</v>
      </c>
      <c r="BG42" s="259">
        <v>0</v>
      </c>
      <c r="BH42" s="259">
        <v>0</v>
      </c>
      <c r="BI42" s="259">
        <v>0</v>
      </c>
      <c r="BJ42" s="259">
        <v>0</v>
      </c>
      <c r="BK42" s="259">
        <v>0</v>
      </c>
      <c r="BL42" s="259">
        <v>0</v>
      </c>
      <c r="BM42" s="259">
        <v>0</v>
      </c>
      <c r="BN42" s="259">
        <v>0</v>
      </c>
      <c r="BO42" s="259">
        <v>0</v>
      </c>
      <c r="BP42" s="259">
        <v>0</v>
      </c>
      <c r="BQ42" s="259">
        <v>0</v>
      </c>
      <c r="BR42" s="259">
        <v>0</v>
      </c>
      <c r="BS42" s="259">
        <v>0</v>
      </c>
      <c r="BT42" s="259">
        <v>0</v>
      </c>
      <c r="BU42" s="259">
        <v>0</v>
      </c>
      <c r="BV42" s="259">
        <v>0</v>
      </c>
      <c r="BW42" s="259">
        <v>0</v>
      </c>
      <c r="BX42" s="259">
        <v>0</v>
      </c>
      <c r="BY42" s="259">
        <v>0</v>
      </c>
      <c r="CB42" s="275">
        <v>57</v>
      </c>
      <c r="CC42" s="274">
        <v>2530264</v>
      </c>
      <c r="CD42" s="274">
        <v>2418823</v>
      </c>
      <c r="CE42" s="274">
        <v>2303482</v>
      </c>
      <c r="CF42" s="274">
        <v>2184104</v>
      </c>
      <c r="CG42" s="274">
        <v>2060548</v>
      </c>
      <c r="CH42" s="274">
        <v>1932667</v>
      </c>
      <c r="CI42" s="274">
        <v>1800310</v>
      </c>
      <c r="CJ42" s="274">
        <v>1663321</v>
      </c>
      <c r="CK42" s="274">
        <v>1521537</v>
      </c>
      <c r="CL42" s="274">
        <v>1374791</v>
      </c>
      <c r="CM42" s="274">
        <v>1222909</v>
      </c>
      <c r="CN42" s="274">
        <v>1065711</v>
      </c>
      <c r="CO42" s="274">
        <v>903010</v>
      </c>
      <c r="CP42" s="274">
        <v>734616</v>
      </c>
      <c r="CQ42" s="274">
        <v>560327</v>
      </c>
      <c r="CR42" s="274">
        <v>379939</v>
      </c>
      <c r="CS42" s="274">
        <v>193237</v>
      </c>
    </row>
    <row r="43" spans="10:97" x14ac:dyDescent="0.25">
      <c r="J43" s="114">
        <v>41</v>
      </c>
      <c r="K43" s="264">
        <v>5.24</v>
      </c>
      <c r="L43" s="263">
        <v>5.69</v>
      </c>
      <c r="O43" s="114">
        <v>41</v>
      </c>
      <c r="P43" s="264">
        <v>5.88</v>
      </c>
      <c r="Q43" s="263">
        <v>6.93</v>
      </c>
      <c r="Y43" s="114">
        <v>58</v>
      </c>
      <c r="Z43" s="101">
        <v>21.89</v>
      </c>
      <c r="AA43" s="273">
        <v>14.28</v>
      </c>
      <c r="AD43" s="114">
        <v>40</v>
      </c>
      <c r="AE43" s="272">
        <f t="shared" si="0"/>
        <v>21.482364115452878</v>
      </c>
      <c r="AH43" s="260">
        <v>56</v>
      </c>
      <c r="AI43" s="259">
        <v>6.87</v>
      </c>
      <c r="AJ43" s="259">
        <v>7.13</v>
      </c>
      <c r="AK43" s="259">
        <v>7.35</v>
      </c>
      <c r="AL43" s="259">
        <v>7.55</v>
      </c>
      <c r="AM43" s="259">
        <v>7.74</v>
      </c>
      <c r="AN43" s="259">
        <v>0</v>
      </c>
      <c r="AO43" s="259">
        <v>0</v>
      </c>
      <c r="AP43" s="259">
        <v>0</v>
      </c>
      <c r="AQ43" s="259">
        <v>0</v>
      </c>
      <c r="AR43" s="259">
        <v>0</v>
      </c>
      <c r="AS43" s="259">
        <v>0</v>
      </c>
      <c r="AT43" s="259">
        <v>0</v>
      </c>
      <c r="AU43" s="259">
        <v>0</v>
      </c>
      <c r="AV43" s="259">
        <v>0</v>
      </c>
      <c r="AW43" s="259">
        <v>0</v>
      </c>
      <c r="AX43" s="259">
        <v>0</v>
      </c>
      <c r="AY43" s="259">
        <v>0</v>
      </c>
      <c r="AZ43" s="259">
        <v>0</v>
      </c>
      <c r="BA43" s="259">
        <v>0</v>
      </c>
      <c r="BB43" s="259">
        <v>0</v>
      </c>
      <c r="BC43" s="259">
        <v>0</v>
      </c>
      <c r="BD43" s="259">
        <v>0</v>
      </c>
      <c r="BE43" s="259">
        <v>0</v>
      </c>
      <c r="BF43" s="259">
        <v>0</v>
      </c>
      <c r="BG43" s="259">
        <v>0</v>
      </c>
      <c r="BH43" s="259">
        <v>0</v>
      </c>
      <c r="BI43" s="259">
        <v>0</v>
      </c>
      <c r="BJ43" s="259">
        <v>0</v>
      </c>
      <c r="BK43" s="259">
        <v>0</v>
      </c>
      <c r="BL43" s="259">
        <v>0</v>
      </c>
      <c r="BM43" s="259">
        <v>0</v>
      </c>
      <c r="BN43" s="259">
        <v>0</v>
      </c>
      <c r="BO43" s="259">
        <v>0</v>
      </c>
      <c r="BP43" s="259">
        <v>0</v>
      </c>
      <c r="BQ43" s="259">
        <v>0</v>
      </c>
      <c r="BR43" s="259">
        <v>0</v>
      </c>
      <c r="BS43" s="259">
        <v>0</v>
      </c>
      <c r="BT43" s="259">
        <v>0</v>
      </c>
      <c r="BU43" s="259">
        <v>0</v>
      </c>
      <c r="BV43" s="259">
        <v>0</v>
      </c>
      <c r="BW43" s="259">
        <v>0</v>
      </c>
      <c r="BX43" s="259">
        <v>0</v>
      </c>
      <c r="BY43" s="259">
        <v>0</v>
      </c>
      <c r="CB43" s="275">
        <v>58</v>
      </c>
      <c r="CC43" s="274">
        <v>2745337</v>
      </c>
      <c r="CD43" s="274">
        <v>2624423</v>
      </c>
      <c r="CE43" s="274">
        <v>2499278</v>
      </c>
      <c r="CF43" s="274">
        <v>2369753</v>
      </c>
      <c r="CG43" s="274">
        <v>2235694</v>
      </c>
      <c r="CH43" s="274">
        <v>2096944</v>
      </c>
      <c r="CI43" s="274">
        <v>1953337</v>
      </c>
      <c r="CJ43" s="274">
        <v>1804703</v>
      </c>
      <c r="CK43" s="274">
        <v>1650868</v>
      </c>
      <c r="CL43" s="274">
        <v>1491648</v>
      </c>
      <c r="CM43" s="274">
        <v>1326856</v>
      </c>
      <c r="CN43" s="274">
        <v>1156296</v>
      </c>
      <c r="CO43" s="274">
        <v>979766</v>
      </c>
      <c r="CP43" s="274">
        <v>797058</v>
      </c>
      <c r="CQ43" s="274">
        <v>607955</v>
      </c>
      <c r="CR43" s="274">
        <v>412234</v>
      </c>
      <c r="CS43" s="274">
        <v>209662</v>
      </c>
    </row>
    <row r="44" spans="10:97" x14ac:dyDescent="0.25">
      <c r="J44" s="114">
        <v>42</v>
      </c>
      <c r="K44" s="264">
        <v>5.91</v>
      </c>
      <c r="L44" s="263">
        <v>6.11</v>
      </c>
      <c r="O44" s="114">
        <v>42</v>
      </c>
      <c r="P44" s="264">
        <v>6.55</v>
      </c>
      <c r="Q44" s="263">
        <v>7.53</v>
      </c>
      <c r="Y44" s="114">
        <v>59</v>
      </c>
      <c r="Z44" s="101">
        <v>23.92</v>
      </c>
      <c r="AA44" s="273">
        <v>15.03</v>
      </c>
      <c r="AD44" s="114">
        <v>41</v>
      </c>
      <c r="AE44" s="272">
        <f t="shared" si="0"/>
        <v>21.722233866058229</v>
      </c>
      <c r="AH44" s="260">
        <v>57</v>
      </c>
      <c r="AI44" s="259">
        <v>7.28</v>
      </c>
      <c r="AJ44" s="259">
        <v>7.56</v>
      </c>
      <c r="AK44" s="259">
        <v>7.81</v>
      </c>
      <c r="AL44" s="259">
        <v>8.0399999999999991</v>
      </c>
      <c r="AM44" s="259">
        <v>0</v>
      </c>
      <c r="AN44" s="259">
        <v>0</v>
      </c>
      <c r="AO44" s="259">
        <v>0</v>
      </c>
      <c r="AP44" s="259">
        <v>0</v>
      </c>
      <c r="AQ44" s="259">
        <v>0</v>
      </c>
      <c r="AR44" s="259">
        <v>0</v>
      </c>
      <c r="AS44" s="259">
        <v>0</v>
      </c>
      <c r="AT44" s="259">
        <v>0</v>
      </c>
      <c r="AU44" s="259">
        <v>0</v>
      </c>
      <c r="AV44" s="259">
        <v>0</v>
      </c>
      <c r="AW44" s="259">
        <v>0</v>
      </c>
      <c r="AX44" s="259">
        <v>0</v>
      </c>
      <c r="AY44" s="259">
        <v>0</v>
      </c>
      <c r="AZ44" s="259">
        <v>0</v>
      </c>
      <c r="BA44" s="259">
        <v>0</v>
      </c>
      <c r="BB44" s="259">
        <v>0</v>
      </c>
      <c r="BC44" s="259">
        <v>0</v>
      </c>
      <c r="BD44" s="259">
        <v>0</v>
      </c>
      <c r="BE44" s="259">
        <v>0</v>
      </c>
      <c r="BF44" s="259">
        <v>0</v>
      </c>
      <c r="BG44" s="259">
        <v>0</v>
      </c>
      <c r="BH44" s="259">
        <v>0</v>
      </c>
      <c r="BI44" s="259">
        <v>0</v>
      </c>
      <c r="BJ44" s="259">
        <v>0</v>
      </c>
      <c r="BK44" s="259">
        <v>0</v>
      </c>
      <c r="BL44" s="259">
        <v>0</v>
      </c>
      <c r="BM44" s="259">
        <v>0</v>
      </c>
      <c r="BN44" s="259">
        <v>0</v>
      </c>
      <c r="BO44" s="259">
        <v>0</v>
      </c>
      <c r="BP44" s="259">
        <v>0</v>
      </c>
      <c r="BQ44" s="259">
        <v>0</v>
      </c>
      <c r="BR44" s="259">
        <v>0</v>
      </c>
      <c r="BS44" s="259">
        <v>0</v>
      </c>
      <c r="BT44" s="259">
        <v>0</v>
      </c>
      <c r="BU44" s="259">
        <v>0</v>
      </c>
      <c r="BV44" s="259">
        <v>0</v>
      </c>
      <c r="BW44" s="259">
        <v>0</v>
      </c>
      <c r="BX44" s="259">
        <v>0</v>
      </c>
      <c r="BY44" s="259">
        <v>0</v>
      </c>
      <c r="CB44" s="275">
        <v>59</v>
      </c>
      <c r="CC44" s="274">
        <v>2985712</v>
      </c>
      <c r="CD44" s="274">
        <v>2854212</v>
      </c>
      <c r="CE44" s="274">
        <v>2718109</v>
      </c>
      <c r="CF44" s="274">
        <v>2577243</v>
      </c>
      <c r="CG44" s="274">
        <v>2431446</v>
      </c>
      <c r="CH44" s="274">
        <v>2280547</v>
      </c>
      <c r="CI44" s="274">
        <v>2124366</v>
      </c>
      <c r="CJ44" s="274">
        <v>1962719</v>
      </c>
      <c r="CK44" s="274">
        <v>1795414</v>
      </c>
      <c r="CL44" s="274">
        <v>1622254</v>
      </c>
      <c r="CM44" s="274">
        <v>1443032</v>
      </c>
      <c r="CN44" s="274">
        <v>1257539</v>
      </c>
      <c r="CO44" s="274">
        <v>1065552</v>
      </c>
      <c r="CP44" s="274">
        <v>866847</v>
      </c>
      <c r="CQ44" s="274">
        <v>661186</v>
      </c>
      <c r="CR44" s="274">
        <v>448328</v>
      </c>
      <c r="CS44" s="274">
        <v>228019</v>
      </c>
    </row>
    <row r="45" spans="10:97" x14ac:dyDescent="0.25">
      <c r="J45" s="114">
        <v>43</v>
      </c>
      <c r="K45" s="264">
        <v>6.45</v>
      </c>
      <c r="L45" s="263">
        <v>6.51</v>
      </c>
      <c r="O45" s="114">
        <v>43</v>
      </c>
      <c r="P45" s="264">
        <v>7.13</v>
      </c>
      <c r="Q45" s="263">
        <v>8.17</v>
      </c>
      <c r="Y45" s="114">
        <v>60</v>
      </c>
      <c r="Z45" s="101">
        <v>26.25</v>
      </c>
      <c r="AA45" s="273">
        <v>15.97</v>
      </c>
      <c r="AD45" s="114">
        <v>42</v>
      </c>
      <c r="AE45" s="272">
        <f t="shared" si="0"/>
        <v>21.953992079203495</v>
      </c>
      <c r="AH45" s="260">
        <v>58</v>
      </c>
      <c r="AI45" s="259">
        <v>7.73</v>
      </c>
      <c r="AJ45" s="259">
        <v>8.0500000000000007</v>
      </c>
      <c r="AK45" s="259">
        <v>8.35</v>
      </c>
      <c r="AL45" s="259">
        <v>0</v>
      </c>
      <c r="AM45" s="259">
        <v>0</v>
      </c>
      <c r="AN45" s="259">
        <v>0</v>
      </c>
      <c r="AO45" s="259">
        <v>0</v>
      </c>
      <c r="AP45" s="259">
        <v>0</v>
      </c>
      <c r="AQ45" s="259">
        <v>0</v>
      </c>
      <c r="AR45" s="259">
        <v>0</v>
      </c>
      <c r="AS45" s="259">
        <v>0</v>
      </c>
      <c r="AT45" s="259">
        <v>0</v>
      </c>
      <c r="AU45" s="259">
        <v>0</v>
      </c>
      <c r="AV45" s="259">
        <v>0</v>
      </c>
      <c r="AW45" s="259">
        <v>0</v>
      </c>
      <c r="AX45" s="259">
        <v>0</v>
      </c>
      <c r="AY45" s="259">
        <v>0</v>
      </c>
      <c r="AZ45" s="259">
        <v>0</v>
      </c>
      <c r="BA45" s="259">
        <v>0</v>
      </c>
      <c r="BB45" s="259">
        <v>0</v>
      </c>
      <c r="BC45" s="259">
        <v>0</v>
      </c>
      <c r="BD45" s="259">
        <v>0</v>
      </c>
      <c r="BE45" s="259">
        <v>0</v>
      </c>
      <c r="BF45" s="259">
        <v>0</v>
      </c>
      <c r="BG45" s="259">
        <v>0</v>
      </c>
      <c r="BH45" s="259">
        <v>0</v>
      </c>
      <c r="BI45" s="259">
        <v>0</v>
      </c>
      <c r="BJ45" s="259">
        <v>0</v>
      </c>
      <c r="BK45" s="259">
        <v>0</v>
      </c>
      <c r="BL45" s="259">
        <v>0</v>
      </c>
      <c r="BM45" s="259">
        <v>0</v>
      </c>
      <c r="BN45" s="259">
        <v>0</v>
      </c>
      <c r="BO45" s="259">
        <v>0</v>
      </c>
      <c r="BP45" s="259">
        <v>0</v>
      </c>
      <c r="BQ45" s="259">
        <v>0</v>
      </c>
      <c r="BR45" s="259">
        <v>0</v>
      </c>
      <c r="BS45" s="259">
        <v>0</v>
      </c>
      <c r="BT45" s="259">
        <v>0</v>
      </c>
      <c r="BU45" s="259">
        <v>0</v>
      </c>
      <c r="BV45" s="259">
        <v>0</v>
      </c>
      <c r="BW45" s="259">
        <v>0</v>
      </c>
      <c r="BX45" s="259">
        <v>0</v>
      </c>
      <c r="BY45" s="259">
        <v>0</v>
      </c>
    </row>
    <row r="46" spans="10:97" x14ac:dyDescent="0.25">
      <c r="J46" s="114">
        <v>44</v>
      </c>
      <c r="K46" s="264">
        <v>7.02</v>
      </c>
      <c r="L46" s="263">
        <v>6.98</v>
      </c>
      <c r="O46" s="114">
        <v>44</v>
      </c>
      <c r="P46" s="264">
        <v>7.76</v>
      </c>
      <c r="Q46" s="263">
        <v>8.7799999999999994</v>
      </c>
      <c r="Y46" s="114">
        <v>61</v>
      </c>
      <c r="Z46" s="101">
        <v>28.86</v>
      </c>
      <c r="AA46" s="273">
        <v>16.89</v>
      </c>
      <c r="AD46" s="114">
        <v>43</v>
      </c>
      <c r="AE46" s="272">
        <f t="shared" si="0"/>
        <v>22.17791305808781</v>
      </c>
      <c r="AH46" s="260">
        <v>59</v>
      </c>
      <c r="AI46" s="259">
        <v>8.26</v>
      </c>
      <c r="AJ46" s="259">
        <v>8.64</v>
      </c>
      <c r="AK46" s="259">
        <v>0</v>
      </c>
      <c r="AL46" s="259">
        <v>0</v>
      </c>
      <c r="AM46" s="259">
        <v>0</v>
      </c>
      <c r="AN46" s="259">
        <v>0</v>
      </c>
      <c r="AO46" s="259">
        <v>0</v>
      </c>
      <c r="AP46" s="259">
        <v>0</v>
      </c>
      <c r="AQ46" s="259">
        <v>0</v>
      </c>
      <c r="AR46" s="259">
        <v>0</v>
      </c>
      <c r="AS46" s="259">
        <v>0</v>
      </c>
      <c r="AT46" s="259">
        <v>0</v>
      </c>
      <c r="AU46" s="259">
        <v>0</v>
      </c>
      <c r="AV46" s="259">
        <v>0</v>
      </c>
      <c r="AW46" s="259">
        <v>0</v>
      </c>
      <c r="AX46" s="259">
        <v>0</v>
      </c>
      <c r="AY46" s="259">
        <v>0</v>
      </c>
      <c r="AZ46" s="259">
        <v>0</v>
      </c>
      <c r="BA46" s="259">
        <v>0</v>
      </c>
      <c r="BB46" s="259">
        <v>0</v>
      </c>
      <c r="BC46" s="259">
        <v>0</v>
      </c>
      <c r="BD46" s="259">
        <v>0</v>
      </c>
      <c r="BE46" s="259">
        <v>0</v>
      </c>
      <c r="BF46" s="259">
        <v>0</v>
      </c>
      <c r="BG46" s="259">
        <v>0</v>
      </c>
      <c r="BH46" s="259">
        <v>0</v>
      </c>
      <c r="BI46" s="259">
        <v>0</v>
      </c>
      <c r="BJ46" s="259">
        <v>0</v>
      </c>
      <c r="BK46" s="259">
        <v>0</v>
      </c>
      <c r="BL46" s="259">
        <v>0</v>
      </c>
      <c r="BM46" s="259">
        <v>0</v>
      </c>
      <c r="BN46" s="259">
        <v>0</v>
      </c>
      <c r="BO46" s="259">
        <v>0</v>
      </c>
      <c r="BP46" s="259">
        <v>0</v>
      </c>
      <c r="BQ46" s="259">
        <v>0</v>
      </c>
      <c r="BR46" s="259">
        <v>0</v>
      </c>
      <c r="BS46" s="259">
        <v>0</v>
      </c>
      <c r="BT46" s="259">
        <v>0</v>
      </c>
      <c r="BU46" s="259">
        <v>0</v>
      </c>
      <c r="BV46" s="259">
        <v>0</v>
      </c>
      <c r="BW46" s="259">
        <v>0</v>
      </c>
      <c r="BX46" s="259">
        <v>0</v>
      </c>
      <c r="BY46" s="259">
        <v>0</v>
      </c>
    </row>
    <row r="47" spans="10:97" x14ac:dyDescent="0.25">
      <c r="J47" s="114">
        <v>45</v>
      </c>
      <c r="K47" s="264">
        <v>7.64</v>
      </c>
      <c r="L47" s="263">
        <v>7.44</v>
      </c>
      <c r="O47" s="114">
        <v>45</v>
      </c>
      <c r="P47" s="264">
        <v>8.4</v>
      </c>
      <c r="Q47" s="263">
        <v>9.4</v>
      </c>
      <c r="Y47" s="114">
        <v>62</v>
      </c>
      <c r="Z47" s="101">
        <v>31.81</v>
      </c>
      <c r="AA47" s="273">
        <v>17.940000000000001</v>
      </c>
      <c r="AD47" s="114">
        <v>44</v>
      </c>
      <c r="AE47" s="272">
        <f t="shared" si="0"/>
        <v>22.394261829956712</v>
      </c>
      <c r="AH47" s="260">
        <v>60</v>
      </c>
      <c r="AI47" s="259">
        <v>8.92</v>
      </c>
      <c r="AJ47" s="259">
        <v>0</v>
      </c>
      <c r="AK47" s="259">
        <v>0</v>
      </c>
      <c r="AL47" s="259">
        <v>0</v>
      </c>
      <c r="AM47" s="259">
        <v>0</v>
      </c>
      <c r="AN47" s="259">
        <v>0</v>
      </c>
      <c r="AO47" s="259">
        <v>0</v>
      </c>
      <c r="AP47" s="259">
        <v>0</v>
      </c>
      <c r="AQ47" s="259">
        <v>0</v>
      </c>
      <c r="AR47" s="259">
        <v>0</v>
      </c>
      <c r="AS47" s="259">
        <v>0</v>
      </c>
      <c r="AT47" s="259">
        <v>0</v>
      </c>
      <c r="AU47" s="259">
        <v>0</v>
      </c>
      <c r="AV47" s="259">
        <v>0</v>
      </c>
      <c r="AW47" s="259">
        <v>0</v>
      </c>
      <c r="AX47" s="259">
        <v>0</v>
      </c>
      <c r="AY47" s="259">
        <v>0</v>
      </c>
      <c r="AZ47" s="259">
        <v>0</v>
      </c>
      <c r="BA47" s="259">
        <v>0</v>
      </c>
      <c r="BB47" s="259">
        <v>0</v>
      </c>
      <c r="BC47" s="259">
        <v>0</v>
      </c>
      <c r="BD47" s="259">
        <v>0</v>
      </c>
      <c r="BE47" s="259">
        <v>0</v>
      </c>
      <c r="BF47" s="259">
        <v>0</v>
      </c>
      <c r="BG47" s="259">
        <v>0</v>
      </c>
      <c r="BH47" s="259">
        <v>0</v>
      </c>
      <c r="BI47" s="259">
        <v>0</v>
      </c>
      <c r="BJ47" s="259">
        <v>0</v>
      </c>
      <c r="BK47" s="259">
        <v>0</v>
      </c>
      <c r="BL47" s="259">
        <v>0</v>
      </c>
      <c r="BM47" s="259">
        <v>0</v>
      </c>
      <c r="BN47" s="259">
        <v>0</v>
      </c>
      <c r="BO47" s="259">
        <v>0</v>
      </c>
      <c r="BP47" s="259">
        <v>0</v>
      </c>
      <c r="BQ47" s="259">
        <v>0</v>
      </c>
      <c r="BR47" s="259">
        <v>0</v>
      </c>
      <c r="BS47" s="259">
        <v>0</v>
      </c>
      <c r="BT47" s="259">
        <v>0</v>
      </c>
      <c r="BU47" s="259">
        <v>0</v>
      </c>
      <c r="BV47" s="259">
        <v>0</v>
      </c>
      <c r="BW47" s="259">
        <v>0</v>
      </c>
      <c r="BX47" s="259">
        <v>0</v>
      </c>
      <c r="BY47" s="259">
        <v>0</v>
      </c>
    </row>
    <row r="48" spans="10:97" x14ac:dyDescent="0.25">
      <c r="J48" s="114">
        <v>46</v>
      </c>
      <c r="K48" s="264">
        <v>8.27</v>
      </c>
      <c r="L48" s="263">
        <v>7.87</v>
      </c>
      <c r="O48" s="114">
        <v>46</v>
      </c>
      <c r="P48" s="264">
        <v>9.24</v>
      </c>
      <c r="Q48" s="263">
        <v>10.130000000000001</v>
      </c>
      <c r="Y48" s="114">
        <v>63</v>
      </c>
      <c r="Z48" s="101">
        <v>36.33</v>
      </c>
      <c r="AA48" s="273">
        <v>19.61</v>
      </c>
      <c r="AD48" s="114">
        <v>45</v>
      </c>
      <c r="AE48" s="272">
        <f t="shared" si="0"/>
        <v>22.60329445978174</v>
      </c>
      <c r="AH48" s="269"/>
      <c r="AI48" s="268"/>
      <c r="AJ48" s="268"/>
      <c r="AK48" s="268"/>
      <c r="AL48" s="268"/>
      <c r="AM48" s="268"/>
      <c r="AN48" s="268"/>
      <c r="AO48" s="268"/>
      <c r="AP48" s="268"/>
      <c r="AQ48" s="268"/>
      <c r="AR48" s="267"/>
      <c r="AS48" s="266"/>
      <c r="AT48" s="266"/>
      <c r="AU48" s="266"/>
      <c r="AV48" s="266"/>
      <c r="AW48" s="266"/>
      <c r="AX48" s="266"/>
      <c r="AY48" s="266"/>
      <c r="AZ48" s="266"/>
      <c r="BA48" s="266"/>
      <c r="BB48" s="266"/>
      <c r="BC48" s="266"/>
      <c r="BD48" s="266"/>
      <c r="BE48" s="266"/>
      <c r="BF48" s="266"/>
      <c r="BG48" s="266"/>
      <c r="BH48" s="266"/>
      <c r="BI48" s="266"/>
      <c r="BJ48" s="266"/>
      <c r="BK48" s="266"/>
      <c r="BL48" s="266"/>
      <c r="BM48" s="266"/>
      <c r="BN48" s="266"/>
      <c r="BO48" s="266"/>
      <c r="BP48" s="266"/>
      <c r="BQ48" s="266"/>
      <c r="BR48" s="266"/>
      <c r="BS48" s="266"/>
      <c r="BT48" s="266"/>
      <c r="BU48" s="266"/>
      <c r="BV48" s="266"/>
      <c r="BW48" s="266"/>
      <c r="BX48" s="266"/>
      <c r="BY48" s="266"/>
    </row>
    <row r="49" spans="10:77" x14ac:dyDescent="0.25">
      <c r="J49" s="114">
        <v>47</v>
      </c>
      <c r="K49" s="264">
        <v>8.9499999999999993</v>
      </c>
      <c r="L49" s="263">
        <v>8.33</v>
      </c>
      <c r="O49" s="114">
        <v>47</v>
      </c>
      <c r="P49" s="264">
        <v>10.11</v>
      </c>
      <c r="Q49" s="263">
        <v>10.92</v>
      </c>
      <c r="Y49" s="115">
        <v>64</v>
      </c>
      <c r="Z49" s="137">
        <v>41.36</v>
      </c>
      <c r="AA49" s="271">
        <v>21.67</v>
      </c>
      <c r="AD49" s="115">
        <v>46</v>
      </c>
      <c r="AE49" s="270">
        <f t="shared" si="0"/>
        <v>22.805258353332491</v>
      </c>
      <c r="AH49" s="269"/>
      <c r="AI49" s="268"/>
      <c r="AJ49" s="268"/>
      <c r="AK49" s="268"/>
      <c r="AL49" s="268"/>
      <c r="AM49" s="268"/>
      <c r="AN49" s="268"/>
      <c r="AO49" s="268"/>
      <c r="AP49" s="268"/>
      <c r="AQ49" s="268"/>
      <c r="AR49" s="267"/>
      <c r="AS49" s="266"/>
      <c r="AT49" s="266"/>
      <c r="AU49" s="266"/>
      <c r="AV49" s="266"/>
      <c r="AW49" s="266"/>
      <c r="AX49" s="266"/>
      <c r="AY49" s="266"/>
      <c r="AZ49" s="266"/>
      <c r="BA49" s="266"/>
      <c r="BB49" s="266"/>
      <c r="BC49" s="266"/>
      <c r="BD49" s="266"/>
      <c r="BE49" s="266"/>
      <c r="BF49" s="266"/>
      <c r="BG49" s="266"/>
      <c r="BH49" s="266"/>
      <c r="BI49" s="266"/>
      <c r="BJ49" s="266"/>
      <c r="BK49" s="266"/>
      <c r="BL49" s="266"/>
      <c r="BM49" s="266"/>
      <c r="BN49" s="266"/>
      <c r="BO49" s="266"/>
      <c r="BP49" s="266"/>
      <c r="BQ49" s="266"/>
      <c r="BR49" s="266"/>
      <c r="BS49" s="266"/>
      <c r="BT49" s="266"/>
      <c r="BU49" s="266"/>
      <c r="BV49" s="266"/>
      <c r="BW49" s="266"/>
      <c r="BX49" s="266"/>
      <c r="BY49" s="266"/>
    </row>
    <row r="50" spans="10:77" x14ac:dyDescent="0.25">
      <c r="J50" s="114">
        <v>48</v>
      </c>
      <c r="K50" s="264">
        <v>9.8000000000000007</v>
      </c>
      <c r="L50" s="263">
        <v>8.82</v>
      </c>
      <c r="O50" s="114">
        <v>48</v>
      </c>
      <c r="P50" s="264">
        <v>11.16</v>
      </c>
      <c r="Q50" s="263">
        <v>11.67</v>
      </c>
      <c r="AH50" s="269"/>
      <c r="AI50" s="268"/>
      <c r="AJ50" s="268"/>
      <c r="AK50" s="268"/>
      <c r="AL50" s="268"/>
      <c r="AM50" s="268"/>
      <c r="AN50" s="268"/>
      <c r="AO50" s="268"/>
      <c r="AP50" s="268"/>
      <c r="AQ50" s="268"/>
      <c r="AR50" s="267"/>
      <c r="AS50" s="266"/>
      <c r="AT50" s="266"/>
      <c r="AU50" s="266"/>
      <c r="AV50" s="266"/>
      <c r="AW50" s="266"/>
      <c r="AX50" s="266"/>
      <c r="AY50" s="266"/>
      <c r="AZ50" s="266"/>
      <c r="BA50" s="266"/>
      <c r="BB50" s="266"/>
      <c r="BC50" s="266"/>
      <c r="BD50" s="266"/>
      <c r="BE50" s="266"/>
      <c r="BF50" s="266"/>
      <c r="BG50" s="266"/>
      <c r="BH50" s="266"/>
      <c r="BI50" s="266"/>
      <c r="BJ50" s="266"/>
      <c r="BK50" s="266"/>
      <c r="BL50" s="266"/>
      <c r="BM50" s="266"/>
      <c r="BN50" s="266"/>
      <c r="BO50" s="266"/>
      <c r="BP50" s="266"/>
      <c r="BQ50" s="266"/>
      <c r="BR50" s="266"/>
      <c r="BS50" s="266"/>
      <c r="BT50" s="266"/>
      <c r="BU50" s="266"/>
      <c r="BV50" s="266"/>
      <c r="BW50" s="266"/>
      <c r="BX50" s="266"/>
      <c r="BY50" s="266"/>
    </row>
    <row r="51" spans="10:77" x14ac:dyDescent="0.25">
      <c r="J51" s="114">
        <v>49</v>
      </c>
      <c r="K51" s="264">
        <v>10.75</v>
      </c>
      <c r="L51" s="263">
        <v>9.33</v>
      </c>
      <c r="O51" s="114">
        <v>49</v>
      </c>
      <c r="P51" s="264">
        <v>12.35</v>
      </c>
      <c r="Q51" s="263">
        <v>12.48</v>
      </c>
      <c r="AH51" s="269"/>
      <c r="AI51" s="268"/>
      <c r="AJ51" s="268"/>
      <c r="AK51" s="268"/>
      <c r="AL51" s="268"/>
      <c r="AM51" s="268"/>
      <c r="AN51" s="268"/>
      <c r="AO51" s="268"/>
      <c r="AP51" s="268"/>
      <c r="AQ51" s="268"/>
      <c r="AR51" s="267"/>
      <c r="AS51" s="266"/>
      <c r="AT51" s="266"/>
      <c r="AU51" s="266"/>
      <c r="AV51" s="266"/>
      <c r="AW51" s="266"/>
      <c r="AX51" s="266"/>
      <c r="AY51" s="266"/>
      <c r="AZ51" s="266"/>
      <c r="BA51" s="266"/>
      <c r="BB51" s="266"/>
      <c r="BC51" s="266"/>
      <c r="BD51" s="266"/>
      <c r="BE51" s="266"/>
      <c r="BF51" s="266"/>
      <c r="BG51" s="266"/>
      <c r="BH51" s="266"/>
      <c r="BI51" s="266"/>
      <c r="BJ51" s="266"/>
      <c r="BK51" s="266"/>
      <c r="BL51" s="266"/>
      <c r="BM51" s="266"/>
      <c r="BN51" s="266"/>
      <c r="BO51" s="266"/>
      <c r="BP51" s="266"/>
      <c r="BQ51" s="266"/>
      <c r="BR51" s="266"/>
      <c r="BS51" s="266"/>
      <c r="BT51" s="266"/>
      <c r="BU51" s="266"/>
      <c r="BV51" s="266"/>
      <c r="BW51" s="266"/>
      <c r="BX51" s="266"/>
      <c r="BY51" s="266"/>
    </row>
    <row r="52" spans="10:77" x14ac:dyDescent="0.25">
      <c r="J52" s="114">
        <v>50</v>
      </c>
      <c r="K52" s="264">
        <v>11.8</v>
      </c>
      <c r="L52" s="263">
        <v>9.8699999999999992</v>
      </c>
      <c r="O52" s="114">
        <v>50</v>
      </c>
      <c r="P52" s="264">
        <v>13.66</v>
      </c>
      <c r="Q52" s="263">
        <v>13.35</v>
      </c>
      <c r="AH52" s="395" t="s">
        <v>425</v>
      </c>
      <c r="AI52" s="395"/>
      <c r="AJ52" s="395"/>
      <c r="AK52" s="395"/>
      <c r="AL52" s="268"/>
      <c r="AM52" s="268"/>
      <c r="AN52" s="268"/>
      <c r="AO52" s="268"/>
      <c r="AP52" s="268"/>
      <c r="AQ52" s="268"/>
      <c r="AR52" s="267"/>
      <c r="AS52" s="266"/>
      <c r="AT52" s="266"/>
      <c r="AU52" s="266"/>
      <c r="AV52" s="266"/>
      <c r="AW52" s="266"/>
      <c r="AX52" s="266"/>
      <c r="AY52" s="266"/>
      <c r="AZ52" s="266"/>
      <c r="BA52" s="266"/>
      <c r="BB52" s="266"/>
      <c r="BC52" s="266"/>
      <c r="BD52" s="266"/>
      <c r="BE52" s="266"/>
      <c r="BF52" s="266"/>
      <c r="BG52" s="266"/>
      <c r="BH52" s="266"/>
      <c r="BI52" s="266"/>
      <c r="BJ52" s="266"/>
      <c r="BK52" s="266"/>
      <c r="BL52" s="266"/>
      <c r="BM52" s="266"/>
      <c r="BN52" s="266"/>
      <c r="BO52" s="266"/>
      <c r="BP52" s="266"/>
      <c r="BQ52" s="266"/>
      <c r="BR52" s="266"/>
      <c r="BS52" s="266"/>
      <c r="BT52" s="266"/>
      <c r="BU52" s="266"/>
      <c r="BV52" s="266"/>
      <c r="BW52" s="266"/>
      <c r="BX52" s="266"/>
      <c r="BY52" s="266"/>
    </row>
    <row r="53" spans="10:77" x14ac:dyDescent="0.25">
      <c r="J53" s="114">
        <v>51</v>
      </c>
      <c r="K53" s="264">
        <v>13</v>
      </c>
      <c r="L53" s="263">
        <v>10.45</v>
      </c>
      <c r="O53" s="114">
        <v>51</v>
      </c>
      <c r="P53" s="264">
        <v>15.04</v>
      </c>
      <c r="Q53" s="263">
        <v>14.15</v>
      </c>
      <c r="AI53" s="396" t="s">
        <v>269</v>
      </c>
      <c r="AJ53" s="396"/>
      <c r="AK53" s="396"/>
      <c r="AL53" s="396"/>
      <c r="AM53" s="396"/>
      <c r="AN53" s="396"/>
      <c r="AO53" s="396"/>
      <c r="AP53" s="396"/>
      <c r="AQ53" s="396"/>
      <c r="AR53" s="396"/>
      <c r="AS53" s="396"/>
      <c r="AT53" s="396"/>
      <c r="AU53" s="396"/>
      <c r="AV53" s="396"/>
      <c r="AW53" s="396"/>
      <c r="AX53" s="396"/>
      <c r="AY53" s="396"/>
      <c r="AZ53" s="396"/>
      <c r="BA53" s="396"/>
      <c r="BB53" s="396"/>
      <c r="BC53" s="396"/>
      <c r="BD53" s="396"/>
      <c r="BE53" s="396"/>
      <c r="BF53" s="396"/>
      <c r="BG53" s="396"/>
      <c r="BH53" s="396"/>
      <c r="BI53" s="396"/>
      <c r="BJ53" s="396"/>
      <c r="BK53" s="396"/>
      <c r="BL53" s="396"/>
      <c r="BM53" s="396"/>
      <c r="BN53" s="396"/>
      <c r="BO53" s="396"/>
      <c r="BP53" s="396"/>
      <c r="BQ53" s="396"/>
      <c r="BR53" s="396"/>
      <c r="BS53" s="396"/>
      <c r="BT53" s="396"/>
      <c r="BU53" s="396"/>
      <c r="BV53" s="396"/>
      <c r="BW53" s="396"/>
      <c r="BX53" s="396"/>
      <c r="BY53" s="396"/>
    </row>
    <row r="54" spans="10:77" x14ac:dyDescent="0.25">
      <c r="J54" s="114">
        <v>52</v>
      </c>
      <c r="K54" s="264">
        <v>14.31</v>
      </c>
      <c r="L54" s="263">
        <v>11.05</v>
      </c>
      <c r="O54" s="114">
        <v>52</v>
      </c>
      <c r="P54" s="264">
        <v>16.600000000000001</v>
      </c>
      <c r="Q54" s="263">
        <v>14.98</v>
      </c>
      <c r="AH54" s="265" t="s">
        <v>20</v>
      </c>
      <c r="AI54" s="265" t="s">
        <v>424</v>
      </c>
      <c r="AJ54" s="265" t="s">
        <v>423</v>
      </c>
      <c r="AK54" s="265" t="s">
        <v>422</v>
      </c>
      <c r="AL54" s="265" t="s">
        <v>421</v>
      </c>
      <c r="AM54" s="265" t="s">
        <v>420</v>
      </c>
      <c r="AN54" s="265" t="s">
        <v>419</v>
      </c>
      <c r="AO54" s="265" t="s">
        <v>418</v>
      </c>
      <c r="AP54" s="265" t="s">
        <v>417</v>
      </c>
      <c r="AQ54" s="265" t="s">
        <v>416</v>
      </c>
      <c r="AR54" s="265" t="s">
        <v>415</v>
      </c>
      <c r="AS54" s="265" t="s">
        <v>414</v>
      </c>
      <c r="AT54" s="265" t="s">
        <v>413</v>
      </c>
      <c r="AU54" s="265" t="s">
        <v>412</v>
      </c>
      <c r="AV54" s="265" t="s">
        <v>411</v>
      </c>
      <c r="AW54" s="265" t="s">
        <v>410</v>
      </c>
      <c r="AX54" s="265" t="s">
        <v>409</v>
      </c>
      <c r="AY54" s="265" t="s">
        <v>408</v>
      </c>
      <c r="AZ54" s="265" t="s">
        <v>407</v>
      </c>
      <c r="BA54" s="265" t="s">
        <v>406</v>
      </c>
      <c r="BB54" s="265" t="s">
        <v>405</v>
      </c>
      <c r="BC54" s="265" t="s">
        <v>404</v>
      </c>
      <c r="BD54" s="265" t="s">
        <v>403</v>
      </c>
      <c r="BE54" s="265" t="s">
        <v>402</v>
      </c>
      <c r="BF54" s="265" t="s">
        <v>401</v>
      </c>
      <c r="BG54" s="265" t="s">
        <v>400</v>
      </c>
      <c r="BH54" s="265" t="s">
        <v>399</v>
      </c>
      <c r="BI54" s="265" t="s">
        <v>398</v>
      </c>
      <c r="BJ54" s="265" t="s">
        <v>397</v>
      </c>
      <c r="BK54" s="265" t="s">
        <v>396</v>
      </c>
      <c r="BL54" s="265" t="s">
        <v>395</v>
      </c>
      <c r="BM54" s="265" t="s">
        <v>394</v>
      </c>
      <c r="BN54" s="265" t="s">
        <v>393</v>
      </c>
      <c r="BO54" s="265" t="s">
        <v>392</v>
      </c>
      <c r="BP54" s="265" t="s">
        <v>391</v>
      </c>
      <c r="BQ54" s="265" t="s">
        <v>390</v>
      </c>
      <c r="BR54" s="265" t="s">
        <v>389</v>
      </c>
      <c r="BS54" s="265" t="s">
        <v>388</v>
      </c>
      <c r="BT54" s="265" t="s">
        <v>387</v>
      </c>
      <c r="BU54" s="265" t="s">
        <v>386</v>
      </c>
      <c r="BV54" s="265" t="s">
        <v>385</v>
      </c>
      <c r="BW54" s="265" t="s">
        <v>384</v>
      </c>
      <c r="BX54" s="265" t="s">
        <v>383</v>
      </c>
      <c r="BY54" s="265" t="s">
        <v>382</v>
      </c>
    </row>
    <row r="55" spans="10:77" x14ac:dyDescent="0.25">
      <c r="J55" s="114">
        <v>53</v>
      </c>
      <c r="K55" s="264">
        <v>15.73</v>
      </c>
      <c r="L55" s="263">
        <v>11.69</v>
      </c>
      <c r="O55" s="114">
        <v>53</v>
      </c>
      <c r="P55" s="264">
        <v>18.28</v>
      </c>
      <c r="Q55" s="263">
        <v>15.93</v>
      </c>
      <c r="AH55" s="260">
        <v>18</v>
      </c>
      <c r="AI55" s="259">
        <v>1.54</v>
      </c>
      <c r="AJ55" s="259">
        <v>1.56</v>
      </c>
      <c r="AK55" s="259">
        <v>1.58</v>
      </c>
      <c r="AL55" s="259">
        <v>1.58</v>
      </c>
      <c r="AM55" s="259">
        <v>1.58</v>
      </c>
      <c r="AN55" s="259">
        <v>1.57</v>
      </c>
      <c r="AO55" s="259">
        <v>1.56</v>
      </c>
      <c r="AP55" s="259">
        <v>1.55</v>
      </c>
      <c r="AQ55" s="259">
        <v>1.54</v>
      </c>
      <c r="AR55" s="259">
        <v>1.53</v>
      </c>
      <c r="AS55" s="259">
        <v>1.51</v>
      </c>
      <c r="AT55" s="259">
        <v>1.5</v>
      </c>
      <c r="AU55" s="259">
        <v>1.49</v>
      </c>
      <c r="AV55" s="259">
        <v>1.48</v>
      </c>
      <c r="AW55" s="259">
        <v>1.47</v>
      </c>
      <c r="AX55" s="259">
        <v>1.46</v>
      </c>
      <c r="AY55" s="259">
        <v>1.45</v>
      </c>
      <c r="AZ55" s="259">
        <v>1.44</v>
      </c>
      <c r="BA55" s="259">
        <v>1.43</v>
      </c>
      <c r="BB55" s="259">
        <v>1.43</v>
      </c>
      <c r="BC55" s="259">
        <v>1.43</v>
      </c>
      <c r="BD55" s="259">
        <v>1.43</v>
      </c>
      <c r="BE55" s="259">
        <v>1.43</v>
      </c>
      <c r="BF55" s="259">
        <v>1.43</v>
      </c>
      <c r="BG55" s="259">
        <v>1.43</v>
      </c>
      <c r="BH55" s="259">
        <v>1.43</v>
      </c>
      <c r="BI55" s="259">
        <v>1.44</v>
      </c>
      <c r="BJ55" s="259">
        <v>1.45</v>
      </c>
      <c r="BK55" s="259">
        <v>1.45</v>
      </c>
      <c r="BL55" s="259">
        <v>1.46</v>
      </c>
      <c r="BM55" s="259">
        <v>1.47</v>
      </c>
      <c r="BN55" s="259">
        <v>1.48</v>
      </c>
      <c r="BO55" s="259">
        <v>1.5</v>
      </c>
      <c r="BP55" s="259">
        <v>1.51</v>
      </c>
      <c r="BQ55" s="259">
        <v>1.53</v>
      </c>
      <c r="BR55" s="259">
        <v>1.54</v>
      </c>
      <c r="BS55" s="259">
        <v>1.56</v>
      </c>
      <c r="BT55" s="259">
        <v>1.58</v>
      </c>
      <c r="BU55" s="259">
        <v>1.6</v>
      </c>
      <c r="BV55" s="259">
        <v>1.62</v>
      </c>
      <c r="BW55" s="259">
        <v>1.65</v>
      </c>
      <c r="BX55" s="259">
        <v>1.67</v>
      </c>
      <c r="BY55" s="259">
        <v>1.7</v>
      </c>
    </row>
    <row r="56" spans="10:77" x14ac:dyDescent="0.25">
      <c r="J56" s="114">
        <v>54</v>
      </c>
      <c r="K56" s="264">
        <v>17.36</v>
      </c>
      <c r="L56" s="263">
        <v>12.25</v>
      </c>
      <c r="O56" s="114">
        <v>54</v>
      </c>
      <c r="P56" s="264">
        <v>20.21</v>
      </c>
      <c r="Q56" s="263">
        <v>16.84</v>
      </c>
      <c r="AH56" s="260">
        <v>19</v>
      </c>
      <c r="AI56" s="259">
        <v>1.56</v>
      </c>
      <c r="AJ56" s="259">
        <v>1.58</v>
      </c>
      <c r="AK56" s="259">
        <v>1.59</v>
      </c>
      <c r="AL56" s="259">
        <v>1.59</v>
      </c>
      <c r="AM56" s="259">
        <v>1.58</v>
      </c>
      <c r="AN56" s="259">
        <v>1.57</v>
      </c>
      <c r="AO56" s="259">
        <v>1.56</v>
      </c>
      <c r="AP56" s="259">
        <v>1.55</v>
      </c>
      <c r="AQ56" s="259">
        <v>1.54</v>
      </c>
      <c r="AR56" s="259">
        <v>1.52</v>
      </c>
      <c r="AS56" s="259">
        <v>1.51</v>
      </c>
      <c r="AT56" s="259">
        <v>1.5</v>
      </c>
      <c r="AU56" s="259">
        <v>1.49</v>
      </c>
      <c r="AV56" s="259">
        <v>1.48</v>
      </c>
      <c r="AW56" s="259">
        <v>1.47</v>
      </c>
      <c r="AX56" s="259">
        <v>1.46</v>
      </c>
      <c r="AY56" s="259">
        <v>1.46</v>
      </c>
      <c r="AZ56" s="259">
        <v>1.45</v>
      </c>
      <c r="BA56" s="259">
        <v>1.45</v>
      </c>
      <c r="BB56" s="259">
        <v>1.45</v>
      </c>
      <c r="BC56" s="259">
        <v>1.45</v>
      </c>
      <c r="BD56" s="259">
        <v>1.45</v>
      </c>
      <c r="BE56" s="259">
        <v>1.45</v>
      </c>
      <c r="BF56" s="259">
        <v>1.45</v>
      </c>
      <c r="BG56" s="259">
        <v>1.46</v>
      </c>
      <c r="BH56" s="259">
        <v>1.47</v>
      </c>
      <c r="BI56" s="259">
        <v>1.47</v>
      </c>
      <c r="BJ56" s="259">
        <v>1.48</v>
      </c>
      <c r="BK56" s="259">
        <v>1.49</v>
      </c>
      <c r="BL56" s="259">
        <v>1.5</v>
      </c>
      <c r="BM56" s="259">
        <v>1.52</v>
      </c>
      <c r="BN56" s="259">
        <v>1.53</v>
      </c>
      <c r="BO56" s="259">
        <v>1.55</v>
      </c>
      <c r="BP56" s="259">
        <v>1.56</v>
      </c>
      <c r="BQ56" s="259">
        <v>1.58</v>
      </c>
      <c r="BR56" s="259">
        <v>1.6</v>
      </c>
      <c r="BS56" s="259">
        <v>1.62</v>
      </c>
      <c r="BT56" s="259">
        <v>1.65</v>
      </c>
      <c r="BU56" s="259">
        <v>1.67</v>
      </c>
      <c r="BV56" s="259">
        <v>1.7</v>
      </c>
      <c r="BW56" s="259">
        <v>1.72</v>
      </c>
      <c r="BX56" s="259">
        <v>1.75</v>
      </c>
      <c r="BY56" s="259">
        <v>0</v>
      </c>
    </row>
    <row r="57" spans="10:77" x14ac:dyDescent="0.25">
      <c r="J57" s="114">
        <v>55</v>
      </c>
      <c r="K57" s="264">
        <v>19.149999999999999</v>
      </c>
      <c r="L57" s="263">
        <v>12.91</v>
      </c>
      <c r="O57" s="114">
        <v>55</v>
      </c>
      <c r="P57" s="264">
        <v>22.13</v>
      </c>
      <c r="Q57" s="263">
        <v>17.920000000000002</v>
      </c>
      <c r="AH57" s="260">
        <v>20</v>
      </c>
      <c r="AI57" s="259">
        <v>1.55</v>
      </c>
      <c r="AJ57" s="259">
        <v>1.57</v>
      </c>
      <c r="AK57" s="259">
        <v>1.58</v>
      </c>
      <c r="AL57" s="259">
        <v>1.58</v>
      </c>
      <c r="AM57" s="259">
        <v>1.57</v>
      </c>
      <c r="AN57" s="259">
        <v>1.56</v>
      </c>
      <c r="AO57" s="259">
        <v>1.55</v>
      </c>
      <c r="AP57" s="259">
        <v>1.54</v>
      </c>
      <c r="AQ57" s="259">
        <v>1.53</v>
      </c>
      <c r="AR57" s="259">
        <v>1.52</v>
      </c>
      <c r="AS57" s="259">
        <v>1.5</v>
      </c>
      <c r="AT57" s="259">
        <v>1.49</v>
      </c>
      <c r="AU57" s="259">
        <v>1.49</v>
      </c>
      <c r="AV57" s="259">
        <v>1.48</v>
      </c>
      <c r="AW57" s="259">
        <v>1.47</v>
      </c>
      <c r="AX57" s="259">
        <v>1.47</v>
      </c>
      <c r="AY57" s="259">
        <v>1.46</v>
      </c>
      <c r="AZ57" s="259">
        <v>1.46</v>
      </c>
      <c r="BA57" s="259">
        <v>1.46</v>
      </c>
      <c r="BB57" s="259">
        <v>1.46</v>
      </c>
      <c r="BC57" s="259">
        <v>1.47</v>
      </c>
      <c r="BD57" s="259">
        <v>1.47</v>
      </c>
      <c r="BE57" s="259">
        <v>1.48</v>
      </c>
      <c r="BF57" s="259">
        <v>1.48</v>
      </c>
      <c r="BG57" s="259">
        <v>1.49</v>
      </c>
      <c r="BH57" s="259">
        <v>1.5</v>
      </c>
      <c r="BI57" s="259">
        <v>1.51</v>
      </c>
      <c r="BJ57" s="259">
        <v>1.52</v>
      </c>
      <c r="BK57" s="259">
        <v>1.54</v>
      </c>
      <c r="BL57" s="259">
        <v>1.55</v>
      </c>
      <c r="BM57" s="259">
        <v>1.57</v>
      </c>
      <c r="BN57" s="259">
        <v>1.58</v>
      </c>
      <c r="BO57" s="259">
        <v>1.6</v>
      </c>
      <c r="BP57" s="259">
        <v>1.62</v>
      </c>
      <c r="BQ57" s="259">
        <v>1.65</v>
      </c>
      <c r="BR57" s="259">
        <v>1.67</v>
      </c>
      <c r="BS57" s="259">
        <v>1.69</v>
      </c>
      <c r="BT57" s="259">
        <v>1.72</v>
      </c>
      <c r="BU57" s="259">
        <v>1.75</v>
      </c>
      <c r="BV57" s="259">
        <v>1.78</v>
      </c>
      <c r="BW57" s="259">
        <v>1.81</v>
      </c>
      <c r="BX57" s="259">
        <v>0</v>
      </c>
      <c r="BY57" s="259">
        <v>0</v>
      </c>
    </row>
    <row r="58" spans="10:77" x14ac:dyDescent="0.25">
      <c r="J58" s="114">
        <v>56</v>
      </c>
      <c r="K58" s="264">
        <v>20.78</v>
      </c>
      <c r="L58" s="263">
        <v>13.69</v>
      </c>
      <c r="O58" s="114">
        <v>56</v>
      </c>
      <c r="P58" s="264">
        <v>23.97</v>
      </c>
      <c r="Q58" s="263">
        <v>18.98</v>
      </c>
      <c r="AH58" s="260">
        <v>21</v>
      </c>
      <c r="AI58" s="259">
        <v>1.54</v>
      </c>
      <c r="AJ58" s="259">
        <v>1.55</v>
      </c>
      <c r="AK58" s="259">
        <v>1.56</v>
      </c>
      <c r="AL58" s="259">
        <v>1.56</v>
      </c>
      <c r="AM58" s="259">
        <v>1.55</v>
      </c>
      <c r="AN58" s="259">
        <v>1.54</v>
      </c>
      <c r="AO58" s="259">
        <v>1.53</v>
      </c>
      <c r="AP58" s="259">
        <v>1.52</v>
      </c>
      <c r="AQ58" s="259">
        <v>1.51</v>
      </c>
      <c r="AR58" s="259">
        <v>1.5</v>
      </c>
      <c r="AS58" s="259">
        <v>1.5</v>
      </c>
      <c r="AT58" s="259">
        <v>1.49</v>
      </c>
      <c r="AU58" s="259">
        <v>1.48</v>
      </c>
      <c r="AV58" s="259">
        <v>1.48</v>
      </c>
      <c r="AW58" s="259">
        <v>1.47</v>
      </c>
      <c r="AX58" s="259">
        <v>1.47</v>
      </c>
      <c r="AY58" s="259">
        <v>1.47</v>
      </c>
      <c r="AZ58" s="259">
        <v>1.47</v>
      </c>
      <c r="BA58" s="259">
        <v>1.48</v>
      </c>
      <c r="BB58" s="259">
        <v>1.48</v>
      </c>
      <c r="BC58" s="259">
        <v>1.49</v>
      </c>
      <c r="BD58" s="259">
        <v>1.5</v>
      </c>
      <c r="BE58" s="259">
        <v>1.51</v>
      </c>
      <c r="BF58" s="259">
        <v>1.52</v>
      </c>
      <c r="BG58" s="259">
        <v>1.53</v>
      </c>
      <c r="BH58" s="259">
        <v>1.54</v>
      </c>
      <c r="BI58" s="259">
        <v>1.55</v>
      </c>
      <c r="BJ58" s="259">
        <v>1.57</v>
      </c>
      <c r="BK58" s="259">
        <v>1.59</v>
      </c>
      <c r="BL58" s="259">
        <v>1.6</v>
      </c>
      <c r="BM58" s="259">
        <v>1.62</v>
      </c>
      <c r="BN58" s="259">
        <v>1.64</v>
      </c>
      <c r="BO58" s="259">
        <v>1.67</v>
      </c>
      <c r="BP58" s="259">
        <v>1.69</v>
      </c>
      <c r="BQ58" s="259">
        <v>1.72</v>
      </c>
      <c r="BR58" s="259">
        <v>1.74</v>
      </c>
      <c r="BS58" s="259">
        <v>1.77</v>
      </c>
      <c r="BT58" s="259">
        <v>1.8</v>
      </c>
      <c r="BU58" s="259">
        <v>1.83</v>
      </c>
      <c r="BV58" s="259">
        <v>1.87</v>
      </c>
      <c r="BW58" s="259">
        <v>0</v>
      </c>
      <c r="BX58" s="259">
        <v>0</v>
      </c>
      <c r="BY58" s="259">
        <v>0</v>
      </c>
    </row>
    <row r="59" spans="10:77" x14ac:dyDescent="0.25">
      <c r="J59" s="114">
        <v>57</v>
      </c>
      <c r="K59" s="264">
        <v>22.62</v>
      </c>
      <c r="L59" s="263">
        <v>14.45</v>
      </c>
      <c r="O59" s="114">
        <v>57</v>
      </c>
      <c r="P59" s="264">
        <v>26.07</v>
      </c>
      <c r="Q59" s="263">
        <v>20.03</v>
      </c>
      <c r="AH59" s="260">
        <v>22</v>
      </c>
      <c r="AI59" s="259">
        <v>1.51</v>
      </c>
      <c r="AJ59" s="259">
        <v>1.53</v>
      </c>
      <c r="AK59" s="259">
        <v>1.53</v>
      </c>
      <c r="AL59" s="259">
        <v>1.53</v>
      </c>
      <c r="AM59" s="259">
        <v>1.53</v>
      </c>
      <c r="AN59" s="259">
        <v>1.52</v>
      </c>
      <c r="AO59" s="259">
        <v>1.51</v>
      </c>
      <c r="AP59" s="259">
        <v>1.51</v>
      </c>
      <c r="AQ59" s="259">
        <v>1.5</v>
      </c>
      <c r="AR59" s="259">
        <v>1.49</v>
      </c>
      <c r="AS59" s="259">
        <v>1.49</v>
      </c>
      <c r="AT59" s="259">
        <v>1.48</v>
      </c>
      <c r="AU59" s="259">
        <v>1.48</v>
      </c>
      <c r="AV59" s="259">
        <v>1.48</v>
      </c>
      <c r="AW59" s="259">
        <v>1.48</v>
      </c>
      <c r="AX59" s="259">
        <v>1.48</v>
      </c>
      <c r="AY59" s="259">
        <v>1.49</v>
      </c>
      <c r="AZ59" s="259">
        <v>1.49</v>
      </c>
      <c r="BA59" s="259">
        <v>1.5</v>
      </c>
      <c r="BB59" s="259">
        <v>1.51</v>
      </c>
      <c r="BC59" s="259">
        <v>1.52</v>
      </c>
      <c r="BD59" s="259">
        <v>1.53</v>
      </c>
      <c r="BE59" s="259">
        <v>1.54</v>
      </c>
      <c r="BF59" s="259">
        <v>1.56</v>
      </c>
      <c r="BG59" s="259">
        <v>1.57</v>
      </c>
      <c r="BH59" s="259">
        <v>1.59</v>
      </c>
      <c r="BI59" s="259">
        <v>1.6</v>
      </c>
      <c r="BJ59" s="259">
        <v>1.62</v>
      </c>
      <c r="BK59" s="259">
        <v>1.64</v>
      </c>
      <c r="BL59" s="259">
        <v>1.67</v>
      </c>
      <c r="BM59" s="259">
        <v>1.69</v>
      </c>
      <c r="BN59" s="259">
        <v>1.71</v>
      </c>
      <c r="BO59" s="259">
        <v>1.74</v>
      </c>
      <c r="BP59" s="259">
        <v>1.77</v>
      </c>
      <c r="BQ59" s="259">
        <v>1.8</v>
      </c>
      <c r="BR59" s="259">
        <v>1.83</v>
      </c>
      <c r="BS59" s="259">
        <v>1.86</v>
      </c>
      <c r="BT59" s="259">
        <v>1.89</v>
      </c>
      <c r="BU59" s="259">
        <v>1.93</v>
      </c>
      <c r="BV59" s="259">
        <v>0</v>
      </c>
      <c r="BW59" s="259">
        <v>0</v>
      </c>
      <c r="BX59" s="259">
        <v>0</v>
      </c>
      <c r="BY59" s="259">
        <v>0</v>
      </c>
    </row>
    <row r="60" spans="10:77" x14ac:dyDescent="0.25">
      <c r="J60" s="114">
        <v>58</v>
      </c>
      <c r="K60" s="264">
        <v>24.65</v>
      </c>
      <c r="L60" s="263">
        <v>15.25</v>
      </c>
      <c r="O60" s="114">
        <v>58</v>
      </c>
      <c r="P60" s="264">
        <v>28.29</v>
      </c>
      <c r="Q60" s="263">
        <v>21.15</v>
      </c>
      <c r="AH60" s="260">
        <v>23</v>
      </c>
      <c r="AI60" s="259">
        <v>1.48</v>
      </c>
      <c r="AJ60" s="259">
        <v>1.49</v>
      </c>
      <c r="AK60" s="259">
        <v>1.5</v>
      </c>
      <c r="AL60" s="259">
        <v>1.5</v>
      </c>
      <c r="AM60" s="259">
        <v>1.5</v>
      </c>
      <c r="AN60" s="259">
        <v>1.5</v>
      </c>
      <c r="AO60" s="259">
        <v>1.5</v>
      </c>
      <c r="AP60" s="259">
        <v>1.49</v>
      </c>
      <c r="AQ60" s="259">
        <v>1.49</v>
      </c>
      <c r="AR60" s="259">
        <v>1.49</v>
      </c>
      <c r="AS60" s="259">
        <v>1.49</v>
      </c>
      <c r="AT60" s="259">
        <v>1.49</v>
      </c>
      <c r="AU60" s="259">
        <v>1.49</v>
      </c>
      <c r="AV60" s="259">
        <v>1.49</v>
      </c>
      <c r="AW60" s="259">
        <v>1.5</v>
      </c>
      <c r="AX60" s="259">
        <v>1.5</v>
      </c>
      <c r="AY60" s="259">
        <v>1.51</v>
      </c>
      <c r="AZ60" s="259">
        <v>1.52</v>
      </c>
      <c r="BA60" s="259">
        <v>1.53</v>
      </c>
      <c r="BB60" s="259">
        <v>1.54</v>
      </c>
      <c r="BC60" s="259">
        <v>1.56</v>
      </c>
      <c r="BD60" s="259">
        <v>1.57</v>
      </c>
      <c r="BE60" s="259">
        <v>1.59</v>
      </c>
      <c r="BF60" s="259">
        <v>1.6</v>
      </c>
      <c r="BG60" s="259">
        <v>1.62</v>
      </c>
      <c r="BH60" s="259">
        <v>1.64</v>
      </c>
      <c r="BI60" s="259">
        <v>1.66</v>
      </c>
      <c r="BJ60" s="259">
        <v>1.69</v>
      </c>
      <c r="BK60" s="259">
        <v>1.71</v>
      </c>
      <c r="BL60" s="259">
        <v>1.74</v>
      </c>
      <c r="BM60" s="259">
        <v>1.76</v>
      </c>
      <c r="BN60" s="259">
        <v>1.79</v>
      </c>
      <c r="BO60" s="259">
        <v>1.82</v>
      </c>
      <c r="BP60" s="259">
        <v>1.86</v>
      </c>
      <c r="BQ60" s="259">
        <v>1.89</v>
      </c>
      <c r="BR60" s="259">
        <v>1.92</v>
      </c>
      <c r="BS60" s="259">
        <v>1.96</v>
      </c>
      <c r="BT60" s="259">
        <v>2</v>
      </c>
      <c r="BU60" s="259">
        <v>0</v>
      </c>
      <c r="BV60" s="259">
        <v>0</v>
      </c>
      <c r="BW60" s="259">
        <v>0</v>
      </c>
      <c r="BX60" s="259">
        <v>0</v>
      </c>
      <c r="BY60" s="259">
        <v>0</v>
      </c>
    </row>
    <row r="61" spans="10:77" x14ac:dyDescent="0.25">
      <c r="J61" s="114">
        <v>59</v>
      </c>
      <c r="K61" s="264">
        <v>26.85</v>
      </c>
      <c r="L61" s="263">
        <v>16.04</v>
      </c>
      <c r="O61" s="114">
        <v>59</v>
      </c>
      <c r="P61" s="264">
        <v>30.78</v>
      </c>
      <c r="Q61" s="263">
        <v>22.22</v>
      </c>
      <c r="AH61" s="260">
        <v>24</v>
      </c>
      <c r="AI61" s="259">
        <v>1.45</v>
      </c>
      <c r="AJ61" s="259">
        <v>1.47</v>
      </c>
      <c r="AK61" s="259">
        <v>1.48</v>
      </c>
      <c r="AL61" s="259">
        <v>1.48</v>
      </c>
      <c r="AM61" s="259">
        <v>1.49</v>
      </c>
      <c r="AN61" s="259">
        <v>1.49</v>
      </c>
      <c r="AO61" s="259">
        <v>1.49</v>
      </c>
      <c r="AP61" s="259">
        <v>1.49</v>
      </c>
      <c r="AQ61" s="259">
        <v>1.49</v>
      </c>
      <c r="AR61" s="259">
        <v>1.49</v>
      </c>
      <c r="AS61" s="259">
        <v>1.49</v>
      </c>
      <c r="AT61" s="259">
        <v>1.5</v>
      </c>
      <c r="AU61" s="259">
        <v>1.5</v>
      </c>
      <c r="AV61" s="259">
        <v>1.51</v>
      </c>
      <c r="AW61" s="259">
        <v>1.52</v>
      </c>
      <c r="AX61" s="259">
        <v>1.53</v>
      </c>
      <c r="AY61" s="259">
        <v>1.54</v>
      </c>
      <c r="AZ61" s="259">
        <v>1.56</v>
      </c>
      <c r="BA61" s="259">
        <v>1.57</v>
      </c>
      <c r="BB61" s="259">
        <v>1.59</v>
      </c>
      <c r="BC61" s="259">
        <v>1.6</v>
      </c>
      <c r="BD61" s="259">
        <v>1.62</v>
      </c>
      <c r="BE61" s="259">
        <v>1.64</v>
      </c>
      <c r="BF61" s="259">
        <v>1.66</v>
      </c>
      <c r="BG61" s="259">
        <v>1.69</v>
      </c>
      <c r="BH61" s="259">
        <v>1.71</v>
      </c>
      <c r="BI61" s="259">
        <v>1.74</v>
      </c>
      <c r="BJ61" s="259">
        <v>1.76</v>
      </c>
      <c r="BK61" s="259">
        <v>1.79</v>
      </c>
      <c r="BL61" s="259">
        <v>1.82</v>
      </c>
      <c r="BM61" s="259">
        <v>1.85</v>
      </c>
      <c r="BN61" s="259">
        <v>1.89</v>
      </c>
      <c r="BO61" s="259">
        <v>1.92</v>
      </c>
      <c r="BP61" s="259">
        <v>1.96</v>
      </c>
      <c r="BQ61" s="259">
        <v>1.99</v>
      </c>
      <c r="BR61" s="259">
        <v>2.0299999999999998</v>
      </c>
      <c r="BS61" s="259">
        <v>2.0699999999999998</v>
      </c>
      <c r="BT61" s="259">
        <v>0</v>
      </c>
      <c r="BU61" s="259">
        <v>0</v>
      </c>
      <c r="BV61" s="259">
        <v>0</v>
      </c>
      <c r="BW61" s="259">
        <v>0</v>
      </c>
      <c r="BX61" s="259">
        <v>0</v>
      </c>
      <c r="BY61" s="259">
        <v>0</v>
      </c>
    </row>
    <row r="62" spans="10:77" x14ac:dyDescent="0.25">
      <c r="J62" s="114">
        <v>60</v>
      </c>
      <c r="K62" s="264">
        <v>29.35</v>
      </c>
      <c r="L62" s="263">
        <v>16.98</v>
      </c>
      <c r="O62" s="114">
        <v>60</v>
      </c>
      <c r="P62" s="264">
        <v>33.6</v>
      </c>
      <c r="Q62" s="263">
        <v>23.49</v>
      </c>
      <c r="AH62" s="260">
        <v>25</v>
      </c>
      <c r="AI62" s="259">
        <v>1.42</v>
      </c>
      <c r="AJ62" s="259">
        <v>1.45</v>
      </c>
      <c r="AK62" s="259">
        <v>1.46</v>
      </c>
      <c r="AL62" s="259">
        <v>1.47</v>
      </c>
      <c r="AM62" s="259">
        <v>1.48</v>
      </c>
      <c r="AN62" s="259">
        <v>1.48</v>
      </c>
      <c r="AO62" s="259">
        <v>1.49</v>
      </c>
      <c r="AP62" s="259">
        <v>1.49</v>
      </c>
      <c r="AQ62" s="259">
        <v>1.5</v>
      </c>
      <c r="AR62" s="259">
        <v>1.51</v>
      </c>
      <c r="AS62" s="259">
        <v>1.51</v>
      </c>
      <c r="AT62" s="259">
        <v>1.52</v>
      </c>
      <c r="AU62" s="259">
        <v>1.53</v>
      </c>
      <c r="AV62" s="259">
        <v>1.54</v>
      </c>
      <c r="AW62" s="259">
        <v>1.56</v>
      </c>
      <c r="AX62" s="259">
        <v>1.57</v>
      </c>
      <c r="AY62" s="259">
        <v>1.59</v>
      </c>
      <c r="AZ62" s="259">
        <v>1.61</v>
      </c>
      <c r="BA62" s="259">
        <v>1.62</v>
      </c>
      <c r="BB62" s="259">
        <v>1.64</v>
      </c>
      <c r="BC62" s="259">
        <v>1.67</v>
      </c>
      <c r="BD62" s="259">
        <v>1.69</v>
      </c>
      <c r="BE62" s="259">
        <v>1.71</v>
      </c>
      <c r="BF62" s="259">
        <v>1.74</v>
      </c>
      <c r="BG62" s="259">
        <v>1.76</v>
      </c>
      <c r="BH62" s="259">
        <v>1.79</v>
      </c>
      <c r="BI62" s="259">
        <v>1.82</v>
      </c>
      <c r="BJ62" s="259">
        <v>1.85</v>
      </c>
      <c r="BK62" s="259">
        <v>1.89</v>
      </c>
      <c r="BL62" s="259">
        <v>1.92</v>
      </c>
      <c r="BM62" s="259">
        <v>1.96</v>
      </c>
      <c r="BN62" s="259">
        <v>1.99</v>
      </c>
      <c r="BO62" s="259">
        <v>2.0299999999999998</v>
      </c>
      <c r="BP62" s="259">
        <v>2.0699999999999998</v>
      </c>
      <c r="BQ62" s="259">
        <v>2.11</v>
      </c>
      <c r="BR62" s="259">
        <v>2.16</v>
      </c>
      <c r="BS62" s="259">
        <v>0</v>
      </c>
      <c r="BT62" s="259">
        <v>0</v>
      </c>
      <c r="BU62" s="259">
        <v>0</v>
      </c>
      <c r="BV62" s="259">
        <v>0</v>
      </c>
      <c r="BW62" s="259">
        <v>0</v>
      </c>
      <c r="BX62" s="259">
        <v>0</v>
      </c>
      <c r="BY62" s="259">
        <v>0</v>
      </c>
    </row>
    <row r="63" spans="10:77" x14ac:dyDescent="0.25">
      <c r="J63" s="114">
        <v>61</v>
      </c>
      <c r="K63" s="264">
        <v>32.090000000000003</v>
      </c>
      <c r="L63" s="263">
        <v>17.91</v>
      </c>
      <c r="O63" s="114">
        <v>61</v>
      </c>
      <c r="P63" s="264">
        <v>36.75</v>
      </c>
      <c r="Q63" s="263">
        <v>24.78</v>
      </c>
      <c r="AH63" s="260">
        <v>26</v>
      </c>
      <c r="AI63" s="259">
        <v>1.41</v>
      </c>
      <c r="AJ63" s="259">
        <v>1.44</v>
      </c>
      <c r="AK63" s="259">
        <v>1.46</v>
      </c>
      <c r="AL63" s="259">
        <v>1.47</v>
      </c>
      <c r="AM63" s="259">
        <v>1.48</v>
      </c>
      <c r="AN63" s="259">
        <v>1.49</v>
      </c>
      <c r="AO63" s="259">
        <v>1.5</v>
      </c>
      <c r="AP63" s="259">
        <v>1.51</v>
      </c>
      <c r="AQ63" s="259">
        <v>1.52</v>
      </c>
      <c r="AR63" s="259">
        <v>1.53</v>
      </c>
      <c r="AS63" s="259">
        <v>1.55</v>
      </c>
      <c r="AT63" s="259">
        <v>1.56</v>
      </c>
      <c r="AU63" s="259">
        <v>1.58</v>
      </c>
      <c r="AV63" s="259">
        <v>1.59</v>
      </c>
      <c r="AW63" s="259">
        <v>1.61</v>
      </c>
      <c r="AX63" s="259">
        <v>1.63</v>
      </c>
      <c r="AY63" s="259">
        <v>1.65</v>
      </c>
      <c r="AZ63" s="259">
        <v>1.67</v>
      </c>
      <c r="BA63" s="259">
        <v>1.69</v>
      </c>
      <c r="BB63" s="259">
        <v>1.72</v>
      </c>
      <c r="BC63" s="259">
        <v>1.74</v>
      </c>
      <c r="BD63" s="259">
        <v>1.77</v>
      </c>
      <c r="BE63" s="259">
        <v>1.8</v>
      </c>
      <c r="BF63" s="259">
        <v>1.83</v>
      </c>
      <c r="BG63" s="259">
        <v>1.86</v>
      </c>
      <c r="BH63" s="259">
        <v>1.89</v>
      </c>
      <c r="BI63" s="259">
        <v>1.92</v>
      </c>
      <c r="BJ63" s="259">
        <v>1.96</v>
      </c>
      <c r="BK63" s="259">
        <v>1.99</v>
      </c>
      <c r="BL63" s="259">
        <v>2.0299999999999998</v>
      </c>
      <c r="BM63" s="259">
        <v>2.0699999999999998</v>
      </c>
      <c r="BN63" s="259">
        <v>2.12</v>
      </c>
      <c r="BO63" s="259">
        <v>2.16</v>
      </c>
      <c r="BP63" s="259">
        <v>2.2000000000000002</v>
      </c>
      <c r="BQ63" s="259">
        <v>2.25</v>
      </c>
      <c r="BR63" s="259">
        <v>0</v>
      </c>
      <c r="BS63" s="259">
        <v>0</v>
      </c>
      <c r="BT63" s="259">
        <v>0</v>
      </c>
      <c r="BU63" s="259">
        <v>0</v>
      </c>
      <c r="BV63" s="259">
        <v>0</v>
      </c>
      <c r="BW63" s="259">
        <v>0</v>
      </c>
      <c r="BX63" s="259">
        <v>0</v>
      </c>
      <c r="BY63" s="259">
        <v>0</v>
      </c>
    </row>
    <row r="64" spans="10:77" x14ac:dyDescent="0.25">
      <c r="J64" s="114">
        <v>62</v>
      </c>
      <c r="K64" s="264">
        <v>35.18</v>
      </c>
      <c r="L64" s="263">
        <v>18.96</v>
      </c>
      <c r="O64" s="114">
        <v>62</v>
      </c>
      <c r="P64" s="264">
        <v>40.200000000000003</v>
      </c>
      <c r="Q64" s="263">
        <v>26.26</v>
      </c>
      <c r="AH64" s="260">
        <v>27</v>
      </c>
      <c r="AI64" s="259">
        <v>1.41</v>
      </c>
      <c r="AJ64" s="259">
        <v>1.45</v>
      </c>
      <c r="AK64" s="259">
        <v>1.47</v>
      </c>
      <c r="AL64" s="259">
        <v>1.49</v>
      </c>
      <c r="AM64" s="259">
        <v>1.5</v>
      </c>
      <c r="AN64" s="259">
        <v>1.52</v>
      </c>
      <c r="AO64" s="259">
        <v>1.53</v>
      </c>
      <c r="AP64" s="259">
        <v>1.55</v>
      </c>
      <c r="AQ64" s="259">
        <v>1.56</v>
      </c>
      <c r="AR64" s="259">
        <v>1.58</v>
      </c>
      <c r="AS64" s="259">
        <v>1.59</v>
      </c>
      <c r="AT64" s="259">
        <v>1.61</v>
      </c>
      <c r="AU64" s="259">
        <v>1.63</v>
      </c>
      <c r="AV64" s="259">
        <v>1.65</v>
      </c>
      <c r="AW64" s="259">
        <v>1.68</v>
      </c>
      <c r="AX64" s="259">
        <v>1.7</v>
      </c>
      <c r="AY64" s="259">
        <v>1.72</v>
      </c>
      <c r="AZ64" s="259">
        <v>1.75</v>
      </c>
      <c r="BA64" s="259">
        <v>1.78</v>
      </c>
      <c r="BB64" s="259">
        <v>1.8</v>
      </c>
      <c r="BC64" s="259">
        <v>1.83</v>
      </c>
      <c r="BD64" s="259">
        <v>1.86</v>
      </c>
      <c r="BE64" s="259">
        <v>1.9</v>
      </c>
      <c r="BF64" s="259">
        <v>1.93</v>
      </c>
      <c r="BG64" s="259">
        <v>1.96</v>
      </c>
      <c r="BH64" s="259">
        <v>2</v>
      </c>
      <c r="BI64" s="259">
        <v>2.04</v>
      </c>
      <c r="BJ64" s="259">
        <v>2.08</v>
      </c>
      <c r="BK64" s="259">
        <v>2.12</v>
      </c>
      <c r="BL64" s="259">
        <v>2.16</v>
      </c>
      <c r="BM64" s="259">
        <v>2.21</v>
      </c>
      <c r="BN64" s="259">
        <v>2.2599999999999998</v>
      </c>
      <c r="BO64" s="259">
        <v>2.2999999999999998</v>
      </c>
      <c r="BP64" s="259">
        <v>2.35</v>
      </c>
      <c r="BQ64" s="259">
        <v>0</v>
      </c>
      <c r="BR64" s="259">
        <v>0</v>
      </c>
      <c r="BS64" s="259">
        <v>0</v>
      </c>
      <c r="BT64" s="259">
        <v>0</v>
      </c>
      <c r="BU64" s="259">
        <v>0</v>
      </c>
      <c r="BV64" s="259">
        <v>0</v>
      </c>
      <c r="BW64" s="259">
        <v>0</v>
      </c>
      <c r="BX64" s="259">
        <v>0</v>
      </c>
      <c r="BY64" s="259">
        <v>0</v>
      </c>
    </row>
    <row r="65" spans="10:77" x14ac:dyDescent="0.25">
      <c r="J65" s="114">
        <v>63</v>
      </c>
      <c r="K65" s="264">
        <v>38.93</v>
      </c>
      <c r="L65" s="263">
        <v>20.02</v>
      </c>
      <c r="O65" s="114">
        <v>63</v>
      </c>
      <c r="P65" s="264">
        <v>45.16</v>
      </c>
      <c r="Q65" s="263">
        <v>28.37</v>
      </c>
      <c r="AH65" s="260">
        <v>28</v>
      </c>
      <c r="AI65" s="259">
        <v>1.43</v>
      </c>
      <c r="AJ65" s="259">
        <v>1.47</v>
      </c>
      <c r="AK65" s="259">
        <v>1.49</v>
      </c>
      <c r="AL65" s="259">
        <v>1.52</v>
      </c>
      <c r="AM65" s="259">
        <v>1.54</v>
      </c>
      <c r="AN65" s="259">
        <v>1.56</v>
      </c>
      <c r="AO65" s="259">
        <v>1.58</v>
      </c>
      <c r="AP65" s="259">
        <v>1.59</v>
      </c>
      <c r="AQ65" s="259">
        <v>1.61</v>
      </c>
      <c r="AR65" s="259">
        <v>1.64</v>
      </c>
      <c r="AS65" s="259">
        <v>1.66</v>
      </c>
      <c r="AT65" s="259">
        <v>1.68</v>
      </c>
      <c r="AU65" s="259">
        <v>1.7</v>
      </c>
      <c r="AV65" s="259">
        <v>1.73</v>
      </c>
      <c r="AW65" s="259">
        <v>1.76</v>
      </c>
      <c r="AX65" s="259">
        <v>1.78</v>
      </c>
      <c r="AY65" s="259">
        <v>1.81</v>
      </c>
      <c r="AZ65" s="259">
        <v>1.84</v>
      </c>
      <c r="BA65" s="259">
        <v>1.87</v>
      </c>
      <c r="BB65" s="259">
        <v>1.91</v>
      </c>
      <c r="BC65" s="259">
        <v>1.94</v>
      </c>
      <c r="BD65" s="259">
        <v>1.97</v>
      </c>
      <c r="BE65" s="259">
        <v>2.0099999999999998</v>
      </c>
      <c r="BF65" s="259">
        <v>2.0499999999999998</v>
      </c>
      <c r="BG65" s="259">
        <v>2.09</v>
      </c>
      <c r="BH65" s="259">
        <v>2.13</v>
      </c>
      <c r="BI65" s="259">
        <v>2.17</v>
      </c>
      <c r="BJ65" s="259">
        <v>2.2200000000000002</v>
      </c>
      <c r="BK65" s="259">
        <v>2.2599999999999998</v>
      </c>
      <c r="BL65" s="259">
        <v>2.31</v>
      </c>
      <c r="BM65" s="259">
        <v>2.36</v>
      </c>
      <c r="BN65" s="259">
        <v>2.41</v>
      </c>
      <c r="BO65" s="259">
        <v>2.4700000000000002</v>
      </c>
      <c r="BP65" s="259">
        <v>0</v>
      </c>
      <c r="BQ65" s="259">
        <v>0</v>
      </c>
      <c r="BR65" s="259">
        <v>0</v>
      </c>
      <c r="BS65" s="259">
        <v>0</v>
      </c>
      <c r="BT65" s="259">
        <v>0</v>
      </c>
      <c r="BU65" s="259">
        <v>0</v>
      </c>
      <c r="BV65" s="259">
        <v>0</v>
      </c>
      <c r="BW65" s="259">
        <v>0</v>
      </c>
      <c r="BX65" s="259">
        <v>0</v>
      </c>
      <c r="BY65" s="259">
        <v>0</v>
      </c>
    </row>
    <row r="66" spans="10:77" x14ac:dyDescent="0.25">
      <c r="J66" s="115">
        <v>64</v>
      </c>
      <c r="K66" s="262">
        <v>42.82</v>
      </c>
      <c r="L66" s="261">
        <v>21.36</v>
      </c>
      <c r="O66" s="114">
        <v>64</v>
      </c>
      <c r="P66" s="264">
        <v>50.68</v>
      </c>
      <c r="Q66" s="263">
        <v>30.94</v>
      </c>
      <c r="AH66" s="260">
        <v>29</v>
      </c>
      <c r="AI66" s="259">
        <v>1.46</v>
      </c>
      <c r="AJ66" s="259">
        <v>1.5</v>
      </c>
      <c r="AK66" s="259">
        <v>1.53</v>
      </c>
      <c r="AL66" s="259">
        <v>1.56</v>
      </c>
      <c r="AM66" s="259">
        <v>1.59</v>
      </c>
      <c r="AN66" s="259">
        <v>1.61</v>
      </c>
      <c r="AO66" s="259">
        <v>1.64</v>
      </c>
      <c r="AP66" s="259">
        <v>1.66</v>
      </c>
      <c r="AQ66" s="259">
        <v>1.68</v>
      </c>
      <c r="AR66" s="259">
        <v>1.71</v>
      </c>
      <c r="AS66" s="259">
        <v>1.74</v>
      </c>
      <c r="AT66" s="259">
        <v>1.76</v>
      </c>
      <c r="AU66" s="259">
        <v>1.79</v>
      </c>
      <c r="AV66" s="259">
        <v>1.82</v>
      </c>
      <c r="AW66" s="259">
        <v>1.85</v>
      </c>
      <c r="AX66" s="259">
        <v>1.89</v>
      </c>
      <c r="AY66" s="259">
        <v>1.92</v>
      </c>
      <c r="AZ66" s="259">
        <v>1.95</v>
      </c>
      <c r="BA66" s="259">
        <v>1.99</v>
      </c>
      <c r="BB66" s="259">
        <v>2.02</v>
      </c>
      <c r="BC66" s="259">
        <v>2.06</v>
      </c>
      <c r="BD66" s="259">
        <v>2.1</v>
      </c>
      <c r="BE66" s="259">
        <v>2.14</v>
      </c>
      <c r="BF66" s="259">
        <v>2.19</v>
      </c>
      <c r="BG66" s="259">
        <v>2.23</v>
      </c>
      <c r="BH66" s="259">
        <v>2.2799999999999998</v>
      </c>
      <c r="BI66" s="259">
        <v>2.3199999999999998</v>
      </c>
      <c r="BJ66" s="259">
        <v>2.37</v>
      </c>
      <c r="BK66" s="259">
        <v>2.42</v>
      </c>
      <c r="BL66" s="259">
        <v>2.48</v>
      </c>
      <c r="BM66" s="259">
        <v>2.5299999999999998</v>
      </c>
      <c r="BN66" s="259">
        <v>2.59</v>
      </c>
      <c r="BO66" s="259">
        <v>0</v>
      </c>
      <c r="BP66" s="259">
        <v>0</v>
      </c>
      <c r="BQ66" s="259">
        <v>0</v>
      </c>
      <c r="BR66" s="259">
        <v>0</v>
      </c>
      <c r="BS66" s="259">
        <v>0</v>
      </c>
      <c r="BT66" s="259">
        <v>0</v>
      </c>
      <c r="BU66" s="259">
        <v>0</v>
      </c>
      <c r="BV66" s="259">
        <v>0</v>
      </c>
      <c r="BW66" s="259">
        <v>0</v>
      </c>
      <c r="BX66" s="259">
        <v>0</v>
      </c>
      <c r="BY66" s="259">
        <v>0</v>
      </c>
    </row>
    <row r="67" spans="10:77" x14ac:dyDescent="0.25">
      <c r="O67" s="114">
        <v>65</v>
      </c>
      <c r="P67" s="264">
        <v>55.38</v>
      </c>
      <c r="Q67" s="263">
        <v>33.21</v>
      </c>
      <c r="AH67" s="260">
        <v>30</v>
      </c>
      <c r="AI67" s="259">
        <v>1.5</v>
      </c>
      <c r="AJ67" s="259">
        <v>1.55</v>
      </c>
      <c r="AK67" s="259">
        <v>1.59</v>
      </c>
      <c r="AL67" s="259">
        <v>1.62</v>
      </c>
      <c r="AM67" s="259">
        <v>1.65</v>
      </c>
      <c r="AN67" s="259">
        <v>1.68</v>
      </c>
      <c r="AO67" s="259">
        <v>1.71</v>
      </c>
      <c r="AP67" s="259">
        <v>1.74</v>
      </c>
      <c r="AQ67" s="259">
        <v>1.77</v>
      </c>
      <c r="AR67" s="259">
        <v>1.8</v>
      </c>
      <c r="AS67" s="259">
        <v>1.83</v>
      </c>
      <c r="AT67" s="259">
        <v>1.86</v>
      </c>
      <c r="AU67" s="259">
        <v>1.9</v>
      </c>
      <c r="AV67" s="259">
        <v>1.93</v>
      </c>
      <c r="AW67" s="259">
        <v>1.97</v>
      </c>
      <c r="AX67" s="259">
        <v>2</v>
      </c>
      <c r="AY67" s="259">
        <v>2.04</v>
      </c>
      <c r="AZ67" s="259">
        <v>2.08</v>
      </c>
      <c r="BA67" s="259">
        <v>2.12</v>
      </c>
      <c r="BB67" s="259">
        <v>2.16</v>
      </c>
      <c r="BC67" s="259">
        <v>2.2000000000000002</v>
      </c>
      <c r="BD67" s="259">
        <v>2.25</v>
      </c>
      <c r="BE67" s="259">
        <v>2.29</v>
      </c>
      <c r="BF67" s="259">
        <v>2.34</v>
      </c>
      <c r="BG67" s="259">
        <v>2.39</v>
      </c>
      <c r="BH67" s="259">
        <v>2.44</v>
      </c>
      <c r="BI67" s="259">
        <v>2.4900000000000002</v>
      </c>
      <c r="BJ67" s="259">
        <v>2.5499999999999998</v>
      </c>
      <c r="BK67" s="259">
        <v>2.6</v>
      </c>
      <c r="BL67" s="259">
        <v>2.66</v>
      </c>
      <c r="BM67" s="259">
        <v>2.72</v>
      </c>
      <c r="BN67" s="259">
        <v>0</v>
      </c>
      <c r="BO67" s="259">
        <v>0</v>
      </c>
      <c r="BP67" s="259">
        <v>0</v>
      </c>
      <c r="BQ67" s="259">
        <v>0</v>
      </c>
      <c r="BR67" s="259">
        <v>0</v>
      </c>
      <c r="BS67" s="259">
        <v>0</v>
      </c>
      <c r="BT67" s="259">
        <v>0</v>
      </c>
      <c r="BU67" s="259">
        <v>0</v>
      </c>
      <c r="BV67" s="259">
        <v>0</v>
      </c>
      <c r="BW67" s="259">
        <v>0</v>
      </c>
      <c r="BX67" s="259">
        <v>0</v>
      </c>
      <c r="BY67" s="259">
        <v>0</v>
      </c>
    </row>
    <row r="68" spans="10:77" x14ac:dyDescent="0.25">
      <c r="O68" s="114">
        <v>66</v>
      </c>
      <c r="P68" s="264">
        <v>60.9</v>
      </c>
      <c r="Q68" s="263">
        <v>36.380000000000003</v>
      </c>
      <c r="AH68" s="260">
        <v>31</v>
      </c>
      <c r="AI68" s="259">
        <v>1.56</v>
      </c>
      <c r="AJ68" s="259">
        <v>1.61</v>
      </c>
      <c r="AK68" s="259">
        <v>1.66</v>
      </c>
      <c r="AL68" s="259">
        <v>1.7</v>
      </c>
      <c r="AM68" s="259">
        <v>1.73</v>
      </c>
      <c r="AN68" s="259">
        <v>1.77</v>
      </c>
      <c r="AO68" s="259">
        <v>1.8</v>
      </c>
      <c r="AP68" s="259">
        <v>1.84</v>
      </c>
      <c r="AQ68" s="259">
        <v>1.87</v>
      </c>
      <c r="AR68" s="259">
        <v>1.91</v>
      </c>
      <c r="AS68" s="259">
        <v>1.94</v>
      </c>
      <c r="AT68" s="259">
        <v>1.98</v>
      </c>
      <c r="AU68" s="259">
        <v>2.02</v>
      </c>
      <c r="AV68" s="259">
        <v>2.06</v>
      </c>
      <c r="AW68" s="259">
        <v>2.1</v>
      </c>
      <c r="AX68" s="259">
        <v>2.14</v>
      </c>
      <c r="AY68" s="259">
        <v>2.1800000000000002</v>
      </c>
      <c r="AZ68" s="259">
        <v>2.2200000000000002</v>
      </c>
      <c r="BA68" s="259">
        <v>2.27</v>
      </c>
      <c r="BB68" s="259">
        <v>2.31</v>
      </c>
      <c r="BC68" s="259">
        <v>2.36</v>
      </c>
      <c r="BD68" s="259">
        <v>2.41</v>
      </c>
      <c r="BE68" s="259">
        <v>2.46</v>
      </c>
      <c r="BF68" s="259">
        <v>2.5099999999999998</v>
      </c>
      <c r="BG68" s="259">
        <v>2.57</v>
      </c>
      <c r="BH68" s="259">
        <v>2.62</v>
      </c>
      <c r="BI68" s="259">
        <v>2.68</v>
      </c>
      <c r="BJ68" s="259">
        <v>2.74</v>
      </c>
      <c r="BK68" s="259">
        <v>2.8</v>
      </c>
      <c r="BL68" s="259">
        <v>2.87</v>
      </c>
      <c r="BM68" s="259">
        <v>0</v>
      </c>
      <c r="BN68" s="259">
        <v>0</v>
      </c>
      <c r="BO68" s="259">
        <v>0</v>
      </c>
      <c r="BP68" s="259">
        <v>0</v>
      </c>
      <c r="BQ68" s="259">
        <v>0</v>
      </c>
      <c r="BR68" s="259">
        <v>0</v>
      </c>
      <c r="BS68" s="259">
        <v>0</v>
      </c>
      <c r="BT68" s="259">
        <v>0</v>
      </c>
      <c r="BU68" s="259">
        <v>0</v>
      </c>
      <c r="BV68" s="259">
        <v>0</v>
      </c>
      <c r="BW68" s="259">
        <v>0</v>
      </c>
      <c r="BX68" s="259">
        <v>0</v>
      </c>
      <c r="BY68" s="259">
        <v>0</v>
      </c>
    </row>
    <row r="69" spans="10:77" x14ac:dyDescent="0.25">
      <c r="O69" s="114">
        <v>67</v>
      </c>
      <c r="P69" s="264">
        <v>66.94</v>
      </c>
      <c r="Q69" s="263">
        <v>40.17</v>
      </c>
      <c r="AH69" s="260">
        <v>32</v>
      </c>
      <c r="AI69" s="259">
        <v>1.63</v>
      </c>
      <c r="AJ69" s="259">
        <v>1.69</v>
      </c>
      <c r="AK69" s="259">
        <v>1.74</v>
      </c>
      <c r="AL69" s="259">
        <v>1.79</v>
      </c>
      <c r="AM69" s="259">
        <v>1.83</v>
      </c>
      <c r="AN69" s="259">
        <v>1.87</v>
      </c>
      <c r="AO69" s="259">
        <v>1.91</v>
      </c>
      <c r="AP69" s="259">
        <v>1.95</v>
      </c>
      <c r="AQ69" s="259">
        <v>1.99</v>
      </c>
      <c r="AR69" s="259">
        <v>2.0299999999999998</v>
      </c>
      <c r="AS69" s="259">
        <v>2.0699999999999998</v>
      </c>
      <c r="AT69" s="259">
        <v>2.12</v>
      </c>
      <c r="AU69" s="259">
        <v>2.16</v>
      </c>
      <c r="AV69" s="259">
        <v>2.2000000000000002</v>
      </c>
      <c r="AW69" s="259">
        <v>2.25</v>
      </c>
      <c r="AX69" s="259">
        <v>2.29</v>
      </c>
      <c r="AY69" s="259">
        <v>2.34</v>
      </c>
      <c r="AZ69" s="259">
        <v>2.38</v>
      </c>
      <c r="BA69" s="259">
        <v>2.4300000000000002</v>
      </c>
      <c r="BB69" s="259">
        <v>2.48</v>
      </c>
      <c r="BC69" s="259">
        <v>2.54</v>
      </c>
      <c r="BD69" s="259">
        <v>2.59</v>
      </c>
      <c r="BE69" s="259">
        <v>2.65</v>
      </c>
      <c r="BF69" s="259">
        <v>2.71</v>
      </c>
      <c r="BG69" s="259">
        <v>2.77</v>
      </c>
      <c r="BH69" s="259">
        <v>2.83</v>
      </c>
      <c r="BI69" s="259">
        <v>2.89</v>
      </c>
      <c r="BJ69" s="259">
        <v>2.96</v>
      </c>
      <c r="BK69" s="259">
        <v>3.03</v>
      </c>
      <c r="BL69" s="259">
        <v>0</v>
      </c>
      <c r="BM69" s="259">
        <v>0</v>
      </c>
      <c r="BN69" s="259">
        <v>0</v>
      </c>
      <c r="BO69" s="259">
        <v>0</v>
      </c>
      <c r="BP69" s="259">
        <v>0</v>
      </c>
      <c r="BQ69" s="259">
        <v>0</v>
      </c>
      <c r="BR69" s="259">
        <v>0</v>
      </c>
      <c r="BS69" s="259">
        <v>0</v>
      </c>
      <c r="BT69" s="259">
        <v>0</v>
      </c>
      <c r="BU69" s="259">
        <v>0</v>
      </c>
      <c r="BV69" s="259">
        <v>0</v>
      </c>
      <c r="BW69" s="259">
        <v>0</v>
      </c>
      <c r="BX69" s="259">
        <v>0</v>
      </c>
      <c r="BY69" s="259">
        <v>0</v>
      </c>
    </row>
    <row r="70" spans="10:77" x14ac:dyDescent="0.25">
      <c r="O70" s="114">
        <v>68</v>
      </c>
      <c r="P70" s="264">
        <v>72.69</v>
      </c>
      <c r="Q70" s="263">
        <v>44.46</v>
      </c>
      <c r="AH70" s="260">
        <v>33</v>
      </c>
      <c r="AI70" s="259">
        <v>1.72</v>
      </c>
      <c r="AJ70" s="259">
        <v>1.78</v>
      </c>
      <c r="AK70" s="259">
        <v>1.84</v>
      </c>
      <c r="AL70" s="259">
        <v>1.89</v>
      </c>
      <c r="AM70" s="259">
        <v>1.94</v>
      </c>
      <c r="AN70" s="259">
        <v>1.99</v>
      </c>
      <c r="AO70" s="259">
        <v>2.04</v>
      </c>
      <c r="AP70" s="259">
        <v>2.08</v>
      </c>
      <c r="AQ70" s="259">
        <v>2.13</v>
      </c>
      <c r="AR70" s="259">
        <v>2.1800000000000002</v>
      </c>
      <c r="AS70" s="259">
        <v>2.2200000000000002</v>
      </c>
      <c r="AT70" s="259">
        <v>2.27</v>
      </c>
      <c r="AU70" s="259">
        <v>2.3199999999999998</v>
      </c>
      <c r="AV70" s="259">
        <v>2.36</v>
      </c>
      <c r="AW70" s="259">
        <v>2.41</v>
      </c>
      <c r="AX70" s="259">
        <v>2.46</v>
      </c>
      <c r="AY70" s="259">
        <v>2.5099999999999998</v>
      </c>
      <c r="AZ70" s="259">
        <v>2.57</v>
      </c>
      <c r="BA70" s="259">
        <v>2.62</v>
      </c>
      <c r="BB70" s="259">
        <v>2.68</v>
      </c>
      <c r="BC70" s="259">
        <v>2.73</v>
      </c>
      <c r="BD70" s="259">
        <v>2.79</v>
      </c>
      <c r="BE70" s="259">
        <v>2.86</v>
      </c>
      <c r="BF70" s="259">
        <v>2.92</v>
      </c>
      <c r="BG70" s="259">
        <v>2.99</v>
      </c>
      <c r="BH70" s="259">
        <v>3.05</v>
      </c>
      <c r="BI70" s="259">
        <v>3.12</v>
      </c>
      <c r="BJ70" s="259">
        <v>3.2</v>
      </c>
      <c r="BK70" s="259">
        <v>0</v>
      </c>
      <c r="BL70" s="259">
        <v>0</v>
      </c>
      <c r="BM70" s="259">
        <v>0</v>
      </c>
      <c r="BN70" s="259">
        <v>0</v>
      </c>
      <c r="BO70" s="259">
        <v>0</v>
      </c>
      <c r="BP70" s="259">
        <v>0</v>
      </c>
      <c r="BQ70" s="259">
        <v>0</v>
      </c>
      <c r="BR70" s="259">
        <v>0</v>
      </c>
      <c r="BS70" s="259">
        <v>0</v>
      </c>
      <c r="BT70" s="259">
        <v>0</v>
      </c>
      <c r="BU70" s="259">
        <v>0</v>
      </c>
      <c r="BV70" s="259">
        <v>0</v>
      </c>
      <c r="BW70" s="259">
        <v>0</v>
      </c>
      <c r="BX70" s="259">
        <v>0</v>
      </c>
      <c r="BY70" s="259">
        <v>0</v>
      </c>
    </row>
    <row r="71" spans="10:77" x14ac:dyDescent="0.25">
      <c r="O71" s="114">
        <v>69</v>
      </c>
      <c r="P71" s="264">
        <v>78.709999999999994</v>
      </c>
      <c r="Q71" s="263">
        <v>49.17</v>
      </c>
      <c r="AH71" s="260">
        <v>34</v>
      </c>
      <c r="AI71" s="259">
        <v>1.82</v>
      </c>
      <c r="AJ71" s="259">
        <v>1.9</v>
      </c>
      <c r="AK71" s="259">
        <v>1.96</v>
      </c>
      <c r="AL71" s="259">
        <v>2.02</v>
      </c>
      <c r="AM71" s="259">
        <v>2.08</v>
      </c>
      <c r="AN71" s="259">
        <v>2.13</v>
      </c>
      <c r="AO71" s="259">
        <v>2.1800000000000002</v>
      </c>
      <c r="AP71" s="259">
        <v>2.23</v>
      </c>
      <c r="AQ71" s="259">
        <v>2.29</v>
      </c>
      <c r="AR71" s="259">
        <v>2.34</v>
      </c>
      <c r="AS71" s="259">
        <v>2.39</v>
      </c>
      <c r="AT71" s="259">
        <v>2.44</v>
      </c>
      <c r="AU71" s="259">
        <v>2.4900000000000002</v>
      </c>
      <c r="AV71" s="259">
        <v>2.54</v>
      </c>
      <c r="AW71" s="259">
        <v>2.6</v>
      </c>
      <c r="AX71" s="259">
        <v>2.65</v>
      </c>
      <c r="AY71" s="259">
        <v>2.71</v>
      </c>
      <c r="AZ71" s="259">
        <v>2.77</v>
      </c>
      <c r="BA71" s="259">
        <v>2.83</v>
      </c>
      <c r="BB71" s="259">
        <v>2.89</v>
      </c>
      <c r="BC71" s="259">
        <v>2.95</v>
      </c>
      <c r="BD71" s="259">
        <v>3.02</v>
      </c>
      <c r="BE71" s="259">
        <v>3.09</v>
      </c>
      <c r="BF71" s="259">
        <v>3.16</v>
      </c>
      <c r="BG71" s="259">
        <v>3.23</v>
      </c>
      <c r="BH71" s="259">
        <v>3.3</v>
      </c>
      <c r="BI71" s="259">
        <v>3.38</v>
      </c>
      <c r="BJ71" s="259">
        <v>0</v>
      </c>
      <c r="BK71" s="259">
        <v>0</v>
      </c>
      <c r="BL71" s="259">
        <v>0</v>
      </c>
      <c r="BM71" s="259">
        <v>0</v>
      </c>
      <c r="BN71" s="259">
        <v>0</v>
      </c>
      <c r="BO71" s="259">
        <v>0</v>
      </c>
      <c r="BP71" s="259">
        <v>0</v>
      </c>
      <c r="BQ71" s="259">
        <v>0</v>
      </c>
      <c r="BR71" s="259">
        <v>0</v>
      </c>
      <c r="BS71" s="259">
        <v>0</v>
      </c>
      <c r="BT71" s="259">
        <v>0</v>
      </c>
      <c r="BU71" s="259">
        <v>0</v>
      </c>
      <c r="BV71" s="259">
        <v>0</v>
      </c>
      <c r="BW71" s="259">
        <v>0</v>
      </c>
      <c r="BX71" s="259">
        <v>0</v>
      </c>
      <c r="BY71" s="259">
        <v>0</v>
      </c>
    </row>
    <row r="72" spans="10:77" x14ac:dyDescent="0.25">
      <c r="O72" s="114">
        <v>70</v>
      </c>
      <c r="P72" s="264">
        <v>84.58</v>
      </c>
      <c r="Q72" s="263">
        <v>53.74</v>
      </c>
      <c r="AH72" s="260">
        <v>35</v>
      </c>
      <c r="AI72" s="259">
        <v>1.95</v>
      </c>
      <c r="AJ72" s="259">
        <v>2.0299999999999998</v>
      </c>
      <c r="AK72" s="259">
        <v>2.1</v>
      </c>
      <c r="AL72" s="259">
        <v>2.17</v>
      </c>
      <c r="AM72" s="259">
        <v>2.23</v>
      </c>
      <c r="AN72" s="259">
        <v>2.29</v>
      </c>
      <c r="AO72" s="259">
        <v>2.35</v>
      </c>
      <c r="AP72" s="259">
        <v>2.41</v>
      </c>
      <c r="AQ72" s="259">
        <v>2.46</v>
      </c>
      <c r="AR72" s="259">
        <v>2.52</v>
      </c>
      <c r="AS72" s="259">
        <v>2.57</v>
      </c>
      <c r="AT72" s="259">
        <v>2.63</v>
      </c>
      <c r="AU72" s="259">
        <v>2.69</v>
      </c>
      <c r="AV72" s="259">
        <v>2.75</v>
      </c>
      <c r="AW72" s="259">
        <v>2.8</v>
      </c>
      <c r="AX72" s="259">
        <v>2.86</v>
      </c>
      <c r="AY72" s="259">
        <v>2.93</v>
      </c>
      <c r="AZ72" s="259">
        <v>2.99</v>
      </c>
      <c r="BA72" s="259">
        <v>3.06</v>
      </c>
      <c r="BB72" s="259">
        <v>3.13</v>
      </c>
      <c r="BC72" s="259">
        <v>3.2</v>
      </c>
      <c r="BD72" s="259">
        <v>3.27</v>
      </c>
      <c r="BE72" s="259">
        <v>3.34</v>
      </c>
      <c r="BF72" s="259">
        <v>3.42</v>
      </c>
      <c r="BG72" s="259">
        <v>3.5</v>
      </c>
      <c r="BH72" s="259">
        <v>3.58</v>
      </c>
      <c r="BI72" s="259">
        <v>0</v>
      </c>
      <c r="BJ72" s="259">
        <v>0</v>
      </c>
      <c r="BK72" s="259">
        <v>0</v>
      </c>
      <c r="BL72" s="259">
        <v>0</v>
      </c>
      <c r="BM72" s="259">
        <v>0</v>
      </c>
      <c r="BN72" s="259">
        <v>0</v>
      </c>
      <c r="BO72" s="259">
        <v>0</v>
      </c>
      <c r="BP72" s="259">
        <v>0</v>
      </c>
      <c r="BQ72" s="259">
        <v>0</v>
      </c>
      <c r="BR72" s="259">
        <v>0</v>
      </c>
      <c r="BS72" s="259">
        <v>0</v>
      </c>
      <c r="BT72" s="259">
        <v>0</v>
      </c>
      <c r="BU72" s="259">
        <v>0</v>
      </c>
      <c r="BV72" s="259">
        <v>0</v>
      </c>
      <c r="BW72" s="259">
        <v>0</v>
      </c>
      <c r="BX72" s="259">
        <v>0</v>
      </c>
      <c r="BY72" s="259">
        <v>0</v>
      </c>
    </row>
    <row r="73" spans="10:77" x14ac:dyDescent="0.25">
      <c r="O73" s="114">
        <v>71</v>
      </c>
      <c r="P73" s="264">
        <v>90.81</v>
      </c>
      <c r="Q73" s="263">
        <v>58.8</v>
      </c>
      <c r="AH73" s="260">
        <v>36</v>
      </c>
      <c r="AI73" s="259">
        <v>2.09</v>
      </c>
      <c r="AJ73" s="259">
        <v>2.1800000000000002</v>
      </c>
      <c r="AK73" s="259">
        <v>2.2599999999999998</v>
      </c>
      <c r="AL73" s="259">
        <v>2.34</v>
      </c>
      <c r="AM73" s="259">
        <v>2.41</v>
      </c>
      <c r="AN73" s="259">
        <v>2.4700000000000002</v>
      </c>
      <c r="AO73" s="259">
        <v>2.54</v>
      </c>
      <c r="AP73" s="259">
        <v>2.6</v>
      </c>
      <c r="AQ73" s="259">
        <v>2.66</v>
      </c>
      <c r="AR73" s="259">
        <v>2.72</v>
      </c>
      <c r="AS73" s="259">
        <v>2.78</v>
      </c>
      <c r="AT73" s="259">
        <v>2.84</v>
      </c>
      <c r="AU73" s="259">
        <v>2.9</v>
      </c>
      <c r="AV73" s="259">
        <v>2.97</v>
      </c>
      <c r="AW73" s="259">
        <v>3.03</v>
      </c>
      <c r="AX73" s="259">
        <v>3.1</v>
      </c>
      <c r="AY73" s="259">
        <v>3.17</v>
      </c>
      <c r="AZ73" s="259">
        <v>3.24</v>
      </c>
      <c r="BA73" s="259">
        <v>3.31</v>
      </c>
      <c r="BB73" s="259">
        <v>3.39</v>
      </c>
      <c r="BC73" s="259">
        <v>3.46</v>
      </c>
      <c r="BD73" s="259">
        <v>3.54</v>
      </c>
      <c r="BE73" s="259">
        <v>3.62</v>
      </c>
      <c r="BF73" s="259">
        <v>3.71</v>
      </c>
      <c r="BG73" s="259">
        <v>3.79</v>
      </c>
      <c r="BH73" s="259">
        <v>0</v>
      </c>
      <c r="BI73" s="259">
        <v>0</v>
      </c>
      <c r="BJ73" s="259">
        <v>0</v>
      </c>
      <c r="BK73" s="259">
        <v>0</v>
      </c>
      <c r="BL73" s="259">
        <v>0</v>
      </c>
      <c r="BM73" s="259">
        <v>0</v>
      </c>
      <c r="BN73" s="259">
        <v>0</v>
      </c>
      <c r="BO73" s="259">
        <v>0</v>
      </c>
      <c r="BP73" s="259">
        <v>0</v>
      </c>
      <c r="BQ73" s="259">
        <v>0</v>
      </c>
      <c r="BR73" s="259">
        <v>0</v>
      </c>
      <c r="BS73" s="259">
        <v>0</v>
      </c>
      <c r="BT73" s="259">
        <v>0</v>
      </c>
      <c r="BU73" s="259">
        <v>0</v>
      </c>
      <c r="BV73" s="259">
        <v>0</v>
      </c>
      <c r="BW73" s="259">
        <v>0</v>
      </c>
      <c r="BX73" s="259">
        <v>0</v>
      </c>
      <c r="BY73" s="259">
        <v>0</v>
      </c>
    </row>
    <row r="74" spans="10:77" x14ac:dyDescent="0.25">
      <c r="O74" s="114">
        <v>72</v>
      </c>
      <c r="P74" s="264">
        <v>97.59</v>
      </c>
      <c r="Q74" s="263">
        <v>64.09</v>
      </c>
      <c r="AH74" s="260">
        <v>37</v>
      </c>
      <c r="AI74" s="259">
        <v>2.25</v>
      </c>
      <c r="AJ74" s="259">
        <v>2.36</v>
      </c>
      <c r="AK74" s="259">
        <v>2.4500000000000002</v>
      </c>
      <c r="AL74" s="259">
        <v>2.5299999999999998</v>
      </c>
      <c r="AM74" s="259">
        <v>2.6</v>
      </c>
      <c r="AN74" s="259">
        <v>2.67</v>
      </c>
      <c r="AO74" s="259">
        <v>2.74</v>
      </c>
      <c r="AP74" s="259">
        <v>2.81</v>
      </c>
      <c r="AQ74" s="259">
        <v>2.88</v>
      </c>
      <c r="AR74" s="259">
        <v>2.94</v>
      </c>
      <c r="AS74" s="259">
        <v>3.01</v>
      </c>
      <c r="AT74" s="259">
        <v>3.08</v>
      </c>
      <c r="AU74" s="259">
        <v>3.14</v>
      </c>
      <c r="AV74" s="259">
        <v>3.21</v>
      </c>
      <c r="AW74" s="259">
        <v>3.28</v>
      </c>
      <c r="AX74" s="259">
        <v>3.36</v>
      </c>
      <c r="AY74" s="259">
        <v>3.43</v>
      </c>
      <c r="AZ74" s="259">
        <v>3.51</v>
      </c>
      <c r="BA74" s="259">
        <v>3.59</v>
      </c>
      <c r="BB74" s="259">
        <v>3.67</v>
      </c>
      <c r="BC74" s="259">
        <v>3.75</v>
      </c>
      <c r="BD74" s="259">
        <v>3.84</v>
      </c>
      <c r="BE74" s="259">
        <v>3.93</v>
      </c>
      <c r="BF74" s="259">
        <v>4.0199999999999996</v>
      </c>
      <c r="BG74" s="259">
        <v>0</v>
      </c>
      <c r="BH74" s="259">
        <v>0</v>
      </c>
      <c r="BI74" s="259">
        <v>0</v>
      </c>
      <c r="BJ74" s="259">
        <v>0</v>
      </c>
      <c r="BK74" s="259">
        <v>0</v>
      </c>
      <c r="BL74" s="259">
        <v>0</v>
      </c>
      <c r="BM74" s="259">
        <v>0</v>
      </c>
      <c r="BN74" s="259">
        <v>0</v>
      </c>
      <c r="BO74" s="259">
        <v>0</v>
      </c>
      <c r="BP74" s="259">
        <v>0</v>
      </c>
      <c r="BQ74" s="259">
        <v>0</v>
      </c>
      <c r="BR74" s="259">
        <v>0</v>
      </c>
      <c r="BS74" s="259">
        <v>0</v>
      </c>
      <c r="BT74" s="259">
        <v>0</v>
      </c>
      <c r="BU74" s="259">
        <v>0</v>
      </c>
      <c r="BV74" s="259">
        <v>0</v>
      </c>
      <c r="BW74" s="259">
        <v>0</v>
      </c>
      <c r="BX74" s="259">
        <v>0</v>
      </c>
      <c r="BY74" s="259">
        <v>0</v>
      </c>
    </row>
    <row r="75" spans="10:77" x14ac:dyDescent="0.25">
      <c r="O75" s="114">
        <v>73</v>
      </c>
      <c r="P75" s="264">
        <v>104.58</v>
      </c>
      <c r="Q75" s="263">
        <v>69.239999999999995</v>
      </c>
      <c r="AH75" s="260">
        <v>38</v>
      </c>
      <c r="AI75" s="259">
        <v>2.44</v>
      </c>
      <c r="AJ75" s="259">
        <v>2.5499999999999998</v>
      </c>
      <c r="AK75" s="259">
        <v>2.65</v>
      </c>
      <c r="AL75" s="259">
        <v>2.74</v>
      </c>
      <c r="AM75" s="259">
        <v>2.82</v>
      </c>
      <c r="AN75" s="259">
        <v>2.9</v>
      </c>
      <c r="AO75" s="259">
        <v>2.97</v>
      </c>
      <c r="AP75" s="259">
        <v>3.04</v>
      </c>
      <c r="AQ75" s="259">
        <v>3.12</v>
      </c>
      <c r="AR75" s="259">
        <v>3.19</v>
      </c>
      <c r="AS75" s="259">
        <v>3.26</v>
      </c>
      <c r="AT75" s="259">
        <v>3.33</v>
      </c>
      <c r="AU75" s="259">
        <v>3.41</v>
      </c>
      <c r="AV75" s="259">
        <v>3.48</v>
      </c>
      <c r="AW75" s="259">
        <v>3.56</v>
      </c>
      <c r="AX75" s="259">
        <v>3.64</v>
      </c>
      <c r="AY75" s="259">
        <v>3.72</v>
      </c>
      <c r="AZ75" s="259">
        <v>3.81</v>
      </c>
      <c r="BA75" s="259">
        <v>3.89</v>
      </c>
      <c r="BB75" s="259">
        <v>3.98</v>
      </c>
      <c r="BC75" s="259">
        <v>4.07</v>
      </c>
      <c r="BD75" s="259">
        <v>4.17</v>
      </c>
      <c r="BE75" s="259">
        <v>4.26</v>
      </c>
      <c r="BF75" s="259">
        <v>0</v>
      </c>
      <c r="BG75" s="259">
        <v>0</v>
      </c>
      <c r="BH75" s="259">
        <v>0</v>
      </c>
      <c r="BI75" s="259">
        <v>0</v>
      </c>
      <c r="BJ75" s="259">
        <v>0</v>
      </c>
      <c r="BK75" s="259">
        <v>0</v>
      </c>
      <c r="BL75" s="259">
        <v>0</v>
      </c>
      <c r="BM75" s="259">
        <v>0</v>
      </c>
      <c r="BN75" s="259">
        <v>0</v>
      </c>
      <c r="BO75" s="259">
        <v>0</v>
      </c>
      <c r="BP75" s="259">
        <v>0</v>
      </c>
      <c r="BQ75" s="259">
        <v>0</v>
      </c>
      <c r="BR75" s="259">
        <v>0</v>
      </c>
      <c r="BS75" s="259">
        <v>0</v>
      </c>
      <c r="BT75" s="259">
        <v>0</v>
      </c>
      <c r="BU75" s="259">
        <v>0</v>
      </c>
      <c r="BV75" s="259">
        <v>0</v>
      </c>
      <c r="BW75" s="259">
        <v>0</v>
      </c>
      <c r="BX75" s="259">
        <v>0</v>
      </c>
      <c r="BY75" s="259">
        <v>0</v>
      </c>
    </row>
    <row r="76" spans="10:77" x14ac:dyDescent="0.25">
      <c r="O76" s="115">
        <v>74</v>
      </c>
      <c r="P76" s="262">
        <v>112.43</v>
      </c>
      <c r="Q76" s="261">
        <v>74.81</v>
      </c>
      <c r="AH76" s="260">
        <v>39</v>
      </c>
      <c r="AI76" s="259">
        <v>2.64</v>
      </c>
      <c r="AJ76" s="259">
        <v>2.77</v>
      </c>
      <c r="AK76" s="259">
        <v>2.87</v>
      </c>
      <c r="AL76" s="259">
        <v>2.97</v>
      </c>
      <c r="AM76" s="259">
        <v>3.06</v>
      </c>
      <c r="AN76" s="259">
        <v>3.14</v>
      </c>
      <c r="AO76" s="259">
        <v>3.22</v>
      </c>
      <c r="AP76" s="259">
        <v>3.3</v>
      </c>
      <c r="AQ76" s="259">
        <v>3.38</v>
      </c>
      <c r="AR76" s="259">
        <v>3.45</v>
      </c>
      <c r="AS76" s="259">
        <v>3.53</v>
      </c>
      <c r="AT76" s="259">
        <v>3.61</v>
      </c>
      <c r="AU76" s="259">
        <v>3.69</v>
      </c>
      <c r="AV76" s="259">
        <v>3.78</v>
      </c>
      <c r="AW76" s="259">
        <v>3.86</v>
      </c>
      <c r="AX76" s="259">
        <v>3.95</v>
      </c>
      <c r="AY76" s="259">
        <v>4.04</v>
      </c>
      <c r="AZ76" s="259">
        <v>4.13</v>
      </c>
      <c r="BA76" s="259">
        <v>4.2300000000000004</v>
      </c>
      <c r="BB76" s="259">
        <v>4.32</v>
      </c>
      <c r="BC76" s="259">
        <v>4.42</v>
      </c>
      <c r="BD76" s="259">
        <v>4.53</v>
      </c>
      <c r="BE76" s="259">
        <v>0</v>
      </c>
      <c r="BF76" s="259">
        <v>0</v>
      </c>
      <c r="BG76" s="259">
        <v>0</v>
      </c>
      <c r="BH76" s="259">
        <v>0</v>
      </c>
      <c r="BI76" s="259">
        <v>0</v>
      </c>
      <c r="BJ76" s="259">
        <v>0</v>
      </c>
      <c r="BK76" s="259">
        <v>0</v>
      </c>
      <c r="BL76" s="259">
        <v>0</v>
      </c>
      <c r="BM76" s="259">
        <v>0</v>
      </c>
      <c r="BN76" s="259">
        <v>0</v>
      </c>
      <c r="BO76" s="259">
        <v>0</v>
      </c>
      <c r="BP76" s="259">
        <v>0</v>
      </c>
      <c r="BQ76" s="259">
        <v>0</v>
      </c>
      <c r="BR76" s="259">
        <v>0</v>
      </c>
      <c r="BS76" s="259">
        <v>0</v>
      </c>
      <c r="BT76" s="259">
        <v>0</v>
      </c>
      <c r="BU76" s="259">
        <v>0</v>
      </c>
      <c r="BV76" s="259">
        <v>0</v>
      </c>
      <c r="BW76" s="259">
        <v>0</v>
      </c>
      <c r="BX76" s="259">
        <v>0</v>
      </c>
      <c r="BY76" s="259">
        <v>0</v>
      </c>
    </row>
    <row r="77" spans="10:77" x14ac:dyDescent="0.25">
      <c r="AH77" s="260">
        <v>40</v>
      </c>
      <c r="AI77" s="259">
        <v>2.87</v>
      </c>
      <c r="AJ77" s="259">
        <v>3</v>
      </c>
      <c r="AK77" s="259">
        <v>3.12</v>
      </c>
      <c r="AL77" s="259">
        <v>3.22</v>
      </c>
      <c r="AM77" s="259">
        <v>3.31</v>
      </c>
      <c r="AN77" s="259">
        <v>3.4</v>
      </c>
      <c r="AO77" s="259">
        <v>3.49</v>
      </c>
      <c r="AP77" s="259">
        <v>3.58</v>
      </c>
      <c r="AQ77" s="259">
        <v>3.66</v>
      </c>
      <c r="AR77" s="259">
        <v>3.74</v>
      </c>
      <c r="AS77" s="259">
        <v>3.83</v>
      </c>
      <c r="AT77" s="259">
        <v>3.92</v>
      </c>
      <c r="AU77" s="259">
        <v>4.01</v>
      </c>
      <c r="AV77" s="259">
        <v>4.0999999999999996</v>
      </c>
      <c r="AW77" s="259">
        <v>4.1900000000000004</v>
      </c>
      <c r="AX77" s="259">
        <v>4.29</v>
      </c>
      <c r="AY77" s="259">
        <v>4.3899999999999997</v>
      </c>
      <c r="AZ77" s="259">
        <v>4.49</v>
      </c>
      <c r="BA77" s="259">
        <v>4.59</v>
      </c>
      <c r="BB77" s="259">
        <v>4.7</v>
      </c>
      <c r="BC77" s="259">
        <v>4.8</v>
      </c>
      <c r="BD77" s="259">
        <v>0</v>
      </c>
      <c r="BE77" s="259">
        <v>0</v>
      </c>
      <c r="BF77" s="259">
        <v>0</v>
      </c>
      <c r="BG77" s="259">
        <v>0</v>
      </c>
      <c r="BH77" s="259">
        <v>0</v>
      </c>
      <c r="BI77" s="259">
        <v>0</v>
      </c>
      <c r="BJ77" s="259">
        <v>0</v>
      </c>
      <c r="BK77" s="259">
        <v>0</v>
      </c>
      <c r="BL77" s="259">
        <v>0</v>
      </c>
      <c r="BM77" s="259">
        <v>0</v>
      </c>
      <c r="BN77" s="259">
        <v>0</v>
      </c>
      <c r="BO77" s="259">
        <v>0</v>
      </c>
      <c r="BP77" s="259">
        <v>0</v>
      </c>
      <c r="BQ77" s="259">
        <v>0</v>
      </c>
      <c r="BR77" s="259">
        <v>0</v>
      </c>
      <c r="BS77" s="259">
        <v>0</v>
      </c>
      <c r="BT77" s="259">
        <v>0</v>
      </c>
      <c r="BU77" s="259">
        <v>0</v>
      </c>
      <c r="BV77" s="259">
        <v>0</v>
      </c>
      <c r="BW77" s="259">
        <v>0</v>
      </c>
      <c r="BX77" s="259">
        <v>0</v>
      </c>
      <c r="BY77" s="259">
        <v>0</v>
      </c>
    </row>
    <row r="78" spans="10:77" x14ac:dyDescent="0.25">
      <c r="AH78" s="260">
        <v>41</v>
      </c>
      <c r="AI78" s="259">
        <v>3.12</v>
      </c>
      <c r="AJ78" s="259">
        <v>3.26</v>
      </c>
      <c r="AK78" s="259">
        <v>3.38</v>
      </c>
      <c r="AL78" s="259">
        <v>3.49</v>
      </c>
      <c r="AM78" s="259">
        <v>3.59</v>
      </c>
      <c r="AN78" s="259">
        <v>3.69</v>
      </c>
      <c r="AO78" s="259">
        <v>3.78</v>
      </c>
      <c r="AP78" s="259">
        <v>3.87</v>
      </c>
      <c r="AQ78" s="259">
        <v>3.97</v>
      </c>
      <c r="AR78" s="259">
        <v>4.0599999999999996</v>
      </c>
      <c r="AS78" s="259">
        <v>4.1500000000000004</v>
      </c>
      <c r="AT78" s="259">
        <v>4.25</v>
      </c>
      <c r="AU78" s="259">
        <v>4.3499999999999996</v>
      </c>
      <c r="AV78" s="259">
        <v>4.45</v>
      </c>
      <c r="AW78" s="259">
        <v>4.55</v>
      </c>
      <c r="AX78" s="259">
        <v>4.66</v>
      </c>
      <c r="AY78" s="259">
        <v>4.76</v>
      </c>
      <c r="AZ78" s="259">
        <v>4.87</v>
      </c>
      <c r="BA78" s="259">
        <v>4.99</v>
      </c>
      <c r="BB78" s="259">
        <v>5.0999999999999996</v>
      </c>
      <c r="BC78" s="259">
        <v>0</v>
      </c>
      <c r="BD78" s="259">
        <v>0</v>
      </c>
      <c r="BE78" s="259">
        <v>0</v>
      </c>
      <c r="BF78" s="259">
        <v>0</v>
      </c>
      <c r="BG78" s="259">
        <v>0</v>
      </c>
      <c r="BH78" s="259">
        <v>0</v>
      </c>
      <c r="BI78" s="259">
        <v>0</v>
      </c>
      <c r="BJ78" s="259">
        <v>0</v>
      </c>
      <c r="BK78" s="259">
        <v>0</v>
      </c>
      <c r="BL78" s="259">
        <v>0</v>
      </c>
      <c r="BM78" s="259">
        <v>0</v>
      </c>
      <c r="BN78" s="259">
        <v>0</v>
      </c>
      <c r="BO78" s="259">
        <v>0</v>
      </c>
      <c r="BP78" s="259">
        <v>0</v>
      </c>
      <c r="BQ78" s="259">
        <v>0</v>
      </c>
      <c r="BR78" s="259">
        <v>0</v>
      </c>
      <c r="BS78" s="259">
        <v>0</v>
      </c>
      <c r="BT78" s="259">
        <v>0</v>
      </c>
      <c r="BU78" s="259">
        <v>0</v>
      </c>
      <c r="BV78" s="259">
        <v>0</v>
      </c>
      <c r="BW78" s="259">
        <v>0</v>
      </c>
      <c r="BX78" s="259">
        <v>0</v>
      </c>
      <c r="BY78" s="259">
        <v>0</v>
      </c>
    </row>
    <row r="79" spans="10:77" x14ac:dyDescent="0.25">
      <c r="AH79" s="260">
        <v>42</v>
      </c>
      <c r="AI79" s="259">
        <v>3.38</v>
      </c>
      <c r="AJ79" s="259">
        <v>3.53</v>
      </c>
      <c r="AK79" s="259">
        <v>3.66</v>
      </c>
      <c r="AL79" s="259">
        <v>3.78</v>
      </c>
      <c r="AM79" s="259">
        <v>3.89</v>
      </c>
      <c r="AN79" s="259">
        <v>4</v>
      </c>
      <c r="AO79" s="259">
        <v>4.0999999999999996</v>
      </c>
      <c r="AP79" s="259">
        <v>4.2</v>
      </c>
      <c r="AQ79" s="259">
        <v>4.3</v>
      </c>
      <c r="AR79" s="259">
        <v>4.4000000000000004</v>
      </c>
      <c r="AS79" s="259">
        <v>4.51</v>
      </c>
      <c r="AT79" s="259">
        <v>4.6100000000000003</v>
      </c>
      <c r="AU79" s="259">
        <v>4.72</v>
      </c>
      <c r="AV79" s="259">
        <v>4.83</v>
      </c>
      <c r="AW79" s="259">
        <v>4.9400000000000004</v>
      </c>
      <c r="AX79" s="259">
        <v>5.0599999999999996</v>
      </c>
      <c r="AY79" s="259">
        <v>5.17</v>
      </c>
      <c r="AZ79" s="259">
        <v>5.29</v>
      </c>
      <c r="BA79" s="259">
        <v>5.42</v>
      </c>
      <c r="BB79" s="259">
        <v>0</v>
      </c>
      <c r="BC79" s="259">
        <v>0</v>
      </c>
      <c r="BD79" s="259">
        <v>0</v>
      </c>
      <c r="BE79" s="259">
        <v>0</v>
      </c>
      <c r="BF79" s="259">
        <v>0</v>
      </c>
      <c r="BG79" s="259">
        <v>0</v>
      </c>
      <c r="BH79" s="259">
        <v>0</v>
      </c>
      <c r="BI79" s="259">
        <v>0</v>
      </c>
      <c r="BJ79" s="259">
        <v>0</v>
      </c>
      <c r="BK79" s="259">
        <v>0</v>
      </c>
      <c r="BL79" s="259">
        <v>0</v>
      </c>
      <c r="BM79" s="259">
        <v>0</v>
      </c>
      <c r="BN79" s="259">
        <v>0</v>
      </c>
      <c r="BO79" s="259">
        <v>0</v>
      </c>
      <c r="BP79" s="259">
        <v>0</v>
      </c>
      <c r="BQ79" s="259">
        <v>0</v>
      </c>
      <c r="BR79" s="259">
        <v>0</v>
      </c>
      <c r="BS79" s="259">
        <v>0</v>
      </c>
      <c r="BT79" s="259">
        <v>0</v>
      </c>
      <c r="BU79" s="259">
        <v>0</v>
      </c>
      <c r="BV79" s="259">
        <v>0</v>
      </c>
      <c r="BW79" s="259">
        <v>0</v>
      </c>
      <c r="BX79" s="259">
        <v>0</v>
      </c>
      <c r="BY79" s="259">
        <v>0</v>
      </c>
    </row>
    <row r="80" spans="10:77" x14ac:dyDescent="0.25">
      <c r="AH80" s="260">
        <v>43</v>
      </c>
      <c r="AI80" s="259">
        <v>3.66</v>
      </c>
      <c r="AJ80" s="259">
        <v>3.83</v>
      </c>
      <c r="AK80" s="259">
        <v>3.97</v>
      </c>
      <c r="AL80" s="259">
        <v>4.0999999999999996</v>
      </c>
      <c r="AM80" s="259">
        <v>4.21</v>
      </c>
      <c r="AN80" s="259">
        <v>4.33</v>
      </c>
      <c r="AO80" s="259">
        <v>4.4400000000000004</v>
      </c>
      <c r="AP80" s="259">
        <v>4.55</v>
      </c>
      <c r="AQ80" s="259">
        <v>4.66</v>
      </c>
      <c r="AR80" s="259">
        <v>4.78</v>
      </c>
      <c r="AS80" s="259">
        <v>4.8899999999999997</v>
      </c>
      <c r="AT80" s="259">
        <v>5.01</v>
      </c>
      <c r="AU80" s="259">
        <v>5.13</v>
      </c>
      <c r="AV80" s="259">
        <v>5.25</v>
      </c>
      <c r="AW80" s="259">
        <v>5.37</v>
      </c>
      <c r="AX80" s="259">
        <v>5.49</v>
      </c>
      <c r="AY80" s="259">
        <v>5.62</v>
      </c>
      <c r="AZ80" s="259">
        <v>5.75</v>
      </c>
      <c r="BA80" s="259">
        <v>0</v>
      </c>
      <c r="BB80" s="259">
        <v>0</v>
      </c>
      <c r="BC80" s="259">
        <v>0</v>
      </c>
      <c r="BD80" s="259">
        <v>0</v>
      </c>
      <c r="BE80" s="259">
        <v>0</v>
      </c>
      <c r="BF80" s="259">
        <v>0</v>
      </c>
      <c r="BG80" s="259">
        <v>0</v>
      </c>
      <c r="BH80" s="259">
        <v>0</v>
      </c>
      <c r="BI80" s="259">
        <v>0</v>
      </c>
      <c r="BJ80" s="259">
        <v>0</v>
      </c>
      <c r="BK80" s="259">
        <v>0</v>
      </c>
      <c r="BL80" s="259">
        <v>0</v>
      </c>
      <c r="BM80" s="259">
        <v>0</v>
      </c>
      <c r="BN80" s="259">
        <v>0</v>
      </c>
      <c r="BO80" s="259">
        <v>0</v>
      </c>
      <c r="BP80" s="259">
        <v>0</v>
      </c>
      <c r="BQ80" s="259">
        <v>0</v>
      </c>
      <c r="BR80" s="259">
        <v>0</v>
      </c>
      <c r="BS80" s="259">
        <v>0</v>
      </c>
      <c r="BT80" s="259">
        <v>0</v>
      </c>
      <c r="BU80" s="259">
        <v>0</v>
      </c>
      <c r="BV80" s="259">
        <v>0</v>
      </c>
      <c r="BW80" s="259">
        <v>0</v>
      </c>
      <c r="BX80" s="259">
        <v>0</v>
      </c>
      <c r="BY80" s="259">
        <v>0</v>
      </c>
    </row>
    <row r="81" spans="34:77" x14ac:dyDescent="0.25">
      <c r="AH81" s="260">
        <v>44</v>
      </c>
      <c r="AI81" s="259">
        <v>3.97</v>
      </c>
      <c r="AJ81" s="259">
        <v>4.1399999999999997</v>
      </c>
      <c r="AK81" s="259">
        <v>4.29</v>
      </c>
      <c r="AL81" s="259">
        <v>4.43</v>
      </c>
      <c r="AM81" s="259">
        <v>4.5599999999999996</v>
      </c>
      <c r="AN81" s="259">
        <v>4.6900000000000004</v>
      </c>
      <c r="AO81" s="259">
        <v>4.8099999999999996</v>
      </c>
      <c r="AP81" s="259">
        <v>4.9400000000000004</v>
      </c>
      <c r="AQ81" s="259">
        <v>5.0599999999999996</v>
      </c>
      <c r="AR81" s="259">
        <v>5.18</v>
      </c>
      <c r="AS81" s="259">
        <v>5.31</v>
      </c>
      <c r="AT81" s="259">
        <v>5.44</v>
      </c>
      <c r="AU81" s="259">
        <v>5.57</v>
      </c>
      <c r="AV81" s="259">
        <v>5.7</v>
      </c>
      <c r="AW81" s="259">
        <v>5.83</v>
      </c>
      <c r="AX81" s="259">
        <v>5.97</v>
      </c>
      <c r="AY81" s="259">
        <v>6.11</v>
      </c>
      <c r="AZ81" s="259">
        <v>0</v>
      </c>
      <c r="BA81" s="259">
        <v>0</v>
      </c>
      <c r="BB81" s="259">
        <v>0</v>
      </c>
      <c r="BC81" s="259">
        <v>0</v>
      </c>
      <c r="BD81" s="259">
        <v>0</v>
      </c>
      <c r="BE81" s="259">
        <v>0</v>
      </c>
      <c r="BF81" s="259">
        <v>0</v>
      </c>
      <c r="BG81" s="259">
        <v>0</v>
      </c>
      <c r="BH81" s="259">
        <v>0</v>
      </c>
      <c r="BI81" s="259">
        <v>0</v>
      </c>
      <c r="BJ81" s="259">
        <v>0</v>
      </c>
      <c r="BK81" s="259">
        <v>0</v>
      </c>
      <c r="BL81" s="259">
        <v>0</v>
      </c>
      <c r="BM81" s="259">
        <v>0</v>
      </c>
      <c r="BN81" s="259">
        <v>0</v>
      </c>
      <c r="BO81" s="259">
        <v>0</v>
      </c>
      <c r="BP81" s="259">
        <v>0</v>
      </c>
      <c r="BQ81" s="259">
        <v>0</v>
      </c>
      <c r="BR81" s="259">
        <v>0</v>
      </c>
      <c r="BS81" s="259">
        <v>0</v>
      </c>
      <c r="BT81" s="259">
        <v>0</v>
      </c>
      <c r="BU81" s="259">
        <v>0</v>
      </c>
      <c r="BV81" s="259">
        <v>0</v>
      </c>
      <c r="BW81" s="259">
        <v>0</v>
      </c>
      <c r="BX81" s="259">
        <v>0</v>
      </c>
      <c r="BY81" s="259">
        <v>0</v>
      </c>
    </row>
    <row r="82" spans="34:77" x14ac:dyDescent="0.25">
      <c r="AH82" s="260">
        <v>45</v>
      </c>
      <c r="AI82" s="259">
        <v>4.29</v>
      </c>
      <c r="AJ82" s="259">
        <v>4.4800000000000004</v>
      </c>
      <c r="AK82" s="259">
        <v>4.6500000000000004</v>
      </c>
      <c r="AL82" s="259">
        <v>4.8</v>
      </c>
      <c r="AM82" s="259">
        <v>4.9400000000000004</v>
      </c>
      <c r="AN82" s="259">
        <v>5.08</v>
      </c>
      <c r="AO82" s="259">
        <v>5.22</v>
      </c>
      <c r="AP82" s="259">
        <v>5.35</v>
      </c>
      <c r="AQ82" s="259">
        <v>5.49</v>
      </c>
      <c r="AR82" s="259">
        <v>5.63</v>
      </c>
      <c r="AS82" s="259">
        <v>5.77</v>
      </c>
      <c r="AT82" s="259">
        <v>5.91</v>
      </c>
      <c r="AU82" s="259">
        <v>6.05</v>
      </c>
      <c r="AV82" s="259">
        <v>6.19</v>
      </c>
      <c r="AW82" s="259">
        <v>6.34</v>
      </c>
      <c r="AX82" s="259">
        <v>6.49</v>
      </c>
      <c r="AY82" s="259">
        <v>0</v>
      </c>
      <c r="AZ82" s="259">
        <v>0</v>
      </c>
      <c r="BA82" s="259">
        <v>0</v>
      </c>
      <c r="BB82" s="259">
        <v>0</v>
      </c>
      <c r="BC82" s="259">
        <v>0</v>
      </c>
      <c r="BD82" s="259">
        <v>0</v>
      </c>
      <c r="BE82" s="259">
        <v>0</v>
      </c>
      <c r="BF82" s="259">
        <v>0</v>
      </c>
      <c r="BG82" s="259">
        <v>0</v>
      </c>
      <c r="BH82" s="259">
        <v>0</v>
      </c>
      <c r="BI82" s="259">
        <v>0</v>
      </c>
      <c r="BJ82" s="259">
        <v>0</v>
      </c>
      <c r="BK82" s="259">
        <v>0</v>
      </c>
      <c r="BL82" s="259">
        <v>0</v>
      </c>
      <c r="BM82" s="259">
        <v>0</v>
      </c>
      <c r="BN82" s="259">
        <v>0</v>
      </c>
      <c r="BO82" s="259">
        <v>0</v>
      </c>
      <c r="BP82" s="259">
        <v>0</v>
      </c>
      <c r="BQ82" s="259">
        <v>0</v>
      </c>
      <c r="BR82" s="259">
        <v>0</v>
      </c>
      <c r="BS82" s="259">
        <v>0</v>
      </c>
      <c r="BT82" s="259">
        <v>0</v>
      </c>
      <c r="BU82" s="259">
        <v>0</v>
      </c>
      <c r="BV82" s="259">
        <v>0</v>
      </c>
      <c r="BW82" s="259">
        <v>0</v>
      </c>
      <c r="BX82" s="259">
        <v>0</v>
      </c>
      <c r="BY82" s="259">
        <v>0</v>
      </c>
    </row>
    <row r="83" spans="34:77" x14ac:dyDescent="0.25">
      <c r="AH83" s="260">
        <v>46</v>
      </c>
      <c r="AI83" s="259">
        <v>4.6399999999999997</v>
      </c>
      <c r="AJ83" s="259">
        <v>4.8499999999999996</v>
      </c>
      <c r="AK83" s="259">
        <v>5.03</v>
      </c>
      <c r="AL83" s="259">
        <v>5.2</v>
      </c>
      <c r="AM83" s="259">
        <v>5.36</v>
      </c>
      <c r="AN83" s="259">
        <v>5.51</v>
      </c>
      <c r="AO83" s="259">
        <v>5.66</v>
      </c>
      <c r="AP83" s="259">
        <v>5.82</v>
      </c>
      <c r="AQ83" s="259">
        <v>5.97</v>
      </c>
      <c r="AR83" s="259">
        <v>6.12</v>
      </c>
      <c r="AS83" s="259">
        <v>6.27</v>
      </c>
      <c r="AT83" s="259">
        <v>6.42</v>
      </c>
      <c r="AU83" s="259">
        <v>6.58</v>
      </c>
      <c r="AV83" s="259">
        <v>6.73</v>
      </c>
      <c r="AW83" s="259">
        <v>6.89</v>
      </c>
      <c r="AX83" s="259">
        <v>0</v>
      </c>
      <c r="AY83" s="259">
        <v>0</v>
      </c>
      <c r="AZ83" s="259">
        <v>0</v>
      </c>
      <c r="BA83" s="259">
        <v>0</v>
      </c>
      <c r="BB83" s="259">
        <v>0</v>
      </c>
      <c r="BC83" s="259">
        <v>0</v>
      </c>
      <c r="BD83" s="259">
        <v>0</v>
      </c>
      <c r="BE83" s="259">
        <v>0</v>
      </c>
      <c r="BF83" s="259">
        <v>0</v>
      </c>
      <c r="BG83" s="259">
        <v>0</v>
      </c>
      <c r="BH83" s="259">
        <v>0</v>
      </c>
      <c r="BI83" s="259">
        <v>0</v>
      </c>
      <c r="BJ83" s="259">
        <v>0</v>
      </c>
      <c r="BK83" s="259">
        <v>0</v>
      </c>
      <c r="BL83" s="259">
        <v>0</v>
      </c>
      <c r="BM83" s="259">
        <v>0</v>
      </c>
      <c r="BN83" s="259">
        <v>0</v>
      </c>
      <c r="BO83" s="259">
        <v>0</v>
      </c>
      <c r="BP83" s="259">
        <v>0</v>
      </c>
      <c r="BQ83" s="259">
        <v>0</v>
      </c>
      <c r="BR83" s="259">
        <v>0</v>
      </c>
      <c r="BS83" s="259">
        <v>0</v>
      </c>
      <c r="BT83" s="259">
        <v>0</v>
      </c>
      <c r="BU83" s="259">
        <v>0</v>
      </c>
      <c r="BV83" s="259">
        <v>0</v>
      </c>
      <c r="BW83" s="259">
        <v>0</v>
      </c>
      <c r="BX83" s="259">
        <v>0</v>
      </c>
      <c r="BY83" s="259">
        <v>0</v>
      </c>
    </row>
    <row r="84" spans="34:77" x14ac:dyDescent="0.25">
      <c r="AH84" s="260">
        <v>47</v>
      </c>
      <c r="AI84" s="259">
        <v>5.01</v>
      </c>
      <c r="AJ84" s="259">
        <v>5.24</v>
      </c>
      <c r="AK84" s="259">
        <v>5.45</v>
      </c>
      <c r="AL84" s="259">
        <v>5.63</v>
      </c>
      <c r="AM84" s="259">
        <v>5.81</v>
      </c>
      <c r="AN84" s="259">
        <v>5.99</v>
      </c>
      <c r="AO84" s="259">
        <v>6.15</v>
      </c>
      <c r="AP84" s="259">
        <v>6.32</v>
      </c>
      <c r="AQ84" s="259">
        <v>6.49</v>
      </c>
      <c r="AR84" s="259">
        <v>6.65</v>
      </c>
      <c r="AS84" s="259">
        <v>6.82</v>
      </c>
      <c r="AT84" s="259">
        <v>6.99</v>
      </c>
      <c r="AU84" s="259">
        <v>7.15</v>
      </c>
      <c r="AV84" s="259">
        <v>7.33</v>
      </c>
      <c r="AW84" s="259">
        <v>0</v>
      </c>
      <c r="AX84" s="259">
        <v>0</v>
      </c>
      <c r="AY84" s="259">
        <v>0</v>
      </c>
      <c r="AZ84" s="259">
        <v>0</v>
      </c>
      <c r="BA84" s="259">
        <v>0</v>
      </c>
      <c r="BB84" s="259">
        <v>0</v>
      </c>
      <c r="BC84" s="259">
        <v>0</v>
      </c>
      <c r="BD84" s="259">
        <v>0</v>
      </c>
      <c r="BE84" s="259">
        <v>0</v>
      </c>
      <c r="BF84" s="259">
        <v>0</v>
      </c>
      <c r="BG84" s="259">
        <v>0</v>
      </c>
      <c r="BH84" s="259">
        <v>0</v>
      </c>
      <c r="BI84" s="259">
        <v>0</v>
      </c>
      <c r="BJ84" s="259">
        <v>0</v>
      </c>
      <c r="BK84" s="259">
        <v>0</v>
      </c>
      <c r="BL84" s="259">
        <v>0</v>
      </c>
      <c r="BM84" s="259">
        <v>0</v>
      </c>
      <c r="BN84" s="259">
        <v>0</v>
      </c>
      <c r="BO84" s="259">
        <v>0</v>
      </c>
      <c r="BP84" s="259">
        <v>0</v>
      </c>
      <c r="BQ84" s="259">
        <v>0</v>
      </c>
      <c r="BR84" s="259">
        <v>0</v>
      </c>
      <c r="BS84" s="259">
        <v>0</v>
      </c>
      <c r="BT84" s="259">
        <v>0</v>
      </c>
      <c r="BU84" s="259">
        <v>0</v>
      </c>
      <c r="BV84" s="259">
        <v>0</v>
      </c>
      <c r="BW84" s="259">
        <v>0</v>
      </c>
      <c r="BX84" s="259">
        <v>0</v>
      </c>
      <c r="BY84" s="259">
        <v>0</v>
      </c>
    </row>
    <row r="85" spans="34:77" x14ac:dyDescent="0.25">
      <c r="AH85" s="260">
        <v>48</v>
      </c>
      <c r="AI85" s="259">
        <v>5.43</v>
      </c>
      <c r="AJ85" s="259">
        <v>5.69</v>
      </c>
      <c r="AK85" s="259">
        <v>5.91</v>
      </c>
      <c r="AL85" s="259">
        <v>6.12</v>
      </c>
      <c r="AM85" s="259">
        <v>6.32</v>
      </c>
      <c r="AN85" s="259">
        <v>6.51</v>
      </c>
      <c r="AO85" s="259">
        <v>6.7</v>
      </c>
      <c r="AP85" s="259">
        <v>6.88</v>
      </c>
      <c r="AQ85" s="259">
        <v>7.06</v>
      </c>
      <c r="AR85" s="259">
        <v>7.24</v>
      </c>
      <c r="AS85" s="259">
        <v>7.42</v>
      </c>
      <c r="AT85" s="259">
        <v>7.6</v>
      </c>
      <c r="AU85" s="259">
        <v>7.79</v>
      </c>
      <c r="AV85" s="259">
        <v>0</v>
      </c>
      <c r="AW85" s="259">
        <v>0</v>
      </c>
      <c r="AX85" s="259">
        <v>0</v>
      </c>
      <c r="AY85" s="259">
        <v>0</v>
      </c>
      <c r="AZ85" s="259">
        <v>0</v>
      </c>
      <c r="BA85" s="259">
        <v>0</v>
      </c>
      <c r="BB85" s="259">
        <v>0</v>
      </c>
      <c r="BC85" s="259">
        <v>0</v>
      </c>
      <c r="BD85" s="259">
        <v>0</v>
      </c>
      <c r="BE85" s="259">
        <v>0</v>
      </c>
      <c r="BF85" s="259">
        <v>0</v>
      </c>
      <c r="BG85" s="259">
        <v>0</v>
      </c>
      <c r="BH85" s="259">
        <v>0</v>
      </c>
      <c r="BI85" s="259">
        <v>0</v>
      </c>
      <c r="BJ85" s="259">
        <v>0</v>
      </c>
      <c r="BK85" s="259">
        <v>0</v>
      </c>
      <c r="BL85" s="259">
        <v>0</v>
      </c>
      <c r="BM85" s="259">
        <v>0</v>
      </c>
      <c r="BN85" s="259">
        <v>0</v>
      </c>
      <c r="BO85" s="259">
        <v>0</v>
      </c>
      <c r="BP85" s="259">
        <v>0</v>
      </c>
      <c r="BQ85" s="259">
        <v>0</v>
      </c>
      <c r="BR85" s="259">
        <v>0</v>
      </c>
      <c r="BS85" s="259">
        <v>0</v>
      </c>
      <c r="BT85" s="259">
        <v>0</v>
      </c>
      <c r="BU85" s="259">
        <v>0</v>
      </c>
      <c r="BV85" s="259">
        <v>0</v>
      </c>
      <c r="BW85" s="259">
        <v>0</v>
      </c>
      <c r="BX85" s="259">
        <v>0</v>
      </c>
      <c r="BY85" s="259">
        <v>0</v>
      </c>
    </row>
    <row r="86" spans="34:77" x14ac:dyDescent="0.25">
      <c r="AH86" s="260">
        <v>49</v>
      </c>
      <c r="AI86" s="259">
        <v>5.9</v>
      </c>
      <c r="AJ86" s="259">
        <v>6.18</v>
      </c>
      <c r="AK86" s="259">
        <v>6.43</v>
      </c>
      <c r="AL86" s="259">
        <v>6.67</v>
      </c>
      <c r="AM86" s="259">
        <v>6.89</v>
      </c>
      <c r="AN86" s="259">
        <v>7.09</v>
      </c>
      <c r="AO86" s="259">
        <v>7.3</v>
      </c>
      <c r="AP86" s="259">
        <v>7.5</v>
      </c>
      <c r="AQ86" s="259">
        <v>7.69</v>
      </c>
      <c r="AR86" s="259">
        <v>7.89</v>
      </c>
      <c r="AS86" s="259">
        <v>8.09</v>
      </c>
      <c r="AT86" s="259">
        <v>8.2899999999999991</v>
      </c>
      <c r="AU86" s="259">
        <v>0</v>
      </c>
      <c r="AV86" s="259">
        <v>0</v>
      </c>
      <c r="AW86" s="259">
        <v>0</v>
      </c>
      <c r="AX86" s="259">
        <v>0</v>
      </c>
      <c r="AY86" s="259">
        <v>0</v>
      </c>
      <c r="AZ86" s="259">
        <v>0</v>
      </c>
      <c r="BA86" s="259">
        <v>0</v>
      </c>
      <c r="BB86" s="259">
        <v>0</v>
      </c>
      <c r="BC86" s="259">
        <v>0</v>
      </c>
      <c r="BD86" s="259">
        <v>0</v>
      </c>
      <c r="BE86" s="259">
        <v>0</v>
      </c>
      <c r="BF86" s="259">
        <v>0</v>
      </c>
      <c r="BG86" s="259">
        <v>0</v>
      </c>
      <c r="BH86" s="259">
        <v>0</v>
      </c>
      <c r="BI86" s="259">
        <v>0</v>
      </c>
      <c r="BJ86" s="259">
        <v>0</v>
      </c>
      <c r="BK86" s="259">
        <v>0</v>
      </c>
      <c r="BL86" s="259">
        <v>0</v>
      </c>
      <c r="BM86" s="259">
        <v>0</v>
      </c>
      <c r="BN86" s="259">
        <v>0</v>
      </c>
      <c r="BO86" s="259">
        <v>0</v>
      </c>
      <c r="BP86" s="259">
        <v>0</v>
      </c>
      <c r="BQ86" s="259">
        <v>0</v>
      </c>
      <c r="BR86" s="259">
        <v>0</v>
      </c>
      <c r="BS86" s="259">
        <v>0</v>
      </c>
      <c r="BT86" s="259">
        <v>0</v>
      </c>
      <c r="BU86" s="259">
        <v>0</v>
      </c>
      <c r="BV86" s="259">
        <v>0</v>
      </c>
      <c r="BW86" s="259">
        <v>0</v>
      </c>
      <c r="BX86" s="259">
        <v>0</v>
      </c>
      <c r="BY86" s="259">
        <v>0</v>
      </c>
    </row>
    <row r="87" spans="34:77" x14ac:dyDescent="0.25">
      <c r="AH87" s="260">
        <v>50</v>
      </c>
      <c r="AI87" s="259">
        <v>6.43</v>
      </c>
      <c r="AJ87" s="259">
        <v>6.74</v>
      </c>
      <c r="AK87" s="259">
        <v>7.02</v>
      </c>
      <c r="AL87" s="259">
        <v>7.27</v>
      </c>
      <c r="AM87" s="259">
        <v>7.51</v>
      </c>
      <c r="AN87" s="259">
        <v>7.74</v>
      </c>
      <c r="AO87" s="259">
        <v>7.96</v>
      </c>
      <c r="AP87" s="259">
        <v>8.18</v>
      </c>
      <c r="AQ87" s="259">
        <v>8.39</v>
      </c>
      <c r="AR87" s="259">
        <v>8.61</v>
      </c>
      <c r="AS87" s="259">
        <v>8.82</v>
      </c>
      <c r="AT87" s="259">
        <v>0</v>
      </c>
      <c r="AU87" s="259">
        <v>0</v>
      </c>
      <c r="AV87" s="259">
        <v>0</v>
      </c>
      <c r="AW87" s="259">
        <v>0</v>
      </c>
      <c r="AX87" s="259">
        <v>0</v>
      </c>
      <c r="AY87" s="259">
        <v>0</v>
      </c>
      <c r="AZ87" s="259">
        <v>0</v>
      </c>
      <c r="BA87" s="259">
        <v>0</v>
      </c>
      <c r="BB87" s="259">
        <v>0</v>
      </c>
      <c r="BC87" s="259">
        <v>0</v>
      </c>
      <c r="BD87" s="259">
        <v>0</v>
      </c>
      <c r="BE87" s="259">
        <v>0</v>
      </c>
      <c r="BF87" s="259">
        <v>0</v>
      </c>
      <c r="BG87" s="259">
        <v>0</v>
      </c>
      <c r="BH87" s="259">
        <v>0</v>
      </c>
      <c r="BI87" s="259">
        <v>0</v>
      </c>
      <c r="BJ87" s="259">
        <v>0</v>
      </c>
      <c r="BK87" s="259">
        <v>0</v>
      </c>
      <c r="BL87" s="259">
        <v>0</v>
      </c>
      <c r="BM87" s="259">
        <v>0</v>
      </c>
      <c r="BN87" s="259">
        <v>0</v>
      </c>
      <c r="BO87" s="259">
        <v>0</v>
      </c>
      <c r="BP87" s="259">
        <v>0</v>
      </c>
      <c r="BQ87" s="259">
        <v>0</v>
      </c>
      <c r="BR87" s="259">
        <v>0</v>
      </c>
      <c r="BS87" s="259">
        <v>0</v>
      </c>
      <c r="BT87" s="259">
        <v>0</v>
      </c>
      <c r="BU87" s="259">
        <v>0</v>
      </c>
      <c r="BV87" s="259">
        <v>0</v>
      </c>
      <c r="BW87" s="259">
        <v>0</v>
      </c>
      <c r="BX87" s="259">
        <v>0</v>
      </c>
      <c r="BY87" s="259">
        <v>0</v>
      </c>
    </row>
    <row r="88" spans="34:77" x14ac:dyDescent="0.25">
      <c r="AH88" s="260">
        <v>51</v>
      </c>
      <c r="AI88" s="259">
        <v>7.02</v>
      </c>
      <c r="AJ88" s="259">
        <v>7.37</v>
      </c>
      <c r="AK88" s="259">
        <v>7.67</v>
      </c>
      <c r="AL88" s="259">
        <v>7.95</v>
      </c>
      <c r="AM88" s="259">
        <v>8.2100000000000009</v>
      </c>
      <c r="AN88" s="259">
        <v>8.4499999999999993</v>
      </c>
      <c r="AO88" s="259">
        <v>8.69</v>
      </c>
      <c r="AP88" s="259">
        <v>8.93</v>
      </c>
      <c r="AQ88" s="259">
        <v>9.16</v>
      </c>
      <c r="AR88" s="259">
        <v>9.39</v>
      </c>
      <c r="AS88" s="259">
        <v>0</v>
      </c>
      <c r="AT88" s="259">
        <v>0</v>
      </c>
      <c r="AU88" s="259">
        <v>0</v>
      </c>
      <c r="AV88" s="259">
        <v>0</v>
      </c>
      <c r="AW88" s="259">
        <v>0</v>
      </c>
      <c r="AX88" s="259">
        <v>0</v>
      </c>
      <c r="AY88" s="259">
        <v>0</v>
      </c>
      <c r="AZ88" s="259">
        <v>0</v>
      </c>
      <c r="BA88" s="259">
        <v>0</v>
      </c>
      <c r="BB88" s="259">
        <v>0</v>
      </c>
      <c r="BC88" s="259">
        <v>0</v>
      </c>
      <c r="BD88" s="259">
        <v>0</v>
      </c>
      <c r="BE88" s="259">
        <v>0</v>
      </c>
      <c r="BF88" s="259">
        <v>0</v>
      </c>
      <c r="BG88" s="259">
        <v>0</v>
      </c>
      <c r="BH88" s="259">
        <v>0</v>
      </c>
      <c r="BI88" s="259">
        <v>0</v>
      </c>
      <c r="BJ88" s="259">
        <v>0</v>
      </c>
      <c r="BK88" s="259">
        <v>0</v>
      </c>
      <c r="BL88" s="259">
        <v>0</v>
      </c>
      <c r="BM88" s="259">
        <v>0</v>
      </c>
      <c r="BN88" s="259">
        <v>0</v>
      </c>
      <c r="BO88" s="259">
        <v>0</v>
      </c>
      <c r="BP88" s="259">
        <v>0</v>
      </c>
      <c r="BQ88" s="259">
        <v>0</v>
      </c>
      <c r="BR88" s="259">
        <v>0</v>
      </c>
      <c r="BS88" s="259">
        <v>0</v>
      </c>
      <c r="BT88" s="259">
        <v>0</v>
      </c>
      <c r="BU88" s="259">
        <v>0</v>
      </c>
      <c r="BV88" s="259">
        <v>0</v>
      </c>
      <c r="BW88" s="259">
        <v>0</v>
      </c>
      <c r="BX88" s="259">
        <v>0</v>
      </c>
      <c r="BY88" s="259">
        <v>0</v>
      </c>
    </row>
    <row r="89" spans="34:77" x14ac:dyDescent="0.25">
      <c r="AH89" s="260">
        <v>52</v>
      </c>
      <c r="AI89" s="259">
        <v>7.68</v>
      </c>
      <c r="AJ89" s="259">
        <v>8.06</v>
      </c>
      <c r="AK89" s="259">
        <v>8.39</v>
      </c>
      <c r="AL89" s="259">
        <v>8.69</v>
      </c>
      <c r="AM89" s="259">
        <v>8.9700000000000006</v>
      </c>
      <c r="AN89" s="259">
        <v>9.23</v>
      </c>
      <c r="AO89" s="259">
        <v>9.49</v>
      </c>
      <c r="AP89" s="259">
        <v>9.75</v>
      </c>
      <c r="AQ89" s="259">
        <v>10</v>
      </c>
      <c r="AR89" s="259">
        <v>0</v>
      </c>
      <c r="AS89" s="259">
        <v>0</v>
      </c>
      <c r="AT89" s="259">
        <v>0</v>
      </c>
      <c r="AU89" s="259">
        <v>0</v>
      </c>
      <c r="AV89" s="259">
        <v>0</v>
      </c>
      <c r="AW89" s="259">
        <v>0</v>
      </c>
      <c r="AX89" s="259">
        <v>0</v>
      </c>
      <c r="AY89" s="259">
        <v>0</v>
      </c>
      <c r="AZ89" s="259">
        <v>0</v>
      </c>
      <c r="BA89" s="259">
        <v>0</v>
      </c>
      <c r="BB89" s="259">
        <v>0</v>
      </c>
      <c r="BC89" s="259">
        <v>0</v>
      </c>
      <c r="BD89" s="259">
        <v>0</v>
      </c>
      <c r="BE89" s="259">
        <v>0</v>
      </c>
      <c r="BF89" s="259">
        <v>0</v>
      </c>
      <c r="BG89" s="259">
        <v>0</v>
      </c>
      <c r="BH89" s="259">
        <v>0</v>
      </c>
      <c r="BI89" s="259">
        <v>0</v>
      </c>
      <c r="BJ89" s="259">
        <v>0</v>
      </c>
      <c r="BK89" s="259">
        <v>0</v>
      </c>
      <c r="BL89" s="259">
        <v>0</v>
      </c>
      <c r="BM89" s="259">
        <v>0</v>
      </c>
      <c r="BN89" s="259">
        <v>0</v>
      </c>
      <c r="BO89" s="259">
        <v>0</v>
      </c>
      <c r="BP89" s="259">
        <v>0</v>
      </c>
      <c r="BQ89" s="259">
        <v>0</v>
      </c>
      <c r="BR89" s="259">
        <v>0</v>
      </c>
      <c r="BS89" s="259">
        <v>0</v>
      </c>
      <c r="BT89" s="259">
        <v>0</v>
      </c>
      <c r="BU89" s="259">
        <v>0</v>
      </c>
      <c r="BV89" s="259">
        <v>0</v>
      </c>
      <c r="BW89" s="259">
        <v>0</v>
      </c>
      <c r="BX89" s="259">
        <v>0</v>
      </c>
      <c r="BY89" s="259">
        <v>0</v>
      </c>
    </row>
    <row r="90" spans="34:77" x14ac:dyDescent="0.25">
      <c r="AH90" s="260">
        <v>53</v>
      </c>
      <c r="AI90" s="259">
        <v>8.42</v>
      </c>
      <c r="AJ90" s="259">
        <v>8.82</v>
      </c>
      <c r="AK90" s="259">
        <v>9.18</v>
      </c>
      <c r="AL90" s="259">
        <v>9.5</v>
      </c>
      <c r="AM90" s="259">
        <v>9.8000000000000007</v>
      </c>
      <c r="AN90" s="259">
        <v>10.09</v>
      </c>
      <c r="AO90" s="259">
        <v>10.37</v>
      </c>
      <c r="AP90" s="259">
        <v>10.64</v>
      </c>
      <c r="AQ90" s="259">
        <v>0</v>
      </c>
      <c r="AR90" s="259">
        <v>0</v>
      </c>
      <c r="AS90" s="259">
        <v>0</v>
      </c>
      <c r="AT90" s="259">
        <v>0</v>
      </c>
      <c r="AU90" s="259">
        <v>0</v>
      </c>
      <c r="AV90" s="259">
        <v>0</v>
      </c>
      <c r="AW90" s="259">
        <v>0</v>
      </c>
      <c r="AX90" s="259">
        <v>0</v>
      </c>
      <c r="AY90" s="259">
        <v>0</v>
      </c>
      <c r="AZ90" s="259">
        <v>0</v>
      </c>
      <c r="BA90" s="259">
        <v>0</v>
      </c>
      <c r="BB90" s="259">
        <v>0</v>
      </c>
      <c r="BC90" s="259">
        <v>0</v>
      </c>
      <c r="BD90" s="259">
        <v>0</v>
      </c>
      <c r="BE90" s="259">
        <v>0</v>
      </c>
      <c r="BF90" s="259">
        <v>0</v>
      </c>
      <c r="BG90" s="259">
        <v>0</v>
      </c>
      <c r="BH90" s="259">
        <v>0</v>
      </c>
      <c r="BI90" s="259">
        <v>0</v>
      </c>
      <c r="BJ90" s="259">
        <v>0</v>
      </c>
      <c r="BK90" s="259">
        <v>0</v>
      </c>
      <c r="BL90" s="259">
        <v>0</v>
      </c>
      <c r="BM90" s="259">
        <v>0</v>
      </c>
      <c r="BN90" s="259">
        <v>0</v>
      </c>
      <c r="BO90" s="259">
        <v>0</v>
      </c>
      <c r="BP90" s="259">
        <v>0</v>
      </c>
      <c r="BQ90" s="259">
        <v>0</v>
      </c>
      <c r="BR90" s="259">
        <v>0</v>
      </c>
      <c r="BS90" s="259">
        <v>0</v>
      </c>
      <c r="BT90" s="259">
        <v>0</v>
      </c>
      <c r="BU90" s="259">
        <v>0</v>
      </c>
      <c r="BV90" s="259">
        <v>0</v>
      </c>
      <c r="BW90" s="259">
        <v>0</v>
      </c>
      <c r="BX90" s="259">
        <v>0</v>
      </c>
      <c r="BY90" s="259">
        <v>0</v>
      </c>
    </row>
    <row r="91" spans="34:77" x14ac:dyDescent="0.25">
      <c r="AH91" s="260">
        <v>54</v>
      </c>
      <c r="AI91" s="259">
        <v>9.1999999999999993</v>
      </c>
      <c r="AJ91" s="259">
        <v>9.64</v>
      </c>
      <c r="AK91" s="259">
        <v>10.02</v>
      </c>
      <c r="AL91" s="259">
        <v>10.37</v>
      </c>
      <c r="AM91" s="259">
        <v>10.69</v>
      </c>
      <c r="AN91" s="259">
        <v>11.01</v>
      </c>
      <c r="AO91" s="259">
        <v>11.32</v>
      </c>
      <c r="AP91" s="259">
        <v>0</v>
      </c>
      <c r="AQ91" s="259">
        <v>0</v>
      </c>
      <c r="AR91" s="259">
        <v>0</v>
      </c>
      <c r="AS91" s="259">
        <v>0</v>
      </c>
      <c r="AT91" s="259">
        <v>0</v>
      </c>
      <c r="AU91" s="259">
        <v>0</v>
      </c>
      <c r="AV91" s="259">
        <v>0</v>
      </c>
      <c r="AW91" s="259">
        <v>0</v>
      </c>
      <c r="AX91" s="259">
        <v>0</v>
      </c>
      <c r="AY91" s="259">
        <v>0</v>
      </c>
      <c r="AZ91" s="259">
        <v>0</v>
      </c>
      <c r="BA91" s="259">
        <v>0</v>
      </c>
      <c r="BB91" s="259">
        <v>0</v>
      </c>
      <c r="BC91" s="259">
        <v>0</v>
      </c>
      <c r="BD91" s="259">
        <v>0</v>
      </c>
      <c r="BE91" s="259">
        <v>0</v>
      </c>
      <c r="BF91" s="259">
        <v>0</v>
      </c>
      <c r="BG91" s="259">
        <v>0</v>
      </c>
      <c r="BH91" s="259">
        <v>0</v>
      </c>
      <c r="BI91" s="259">
        <v>0</v>
      </c>
      <c r="BJ91" s="259">
        <v>0</v>
      </c>
      <c r="BK91" s="259">
        <v>0</v>
      </c>
      <c r="BL91" s="259">
        <v>0</v>
      </c>
      <c r="BM91" s="259">
        <v>0</v>
      </c>
      <c r="BN91" s="259">
        <v>0</v>
      </c>
      <c r="BO91" s="259">
        <v>0</v>
      </c>
      <c r="BP91" s="259">
        <v>0</v>
      </c>
      <c r="BQ91" s="259">
        <v>0</v>
      </c>
      <c r="BR91" s="259">
        <v>0</v>
      </c>
      <c r="BS91" s="259">
        <v>0</v>
      </c>
      <c r="BT91" s="259">
        <v>0</v>
      </c>
      <c r="BU91" s="259">
        <v>0</v>
      </c>
      <c r="BV91" s="259">
        <v>0</v>
      </c>
      <c r="BW91" s="259">
        <v>0</v>
      </c>
      <c r="BX91" s="259">
        <v>0</v>
      </c>
      <c r="BY91" s="259">
        <v>0</v>
      </c>
    </row>
    <row r="92" spans="34:77" x14ac:dyDescent="0.25">
      <c r="AH92" s="260">
        <v>55</v>
      </c>
      <c r="AI92" s="259">
        <v>10.050000000000001</v>
      </c>
      <c r="AJ92" s="259">
        <v>10.52</v>
      </c>
      <c r="AK92" s="259">
        <v>10.93</v>
      </c>
      <c r="AL92" s="259">
        <v>11.31</v>
      </c>
      <c r="AM92" s="259">
        <v>11.67</v>
      </c>
      <c r="AN92" s="259">
        <v>12.01</v>
      </c>
      <c r="AO92" s="259">
        <v>0</v>
      </c>
      <c r="AP92" s="259">
        <v>0</v>
      </c>
      <c r="AQ92" s="259">
        <v>0</v>
      </c>
      <c r="AR92" s="259">
        <v>0</v>
      </c>
      <c r="AS92" s="259">
        <v>0</v>
      </c>
      <c r="AT92" s="259">
        <v>0</v>
      </c>
      <c r="AU92" s="259">
        <v>0</v>
      </c>
      <c r="AV92" s="259">
        <v>0</v>
      </c>
      <c r="AW92" s="259">
        <v>0</v>
      </c>
      <c r="AX92" s="259">
        <v>0</v>
      </c>
      <c r="AY92" s="259">
        <v>0</v>
      </c>
      <c r="AZ92" s="259">
        <v>0</v>
      </c>
      <c r="BA92" s="259">
        <v>0</v>
      </c>
      <c r="BB92" s="259">
        <v>0</v>
      </c>
      <c r="BC92" s="259">
        <v>0</v>
      </c>
      <c r="BD92" s="259">
        <v>0</v>
      </c>
      <c r="BE92" s="259">
        <v>0</v>
      </c>
      <c r="BF92" s="259">
        <v>0</v>
      </c>
      <c r="BG92" s="259">
        <v>0</v>
      </c>
      <c r="BH92" s="259">
        <v>0</v>
      </c>
      <c r="BI92" s="259">
        <v>0</v>
      </c>
      <c r="BJ92" s="259">
        <v>0</v>
      </c>
      <c r="BK92" s="259">
        <v>0</v>
      </c>
      <c r="BL92" s="259">
        <v>0</v>
      </c>
      <c r="BM92" s="259">
        <v>0</v>
      </c>
      <c r="BN92" s="259">
        <v>0</v>
      </c>
      <c r="BO92" s="259">
        <v>0</v>
      </c>
      <c r="BP92" s="259">
        <v>0</v>
      </c>
      <c r="BQ92" s="259">
        <v>0</v>
      </c>
      <c r="BR92" s="259">
        <v>0</v>
      </c>
      <c r="BS92" s="259">
        <v>0</v>
      </c>
      <c r="BT92" s="259">
        <v>0</v>
      </c>
      <c r="BU92" s="259">
        <v>0</v>
      </c>
      <c r="BV92" s="259">
        <v>0</v>
      </c>
      <c r="BW92" s="259">
        <v>0</v>
      </c>
      <c r="BX92" s="259">
        <v>0</v>
      </c>
      <c r="BY92" s="259">
        <v>0</v>
      </c>
    </row>
    <row r="93" spans="34:77" x14ac:dyDescent="0.25">
      <c r="AH93" s="260">
        <v>56</v>
      </c>
      <c r="AI93" s="259">
        <v>10.95</v>
      </c>
      <c r="AJ93" s="259">
        <v>11.46</v>
      </c>
      <c r="AK93" s="259">
        <v>11.91</v>
      </c>
      <c r="AL93" s="259">
        <v>12.33</v>
      </c>
      <c r="AM93" s="259">
        <v>12.72</v>
      </c>
      <c r="AN93" s="259">
        <v>0</v>
      </c>
      <c r="AO93" s="259">
        <v>0</v>
      </c>
      <c r="AP93" s="259">
        <v>0</v>
      </c>
      <c r="AQ93" s="259">
        <v>0</v>
      </c>
      <c r="AR93" s="259">
        <v>0</v>
      </c>
      <c r="AS93" s="259">
        <v>0</v>
      </c>
      <c r="AT93" s="259">
        <v>0</v>
      </c>
      <c r="AU93" s="259">
        <v>0</v>
      </c>
      <c r="AV93" s="259">
        <v>0</v>
      </c>
      <c r="AW93" s="259">
        <v>0</v>
      </c>
      <c r="AX93" s="259">
        <v>0</v>
      </c>
      <c r="AY93" s="259">
        <v>0</v>
      </c>
      <c r="AZ93" s="259">
        <v>0</v>
      </c>
      <c r="BA93" s="259">
        <v>0</v>
      </c>
      <c r="BB93" s="259">
        <v>0</v>
      </c>
      <c r="BC93" s="259">
        <v>0</v>
      </c>
      <c r="BD93" s="259">
        <v>0</v>
      </c>
      <c r="BE93" s="259">
        <v>0</v>
      </c>
      <c r="BF93" s="259">
        <v>0</v>
      </c>
      <c r="BG93" s="259">
        <v>0</v>
      </c>
      <c r="BH93" s="259">
        <v>0</v>
      </c>
      <c r="BI93" s="259">
        <v>0</v>
      </c>
      <c r="BJ93" s="259">
        <v>0</v>
      </c>
      <c r="BK93" s="259">
        <v>0</v>
      </c>
      <c r="BL93" s="259">
        <v>0</v>
      </c>
      <c r="BM93" s="259">
        <v>0</v>
      </c>
      <c r="BN93" s="259">
        <v>0</v>
      </c>
      <c r="BO93" s="259">
        <v>0</v>
      </c>
      <c r="BP93" s="259">
        <v>0</v>
      </c>
      <c r="BQ93" s="259">
        <v>0</v>
      </c>
      <c r="BR93" s="259">
        <v>0</v>
      </c>
      <c r="BS93" s="259">
        <v>0</v>
      </c>
      <c r="BT93" s="259">
        <v>0</v>
      </c>
      <c r="BU93" s="259">
        <v>0</v>
      </c>
      <c r="BV93" s="259">
        <v>0</v>
      </c>
      <c r="BW93" s="259">
        <v>0</v>
      </c>
      <c r="BX93" s="259">
        <v>0</v>
      </c>
      <c r="BY93" s="259">
        <v>0</v>
      </c>
    </row>
    <row r="94" spans="34:77" x14ac:dyDescent="0.25">
      <c r="AH94" s="260">
        <v>57</v>
      </c>
      <c r="AI94" s="259">
        <v>11.92</v>
      </c>
      <c r="AJ94" s="259">
        <v>12.48</v>
      </c>
      <c r="AK94" s="259">
        <v>12.98</v>
      </c>
      <c r="AL94" s="259">
        <v>13.44</v>
      </c>
      <c r="AM94" s="259">
        <v>0</v>
      </c>
      <c r="AN94" s="259">
        <v>0</v>
      </c>
      <c r="AO94" s="259">
        <v>0</v>
      </c>
      <c r="AP94" s="259">
        <v>0</v>
      </c>
      <c r="AQ94" s="259">
        <v>0</v>
      </c>
      <c r="AR94" s="259">
        <v>0</v>
      </c>
      <c r="AS94" s="259">
        <v>0</v>
      </c>
      <c r="AT94" s="259">
        <v>0</v>
      </c>
      <c r="AU94" s="259">
        <v>0</v>
      </c>
      <c r="AV94" s="259">
        <v>0</v>
      </c>
      <c r="AW94" s="259">
        <v>0</v>
      </c>
      <c r="AX94" s="259">
        <v>0</v>
      </c>
      <c r="AY94" s="259">
        <v>0</v>
      </c>
      <c r="AZ94" s="259">
        <v>0</v>
      </c>
      <c r="BA94" s="259">
        <v>0</v>
      </c>
      <c r="BB94" s="259">
        <v>0</v>
      </c>
      <c r="BC94" s="259">
        <v>0</v>
      </c>
      <c r="BD94" s="259">
        <v>0</v>
      </c>
      <c r="BE94" s="259">
        <v>0</v>
      </c>
      <c r="BF94" s="259">
        <v>0</v>
      </c>
      <c r="BG94" s="259">
        <v>0</v>
      </c>
      <c r="BH94" s="259">
        <v>0</v>
      </c>
      <c r="BI94" s="259">
        <v>0</v>
      </c>
      <c r="BJ94" s="259">
        <v>0</v>
      </c>
      <c r="BK94" s="259">
        <v>0</v>
      </c>
      <c r="BL94" s="259">
        <v>0</v>
      </c>
      <c r="BM94" s="259">
        <v>0</v>
      </c>
      <c r="BN94" s="259">
        <v>0</v>
      </c>
      <c r="BO94" s="259">
        <v>0</v>
      </c>
      <c r="BP94" s="259">
        <v>0</v>
      </c>
      <c r="BQ94" s="259">
        <v>0</v>
      </c>
      <c r="BR94" s="259">
        <v>0</v>
      </c>
      <c r="BS94" s="259">
        <v>0</v>
      </c>
      <c r="BT94" s="259">
        <v>0</v>
      </c>
      <c r="BU94" s="259">
        <v>0</v>
      </c>
      <c r="BV94" s="259">
        <v>0</v>
      </c>
      <c r="BW94" s="259">
        <v>0</v>
      </c>
      <c r="BX94" s="259">
        <v>0</v>
      </c>
      <c r="BY94" s="259">
        <v>0</v>
      </c>
    </row>
    <row r="95" spans="34:77" x14ac:dyDescent="0.25">
      <c r="AH95" s="260">
        <v>58</v>
      </c>
      <c r="AI95" s="259">
        <v>12.98</v>
      </c>
      <c r="AJ95" s="259">
        <v>13.6</v>
      </c>
      <c r="AK95" s="259">
        <v>14.15</v>
      </c>
      <c r="AL95" s="259">
        <v>0</v>
      </c>
      <c r="AM95" s="259">
        <v>0</v>
      </c>
      <c r="AN95" s="259">
        <v>0</v>
      </c>
      <c r="AO95" s="259">
        <v>0</v>
      </c>
      <c r="AP95" s="259">
        <v>0</v>
      </c>
      <c r="AQ95" s="259">
        <v>0</v>
      </c>
      <c r="AR95" s="259">
        <v>0</v>
      </c>
      <c r="AS95" s="259">
        <v>0</v>
      </c>
      <c r="AT95" s="259">
        <v>0</v>
      </c>
      <c r="AU95" s="259">
        <v>0</v>
      </c>
      <c r="AV95" s="259">
        <v>0</v>
      </c>
      <c r="AW95" s="259">
        <v>0</v>
      </c>
      <c r="AX95" s="259">
        <v>0</v>
      </c>
      <c r="AY95" s="259">
        <v>0</v>
      </c>
      <c r="AZ95" s="259">
        <v>0</v>
      </c>
      <c r="BA95" s="259">
        <v>0</v>
      </c>
      <c r="BB95" s="259">
        <v>0</v>
      </c>
      <c r="BC95" s="259">
        <v>0</v>
      </c>
      <c r="BD95" s="259">
        <v>0</v>
      </c>
      <c r="BE95" s="259">
        <v>0</v>
      </c>
      <c r="BF95" s="259">
        <v>0</v>
      </c>
      <c r="BG95" s="259">
        <v>0</v>
      </c>
      <c r="BH95" s="259">
        <v>0</v>
      </c>
      <c r="BI95" s="259">
        <v>0</v>
      </c>
      <c r="BJ95" s="259">
        <v>0</v>
      </c>
      <c r="BK95" s="259">
        <v>0</v>
      </c>
      <c r="BL95" s="259">
        <v>0</v>
      </c>
      <c r="BM95" s="259">
        <v>0</v>
      </c>
      <c r="BN95" s="259">
        <v>0</v>
      </c>
      <c r="BO95" s="259">
        <v>0</v>
      </c>
      <c r="BP95" s="259">
        <v>0</v>
      </c>
      <c r="BQ95" s="259">
        <v>0</v>
      </c>
      <c r="BR95" s="259">
        <v>0</v>
      </c>
      <c r="BS95" s="259">
        <v>0</v>
      </c>
      <c r="BT95" s="259">
        <v>0</v>
      </c>
      <c r="BU95" s="259">
        <v>0</v>
      </c>
      <c r="BV95" s="259">
        <v>0</v>
      </c>
      <c r="BW95" s="259">
        <v>0</v>
      </c>
      <c r="BX95" s="259">
        <v>0</v>
      </c>
      <c r="BY95" s="259">
        <v>0</v>
      </c>
    </row>
    <row r="96" spans="34:77" x14ac:dyDescent="0.25">
      <c r="AH96" s="260">
        <v>59</v>
      </c>
      <c r="AI96" s="259">
        <v>14.16</v>
      </c>
      <c r="AJ96" s="259">
        <v>14.85</v>
      </c>
      <c r="AK96" s="259">
        <v>0</v>
      </c>
      <c r="AL96" s="259">
        <v>0</v>
      </c>
      <c r="AM96" s="259">
        <v>0</v>
      </c>
      <c r="AN96" s="259">
        <v>0</v>
      </c>
      <c r="AO96" s="259">
        <v>0</v>
      </c>
      <c r="AP96" s="259">
        <v>0</v>
      </c>
      <c r="AQ96" s="259">
        <v>0</v>
      </c>
      <c r="AR96" s="259">
        <v>0</v>
      </c>
      <c r="AS96" s="259">
        <v>0</v>
      </c>
      <c r="AT96" s="259">
        <v>0</v>
      </c>
      <c r="AU96" s="259">
        <v>0</v>
      </c>
      <c r="AV96" s="259">
        <v>0</v>
      </c>
      <c r="AW96" s="259">
        <v>0</v>
      </c>
      <c r="AX96" s="259">
        <v>0</v>
      </c>
      <c r="AY96" s="259">
        <v>0</v>
      </c>
      <c r="AZ96" s="259">
        <v>0</v>
      </c>
      <c r="BA96" s="259">
        <v>0</v>
      </c>
      <c r="BB96" s="259">
        <v>0</v>
      </c>
      <c r="BC96" s="259">
        <v>0</v>
      </c>
      <c r="BD96" s="259">
        <v>0</v>
      </c>
      <c r="BE96" s="259">
        <v>0</v>
      </c>
      <c r="BF96" s="259">
        <v>0</v>
      </c>
      <c r="BG96" s="259">
        <v>0</v>
      </c>
      <c r="BH96" s="259">
        <v>0</v>
      </c>
      <c r="BI96" s="259">
        <v>0</v>
      </c>
      <c r="BJ96" s="259">
        <v>0</v>
      </c>
      <c r="BK96" s="259">
        <v>0</v>
      </c>
      <c r="BL96" s="259">
        <v>0</v>
      </c>
      <c r="BM96" s="259">
        <v>0</v>
      </c>
      <c r="BN96" s="259">
        <v>0</v>
      </c>
      <c r="BO96" s="259">
        <v>0</v>
      </c>
      <c r="BP96" s="259">
        <v>0</v>
      </c>
      <c r="BQ96" s="259">
        <v>0</v>
      </c>
      <c r="BR96" s="259">
        <v>0</v>
      </c>
      <c r="BS96" s="259">
        <v>0</v>
      </c>
      <c r="BT96" s="259">
        <v>0</v>
      </c>
      <c r="BU96" s="259">
        <v>0</v>
      </c>
      <c r="BV96" s="259">
        <v>0</v>
      </c>
      <c r="BW96" s="259">
        <v>0</v>
      </c>
      <c r="BX96" s="259">
        <v>0</v>
      </c>
      <c r="BY96" s="259">
        <v>0</v>
      </c>
    </row>
    <row r="97" spans="34:77" x14ac:dyDescent="0.25">
      <c r="AH97" s="260">
        <v>60</v>
      </c>
      <c r="AI97" s="259">
        <v>15.48</v>
      </c>
      <c r="AJ97" s="259">
        <v>0</v>
      </c>
      <c r="AK97" s="259">
        <v>0</v>
      </c>
      <c r="AL97" s="259">
        <v>0</v>
      </c>
      <c r="AM97" s="259">
        <v>0</v>
      </c>
      <c r="AN97" s="259">
        <v>0</v>
      </c>
      <c r="AO97" s="259">
        <v>0</v>
      </c>
      <c r="AP97" s="259">
        <v>0</v>
      </c>
      <c r="AQ97" s="259">
        <v>0</v>
      </c>
      <c r="AR97" s="259">
        <v>0</v>
      </c>
      <c r="AS97" s="259">
        <v>0</v>
      </c>
      <c r="AT97" s="259">
        <v>0</v>
      </c>
      <c r="AU97" s="259">
        <v>0</v>
      </c>
      <c r="AV97" s="259">
        <v>0</v>
      </c>
      <c r="AW97" s="259">
        <v>0</v>
      </c>
      <c r="AX97" s="259">
        <v>0</v>
      </c>
      <c r="AY97" s="259">
        <v>0</v>
      </c>
      <c r="AZ97" s="259">
        <v>0</v>
      </c>
      <c r="BA97" s="259">
        <v>0</v>
      </c>
      <c r="BB97" s="259">
        <v>0</v>
      </c>
      <c r="BC97" s="259">
        <v>0</v>
      </c>
      <c r="BD97" s="259">
        <v>0</v>
      </c>
      <c r="BE97" s="259">
        <v>0</v>
      </c>
      <c r="BF97" s="259">
        <v>0</v>
      </c>
      <c r="BG97" s="259">
        <v>0</v>
      </c>
      <c r="BH97" s="259">
        <v>0</v>
      </c>
      <c r="BI97" s="259">
        <v>0</v>
      </c>
      <c r="BJ97" s="259">
        <v>0</v>
      </c>
      <c r="BK97" s="259">
        <v>0</v>
      </c>
      <c r="BL97" s="259">
        <v>0</v>
      </c>
      <c r="BM97" s="259">
        <v>0</v>
      </c>
      <c r="BN97" s="259">
        <v>0</v>
      </c>
      <c r="BO97" s="259">
        <v>0</v>
      </c>
      <c r="BP97" s="259">
        <v>0</v>
      </c>
      <c r="BQ97" s="259">
        <v>0</v>
      </c>
      <c r="BR97" s="259">
        <v>0</v>
      </c>
      <c r="BS97" s="259">
        <v>0</v>
      </c>
      <c r="BT97" s="259">
        <v>0</v>
      </c>
      <c r="BU97" s="259">
        <v>0</v>
      </c>
      <c r="BV97" s="259">
        <v>0</v>
      </c>
      <c r="BW97" s="259">
        <v>0</v>
      </c>
      <c r="BX97" s="259">
        <v>0</v>
      </c>
      <c r="BY97" s="259">
        <v>0</v>
      </c>
    </row>
  </sheetData>
  <mergeCells count="13">
    <mergeCell ref="Y1:AA1"/>
    <mergeCell ref="E1:G1"/>
    <mergeCell ref="J1:L1"/>
    <mergeCell ref="O1:Q1"/>
    <mergeCell ref="T1:V1"/>
    <mergeCell ref="AH52:AK52"/>
    <mergeCell ref="AI53:BY53"/>
    <mergeCell ref="AD1:AE1"/>
    <mergeCell ref="AH1:BY1"/>
    <mergeCell ref="CB1:CS1"/>
    <mergeCell ref="AH2:AK2"/>
    <mergeCell ref="AH3:BY3"/>
    <mergeCell ref="CC3:CS3"/>
  </mergeCell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31273-0534-41B3-9576-17E24080F150}">
  <sheetPr codeName="Sheet9"/>
  <dimension ref="C3:CX219"/>
  <sheetViews>
    <sheetView topLeftCell="C72" zoomScale="55" zoomScaleNormal="55" workbookViewId="0">
      <selection activeCell="I3" sqref="I3"/>
    </sheetView>
  </sheetViews>
  <sheetFormatPr defaultColWidth="9.140625" defaultRowHeight="15" x14ac:dyDescent="0.25"/>
  <cols>
    <col min="1" max="16384" width="9.140625" style="296"/>
  </cols>
  <sheetData>
    <row r="3" spans="3:102" ht="18" x14ac:dyDescent="0.25">
      <c r="D3" s="297" t="s">
        <v>439</v>
      </c>
      <c r="E3" s="298"/>
      <c r="F3" s="298"/>
      <c r="G3" s="298"/>
      <c r="H3" s="298"/>
      <c r="I3" s="298"/>
      <c r="J3" s="298"/>
      <c r="K3" s="298"/>
      <c r="M3" s="29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</row>
    <row r="6" spans="3:102" x14ac:dyDescent="0.25">
      <c r="C6" s="300" t="s">
        <v>440</v>
      </c>
      <c r="D6" s="301" t="s">
        <v>441</v>
      </c>
      <c r="E6" s="302"/>
      <c r="F6" s="302"/>
      <c r="G6" s="302"/>
      <c r="H6" s="302"/>
      <c r="I6" s="302"/>
      <c r="J6" s="302"/>
      <c r="K6" s="302"/>
      <c r="L6" s="302"/>
      <c r="M6" s="302"/>
      <c r="N6" s="302"/>
      <c r="O6" s="302"/>
      <c r="P6" s="302"/>
      <c r="Q6" s="302"/>
      <c r="R6" s="302"/>
      <c r="S6" s="302"/>
      <c r="T6" s="302"/>
      <c r="U6" s="302"/>
      <c r="V6" s="302"/>
      <c r="W6" s="302"/>
      <c r="X6" s="302"/>
      <c r="Y6" s="302"/>
      <c r="Z6" s="302"/>
      <c r="AA6" s="302"/>
      <c r="AB6" s="302"/>
      <c r="AC6" s="302"/>
      <c r="AD6" s="302"/>
      <c r="AE6" s="302"/>
      <c r="AF6" s="302"/>
      <c r="AG6" s="302"/>
      <c r="AH6" s="302"/>
      <c r="AI6" s="302"/>
      <c r="AJ6" s="302"/>
      <c r="AK6" s="302"/>
      <c r="AL6" s="302"/>
      <c r="AM6" s="302"/>
      <c r="AN6" s="302"/>
      <c r="AO6" s="302"/>
      <c r="AP6" s="302"/>
      <c r="AQ6" s="302"/>
      <c r="AR6" s="302"/>
      <c r="AS6" s="302"/>
      <c r="AT6" s="302"/>
      <c r="AU6" s="302"/>
      <c r="AV6" s="302"/>
      <c r="AW6" s="302"/>
      <c r="AX6" s="302"/>
      <c r="AY6" s="302"/>
      <c r="AZ6" s="302"/>
      <c r="BA6" s="302"/>
      <c r="BB6" s="302"/>
      <c r="BC6" s="302"/>
      <c r="BD6" s="302"/>
      <c r="BE6" s="302"/>
      <c r="BF6" s="302"/>
      <c r="BG6" s="302"/>
      <c r="BH6" s="302"/>
      <c r="BI6" s="302"/>
      <c r="BJ6" s="302"/>
      <c r="BK6" s="302"/>
      <c r="BL6" s="302"/>
      <c r="BM6" s="302"/>
      <c r="BN6" s="302"/>
      <c r="BO6" s="302"/>
      <c r="BP6" s="302"/>
      <c r="BQ6" s="302"/>
      <c r="BR6" s="302"/>
      <c r="BS6" s="302"/>
      <c r="BT6" s="302"/>
      <c r="BU6" s="302"/>
      <c r="BV6" s="302"/>
      <c r="BW6" s="302"/>
      <c r="BX6" s="302"/>
      <c r="BY6" s="302"/>
      <c r="BZ6" s="302"/>
      <c r="CA6" s="302"/>
      <c r="CB6" s="302"/>
      <c r="CC6" s="302"/>
      <c r="CD6" s="302"/>
      <c r="CE6" s="302"/>
      <c r="CF6" s="302"/>
      <c r="CG6" s="302"/>
      <c r="CH6" s="302"/>
      <c r="CI6" s="302"/>
      <c r="CJ6" s="302"/>
      <c r="CK6" s="302"/>
      <c r="CL6" s="302"/>
      <c r="CM6" s="302"/>
      <c r="CN6" s="302"/>
      <c r="CO6" s="302"/>
      <c r="CP6" s="302"/>
      <c r="CQ6" s="302"/>
      <c r="CR6" s="302"/>
      <c r="CS6" s="302"/>
      <c r="CT6" s="302"/>
      <c r="CU6" s="302"/>
      <c r="CV6" s="302"/>
      <c r="CW6" s="302"/>
      <c r="CX6" s="302"/>
    </row>
    <row r="7" spans="3:102" x14ac:dyDescent="0.25">
      <c r="C7" s="303" t="s">
        <v>20</v>
      </c>
      <c r="D7" s="304">
        <v>1</v>
      </c>
      <c r="E7" s="304">
        <v>2</v>
      </c>
      <c r="F7" s="304">
        <v>3</v>
      </c>
      <c r="G7" s="304">
        <v>4</v>
      </c>
      <c r="H7" s="304">
        <v>5</v>
      </c>
      <c r="I7" s="304">
        <v>6</v>
      </c>
      <c r="J7" s="304">
        <v>7</v>
      </c>
      <c r="K7" s="304">
        <v>8</v>
      </c>
      <c r="L7" s="304">
        <v>9</v>
      </c>
      <c r="M7" s="304">
        <v>10</v>
      </c>
      <c r="N7" s="304">
        <v>11</v>
      </c>
      <c r="O7" s="304">
        <v>12</v>
      </c>
      <c r="P7" s="304">
        <v>13</v>
      </c>
      <c r="Q7" s="304">
        <v>14</v>
      </c>
      <c r="R7" s="304">
        <v>15</v>
      </c>
      <c r="S7" s="304">
        <v>16</v>
      </c>
      <c r="T7" s="304">
        <v>17</v>
      </c>
      <c r="U7" s="304">
        <v>18</v>
      </c>
      <c r="V7" s="304">
        <v>19</v>
      </c>
      <c r="W7" s="304">
        <v>20</v>
      </c>
      <c r="X7" s="304">
        <v>21</v>
      </c>
      <c r="Y7" s="304">
        <v>22</v>
      </c>
      <c r="Z7" s="304">
        <v>23</v>
      </c>
      <c r="AA7" s="304">
        <v>24</v>
      </c>
      <c r="AB7" s="304">
        <v>25</v>
      </c>
      <c r="AC7" s="304">
        <v>26</v>
      </c>
      <c r="AD7" s="304">
        <v>27</v>
      </c>
      <c r="AE7" s="304">
        <v>28</v>
      </c>
      <c r="AF7" s="304">
        <v>29</v>
      </c>
      <c r="AG7" s="304">
        <v>30</v>
      </c>
      <c r="AH7" s="304">
        <v>31</v>
      </c>
      <c r="AI7" s="304">
        <v>32</v>
      </c>
      <c r="AJ7" s="304">
        <v>33</v>
      </c>
      <c r="AK7" s="304">
        <v>34</v>
      </c>
      <c r="AL7" s="304">
        <v>35</v>
      </c>
      <c r="AM7" s="304">
        <v>36</v>
      </c>
      <c r="AN7" s="304">
        <v>37</v>
      </c>
      <c r="AO7" s="304">
        <v>38</v>
      </c>
      <c r="AP7" s="304">
        <v>39</v>
      </c>
      <c r="AQ7" s="304">
        <v>40</v>
      </c>
      <c r="AR7" s="304">
        <v>41</v>
      </c>
      <c r="AS7" s="304">
        <v>42</v>
      </c>
      <c r="AT7" s="304">
        <v>43</v>
      </c>
      <c r="AU7" s="304">
        <v>44</v>
      </c>
      <c r="AV7" s="304">
        <v>45</v>
      </c>
      <c r="AW7" s="304">
        <v>46</v>
      </c>
      <c r="AX7" s="304">
        <v>47</v>
      </c>
      <c r="AY7" s="304">
        <v>48</v>
      </c>
      <c r="AZ7" s="304">
        <v>49</v>
      </c>
      <c r="BA7" s="304">
        <v>50</v>
      </c>
      <c r="BB7" s="304">
        <v>51</v>
      </c>
      <c r="BC7" s="304">
        <v>52</v>
      </c>
      <c r="BD7" s="304">
        <v>53</v>
      </c>
      <c r="BE7" s="304">
        <v>54</v>
      </c>
      <c r="BF7" s="304">
        <v>55</v>
      </c>
      <c r="BG7" s="304">
        <v>56</v>
      </c>
      <c r="BH7" s="304">
        <v>57</v>
      </c>
      <c r="BI7" s="304">
        <v>58</v>
      </c>
      <c r="BJ7" s="304">
        <v>59</v>
      </c>
      <c r="BK7" s="304">
        <v>60</v>
      </c>
      <c r="BL7" s="304">
        <v>61</v>
      </c>
      <c r="BM7" s="304">
        <v>62</v>
      </c>
      <c r="BN7" s="304">
        <v>63</v>
      </c>
      <c r="BO7" s="304">
        <v>64</v>
      </c>
      <c r="BP7" s="304">
        <v>65</v>
      </c>
      <c r="BQ7" s="304">
        <v>66</v>
      </c>
      <c r="BR7" s="304">
        <v>67</v>
      </c>
      <c r="BS7" s="304">
        <v>68</v>
      </c>
      <c r="BT7" s="304">
        <v>69</v>
      </c>
      <c r="BU7" s="304">
        <v>70</v>
      </c>
      <c r="BV7" s="304">
        <v>71</v>
      </c>
      <c r="BW7" s="304">
        <v>72</v>
      </c>
      <c r="BX7" s="304">
        <v>73</v>
      </c>
      <c r="BY7" s="304">
        <v>74</v>
      </c>
      <c r="BZ7" s="304">
        <v>75</v>
      </c>
      <c r="CA7" s="304">
        <v>76</v>
      </c>
      <c r="CB7" s="304">
        <v>77</v>
      </c>
      <c r="CC7" s="304">
        <v>78</v>
      </c>
      <c r="CD7" s="304">
        <v>79</v>
      </c>
      <c r="CE7" s="304">
        <v>80</v>
      </c>
      <c r="CF7" s="304">
        <v>81</v>
      </c>
      <c r="CG7" s="304">
        <v>82</v>
      </c>
      <c r="CH7" s="304">
        <v>83</v>
      </c>
      <c r="CI7" s="304">
        <v>84</v>
      </c>
      <c r="CJ7" s="304">
        <v>85</v>
      </c>
      <c r="CK7" s="304">
        <v>86</v>
      </c>
      <c r="CL7" s="304">
        <v>87</v>
      </c>
      <c r="CM7" s="304">
        <v>88</v>
      </c>
      <c r="CN7" s="304">
        <v>89</v>
      </c>
      <c r="CO7" s="304">
        <v>90</v>
      </c>
      <c r="CP7" s="304">
        <v>91</v>
      </c>
      <c r="CQ7" s="304">
        <v>92</v>
      </c>
      <c r="CR7" s="304">
        <v>93</v>
      </c>
      <c r="CS7" s="304">
        <v>94</v>
      </c>
      <c r="CT7" s="304">
        <v>95</v>
      </c>
      <c r="CU7" s="304">
        <v>96</v>
      </c>
      <c r="CV7" s="304">
        <v>97</v>
      </c>
      <c r="CW7" s="304">
        <v>98</v>
      </c>
      <c r="CX7" s="304">
        <v>99</v>
      </c>
    </row>
    <row r="8" spans="3:102" x14ac:dyDescent="0.25">
      <c r="C8" s="305">
        <v>0</v>
      </c>
      <c r="D8" s="306">
        <v>2.59</v>
      </c>
      <c r="E8" s="306">
        <v>1.82</v>
      </c>
      <c r="F8" s="306">
        <v>1.54</v>
      </c>
      <c r="G8" s="306">
        <v>1.4</v>
      </c>
      <c r="H8" s="306">
        <v>1.31</v>
      </c>
      <c r="I8" s="306">
        <v>1.24</v>
      </c>
      <c r="J8" s="306">
        <v>1.19</v>
      </c>
      <c r="K8" s="306">
        <v>1.1399999999999999</v>
      </c>
      <c r="L8" s="306">
        <v>1.1000000000000001</v>
      </c>
      <c r="M8" s="306">
        <v>1.07</v>
      </c>
      <c r="N8" s="306">
        <v>1.04</v>
      </c>
      <c r="O8" s="306">
        <v>1.03</v>
      </c>
      <c r="P8" s="306">
        <v>1.02</v>
      </c>
      <c r="Q8" s="306">
        <v>1.02</v>
      </c>
      <c r="R8" s="306">
        <v>1.03</v>
      </c>
      <c r="S8" s="306">
        <v>1.04</v>
      </c>
      <c r="T8" s="306">
        <v>1.06</v>
      </c>
      <c r="U8" s="306">
        <v>1.07</v>
      </c>
      <c r="V8" s="306">
        <v>1.08</v>
      </c>
      <c r="W8" s="306">
        <v>1.1000000000000001</v>
      </c>
      <c r="X8" s="306">
        <v>1.1100000000000001</v>
      </c>
      <c r="Y8" s="306">
        <v>1.1200000000000001</v>
      </c>
      <c r="Z8" s="306">
        <v>1.1299999999999999</v>
      </c>
      <c r="AA8" s="306">
        <v>1.1299999999999999</v>
      </c>
      <c r="AB8" s="306">
        <v>1.1399999999999999</v>
      </c>
      <c r="AC8" s="306">
        <v>1.1399999999999999</v>
      </c>
      <c r="AD8" s="306">
        <v>1.1399999999999999</v>
      </c>
      <c r="AE8" s="306">
        <v>1.1499999999999999</v>
      </c>
      <c r="AF8" s="306">
        <v>1.1499999999999999</v>
      </c>
      <c r="AG8" s="306">
        <v>1.1499999999999999</v>
      </c>
      <c r="AH8" s="306">
        <v>1.1499999999999999</v>
      </c>
      <c r="AI8" s="306">
        <v>1.1599999999999999</v>
      </c>
      <c r="AJ8" s="306">
        <v>1.1599999999999999</v>
      </c>
      <c r="AK8" s="306">
        <v>1.1599999999999999</v>
      </c>
      <c r="AL8" s="306">
        <v>1.1599999999999999</v>
      </c>
      <c r="AM8" s="306">
        <v>1.1599999999999999</v>
      </c>
      <c r="AN8" s="306">
        <v>1.1599999999999999</v>
      </c>
      <c r="AO8" s="306">
        <v>1.17</v>
      </c>
      <c r="AP8" s="306">
        <v>1.17</v>
      </c>
      <c r="AQ8" s="306">
        <v>1.17</v>
      </c>
      <c r="AR8" s="306">
        <v>1.17</v>
      </c>
      <c r="AS8" s="306">
        <v>1.17</v>
      </c>
      <c r="AT8" s="306">
        <v>1.17</v>
      </c>
      <c r="AU8" s="306">
        <v>1.17</v>
      </c>
      <c r="AV8" s="306">
        <v>1.18</v>
      </c>
      <c r="AW8" s="306">
        <v>1.18</v>
      </c>
      <c r="AX8" s="306">
        <v>1.18</v>
      </c>
      <c r="AY8" s="306">
        <v>1.18</v>
      </c>
      <c r="AZ8" s="306">
        <v>1.18</v>
      </c>
      <c r="BA8" s="306">
        <v>1.18</v>
      </c>
      <c r="BB8" s="306">
        <v>1.18</v>
      </c>
      <c r="BC8" s="306">
        <v>1.19</v>
      </c>
      <c r="BD8" s="306">
        <v>1.19</v>
      </c>
      <c r="BE8" s="306">
        <v>1.19</v>
      </c>
      <c r="BF8" s="306">
        <v>1.19</v>
      </c>
      <c r="BG8" s="306">
        <v>1.19</v>
      </c>
      <c r="BH8" s="306">
        <v>1.19</v>
      </c>
      <c r="BI8" s="306">
        <v>1.19</v>
      </c>
      <c r="BJ8" s="306">
        <v>1.19</v>
      </c>
      <c r="BK8" s="306">
        <v>1.19</v>
      </c>
      <c r="BL8" s="306">
        <v>1.19</v>
      </c>
      <c r="BM8" s="306">
        <v>1.19</v>
      </c>
      <c r="BN8" s="306">
        <v>1.2</v>
      </c>
      <c r="BO8" s="306">
        <v>1.2</v>
      </c>
      <c r="BP8" s="306">
        <v>1.2</v>
      </c>
      <c r="BQ8" s="306">
        <v>1.2</v>
      </c>
      <c r="BR8" s="306">
        <v>1.2</v>
      </c>
      <c r="BS8" s="306">
        <v>1.2</v>
      </c>
      <c r="BT8" s="306">
        <v>1.2</v>
      </c>
      <c r="BU8" s="306">
        <v>1.2</v>
      </c>
      <c r="BV8" s="306">
        <v>1.2</v>
      </c>
      <c r="BW8" s="306">
        <v>1.2</v>
      </c>
      <c r="BX8" s="306">
        <v>1.2</v>
      </c>
      <c r="BY8" s="306">
        <v>1.2</v>
      </c>
      <c r="BZ8" s="306">
        <v>1.2</v>
      </c>
      <c r="CA8" s="306">
        <v>1.2</v>
      </c>
      <c r="CB8" s="306">
        <v>1.2</v>
      </c>
      <c r="CC8" s="306">
        <v>1.2</v>
      </c>
      <c r="CD8" s="306">
        <v>1.2</v>
      </c>
      <c r="CE8" s="306">
        <v>1.2</v>
      </c>
      <c r="CF8" s="306">
        <v>1.2</v>
      </c>
      <c r="CG8" s="306">
        <v>1.2</v>
      </c>
      <c r="CH8" s="306">
        <v>1.2</v>
      </c>
      <c r="CI8" s="306">
        <v>1.2</v>
      </c>
      <c r="CJ8" s="306">
        <v>1.2</v>
      </c>
      <c r="CK8" s="306">
        <v>1.2</v>
      </c>
      <c r="CL8" s="306">
        <v>1.2</v>
      </c>
      <c r="CM8" s="306">
        <v>1.2</v>
      </c>
      <c r="CN8" s="306">
        <v>1.2</v>
      </c>
      <c r="CO8" s="306">
        <v>1.2</v>
      </c>
      <c r="CP8" s="306">
        <v>1.2</v>
      </c>
      <c r="CQ8" s="306">
        <v>1.2</v>
      </c>
      <c r="CR8" s="306">
        <v>1.2</v>
      </c>
      <c r="CS8" s="306">
        <v>1.2</v>
      </c>
      <c r="CT8" s="306">
        <v>1.2</v>
      </c>
      <c r="CU8" s="306">
        <v>1.2</v>
      </c>
      <c r="CV8" s="306">
        <v>1.2</v>
      </c>
      <c r="CW8" s="306">
        <v>1.2</v>
      </c>
      <c r="CX8" s="306">
        <v>1.2</v>
      </c>
    </row>
    <row r="9" spans="3:102" x14ac:dyDescent="0.25">
      <c r="C9" s="305">
        <v>1</v>
      </c>
      <c r="D9" s="306">
        <v>1.01</v>
      </c>
      <c r="E9" s="306">
        <v>1</v>
      </c>
      <c r="F9" s="306">
        <v>0.98</v>
      </c>
      <c r="G9" s="306">
        <v>0.97</v>
      </c>
      <c r="H9" s="306">
        <v>0.95</v>
      </c>
      <c r="I9" s="306">
        <v>0.93</v>
      </c>
      <c r="J9" s="306">
        <v>0.91</v>
      </c>
      <c r="K9" s="306">
        <v>0.89</v>
      </c>
      <c r="L9" s="306">
        <v>0.87</v>
      </c>
      <c r="M9" s="306">
        <v>0.86</v>
      </c>
      <c r="N9" s="306">
        <v>0.86</v>
      </c>
      <c r="O9" s="306">
        <v>0.86</v>
      </c>
      <c r="P9" s="306">
        <v>0.87</v>
      </c>
      <c r="Q9" s="306">
        <v>0.89</v>
      </c>
      <c r="R9" s="306">
        <v>0.9</v>
      </c>
      <c r="S9" s="306">
        <v>0.92</v>
      </c>
      <c r="T9" s="306">
        <v>0.95</v>
      </c>
      <c r="U9" s="306">
        <v>0.96</v>
      </c>
      <c r="V9" s="306">
        <v>0.98</v>
      </c>
      <c r="W9" s="306">
        <v>1</v>
      </c>
      <c r="X9" s="306">
        <v>1.01</v>
      </c>
      <c r="Y9" s="306">
        <v>1.02</v>
      </c>
      <c r="Z9" s="306">
        <v>1.03</v>
      </c>
      <c r="AA9" s="306">
        <v>1.03</v>
      </c>
      <c r="AB9" s="306">
        <v>1.04</v>
      </c>
      <c r="AC9" s="306">
        <v>1.04</v>
      </c>
      <c r="AD9" s="306">
        <v>1.05</v>
      </c>
      <c r="AE9" s="306">
        <v>1.05</v>
      </c>
      <c r="AF9" s="306">
        <v>1.05</v>
      </c>
      <c r="AG9" s="306">
        <v>1.06</v>
      </c>
      <c r="AH9" s="306">
        <v>1.06</v>
      </c>
      <c r="AI9" s="306">
        <v>1.06</v>
      </c>
      <c r="AJ9" s="306">
        <v>1.06</v>
      </c>
      <c r="AK9" s="306">
        <v>1.07</v>
      </c>
      <c r="AL9" s="306">
        <v>1.07</v>
      </c>
      <c r="AM9" s="306">
        <v>1.07</v>
      </c>
      <c r="AN9" s="306">
        <v>1.07</v>
      </c>
      <c r="AO9" s="306">
        <v>1.07</v>
      </c>
      <c r="AP9" s="306">
        <v>1.08</v>
      </c>
      <c r="AQ9" s="306">
        <v>1.08</v>
      </c>
      <c r="AR9" s="306">
        <v>1.08</v>
      </c>
      <c r="AS9" s="306">
        <v>1.08</v>
      </c>
      <c r="AT9" s="306">
        <v>1.08</v>
      </c>
      <c r="AU9" s="306">
        <v>1.0900000000000001</v>
      </c>
      <c r="AV9" s="306">
        <v>1.0900000000000001</v>
      </c>
      <c r="AW9" s="306">
        <v>1.0900000000000001</v>
      </c>
      <c r="AX9" s="306">
        <v>1.0900000000000001</v>
      </c>
      <c r="AY9" s="306">
        <v>1.0900000000000001</v>
      </c>
      <c r="AZ9" s="306">
        <v>1.0900000000000001</v>
      </c>
      <c r="BA9" s="306">
        <v>1.0900000000000001</v>
      </c>
      <c r="BB9" s="306">
        <v>1.1000000000000001</v>
      </c>
      <c r="BC9" s="306">
        <v>1.1000000000000001</v>
      </c>
      <c r="BD9" s="306">
        <v>1.1000000000000001</v>
      </c>
      <c r="BE9" s="306">
        <v>1.1000000000000001</v>
      </c>
      <c r="BF9" s="306">
        <v>1.1000000000000001</v>
      </c>
      <c r="BG9" s="306">
        <v>1.1000000000000001</v>
      </c>
      <c r="BH9" s="306">
        <v>1.1000000000000001</v>
      </c>
      <c r="BI9" s="306">
        <v>1.1000000000000001</v>
      </c>
      <c r="BJ9" s="306">
        <v>1.1000000000000001</v>
      </c>
      <c r="BK9" s="306">
        <v>1.1100000000000001</v>
      </c>
      <c r="BL9" s="306">
        <v>1.1100000000000001</v>
      </c>
      <c r="BM9" s="306">
        <v>1.1100000000000001</v>
      </c>
      <c r="BN9" s="306">
        <v>1.1100000000000001</v>
      </c>
      <c r="BO9" s="306">
        <v>1.1100000000000001</v>
      </c>
      <c r="BP9" s="306">
        <v>1.1100000000000001</v>
      </c>
      <c r="BQ9" s="306">
        <v>1.1100000000000001</v>
      </c>
      <c r="BR9" s="306">
        <v>1.1100000000000001</v>
      </c>
      <c r="BS9" s="306">
        <v>1.1100000000000001</v>
      </c>
      <c r="BT9" s="306">
        <v>1.1100000000000001</v>
      </c>
      <c r="BU9" s="306">
        <v>1.1100000000000001</v>
      </c>
      <c r="BV9" s="306">
        <v>1.1100000000000001</v>
      </c>
      <c r="BW9" s="306">
        <v>1.1100000000000001</v>
      </c>
      <c r="BX9" s="306">
        <v>1.1100000000000001</v>
      </c>
      <c r="BY9" s="306">
        <v>1.1100000000000001</v>
      </c>
      <c r="BZ9" s="306">
        <v>1.1100000000000001</v>
      </c>
      <c r="CA9" s="306">
        <v>1.1100000000000001</v>
      </c>
      <c r="CB9" s="306">
        <v>1.1100000000000001</v>
      </c>
      <c r="CC9" s="306">
        <v>1.1100000000000001</v>
      </c>
      <c r="CD9" s="306">
        <v>1.1100000000000001</v>
      </c>
      <c r="CE9" s="306">
        <v>1.1100000000000001</v>
      </c>
      <c r="CF9" s="306">
        <v>1.1100000000000001</v>
      </c>
      <c r="CG9" s="306">
        <v>1.1100000000000001</v>
      </c>
      <c r="CH9" s="306">
        <v>1.1100000000000001</v>
      </c>
      <c r="CI9" s="306">
        <v>1.1100000000000001</v>
      </c>
      <c r="CJ9" s="306">
        <v>1.1100000000000001</v>
      </c>
      <c r="CK9" s="306">
        <v>1.1200000000000001</v>
      </c>
      <c r="CL9" s="306">
        <v>1.1200000000000001</v>
      </c>
      <c r="CM9" s="306">
        <v>1.1200000000000001</v>
      </c>
      <c r="CN9" s="306">
        <v>1.1200000000000001</v>
      </c>
      <c r="CO9" s="306">
        <v>1.1200000000000001</v>
      </c>
      <c r="CP9" s="306">
        <v>1.1200000000000001</v>
      </c>
      <c r="CQ9" s="306">
        <v>1.1200000000000001</v>
      </c>
      <c r="CR9" s="306">
        <v>1.1200000000000001</v>
      </c>
      <c r="CS9" s="306">
        <v>1.1200000000000001</v>
      </c>
      <c r="CT9" s="306">
        <v>1.1200000000000001</v>
      </c>
      <c r="CU9" s="306">
        <v>1.1200000000000001</v>
      </c>
      <c r="CV9" s="306">
        <v>1.1200000000000001</v>
      </c>
      <c r="CW9" s="306">
        <v>1.1200000000000001</v>
      </c>
      <c r="CX9" s="306">
        <v>1.1200000000000001</v>
      </c>
    </row>
    <row r="10" spans="3:102" x14ac:dyDescent="0.25">
      <c r="C10" s="305">
        <v>2</v>
      </c>
      <c r="D10" s="306">
        <v>0.98</v>
      </c>
      <c r="E10" s="306">
        <v>0.97</v>
      </c>
      <c r="F10" s="306">
        <v>0.95</v>
      </c>
      <c r="G10" s="306">
        <v>0.93</v>
      </c>
      <c r="H10" s="306">
        <v>0.91</v>
      </c>
      <c r="I10" s="306">
        <v>0.89</v>
      </c>
      <c r="J10" s="306">
        <v>0.87</v>
      </c>
      <c r="K10" s="306">
        <v>0.85</v>
      </c>
      <c r="L10" s="306">
        <v>0.84</v>
      </c>
      <c r="M10" s="306">
        <v>0.84</v>
      </c>
      <c r="N10" s="306">
        <v>0.84</v>
      </c>
      <c r="O10" s="306">
        <v>0.86</v>
      </c>
      <c r="P10" s="306">
        <v>0.88</v>
      </c>
      <c r="Q10" s="306">
        <v>0.9</v>
      </c>
      <c r="R10" s="306">
        <v>0.92</v>
      </c>
      <c r="S10" s="306">
        <v>0.95</v>
      </c>
      <c r="T10" s="306">
        <v>0.97</v>
      </c>
      <c r="U10" s="306">
        <v>0.99</v>
      </c>
      <c r="V10" s="306">
        <v>1.01</v>
      </c>
      <c r="W10" s="306">
        <v>1.02</v>
      </c>
      <c r="X10" s="306">
        <v>1.03</v>
      </c>
      <c r="Y10" s="306">
        <v>1.04</v>
      </c>
      <c r="Z10" s="306">
        <v>1.05</v>
      </c>
      <c r="AA10" s="306">
        <v>1.06</v>
      </c>
      <c r="AB10" s="306">
        <v>1.06</v>
      </c>
      <c r="AC10" s="306">
        <v>1.07</v>
      </c>
      <c r="AD10" s="306">
        <v>1.07</v>
      </c>
      <c r="AE10" s="306">
        <v>1.07</v>
      </c>
      <c r="AF10" s="306">
        <v>1.08</v>
      </c>
      <c r="AG10" s="306">
        <v>1.08</v>
      </c>
      <c r="AH10" s="306">
        <v>1.08</v>
      </c>
      <c r="AI10" s="306">
        <v>1.08</v>
      </c>
      <c r="AJ10" s="306">
        <v>1.0900000000000001</v>
      </c>
      <c r="AK10" s="306">
        <v>1.0900000000000001</v>
      </c>
      <c r="AL10" s="306">
        <v>1.0900000000000001</v>
      </c>
      <c r="AM10" s="306">
        <v>1.0900000000000001</v>
      </c>
      <c r="AN10" s="306">
        <v>1.0900000000000001</v>
      </c>
      <c r="AO10" s="306">
        <v>1.1000000000000001</v>
      </c>
      <c r="AP10" s="306">
        <v>1.1000000000000001</v>
      </c>
      <c r="AQ10" s="306">
        <v>1.1000000000000001</v>
      </c>
      <c r="AR10" s="306">
        <v>1.1000000000000001</v>
      </c>
      <c r="AS10" s="306">
        <v>1.1100000000000001</v>
      </c>
      <c r="AT10" s="306">
        <v>1.1100000000000001</v>
      </c>
      <c r="AU10" s="306">
        <v>1.1100000000000001</v>
      </c>
      <c r="AV10" s="306">
        <v>1.1100000000000001</v>
      </c>
      <c r="AW10" s="306">
        <v>1.1100000000000001</v>
      </c>
      <c r="AX10" s="306">
        <v>1.1100000000000001</v>
      </c>
      <c r="AY10" s="306">
        <v>1.1200000000000001</v>
      </c>
      <c r="AZ10" s="306">
        <v>1.1200000000000001</v>
      </c>
      <c r="BA10" s="306">
        <v>1.1200000000000001</v>
      </c>
      <c r="BB10" s="306">
        <v>1.1200000000000001</v>
      </c>
      <c r="BC10" s="306">
        <v>1.1200000000000001</v>
      </c>
      <c r="BD10" s="306">
        <v>1.1200000000000001</v>
      </c>
      <c r="BE10" s="306">
        <v>1.1299999999999999</v>
      </c>
      <c r="BF10" s="306">
        <v>1.1299999999999999</v>
      </c>
      <c r="BG10" s="306">
        <v>1.1299999999999999</v>
      </c>
      <c r="BH10" s="306">
        <v>1.1299999999999999</v>
      </c>
      <c r="BI10" s="306">
        <v>1.1299999999999999</v>
      </c>
      <c r="BJ10" s="306">
        <v>1.1299999999999999</v>
      </c>
      <c r="BK10" s="306">
        <v>1.1299999999999999</v>
      </c>
      <c r="BL10" s="306">
        <v>1.1299999999999999</v>
      </c>
      <c r="BM10" s="306">
        <v>1.1299999999999999</v>
      </c>
      <c r="BN10" s="306">
        <v>1.1299999999999999</v>
      </c>
      <c r="BO10" s="306">
        <v>1.1299999999999999</v>
      </c>
      <c r="BP10" s="306">
        <v>1.1399999999999999</v>
      </c>
      <c r="BQ10" s="306">
        <v>1.1399999999999999</v>
      </c>
      <c r="BR10" s="306">
        <v>1.1399999999999999</v>
      </c>
      <c r="BS10" s="306">
        <v>1.1399999999999999</v>
      </c>
      <c r="BT10" s="306">
        <v>1.1399999999999999</v>
      </c>
      <c r="BU10" s="306">
        <v>1.1399999999999999</v>
      </c>
      <c r="BV10" s="306">
        <v>1.1399999999999999</v>
      </c>
      <c r="BW10" s="306">
        <v>1.1399999999999999</v>
      </c>
      <c r="BX10" s="306">
        <v>1.1399999999999999</v>
      </c>
      <c r="BY10" s="306">
        <v>1.1399999999999999</v>
      </c>
      <c r="BZ10" s="306">
        <v>1.1399999999999999</v>
      </c>
      <c r="CA10" s="306">
        <v>1.1399999999999999</v>
      </c>
      <c r="CB10" s="306">
        <v>1.1399999999999999</v>
      </c>
      <c r="CC10" s="306">
        <v>1.1399999999999999</v>
      </c>
      <c r="CD10" s="306">
        <v>1.1399999999999999</v>
      </c>
      <c r="CE10" s="306">
        <v>1.1399999999999999</v>
      </c>
      <c r="CF10" s="306">
        <v>1.1399999999999999</v>
      </c>
      <c r="CG10" s="306">
        <v>1.1399999999999999</v>
      </c>
      <c r="CH10" s="306">
        <v>1.1399999999999999</v>
      </c>
      <c r="CI10" s="306">
        <v>1.1399999999999999</v>
      </c>
      <c r="CJ10" s="306">
        <v>1.1399999999999999</v>
      </c>
      <c r="CK10" s="306">
        <v>1.1399999999999999</v>
      </c>
      <c r="CL10" s="306">
        <v>1.1399999999999999</v>
      </c>
      <c r="CM10" s="306">
        <v>1.1399999999999999</v>
      </c>
      <c r="CN10" s="306">
        <v>1.1399999999999999</v>
      </c>
      <c r="CO10" s="306">
        <v>1.1399999999999999</v>
      </c>
      <c r="CP10" s="306">
        <v>1.1399999999999999</v>
      </c>
      <c r="CQ10" s="306">
        <v>1.1399999999999999</v>
      </c>
      <c r="CR10" s="306">
        <v>1.1399999999999999</v>
      </c>
      <c r="CS10" s="306">
        <v>1.1399999999999999</v>
      </c>
      <c r="CT10" s="306">
        <v>1.1399999999999999</v>
      </c>
      <c r="CU10" s="306">
        <v>1.1399999999999999</v>
      </c>
      <c r="CV10" s="306">
        <v>1.1399999999999999</v>
      </c>
      <c r="CW10" s="306">
        <v>1.1399999999999999</v>
      </c>
      <c r="CX10" s="306">
        <v>0</v>
      </c>
    </row>
    <row r="11" spans="3:102" x14ac:dyDescent="0.25">
      <c r="C11" s="305">
        <v>3</v>
      </c>
      <c r="D11" s="306">
        <v>0.96</v>
      </c>
      <c r="E11" s="306">
        <v>0.94</v>
      </c>
      <c r="F11" s="306">
        <v>0.91</v>
      </c>
      <c r="G11" s="306">
        <v>0.89</v>
      </c>
      <c r="H11" s="306">
        <v>0.87</v>
      </c>
      <c r="I11" s="306">
        <v>0.85</v>
      </c>
      <c r="J11" s="306">
        <v>0.83</v>
      </c>
      <c r="K11" s="306">
        <v>0.82</v>
      </c>
      <c r="L11" s="306">
        <v>0.82</v>
      </c>
      <c r="M11" s="306">
        <v>0.83</v>
      </c>
      <c r="N11" s="306">
        <v>0.84</v>
      </c>
      <c r="O11" s="306">
        <v>0.87</v>
      </c>
      <c r="P11" s="306">
        <v>0.9</v>
      </c>
      <c r="Q11" s="306">
        <v>0.93</v>
      </c>
      <c r="R11" s="306">
        <v>0.95</v>
      </c>
      <c r="S11" s="306">
        <v>0.98</v>
      </c>
      <c r="T11" s="306">
        <v>1</v>
      </c>
      <c r="U11" s="306">
        <v>1.02</v>
      </c>
      <c r="V11" s="306">
        <v>1.04</v>
      </c>
      <c r="W11" s="306">
        <v>1.05</v>
      </c>
      <c r="X11" s="306">
        <v>1.06</v>
      </c>
      <c r="Y11" s="306">
        <v>1.07</v>
      </c>
      <c r="Z11" s="306">
        <v>1.08</v>
      </c>
      <c r="AA11" s="306">
        <v>1.08</v>
      </c>
      <c r="AB11" s="306">
        <v>1.0900000000000001</v>
      </c>
      <c r="AC11" s="306">
        <v>1.0900000000000001</v>
      </c>
      <c r="AD11" s="306">
        <v>1.1000000000000001</v>
      </c>
      <c r="AE11" s="306">
        <v>1.1000000000000001</v>
      </c>
      <c r="AF11" s="306">
        <v>1.1000000000000001</v>
      </c>
      <c r="AG11" s="306">
        <v>1.1100000000000001</v>
      </c>
      <c r="AH11" s="306">
        <v>1.1100000000000001</v>
      </c>
      <c r="AI11" s="306">
        <v>1.1100000000000001</v>
      </c>
      <c r="AJ11" s="306">
        <v>1.1100000000000001</v>
      </c>
      <c r="AK11" s="306">
        <v>1.1200000000000001</v>
      </c>
      <c r="AL11" s="306">
        <v>1.1200000000000001</v>
      </c>
      <c r="AM11" s="306">
        <v>1.1200000000000001</v>
      </c>
      <c r="AN11" s="306">
        <v>1.1200000000000001</v>
      </c>
      <c r="AO11" s="306">
        <v>1.1299999999999999</v>
      </c>
      <c r="AP11" s="306">
        <v>1.1299999999999999</v>
      </c>
      <c r="AQ11" s="306">
        <v>1.1299999999999999</v>
      </c>
      <c r="AR11" s="306">
        <v>1.1299999999999999</v>
      </c>
      <c r="AS11" s="306">
        <v>1.1399999999999999</v>
      </c>
      <c r="AT11" s="306">
        <v>1.1399999999999999</v>
      </c>
      <c r="AU11" s="306">
        <v>1.1399999999999999</v>
      </c>
      <c r="AV11" s="306">
        <v>1.1399999999999999</v>
      </c>
      <c r="AW11" s="306">
        <v>1.1499999999999999</v>
      </c>
      <c r="AX11" s="306">
        <v>1.1499999999999999</v>
      </c>
      <c r="AY11" s="306">
        <v>1.1499999999999999</v>
      </c>
      <c r="AZ11" s="306">
        <v>1.1499999999999999</v>
      </c>
      <c r="BA11" s="306">
        <v>1.1499999999999999</v>
      </c>
      <c r="BB11" s="306">
        <v>1.1499999999999999</v>
      </c>
      <c r="BC11" s="306">
        <v>1.1599999999999999</v>
      </c>
      <c r="BD11" s="306">
        <v>1.1599999999999999</v>
      </c>
      <c r="BE11" s="306">
        <v>1.1599999999999999</v>
      </c>
      <c r="BF11" s="306">
        <v>1.1599999999999999</v>
      </c>
      <c r="BG11" s="306">
        <v>1.1599999999999999</v>
      </c>
      <c r="BH11" s="306">
        <v>1.1599999999999999</v>
      </c>
      <c r="BI11" s="306">
        <v>1.1599999999999999</v>
      </c>
      <c r="BJ11" s="306">
        <v>1.1599999999999999</v>
      </c>
      <c r="BK11" s="306">
        <v>1.17</v>
      </c>
      <c r="BL11" s="306">
        <v>1.17</v>
      </c>
      <c r="BM11" s="306">
        <v>1.17</v>
      </c>
      <c r="BN11" s="306">
        <v>1.17</v>
      </c>
      <c r="BO11" s="306">
        <v>1.17</v>
      </c>
      <c r="BP11" s="306">
        <v>1.17</v>
      </c>
      <c r="BQ11" s="306">
        <v>1.17</v>
      </c>
      <c r="BR11" s="306">
        <v>1.17</v>
      </c>
      <c r="BS11" s="306">
        <v>1.17</v>
      </c>
      <c r="BT11" s="306">
        <v>1.17</v>
      </c>
      <c r="BU11" s="306">
        <v>1.17</v>
      </c>
      <c r="BV11" s="306">
        <v>1.17</v>
      </c>
      <c r="BW11" s="306">
        <v>1.17</v>
      </c>
      <c r="BX11" s="306">
        <v>1.17</v>
      </c>
      <c r="BY11" s="306">
        <v>1.17</v>
      </c>
      <c r="BZ11" s="306">
        <v>1.17</v>
      </c>
      <c r="CA11" s="306">
        <v>1.17</v>
      </c>
      <c r="CB11" s="306">
        <v>1.17</v>
      </c>
      <c r="CC11" s="306">
        <v>1.17</v>
      </c>
      <c r="CD11" s="306">
        <v>1.18</v>
      </c>
      <c r="CE11" s="306">
        <v>1.18</v>
      </c>
      <c r="CF11" s="306">
        <v>1.18</v>
      </c>
      <c r="CG11" s="306">
        <v>1.18</v>
      </c>
      <c r="CH11" s="306">
        <v>1.18</v>
      </c>
      <c r="CI11" s="306">
        <v>1.18</v>
      </c>
      <c r="CJ11" s="306">
        <v>1.18</v>
      </c>
      <c r="CK11" s="306">
        <v>1.18</v>
      </c>
      <c r="CL11" s="306">
        <v>1.18</v>
      </c>
      <c r="CM11" s="306">
        <v>1.18</v>
      </c>
      <c r="CN11" s="306">
        <v>1.18</v>
      </c>
      <c r="CO11" s="306">
        <v>1.18</v>
      </c>
      <c r="CP11" s="306">
        <v>1.18</v>
      </c>
      <c r="CQ11" s="306">
        <v>1.18</v>
      </c>
      <c r="CR11" s="306">
        <v>1.18</v>
      </c>
      <c r="CS11" s="306">
        <v>1.18</v>
      </c>
      <c r="CT11" s="306">
        <v>1.18</v>
      </c>
      <c r="CU11" s="306">
        <v>1.18</v>
      </c>
      <c r="CV11" s="306">
        <v>1.18</v>
      </c>
      <c r="CW11" s="306">
        <v>0</v>
      </c>
      <c r="CX11" s="306">
        <v>0</v>
      </c>
    </row>
    <row r="12" spans="3:102" x14ac:dyDescent="0.25">
      <c r="C12" s="305">
        <v>4</v>
      </c>
      <c r="D12" s="306">
        <v>0.92</v>
      </c>
      <c r="E12" s="306">
        <v>0.89</v>
      </c>
      <c r="F12" s="306">
        <v>0.87</v>
      </c>
      <c r="G12" s="306">
        <v>0.84</v>
      </c>
      <c r="H12" s="306">
        <v>0.82</v>
      </c>
      <c r="I12" s="306">
        <v>0.81</v>
      </c>
      <c r="J12" s="306">
        <v>0.8</v>
      </c>
      <c r="K12" s="306">
        <v>0.8</v>
      </c>
      <c r="L12" s="306">
        <v>0.81</v>
      </c>
      <c r="M12" s="306">
        <v>0.83</v>
      </c>
      <c r="N12" s="306">
        <v>0.86</v>
      </c>
      <c r="O12" s="306">
        <v>0.9</v>
      </c>
      <c r="P12" s="306">
        <v>0.93</v>
      </c>
      <c r="Q12" s="306">
        <v>0.96</v>
      </c>
      <c r="R12" s="306">
        <v>1</v>
      </c>
      <c r="S12" s="306">
        <v>1.02</v>
      </c>
      <c r="T12" s="306">
        <v>1.04</v>
      </c>
      <c r="U12" s="306">
        <v>1.06</v>
      </c>
      <c r="V12" s="306">
        <v>1.08</v>
      </c>
      <c r="W12" s="306">
        <v>1.0900000000000001</v>
      </c>
      <c r="X12" s="306">
        <v>1.1000000000000001</v>
      </c>
      <c r="Y12" s="306">
        <v>1.1100000000000001</v>
      </c>
      <c r="Z12" s="306">
        <v>1.1100000000000001</v>
      </c>
      <c r="AA12" s="306">
        <v>1.1200000000000001</v>
      </c>
      <c r="AB12" s="306">
        <v>1.1200000000000001</v>
      </c>
      <c r="AC12" s="306">
        <v>1.1299999999999999</v>
      </c>
      <c r="AD12" s="306">
        <v>1.1299999999999999</v>
      </c>
      <c r="AE12" s="306">
        <v>1.1299999999999999</v>
      </c>
      <c r="AF12" s="306">
        <v>1.1399999999999999</v>
      </c>
      <c r="AG12" s="306">
        <v>1.1399999999999999</v>
      </c>
      <c r="AH12" s="306">
        <v>1.1399999999999999</v>
      </c>
      <c r="AI12" s="306">
        <v>1.1499999999999999</v>
      </c>
      <c r="AJ12" s="306">
        <v>1.1499999999999999</v>
      </c>
      <c r="AK12" s="306">
        <v>1.1499999999999999</v>
      </c>
      <c r="AL12" s="306">
        <v>1.1599999999999999</v>
      </c>
      <c r="AM12" s="306">
        <v>1.1599999999999999</v>
      </c>
      <c r="AN12" s="306">
        <v>1.1599999999999999</v>
      </c>
      <c r="AO12" s="306">
        <v>1.1599999999999999</v>
      </c>
      <c r="AP12" s="306">
        <v>1.17</v>
      </c>
      <c r="AQ12" s="306">
        <v>1.17</v>
      </c>
      <c r="AR12" s="306">
        <v>1.17</v>
      </c>
      <c r="AS12" s="306">
        <v>1.17</v>
      </c>
      <c r="AT12" s="306">
        <v>1.18</v>
      </c>
      <c r="AU12" s="306">
        <v>1.18</v>
      </c>
      <c r="AV12" s="306">
        <v>1.18</v>
      </c>
      <c r="AW12" s="306">
        <v>1.18</v>
      </c>
      <c r="AX12" s="306">
        <v>1.19</v>
      </c>
      <c r="AY12" s="306">
        <v>1.19</v>
      </c>
      <c r="AZ12" s="306">
        <v>1.19</v>
      </c>
      <c r="BA12" s="306">
        <v>1.19</v>
      </c>
      <c r="BB12" s="306">
        <v>1.19</v>
      </c>
      <c r="BC12" s="306">
        <v>1.19</v>
      </c>
      <c r="BD12" s="306">
        <v>1.2</v>
      </c>
      <c r="BE12" s="306">
        <v>1.2</v>
      </c>
      <c r="BF12" s="306">
        <v>1.2</v>
      </c>
      <c r="BG12" s="306">
        <v>1.2</v>
      </c>
      <c r="BH12" s="306">
        <v>1.2</v>
      </c>
      <c r="BI12" s="306">
        <v>1.2</v>
      </c>
      <c r="BJ12" s="306">
        <v>1.2</v>
      </c>
      <c r="BK12" s="306">
        <v>1.21</v>
      </c>
      <c r="BL12" s="306">
        <v>1.21</v>
      </c>
      <c r="BM12" s="306">
        <v>1.21</v>
      </c>
      <c r="BN12" s="306">
        <v>1.21</v>
      </c>
      <c r="BO12" s="306">
        <v>1.21</v>
      </c>
      <c r="BP12" s="306">
        <v>1.21</v>
      </c>
      <c r="BQ12" s="306">
        <v>1.21</v>
      </c>
      <c r="BR12" s="306">
        <v>1.21</v>
      </c>
      <c r="BS12" s="306">
        <v>1.21</v>
      </c>
      <c r="BT12" s="306">
        <v>1.21</v>
      </c>
      <c r="BU12" s="306">
        <v>1.21</v>
      </c>
      <c r="BV12" s="306">
        <v>1.21</v>
      </c>
      <c r="BW12" s="306">
        <v>1.21</v>
      </c>
      <c r="BX12" s="306">
        <v>1.21</v>
      </c>
      <c r="BY12" s="306">
        <v>1.21</v>
      </c>
      <c r="BZ12" s="306">
        <v>1.21</v>
      </c>
      <c r="CA12" s="306">
        <v>1.22</v>
      </c>
      <c r="CB12" s="306">
        <v>1.22</v>
      </c>
      <c r="CC12" s="306">
        <v>1.22</v>
      </c>
      <c r="CD12" s="306">
        <v>1.22</v>
      </c>
      <c r="CE12" s="306">
        <v>1.22</v>
      </c>
      <c r="CF12" s="306">
        <v>1.22</v>
      </c>
      <c r="CG12" s="306">
        <v>1.22</v>
      </c>
      <c r="CH12" s="306">
        <v>1.22</v>
      </c>
      <c r="CI12" s="306">
        <v>1.22</v>
      </c>
      <c r="CJ12" s="306">
        <v>1.22</v>
      </c>
      <c r="CK12" s="306">
        <v>1.22</v>
      </c>
      <c r="CL12" s="306">
        <v>1.22</v>
      </c>
      <c r="CM12" s="306">
        <v>1.22</v>
      </c>
      <c r="CN12" s="306">
        <v>1.22</v>
      </c>
      <c r="CO12" s="306">
        <v>1.22</v>
      </c>
      <c r="CP12" s="306">
        <v>1.22</v>
      </c>
      <c r="CQ12" s="306">
        <v>1.22</v>
      </c>
      <c r="CR12" s="306">
        <v>1.22</v>
      </c>
      <c r="CS12" s="306">
        <v>1.22</v>
      </c>
      <c r="CT12" s="306">
        <v>1.22</v>
      </c>
      <c r="CU12" s="306">
        <v>1.22</v>
      </c>
      <c r="CV12" s="306">
        <v>0</v>
      </c>
      <c r="CW12" s="306">
        <v>0</v>
      </c>
      <c r="CX12" s="306">
        <v>0</v>
      </c>
    </row>
    <row r="13" spans="3:102" x14ac:dyDescent="0.25">
      <c r="C13" s="305">
        <v>5</v>
      </c>
      <c r="D13" s="306">
        <v>0.87</v>
      </c>
      <c r="E13" s="306">
        <v>0.84</v>
      </c>
      <c r="F13" s="306">
        <v>0.82</v>
      </c>
      <c r="G13" s="306">
        <v>0.8</v>
      </c>
      <c r="H13" s="306">
        <v>0.79</v>
      </c>
      <c r="I13" s="306">
        <v>0.78</v>
      </c>
      <c r="J13" s="306">
        <v>0.78</v>
      </c>
      <c r="K13" s="306">
        <v>0.8</v>
      </c>
      <c r="L13" s="306">
        <v>0.82</v>
      </c>
      <c r="M13" s="306">
        <v>0.86</v>
      </c>
      <c r="N13" s="306">
        <v>0.9</v>
      </c>
      <c r="O13" s="306">
        <v>0.94</v>
      </c>
      <c r="P13" s="306">
        <v>0.98</v>
      </c>
      <c r="Q13" s="306">
        <v>1.02</v>
      </c>
      <c r="R13" s="306">
        <v>1.05</v>
      </c>
      <c r="S13" s="306">
        <v>1.07</v>
      </c>
      <c r="T13" s="306">
        <v>1.0900000000000001</v>
      </c>
      <c r="U13" s="306">
        <v>1.1100000000000001</v>
      </c>
      <c r="V13" s="306">
        <v>1.1200000000000001</v>
      </c>
      <c r="W13" s="306">
        <v>1.1299999999999999</v>
      </c>
      <c r="X13" s="306">
        <v>1.1399999999999999</v>
      </c>
      <c r="Y13" s="306">
        <v>1.1499999999999999</v>
      </c>
      <c r="Z13" s="306">
        <v>1.1599999999999999</v>
      </c>
      <c r="AA13" s="306">
        <v>1.1599999999999999</v>
      </c>
      <c r="AB13" s="306">
        <v>1.1599999999999999</v>
      </c>
      <c r="AC13" s="306">
        <v>1.17</v>
      </c>
      <c r="AD13" s="306">
        <v>1.17</v>
      </c>
      <c r="AE13" s="306">
        <v>1.18</v>
      </c>
      <c r="AF13" s="306">
        <v>1.18</v>
      </c>
      <c r="AG13" s="306">
        <v>1.18</v>
      </c>
      <c r="AH13" s="306">
        <v>1.18</v>
      </c>
      <c r="AI13" s="306">
        <v>1.19</v>
      </c>
      <c r="AJ13" s="306">
        <v>1.19</v>
      </c>
      <c r="AK13" s="306">
        <v>1.19</v>
      </c>
      <c r="AL13" s="306">
        <v>1.2</v>
      </c>
      <c r="AM13" s="306">
        <v>1.2</v>
      </c>
      <c r="AN13" s="306">
        <v>1.2</v>
      </c>
      <c r="AO13" s="306">
        <v>1.21</v>
      </c>
      <c r="AP13" s="306">
        <v>1.21</v>
      </c>
      <c r="AQ13" s="306">
        <v>1.21</v>
      </c>
      <c r="AR13" s="306">
        <v>1.22</v>
      </c>
      <c r="AS13" s="306">
        <v>1.22</v>
      </c>
      <c r="AT13" s="306">
        <v>1.22</v>
      </c>
      <c r="AU13" s="306">
        <v>1.22</v>
      </c>
      <c r="AV13" s="306">
        <v>1.23</v>
      </c>
      <c r="AW13" s="306">
        <v>1.23</v>
      </c>
      <c r="AX13" s="306">
        <v>1.23</v>
      </c>
      <c r="AY13" s="306">
        <v>1.23</v>
      </c>
      <c r="AZ13" s="306">
        <v>1.24</v>
      </c>
      <c r="BA13" s="306">
        <v>1.24</v>
      </c>
      <c r="BB13" s="306">
        <v>1.24</v>
      </c>
      <c r="BC13" s="306">
        <v>1.24</v>
      </c>
      <c r="BD13" s="306">
        <v>1.24</v>
      </c>
      <c r="BE13" s="306">
        <v>1.24</v>
      </c>
      <c r="BF13" s="306">
        <v>1.25</v>
      </c>
      <c r="BG13" s="306">
        <v>1.25</v>
      </c>
      <c r="BH13" s="306">
        <v>1.25</v>
      </c>
      <c r="BI13" s="306">
        <v>1.25</v>
      </c>
      <c r="BJ13" s="306">
        <v>1.25</v>
      </c>
      <c r="BK13" s="306">
        <v>1.25</v>
      </c>
      <c r="BL13" s="306">
        <v>1.25</v>
      </c>
      <c r="BM13" s="306">
        <v>1.25</v>
      </c>
      <c r="BN13" s="306">
        <v>1.26</v>
      </c>
      <c r="BO13" s="306">
        <v>1.26</v>
      </c>
      <c r="BP13" s="306">
        <v>1.26</v>
      </c>
      <c r="BQ13" s="306">
        <v>1.26</v>
      </c>
      <c r="BR13" s="306">
        <v>1.26</v>
      </c>
      <c r="BS13" s="306">
        <v>1.26</v>
      </c>
      <c r="BT13" s="306">
        <v>1.26</v>
      </c>
      <c r="BU13" s="306">
        <v>1.26</v>
      </c>
      <c r="BV13" s="306">
        <v>1.26</v>
      </c>
      <c r="BW13" s="306">
        <v>1.26</v>
      </c>
      <c r="BX13" s="306">
        <v>1.26</v>
      </c>
      <c r="BY13" s="306">
        <v>1.26</v>
      </c>
      <c r="BZ13" s="306">
        <v>1.26</v>
      </c>
      <c r="CA13" s="306">
        <v>1.26</v>
      </c>
      <c r="CB13" s="306">
        <v>1.26</v>
      </c>
      <c r="CC13" s="306">
        <v>1.26</v>
      </c>
      <c r="CD13" s="306">
        <v>1.26</v>
      </c>
      <c r="CE13" s="306">
        <v>1.26</v>
      </c>
      <c r="CF13" s="306">
        <v>1.26</v>
      </c>
      <c r="CG13" s="306">
        <v>1.26</v>
      </c>
      <c r="CH13" s="306">
        <v>1.26</v>
      </c>
      <c r="CI13" s="306">
        <v>1.26</v>
      </c>
      <c r="CJ13" s="306">
        <v>1.26</v>
      </c>
      <c r="CK13" s="306">
        <v>1.26</v>
      </c>
      <c r="CL13" s="306">
        <v>1.26</v>
      </c>
      <c r="CM13" s="306">
        <v>1.26</v>
      </c>
      <c r="CN13" s="306">
        <v>1.26</v>
      </c>
      <c r="CO13" s="306">
        <v>1.26</v>
      </c>
      <c r="CP13" s="306">
        <v>1.26</v>
      </c>
      <c r="CQ13" s="306">
        <v>1.26</v>
      </c>
      <c r="CR13" s="306">
        <v>1.26</v>
      </c>
      <c r="CS13" s="306">
        <v>1.26</v>
      </c>
      <c r="CT13" s="306">
        <v>1.26</v>
      </c>
      <c r="CU13" s="306">
        <v>0</v>
      </c>
      <c r="CV13" s="306">
        <v>0</v>
      </c>
      <c r="CW13" s="306">
        <v>0</v>
      </c>
      <c r="CX13" s="306">
        <v>0</v>
      </c>
    </row>
    <row r="14" spans="3:102" x14ac:dyDescent="0.25">
      <c r="C14" s="305">
        <v>6</v>
      </c>
      <c r="D14" s="306">
        <v>0.82</v>
      </c>
      <c r="E14" s="306">
        <v>0.79</v>
      </c>
      <c r="F14" s="306">
        <v>0.78</v>
      </c>
      <c r="G14" s="306">
        <v>0.76</v>
      </c>
      <c r="H14" s="306">
        <v>0.76</v>
      </c>
      <c r="I14" s="306">
        <v>0.77</v>
      </c>
      <c r="J14" s="306">
        <v>0.78</v>
      </c>
      <c r="K14" s="306">
        <v>0.81</v>
      </c>
      <c r="L14" s="306">
        <v>0.85</v>
      </c>
      <c r="M14" s="306">
        <v>0.9</v>
      </c>
      <c r="N14" s="306">
        <v>0.95</v>
      </c>
      <c r="O14" s="306">
        <v>1</v>
      </c>
      <c r="P14" s="306">
        <v>1.04</v>
      </c>
      <c r="Q14" s="306">
        <v>1.08</v>
      </c>
      <c r="R14" s="306">
        <v>1.1100000000000001</v>
      </c>
      <c r="S14" s="306">
        <v>1.1299999999999999</v>
      </c>
      <c r="T14" s="306">
        <v>1.1499999999999999</v>
      </c>
      <c r="U14" s="306">
        <v>1.1599999999999999</v>
      </c>
      <c r="V14" s="306">
        <v>1.18</v>
      </c>
      <c r="W14" s="306">
        <v>1.19</v>
      </c>
      <c r="X14" s="306">
        <v>1.19</v>
      </c>
      <c r="Y14" s="306">
        <v>1.2</v>
      </c>
      <c r="Z14" s="306">
        <v>1.2</v>
      </c>
      <c r="AA14" s="306">
        <v>1.21</v>
      </c>
      <c r="AB14" s="306">
        <v>1.21</v>
      </c>
      <c r="AC14" s="306">
        <v>1.22</v>
      </c>
      <c r="AD14" s="306">
        <v>1.22</v>
      </c>
      <c r="AE14" s="306">
        <v>1.22</v>
      </c>
      <c r="AF14" s="306">
        <v>1.23</v>
      </c>
      <c r="AG14" s="306">
        <v>1.23</v>
      </c>
      <c r="AH14" s="306">
        <v>1.23</v>
      </c>
      <c r="AI14" s="306">
        <v>1.24</v>
      </c>
      <c r="AJ14" s="306">
        <v>1.24</v>
      </c>
      <c r="AK14" s="306">
        <v>1.24</v>
      </c>
      <c r="AL14" s="306">
        <v>1.25</v>
      </c>
      <c r="AM14" s="306">
        <v>1.25</v>
      </c>
      <c r="AN14" s="306">
        <v>1.26</v>
      </c>
      <c r="AO14" s="306">
        <v>1.26</v>
      </c>
      <c r="AP14" s="306">
        <v>1.26</v>
      </c>
      <c r="AQ14" s="306">
        <v>1.27</v>
      </c>
      <c r="AR14" s="306">
        <v>1.27</v>
      </c>
      <c r="AS14" s="306">
        <v>1.27</v>
      </c>
      <c r="AT14" s="306">
        <v>1.27</v>
      </c>
      <c r="AU14" s="306">
        <v>1.28</v>
      </c>
      <c r="AV14" s="306">
        <v>1.28</v>
      </c>
      <c r="AW14" s="306">
        <v>1.28</v>
      </c>
      <c r="AX14" s="306">
        <v>1.28</v>
      </c>
      <c r="AY14" s="306">
        <v>1.29</v>
      </c>
      <c r="AZ14" s="306">
        <v>1.29</v>
      </c>
      <c r="BA14" s="306">
        <v>1.29</v>
      </c>
      <c r="BB14" s="306">
        <v>1.29</v>
      </c>
      <c r="BC14" s="306">
        <v>1.3</v>
      </c>
      <c r="BD14" s="306">
        <v>1.3</v>
      </c>
      <c r="BE14" s="306">
        <v>1.3</v>
      </c>
      <c r="BF14" s="306">
        <v>1.3</v>
      </c>
      <c r="BG14" s="306">
        <v>1.3</v>
      </c>
      <c r="BH14" s="306">
        <v>1.3</v>
      </c>
      <c r="BI14" s="306">
        <v>1.31</v>
      </c>
      <c r="BJ14" s="306">
        <v>1.31</v>
      </c>
      <c r="BK14" s="306">
        <v>1.31</v>
      </c>
      <c r="BL14" s="306">
        <v>1.31</v>
      </c>
      <c r="BM14" s="306">
        <v>1.31</v>
      </c>
      <c r="BN14" s="306">
        <v>1.31</v>
      </c>
      <c r="BO14" s="306">
        <v>1.31</v>
      </c>
      <c r="BP14" s="306">
        <v>1.31</v>
      </c>
      <c r="BQ14" s="306">
        <v>1.31</v>
      </c>
      <c r="BR14" s="306">
        <v>1.31</v>
      </c>
      <c r="BS14" s="306">
        <v>1.32</v>
      </c>
      <c r="BT14" s="306">
        <v>1.32</v>
      </c>
      <c r="BU14" s="306">
        <v>1.32</v>
      </c>
      <c r="BV14" s="306">
        <v>1.32</v>
      </c>
      <c r="BW14" s="306">
        <v>1.32</v>
      </c>
      <c r="BX14" s="306">
        <v>1.32</v>
      </c>
      <c r="BY14" s="306">
        <v>1.32</v>
      </c>
      <c r="BZ14" s="306">
        <v>1.32</v>
      </c>
      <c r="CA14" s="306">
        <v>1.32</v>
      </c>
      <c r="CB14" s="306">
        <v>1.32</v>
      </c>
      <c r="CC14" s="306">
        <v>1.32</v>
      </c>
      <c r="CD14" s="306">
        <v>1.32</v>
      </c>
      <c r="CE14" s="306">
        <v>1.32</v>
      </c>
      <c r="CF14" s="306">
        <v>1.32</v>
      </c>
      <c r="CG14" s="306">
        <v>1.32</v>
      </c>
      <c r="CH14" s="306">
        <v>1.32</v>
      </c>
      <c r="CI14" s="306">
        <v>1.32</v>
      </c>
      <c r="CJ14" s="306">
        <v>1.32</v>
      </c>
      <c r="CK14" s="306">
        <v>1.32</v>
      </c>
      <c r="CL14" s="306">
        <v>1.32</v>
      </c>
      <c r="CM14" s="306">
        <v>1.32</v>
      </c>
      <c r="CN14" s="306">
        <v>1.32</v>
      </c>
      <c r="CO14" s="306">
        <v>1.32</v>
      </c>
      <c r="CP14" s="306">
        <v>1.32</v>
      </c>
      <c r="CQ14" s="306">
        <v>1.32</v>
      </c>
      <c r="CR14" s="306">
        <v>1.32</v>
      </c>
      <c r="CS14" s="306">
        <v>1.32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</row>
    <row r="15" spans="3:102" x14ac:dyDescent="0.25">
      <c r="C15" s="305">
        <v>7</v>
      </c>
      <c r="D15" s="306">
        <v>0.77</v>
      </c>
      <c r="E15" s="306">
        <v>0.75</v>
      </c>
      <c r="F15" s="306">
        <v>0.75</v>
      </c>
      <c r="G15" s="306">
        <v>0.74</v>
      </c>
      <c r="H15" s="306">
        <v>0.75</v>
      </c>
      <c r="I15" s="306">
        <v>0.78</v>
      </c>
      <c r="J15" s="306">
        <v>0.81</v>
      </c>
      <c r="K15" s="306">
        <v>0.86</v>
      </c>
      <c r="L15" s="306">
        <v>0.91</v>
      </c>
      <c r="M15" s="306">
        <v>0.97</v>
      </c>
      <c r="N15" s="306">
        <v>1.03</v>
      </c>
      <c r="O15" s="306">
        <v>1.07</v>
      </c>
      <c r="P15" s="306">
        <v>1.1200000000000001</v>
      </c>
      <c r="Q15" s="306">
        <v>1.1499999999999999</v>
      </c>
      <c r="R15" s="306">
        <v>1.17</v>
      </c>
      <c r="S15" s="306">
        <v>1.2</v>
      </c>
      <c r="T15" s="306">
        <v>1.21</v>
      </c>
      <c r="U15" s="306">
        <v>1.22</v>
      </c>
      <c r="V15" s="306">
        <v>1.23</v>
      </c>
      <c r="W15" s="306">
        <v>1.24</v>
      </c>
      <c r="X15" s="306">
        <v>1.25</v>
      </c>
      <c r="Y15" s="306">
        <v>1.25</v>
      </c>
      <c r="Z15" s="306">
        <v>1.26</v>
      </c>
      <c r="AA15" s="306">
        <v>1.26</v>
      </c>
      <c r="AB15" s="306">
        <v>1.27</v>
      </c>
      <c r="AC15" s="306">
        <v>1.27</v>
      </c>
      <c r="AD15" s="306">
        <v>1.27</v>
      </c>
      <c r="AE15" s="306">
        <v>1.28</v>
      </c>
      <c r="AF15" s="306">
        <v>1.28</v>
      </c>
      <c r="AG15" s="306">
        <v>1.29</v>
      </c>
      <c r="AH15" s="306">
        <v>1.29</v>
      </c>
      <c r="AI15" s="306">
        <v>1.29</v>
      </c>
      <c r="AJ15" s="306">
        <v>1.3</v>
      </c>
      <c r="AK15" s="306">
        <v>1.3</v>
      </c>
      <c r="AL15" s="306">
        <v>1.31</v>
      </c>
      <c r="AM15" s="306">
        <v>1.31</v>
      </c>
      <c r="AN15" s="306">
        <v>1.31</v>
      </c>
      <c r="AO15" s="306">
        <v>1.32</v>
      </c>
      <c r="AP15" s="306">
        <v>1.32</v>
      </c>
      <c r="AQ15" s="306">
        <v>1.32</v>
      </c>
      <c r="AR15" s="306">
        <v>1.33</v>
      </c>
      <c r="AS15" s="306">
        <v>1.33</v>
      </c>
      <c r="AT15" s="306">
        <v>1.33</v>
      </c>
      <c r="AU15" s="306">
        <v>1.34</v>
      </c>
      <c r="AV15" s="306">
        <v>1.34</v>
      </c>
      <c r="AW15" s="306">
        <v>1.34</v>
      </c>
      <c r="AX15" s="306">
        <v>1.35</v>
      </c>
      <c r="AY15" s="306">
        <v>1.35</v>
      </c>
      <c r="AZ15" s="306">
        <v>1.35</v>
      </c>
      <c r="BA15" s="306">
        <v>1.35</v>
      </c>
      <c r="BB15" s="306">
        <v>1.36</v>
      </c>
      <c r="BC15" s="306">
        <v>1.36</v>
      </c>
      <c r="BD15" s="306">
        <v>1.36</v>
      </c>
      <c r="BE15" s="306">
        <v>1.36</v>
      </c>
      <c r="BF15" s="306">
        <v>1.36</v>
      </c>
      <c r="BG15" s="306">
        <v>1.36</v>
      </c>
      <c r="BH15" s="306">
        <v>1.37</v>
      </c>
      <c r="BI15" s="306">
        <v>1.37</v>
      </c>
      <c r="BJ15" s="306">
        <v>1.37</v>
      </c>
      <c r="BK15" s="306">
        <v>1.37</v>
      </c>
      <c r="BL15" s="306">
        <v>1.37</v>
      </c>
      <c r="BM15" s="306">
        <v>1.37</v>
      </c>
      <c r="BN15" s="306">
        <v>1.37</v>
      </c>
      <c r="BO15" s="306">
        <v>1.38</v>
      </c>
      <c r="BP15" s="306">
        <v>1.38</v>
      </c>
      <c r="BQ15" s="306">
        <v>1.38</v>
      </c>
      <c r="BR15" s="306">
        <v>1.38</v>
      </c>
      <c r="BS15" s="306">
        <v>1.38</v>
      </c>
      <c r="BT15" s="306">
        <v>1.38</v>
      </c>
      <c r="BU15" s="306">
        <v>1.38</v>
      </c>
      <c r="BV15" s="306">
        <v>1.38</v>
      </c>
      <c r="BW15" s="306">
        <v>1.38</v>
      </c>
      <c r="BX15" s="306">
        <v>1.38</v>
      </c>
      <c r="BY15" s="306">
        <v>1.38</v>
      </c>
      <c r="BZ15" s="306">
        <v>1.38</v>
      </c>
      <c r="CA15" s="306">
        <v>1.38</v>
      </c>
      <c r="CB15" s="306">
        <v>1.38</v>
      </c>
      <c r="CC15" s="306">
        <v>1.38</v>
      </c>
      <c r="CD15" s="306">
        <v>1.38</v>
      </c>
      <c r="CE15" s="306">
        <v>1.38</v>
      </c>
      <c r="CF15" s="306">
        <v>1.38</v>
      </c>
      <c r="CG15" s="306">
        <v>1.38</v>
      </c>
      <c r="CH15" s="306">
        <v>1.38</v>
      </c>
      <c r="CI15" s="306">
        <v>1.38</v>
      </c>
      <c r="CJ15" s="306">
        <v>1.38</v>
      </c>
      <c r="CK15" s="306">
        <v>1.38</v>
      </c>
      <c r="CL15" s="306">
        <v>1.38</v>
      </c>
      <c r="CM15" s="306">
        <v>1.38</v>
      </c>
      <c r="CN15" s="306">
        <v>1.38</v>
      </c>
      <c r="CO15" s="306">
        <v>1.38</v>
      </c>
      <c r="CP15" s="306">
        <v>1.38</v>
      </c>
      <c r="CQ15" s="306">
        <v>1.38</v>
      </c>
      <c r="CR15" s="306">
        <v>1.38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</row>
    <row r="16" spans="3:102" x14ac:dyDescent="0.25">
      <c r="C16" s="305">
        <v>8</v>
      </c>
      <c r="D16" s="306">
        <v>0.74</v>
      </c>
      <c r="E16" s="306">
        <v>0.73</v>
      </c>
      <c r="F16" s="306">
        <v>0.74</v>
      </c>
      <c r="G16" s="306">
        <v>0.75</v>
      </c>
      <c r="H16" s="306">
        <v>0.78</v>
      </c>
      <c r="I16" s="306">
        <v>0.82</v>
      </c>
      <c r="J16" s="306">
        <v>0.87</v>
      </c>
      <c r="K16" s="306">
        <v>0.93</v>
      </c>
      <c r="L16" s="306">
        <v>1</v>
      </c>
      <c r="M16" s="306">
        <v>1.06</v>
      </c>
      <c r="N16" s="306">
        <v>1.1100000000000001</v>
      </c>
      <c r="O16" s="306">
        <v>1.1599999999999999</v>
      </c>
      <c r="P16" s="306">
        <v>1.2</v>
      </c>
      <c r="Q16" s="306">
        <v>1.23</v>
      </c>
      <c r="R16" s="306">
        <v>1.25</v>
      </c>
      <c r="S16" s="306">
        <v>1.27</v>
      </c>
      <c r="T16" s="306">
        <v>1.28</v>
      </c>
      <c r="U16" s="306">
        <v>1.29</v>
      </c>
      <c r="V16" s="306">
        <v>1.3</v>
      </c>
      <c r="W16" s="306">
        <v>1.3</v>
      </c>
      <c r="X16" s="306">
        <v>1.31</v>
      </c>
      <c r="Y16" s="306">
        <v>1.31</v>
      </c>
      <c r="Z16" s="306">
        <v>1.32</v>
      </c>
      <c r="AA16" s="306">
        <v>1.32</v>
      </c>
      <c r="AB16" s="306">
        <v>1.33</v>
      </c>
      <c r="AC16" s="306">
        <v>1.33</v>
      </c>
      <c r="AD16" s="306">
        <v>1.34</v>
      </c>
      <c r="AE16" s="306">
        <v>1.34</v>
      </c>
      <c r="AF16" s="306">
        <v>1.34</v>
      </c>
      <c r="AG16" s="306">
        <v>1.35</v>
      </c>
      <c r="AH16" s="306">
        <v>1.35</v>
      </c>
      <c r="AI16" s="306">
        <v>1.36</v>
      </c>
      <c r="AJ16" s="306">
        <v>1.36</v>
      </c>
      <c r="AK16" s="306">
        <v>1.37</v>
      </c>
      <c r="AL16" s="306">
        <v>1.37</v>
      </c>
      <c r="AM16" s="306">
        <v>1.37</v>
      </c>
      <c r="AN16" s="306">
        <v>1.38</v>
      </c>
      <c r="AO16" s="306">
        <v>1.38</v>
      </c>
      <c r="AP16" s="306">
        <v>1.39</v>
      </c>
      <c r="AQ16" s="306">
        <v>1.39</v>
      </c>
      <c r="AR16" s="306">
        <v>1.39</v>
      </c>
      <c r="AS16" s="306">
        <v>1.4</v>
      </c>
      <c r="AT16" s="306">
        <v>1.4</v>
      </c>
      <c r="AU16" s="306">
        <v>1.4</v>
      </c>
      <c r="AV16" s="306">
        <v>1.41</v>
      </c>
      <c r="AW16" s="306">
        <v>1.41</v>
      </c>
      <c r="AX16" s="306">
        <v>1.41</v>
      </c>
      <c r="AY16" s="306">
        <v>1.42</v>
      </c>
      <c r="AZ16" s="306">
        <v>1.42</v>
      </c>
      <c r="BA16" s="306">
        <v>1.42</v>
      </c>
      <c r="BB16" s="306">
        <v>1.42</v>
      </c>
      <c r="BC16" s="306">
        <v>1.43</v>
      </c>
      <c r="BD16" s="306">
        <v>1.43</v>
      </c>
      <c r="BE16" s="306">
        <v>1.43</v>
      </c>
      <c r="BF16" s="306">
        <v>1.43</v>
      </c>
      <c r="BG16" s="306">
        <v>1.43</v>
      </c>
      <c r="BH16" s="306">
        <v>1.44</v>
      </c>
      <c r="BI16" s="306">
        <v>1.44</v>
      </c>
      <c r="BJ16" s="306">
        <v>1.44</v>
      </c>
      <c r="BK16" s="306">
        <v>1.44</v>
      </c>
      <c r="BL16" s="306">
        <v>1.44</v>
      </c>
      <c r="BM16" s="306">
        <v>1.44</v>
      </c>
      <c r="BN16" s="306">
        <v>1.44</v>
      </c>
      <c r="BO16" s="306">
        <v>1.45</v>
      </c>
      <c r="BP16" s="306">
        <v>1.45</v>
      </c>
      <c r="BQ16" s="306">
        <v>1.45</v>
      </c>
      <c r="BR16" s="306">
        <v>1.45</v>
      </c>
      <c r="BS16" s="306">
        <v>1.45</v>
      </c>
      <c r="BT16" s="306">
        <v>1.45</v>
      </c>
      <c r="BU16" s="306">
        <v>1.45</v>
      </c>
      <c r="BV16" s="306">
        <v>1.45</v>
      </c>
      <c r="BW16" s="306">
        <v>1.45</v>
      </c>
      <c r="BX16" s="306">
        <v>1.45</v>
      </c>
      <c r="BY16" s="306">
        <v>1.45</v>
      </c>
      <c r="BZ16" s="306">
        <v>1.45</v>
      </c>
      <c r="CA16" s="306">
        <v>1.45</v>
      </c>
      <c r="CB16" s="306">
        <v>1.45</v>
      </c>
      <c r="CC16" s="306">
        <v>1.45</v>
      </c>
      <c r="CD16" s="306">
        <v>1.45</v>
      </c>
      <c r="CE16" s="306">
        <v>1.45</v>
      </c>
      <c r="CF16" s="306">
        <v>1.45</v>
      </c>
      <c r="CG16" s="306">
        <v>1.45</v>
      </c>
      <c r="CH16" s="306">
        <v>1.45</v>
      </c>
      <c r="CI16" s="306">
        <v>1.45</v>
      </c>
      <c r="CJ16" s="306">
        <v>1.45</v>
      </c>
      <c r="CK16" s="306">
        <v>1.45</v>
      </c>
      <c r="CL16" s="306">
        <v>1.45</v>
      </c>
      <c r="CM16" s="306">
        <v>1.45</v>
      </c>
      <c r="CN16" s="306">
        <v>1.45</v>
      </c>
      <c r="CO16" s="306">
        <v>1.45</v>
      </c>
      <c r="CP16" s="306">
        <v>1.45</v>
      </c>
      <c r="CQ16" s="306">
        <v>1.45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</row>
    <row r="17" spans="3:102" x14ac:dyDescent="0.25">
      <c r="C17" s="305">
        <v>9</v>
      </c>
      <c r="D17" s="306">
        <v>0.73</v>
      </c>
      <c r="E17" s="306">
        <v>0.73</v>
      </c>
      <c r="F17" s="306">
        <v>0.75</v>
      </c>
      <c r="G17" s="306">
        <v>0.79</v>
      </c>
      <c r="H17" s="306">
        <v>0.84</v>
      </c>
      <c r="I17" s="306">
        <v>0.9</v>
      </c>
      <c r="J17" s="306">
        <v>0.96</v>
      </c>
      <c r="K17" s="306">
        <v>1.03</v>
      </c>
      <c r="L17" s="306">
        <v>1.1000000000000001</v>
      </c>
      <c r="M17" s="306">
        <v>1.1599999999999999</v>
      </c>
      <c r="N17" s="306">
        <v>1.21</v>
      </c>
      <c r="O17" s="306">
        <v>1.25</v>
      </c>
      <c r="P17" s="306">
        <v>1.29</v>
      </c>
      <c r="Q17" s="306">
        <v>1.31</v>
      </c>
      <c r="R17" s="306">
        <v>1.33</v>
      </c>
      <c r="S17" s="306">
        <v>1.34</v>
      </c>
      <c r="T17" s="306">
        <v>1.35</v>
      </c>
      <c r="U17" s="306">
        <v>1.36</v>
      </c>
      <c r="V17" s="306">
        <v>1.37</v>
      </c>
      <c r="W17" s="306">
        <v>1.37</v>
      </c>
      <c r="X17" s="306">
        <v>1.38</v>
      </c>
      <c r="Y17" s="306">
        <v>1.38</v>
      </c>
      <c r="Z17" s="306">
        <v>1.38</v>
      </c>
      <c r="AA17" s="306">
        <v>1.39</v>
      </c>
      <c r="AB17" s="306">
        <v>1.39</v>
      </c>
      <c r="AC17" s="306">
        <v>1.4</v>
      </c>
      <c r="AD17" s="306">
        <v>1.4</v>
      </c>
      <c r="AE17" s="306">
        <v>1.41</v>
      </c>
      <c r="AF17" s="306">
        <v>1.41</v>
      </c>
      <c r="AG17" s="306">
        <v>1.42</v>
      </c>
      <c r="AH17" s="306">
        <v>1.42</v>
      </c>
      <c r="AI17" s="306">
        <v>1.43</v>
      </c>
      <c r="AJ17" s="306">
        <v>1.43</v>
      </c>
      <c r="AK17" s="306">
        <v>1.43</v>
      </c>
      <c r="AL17" s="306">
        <v>1.44</v>
      </c>
      <c r="AM17" s="306">
        <v>1.44</v>
      </c>
      <c r="AN17" s="306">
        <v>1.45</v>
      </c>
      <c r="AO17" s="306">
        <v>1.45</v>
      </c>
      <c r="AP17" s="306">
        <v>1.46</v>
      </c>
      <c r="AQ17" s="306">
        <v>1.46</v>
      </c>
      <c r="AR17" s="306">
        <v>1.47</v>
      </c>
      <c r="AS17" s="306">
        <v>1.47</v>
      </c>
      <c r="AT17" s="306">
        <v>1.47</v>
      </c>
      <c r="AU17" s="306">
        <v>1.48</v>
      </c>
      <c r="AV17" s="306">
        <v>1.48</v>
      </c>
      <c r="AW17" s="306">
        <v>1.48</v>
      </c>
      <c r="AX17" s="306">
        <v>1.49</v>
      </c>
      <c r="AY17" s="306">
        <v>1.49</v>
      </c>
      <c r="AZ17" s="306">
        <v>1.49</v>
      </c>
      <c r="BA17" s="306">
        <v>1.5</v>
      </c>
      <c r="BB17" s="306">
        <v>1.5</v>
      </c>
      <c r="BC17" s="306">
        <v>1.5</v>
      </c>
      <c r="BD17" s="306">
        <v>1.5</v>
      </c>
      <c r="BE17" s="306">
        <v>1.51</v>
      </c>
      <c r="BF17" s="306">
        <v>1.51</v>
      </c>
      <c r="BG17" s="306">
        <v>1.51</v>
      </c>
      <c r="BH17" s="306">
        <v>1.51</v>
      </c>
      <c r="BI17" s="306">
        <v>1.51</v>
      </c>
      <c r="BJ17" s="306">
        <v>1.52</v>
      </c>
      <c r="BK17" s="306">
        <v>1.52</v>
      </c>
      <c r="BL17" s="306">
        <v>1.52</v>
      </c>
      <c r="BM17" s="306">
        <v>1.52</v>
      </c>
      <c r="BN17" s="306">
        <v>1.52</v>
      </c>
      <c r="BO17" s="306">
        <v>1.52</v>
      </c>
      <c r="BP17" s="306">
        <v>1.52</v>
      </c>
      <c r="BQ17" s="306">
        <v>1.52</v>
      </c>
      <c r="BR17" s="306">
        <v>1.52</v>
      </c>
      <c r="BS17" s="306">
        <v>1.53</v>
      </c>
      <c r="BT17" s="306">
        <v>1.53</v>
      </c>
      <c r="BU17" s="306">
        <v>1.53</v>
      </c>
      <c r="BV17" s="306">
        <v>1.53</v>
      </c>
      <c r="BW17" s="306">
        <v>1.53</v>
      </c>
      <c r="BX17" s="306">
        <v>1.53</v>
      </c>
      <c r="BY17" s="306">
        <v>1.53</v>
      </c>
      <c r="BZ17" s="306">
        <v>1.53</v>
      </c>
      <c r="CA17" s="306">
        <v>1.53</v>
      </c>
      <c r="CB17" s="306">
        <v>1.53</v>
      </c>
      <c r="CC17" s="306">
        <v>1.53</v>
      </c>
      <c r="CD17" s="306">
        <v>1.53</v>
      </c>
      <c r="CE17" s="306">
        <v>1.53</v>
      </c>
      <c r="CF17" s="306">
        <v>1.53</v>
      </c>
      <c r="CG17" s="306">
        <v>1.53</v>
      </c>
      <c r="CH17" s="306">
        <v>1.53</v>
      </c>
      <c r="CI17" s="306">
        <v>1.53</v>
      </c>
      <c r="CJ17" s="306">
        <v>1.53</v>
      </c>
      <c r="CK17" s="306">
        <v>1.53</v>
      </c>
      <c r="CL17" s="306">
        <v>1.53</v>
      </c>
      <c r="CM17" s="306">
        <v>1.53</v>
      </c>
      <c r="CN17" s="306">
        <v>1.53</v>
      </c>
      <c r="CO17" s="306">
        <v>1.53</v>
      </c>
      <c r="CP17" s="306">
        <v>1.53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</row>
    <row r="18" spans="3:102" x14ac:dyDescent="0.25">
      <c r="C18" s="305">
        <v>10</v>
      </c>
      <c r="D18" s="306">
        <v>0.74</v>
      </c>
      <c r="E18" s="306">
        <v>0.77</v>
      </c>
      <c r="F18" s="306">
        <v>0.81</v>
      </c>
      <c r="G18" s="306">
        <v>0.87</v>
      </c>
      <c r="H18" s="306">
        <v>0.94</v>
      </c>
      <c r="I18" s="306">
        <v>1.01</v>
      </c>
      <c r="J18" s="306">
        <v>1.08</v>
      </c>
      <c r="K18" s="306">
        <v>1.1499999999999999</v>
      </c>
      <c r="L18" s="306">
        <v>1.21</v>
      </c>
      <c r="M18" s="306">
        <v>1.27</v>
      </c>
      <c r="N18" s="306">
        <v>1.31</v>
      </c>
      <c r="O18" s="306">
        <v>1.35</v>
      </c>
      <c r="P18" s="306">
        <v>1.38</v>
      </c>
      <c r="Q18" s="306">
        <v>1.4</v>
      </c>
      <c r="R18" s="306">
        <v>1.41</v>
      </c>
      <c r="S18" s="306">
        <v>1.42</v>
      </c>
      <c r="T18" s="306">
        <v>1.43</v>
      </c>
      <c r="U18" s="306">
        <v>1.43</v>
      </c>
      <c r="V18" s="306">
        <v>1.44</v>
      </c>
      <c r="W18" s="306">
        <v>1.44</v>
      </c>
      <c r="X18" s="306">
        <v>1.44</v>
      </c>
      <c r="Y18" s="306">
        <v>1.45</v>
      </c>
      <c r="Z18" s="306">
        <v>1.45</v>
      </c>
      <c r="AA18" s="306">
        <v>1.46</v>
      </c>
      <c r="AB18" s="306">
        <v>1.46</v>
      </c>
      <c r="AC18" s="306">
        <v>1.47</v>
      </c>
      <c r="AD18" s="306">
        <v>1.47</v>
      </c>
      <c r="AE18" s="306">
        <v>1.48</v>
      </c>
      <c r="AF18" s="306">
        <v>1.48</v>
      </c>
      <c r="AG18" s="306">
        <v>1.49</v>
      </c>
      <c r="AH18" s="306">
        <v>1.49</v>
      </c>
      <c r="AI18" s="306">
        <v>1.5</v>
      </c>
      <c r="AJ18" s="306">
        <v>1.5</v>
      </c>
      <c r="AK18" s="306">
        <v>1.51</v>
      </c>
      <c r="AL18" s="306">
        <v>1.51</v>
      </c>
      <c r="AM18" s="306">
        <v>1.52</v>
      </c>
      <c r="AN18" s="306">
        <v>1.52</v>
      </c>
      <c r="AO18" s="306">
        <v>1.53</v>
      </c>
      <c r="AP18" s="306">
        <v>1.53</v>
      </c>
      <c r="AQ18" s="306">
        <v>1.54</v>
      </c>
      <c r="AR18" s="306">
        <v>1.54</v>
      </c>
      <c r="AS18" s="306">
        <v>1.55</v>
      </c>
      <c r="AT18" s="306">
        <v>1.55</v>
      </c>
      <c r="AU18" s="306">
        <v>1.55</v>
      </c>
      <c r="AV18" s="306">
        <v>1.56</v>
      </c>
      <c r="AW18" s="306">
        <v>1.56</v>
      </c>
      <c r="AX18" s="306">
        <v>1.57</v>
      </c>
      <c r="AY18" s="306">
        <v>1.57</v>
      </c>
      <c r="AZ18" s="306">
        <v>1.57</v>
      </c>
      <c r="BA18" s="306">
        <v>1.58</v>
      </c>
      <c r="BB18" s="306">
        <v>1.58</v>
      </c>
      <c r="BC18" s="306">
        <v>1.58</v>
      </c>
      <c r="BD18" s="306">
        <v>1.58</v>
      </c>
      <c r="BE18" s="306">
        <v>1.59</v>
      </c>
      <c r="BF18" s="306">
        <v>1.59</v>
      </c>
      <c r="BG18" s="306">
        <v>1.59</v>
      </c>
      <c r="BH18" s="306">
        <v>1.59</v>
      </c>
      <c r="BI18" s="306">
        <v>1.59</v>
      </c>
      <c r="BJ18" s="306">
        <v>1.6</v>
      </c>
      <c r="BK18" s="306">
        <v>1.6</v>
      </c>
      <c r="BL18" s="306">
        <v>1.6</v>
      </c>
      <c r="BM18" s="306">
        <v>1.6</v>
      </c>
      <c r="BN18" s="306">
        <v>1.6</v>
      </c>
      <c r="BO18" s="306">
        <v>1.6</v>
      </c>
      <c r="BP18" s="306">
        <v>1.6</v>
      </c>
      <c r="BQ18" s="306">
        <v>1.6</v>
      </c>
      <c r="BR18" s="306">
        <v>1.61</v>
      </c>
      <c r="BS18" s="306">
        <v>1.61</v>
      </c>
      <c r="BT18" s="306">
        <v>1.61</v>
      </c>
      <c r="BU18" s="306">
        <v>1.61</v>
      </c>
      <c r="BV18" s="306">
        <v>1.61</v>
      </c>
      <c r="BW18" s="306">
        <v>1.61</v>
      </c>
      <c r="BX18" s="306">
        <v>1.61</v>
      </c>
      <c r="BY18" s="306">
        <v>1.61</v>
      </c>
      <c r="BZ18" s="306">
        <v>1.61</v>
      </c>
      <c r="CA18" s="306">
        <v>1.61</v>
      </c>
      <c r="CB18" s="306">
        <v>1.61</v>
      </c>
      <c r="CC18" s="306">
        <v>1.61</v>
      </c>
      <c r="CD18" s="306">
        <v>1.61</v>
      </c>
      <c r="CE18" s="306">
        <v>1.61</v>
      </c>
      <c r="CF18" s="306">
        <v>1.61</v>
      </c>
      <c r="CG18" s="306">
        <v>1.61</v>
      </c>
      <c r="CH18" s="306">
        <v>1.61</v>
      </c>
      <c r="CI18" s="306">
        <v>1.61</v>
      </c>
      <c r="CJ18" s="306">
        <v>1.61</v>
      </c>
      <c r="CK18" s="306">
        <v>1.61</v>
      </c>
      <c r="CL18" s="306">
        <v>1.61</v>
      </c>
      <c r="CM18" s="306">
        <v>1.61</v>
      </c>
      <c r="CN18" s="306">
        <v>1.61</v>
      </c>
      <c r="CO18" s="306">
        <v>1.61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</row>
    <row r="19" spans="3:102" x14ac:dyDescent="0.25">
      <c r="C19" s="305">
        <v>11</v>
      </c>
      <c r="D19" s="306">
        <v>0.8</v>
      </c>
      <c r="E19" s="306">
        <v>0.85</v>
      </c>
      <c r="F19" s="306">
        <v>0.92</v>
      </c>
      <c r="G19" s="306">
        <v>0.99</v>
      </c>
      <c r="H19" s="306">
        <v>1.07</v>
      </c>
      <c r="I19" s="306">
        <v>1.1399999999999999</v>
      </c>
      <c r="J19" s="306">
        <v>1.22</v>
      </c>
      <c r="K19" s="306">
        <v>1.28</v>
      </c>
      <c r="L19" s="306">
        <v>1.34</v>
      </c>
      <c r="M19" s="306">
        <v>1.38</v>
      </c>
      <c r="N19" s="306">
        <v>1.42</v>
      </c>
      <c r="O19" s="306">
        <v>1.45</v>
      </c>
      <c r="P19" s="306">
        <v>1.47</v>
      </c>
      <c r="Q19" s="306">
        <v>1.48</v>
      </c>
      <c r="R19" s="306">
        <v>1.49</v>
      </c>
      <c r="S19" s="306">
        <v>1.5</v>
      </c>
      <c r="T19" s="306">
        <v>1.5</v>
      </c>
      <c r="U19" s="306">
        <v>1.5</v>
      </c>
      <c r="V19" s="306">
        <v>1.51</v>
      </c>
      <c r="W19" s="306">
        <v>1.51</v>
      </c>
      <c r="X19" s="306">
        <v>1.52</v>
      </c>
      <c r="Y19" s="306">
        <v>1.52</v>
      </c>
      <c r="Z19" s="306">
        <v>1.52</v>
      </c>
      <c r="AA19" s="306">
        <v>1.53</v>
      </c>
      <c r="AB19" s="306">
        <v>1.53</v>
      </c>
      <c r="AC19" s="306">
        <v>1.54</v>
      </c>
      <c r="AD19" s="306">
        <v>1.54</v>
      </c>
      <c r="AE19" s="306">
        <v>1.55</v>
      </c>
      <c r="AF19" s="306">
        <v>1.55</v>
      </c>
      <c r="AG19" s="306">
        <v>1.56</v>
      </c>
      <c r="AH19" s="306">
        <v>1.57</v>
      </c>
      <c r="AI19" s="306">
        <v>1.57</v>
      </c>
      <c r="AJ19" s="306">
        <v>1.58</v>
      </c>
      <c r="AK19" s="306">
        <v>1.58</v>
      </c>
      <c r="AL19" s="306">
        <v>1.59</v>
      </c>
      <c r="AM19" s="306">
        <v>1.6</v>
      </c>
      <c r="AN19" s="306">
        <v>1.6</v>
      </c>
      <c r="AO19" s="306">
        <v>1.61</v>
      </c>
      <c r="AP19" s="306">
        <v>1.61</v>
      </c>
      <c r="AQ19" s="306">
        <v>1.62</v>
      </c>
      <c r="AR19" s="306">
        <v>1.62</v>
      </c>
      <c r="AS19" s="306">
        <v>1.63</v>
      </c>
      <c r="AT19" s="306">
        <v>1.63</v>
      </c>
      <c r="AU19" s="306">
        <v>1.64</v>
      </c>
      <c r="AV19" s="306">
        <v>1.64</v>
      </c>
      <c r="AW19" s="306">
        <v>1.64</v>
      </c>
      <c r="AX19" s="306">
        <v>1.65</v>
      </c>
      <c r="AY19" s="306">
        <v>1.65</v>
      </c>
      <c r="AZ19" s="306">
        <v>1.65</v>
      </c>
      <c r="BA19" s="306">
        <v>1.66</v>
      </c>
      <c r="BB19" s="306">
        <v>1.66</v>
      </c>
      <c r="BC19" s="306">
        <v>1.66</v>
      </c>
      <c r="BD19" s="306">
        <v>1.67</v>
      </c>
      <c r="BE19" s="306">
        <v>1.67</v>
      </c>
      <c r="BF19" s="306">
        <v>1.67</v>
      </c>
      <c r="BG19" s="306">
        <v>1.67</v>
      </c>
      <c r="BH19" s="306">
        <v>1.68</v>
      </c>
      <c r="BI19" s="306">
        <v>1.68</v>
      </c>
      <c r="BJ19" s="306">
        <v>1.68</v>
      </c>
      <c r="BK19" s="306">
        <v>1.68</v>
      </c>
      <c r="BL19" s="306">
        <v>1.68</v>
      </c>
      <c r="BM19" s="306">
        <v>1.68</v>
      </c>
      <c r="BN19" s="306">
        <v>1.69</v>
      </c>
      <c r="BO19" s="306">
        <v>1.69</v>
      </c>
      <c r="BP19" s="306">
        <v>1.69</v>
      </c>
      <c r="BQ19" s="306">
        <v>1.69</v>
      </c>
      <c r="BR19" s="306">
        <v>1.69</v>
      </c>
      <c r="BS19" s="306">
        <v>1.69</v>
      </c>
      <c r="BT19" s="306">
        <v>1.69</v>
      </c>
      <c r="BU19" s="306">
        <v>1.69</v>
      </c>
      <c r="BV19" s="306">
        <v>1.69</v>
      </c>
      <c r="BW19" s="306">
        <v>1.69</v>
      </c>
      <c r="BX19" s="306">
        <v>1.69</v>
      </c>
      <c r="BY19" s="306">
        <v>1.69</v>
      </c>
      <c r="BZ19" s="306">
        <v>1.69</v>
      </c>
      <c r="CA19" s="306">
        <v>1.69</v>
      </c>
      <c r="CB19" s="306">
        <v>1.69</v>
      </c>
      <c r="CC19" s="306">
        <v>1.69</v>
      </c>
      <c r="CD19" s="306">
        <v>1.69</v>
      </c>
      <c r="CE19" s="306">
        <v>1.69</v>
      </c>
      <c r="CF19" s="306">
        <v>1.69</v>
      </c>
      <c r="CG19" s="306">
        <v>1.69</v>
      </c>
      <c r="CH19" s="306">
        <v>1.69</v>
      </c>
      <c r="CI19" s="306">
        <v>1.69</v>
      </c>
      <c r="CJ19" s="306">
        <v>1.69</v>
      </c>
      <c r="CK19" s="306">
        <v>1.69</v>
      </c>
      <c r="CL19" s="306">
        <v>1.69</v>
      </c>
      <c r="CM19" s="306">
        <v>1.69</v>
      </c>
      <c r="CN19" s="306">
        <v>1.69</v>
      </c>
      <c r="CO19" s="306">
        <v>0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</row>
    <row r="20" spans="3:102" x14ac:dyDescent="0.25">
      <c r="C20" s="305">
        <v>12</v>
      </c>
      <c r="D20" s="306">
        <v>0.91</v>
      </c>
      <c r="E20" s="306">
        <v>0.98</v>
      </c>
      <c r="F20" s="306">
        <v>1.06</v>
      </c>
      <c r="G20" s="306">
        <v>1.1399999999999999</v>
      </c>
      <c r="H20" s="306">
        <v>1.22</v>
      </c>
      <c r="I20" s="306">
        <v>1.29</v>
      </c>
      <c r="J20" s="306">
        <v>1.36</v>
      </c>
      <c r="K20" s="306">
        <v>1.41</v>
      </c>
      <c r="L20" s="306">
        <v>1.46</v>
      </c>
      <c r="M20" s="306">
        <v>1.49</v>
      </c>
      <c r="N20" s="306">
        <v>1.52</v>
      </c>
      <c r="O20" s="306">
        <v>1.54</v>
      </c>
      <c r="P20" s="306">
        <v>1.55</v>
      </c>
      <c r="Q20" s="306">
        <v>1.56</v>
      </c>
      <c r="R20" s="306">
        <v>1.56</v>
      </c>
      <c r="S20" s="306">
        <v>1.57</v>
      </c>
      <c r="T20" s="306">
        <v>1.57</v>
      </c>
      <c r="U20" s="306">
        <v>1.57</v>
      </c>
      <c r="V20" s="306">
        <v>1.58</v>
      </c>
      <c r="W20" s="306">
        <v>1.58</v>
      </c>
      <c r="X20" s="306">
        <v>1.58</v>
      </c>
      <c r="Y20" s="306">
        <v>1.59</v>
      </c>
      <c r="Z20" s="306">
        <v>1.59</v>
      </c>
      <c r="AA20" s="306">
        <v>1.6</v>
      </c>
      <c r="AB20" s="306">
        <v>1.6</v>
      </c>
      <c r="AC20" s="306">
        <v>1.61</v>
      </c>
      <c r="AD20" s="306">
        <v>1.61</v>
      </c>
      <c r="AE20" s="306">
        <v>1.62</v>
      </c>
      <c r="AF20" s="306">
        <v>1.63</v>
      </c>
      <c r="AG20" s="306">
        <v>1.63</v>
      </c>
      <c r="AH20" s="306">
        <v>1.64</v>
      </c>
      <c r="AI20" s="306">
        <v>1.65</v>
      </c>
      <c r="AJ20" s="306">
        <v>1.65</v>
      </c>
      <c r="AK20" s="306">
        <v>1.66</v>
      </c>
      <c r="AL20" s="306">
        <v>1.67</v>
      </c>
      <c r="AM20" s="306">
        <v>1.67</v>
      </c>
      <c r="AN20" s="306">
        <v>1.68</v>
      </c>
      <c r="AO20" s="306">
        <v>1.69</v>
      </c>
      <c r="AP20" s="306">
        <v>1.69</v>
      </c>
      <c r="AQ20" s="306">
        <v>1.7</v>
      </c>
      <c r="AR20" s="306">
        <v>1.7</v>
      </c>
      <c r="AS20" s="306">
        <v>1.71</v>
      </c>
      <c r="AT20" s="306">
        <v>1.71</v>
      </c>
      <c r="AU20" s="306">
        <v>1.72</v>
      </c>
      <c r="AV20" s="306">
        <v>1.72</v>
      </c>
      <c r="AW20" s="306">
        <v>1.73</v>
      </c>
      <c r="AX20" s="306">
        <v>1.73</v>
      </c>
      <c r="AY20" s="306">
        <v>1.73</v>
      </c>
      <c r="AZ20" s="306">
        <v>1.74</v>
      </c>
      <c r="BA20" s="306">
        <v>1.74</v>
      </c>
      <c r="BB20" s="306">
        <v>1.74</v>
      </c>
      <c r="BC20" s="306">
        <v>1.75</v>
      </c>
      <c r="BD20" s="306">
        <v>1.75</v>
      </c>
      <c r="BE20" s="306">
        <v>1.75</v>
      </c>
      <c r="BF20" s="306">
        <v>1.76</v>
      </c>
      <c r="BG20" s="306">
        <v>1.76</v>
      </c>
      <c r="BH20" s="306">
        <v>1.76</v>
      </c>
      <c r="BI20" s="306">
        <v>1.76</v>
      </c>
      <c r="BJ20" s="306">
        <v>1.76</v>
      </c>
      <c r="BK20" s="306">
        <v>1.77</v>
      </c>
      <c r="BL20" s="306">
        <v>1.77</v>
      </c>
      <c r="BM20" s="306">
        <v>1.77</v>
      </c>
      <c r="BN20" s="306">
        <v>1.77</v>
      </c>
      <c r="BO20" s="306">
        <v>1.77</v>
      </c>
      <c r="BP20" s="306">
        <v>1.77</v>
      </c>
      <c r="BQ20" s="306">
        <v>1.77</v>
      </c>
      <c r="BR20" s="306">
        <v>1.77</v>
      </c>
      <c r="BS20" s="306">
        <v>1.78</v>
      </c>
      <c r="BT20" s="306">
        <v>1.78</v>
      </c>
      <c r="BU20" s="306">
        <v>1.78</v>
      </c>
      <c r="BV20" s="306">
        <v>1.78</v>
      </c>
      <c r="BW20" s="306">
        <v>1.78</v>
      </c>
      <c r="BX20" s="306">
        <v>1.78</v>
      </c>
      <c r="BY20" s="306">
        <v>1.78</v>
      </c>
      <c r="BZ20" s="306">
        <v>1.78</v>
      </c>
      <c r="CA20" s="306">
        <v>1.78</v>
      </c>
      <c r="CB20" s="306">
        <v>1.78</v>
      </c>
      <c r="CC20" s="306">
        <v>1.78</v>
      </c>
      <c r="CD20" s="306">
        <v>1.78</v>
      </c>
      <c r="CE20" s="306">
        <v>1.78</v>
      </c>
      <c r="CF20" s="306">
        <v>1.78</v>
      </c>
      <c r="CG20" s="306">
        <v>1.78</v>
      </c>
      <c r="CH20" s="306">
        <v>1.78</v>
      </c>
      <c r="CI20" s="306">
        <v>1.78</v>
      </c>
      <c r="CJ20" s="306">
        <v>1.78</v>
      </c>
      <c r="CK20" s="306">
        <v>1.78</v>
      </c>
      <c r="CL20" s="306">
        <v>1.78</v>
      </c>
      <c r="CM20" s="306">
        <v>1.78</v>
      </c>
      <c r="CN20" s="306">
        <v>0</v>
      </c>
      <c r="CO20" s="306">
        <v>0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0</v>
      </c>
      <c r="CV20" s="306">
        <v>0</v>
      </c>
      <c r="CW20" s="306">
        <v>0</v>
      </c>
      <c r="CX20" s="306">
        <v>0</v>
      </c>
    </row>
    <row r="21" spans="3:102" x14ac:dyDescent="0.25">
      <c r="C21" s="305">
        <v>13</v>
      </c>
      <c r="D21" s="306">
        <v>1.05</v>
      </c>
      <c r="E21" s="306">
        <v>1.1399999999999999</v>
      </c>
      <c r="F21" s="306">
        <v>1.22</v>
      </c>
      <c r="G21" s="306">
        <v>1.3</v>
      </c>
      <c r="H21" s="306">
        <v>1.38</v>
      </c>
      <c r="I21" s="306">
        <v>1.44</v>
      </c>
      <c r="J21" s="306">
        <v>1.49</v>
      </c>
      <c r="K21" s="306">
        <v>1.54</v>
      </c>
      <c r="L21" s="306">
        <v>1.57</v>
      </c>
      <c r="M21" s="306">
        <v>1.59</v>
      </c>
      <c r="N21" s="306">
        <v>1.61</v>
      </c>
      <c r="O21" s="306">
        <v>1.62</v>
      </c>
      <c r="P21" s="306">
        <v>1.63</v>
      </c>
      <c r="Q21" s="306">
        <v>1.63</v>
      </c>
      <c r="R21" s="306">
        <v>1.63</v>
      </c>
      <c r="S21" s="306">
        <v>1.63</v>
      </c>
      <c r="T21" s="306">
        <v>1.63</v>
      </c>
      <c r="U21" s="306">
        <v>1.64</v>
      </c>
      <c r="V21" s="306">
        <v>1.64</v>
      </c>
      <c r="W21" s="306">
        <v>1.64</v>
      </c>
      <c r="X21" s="306">
        <v>1.65</v>
      </c>
      <c r="Y21" s="306">
        <v>1.65</v>
      </c>
      <c r="Z21" s="306">
        <v>1.66</v>
      </c>
      <c r="AA21" s="306">
        <v>1.66</v>
      </c>
      <c r="AB21" s="306">
        <v>1.67</v>
      </c>
      <c r="AC21" s="306">
        <v>1.67</v>
      </c>
      <c r="AD21" s="306">
        <v>1.68</v>
      </c>
      <c r="AE21" s="306">
        <v>1.69</v>
      </c>
      <c r="AF21" s="306">
        <v>1.7</v>
      </c>
      <c r="AG21" s="306">
        <v>1.7</v>
      </c>
      <c r="AH21" s="306">
        <v>1.71</v>
      </c>
      <c r="AI21" s="306">
        <v>1.72</v>
      </c>
      <c r="AJ21" s="306">
        <v>1.73</v>
      </c>
      <c r="AK21" s="306">
        <v>1.73</v>
      </c>
      <c r="AL21" s="306">
        <v>1.74</v>
      </c>
      <c r="AM21" s="306">
        <v>1.75</v>
      </c>
      <c r="AN21" s="306">
        <v>1.75</v>
      </c>
      <c r="AO21" s="306">
        <v>1.76</v>
      </c>
      <c r="AP21" s="306">
        <v>1.77</v>
      </c>
      <c r="AQ21" s="306">
        <v>1.77</v>
      </c>
      <c r="AR21" s="306">
        <v>1.78</v>
      </c>
      <c r="AS21" s="306">
        <v>1.78</v>
      </c>
      <c r="AT21" s="306">
        <v>1.79</v>
      </c>
      <c r="AU21" s="306">
        <v>1.79</v>
      </c>
      <c r="AV21" s="306">
        <v>1.8</v>
      </c>
      <c r="AW21" s="306">
        <v>1.8</v>
      </c>
      <c r="AX21" s="306">
        <v>1.81</v>
      </c>
      <c r="AY21" s="306">
        <v>1.81</v>
      </c>
      <c r="AZ21" s="306">
        <v>1.82</v>
      </c>
      <c r="BA21" s="306">
        <v>1.82</v>
      </c>
      <c r="BB21" s="306">
        <v>1.82</v>
      </c>
      <c r="BC21" s="306">
        <v>1.83</v>
      </c>
      <c r="BD21" s="306">
        <v>1.83</v>
      </c>
      <c r="BE21" s="306">
        <v>1.83</v>
      </c>
      <c r="BF21" s="306">
        <v>1.84</v>
      </c>
      <c r="BG21" s="306">
        <v>1.84</v>
      </c>
      <c r="BH21" s="306">
        <v>1.84</v>
      </c>
      <c r="BI21" s="306">
        <v>1.84</v>
      </c>
      <c r="BJ21" s="306">
        <v>1.85</v>
      </c>
      <c r="BK21" s="306">
        <v>1.85</v>
      </c>
      <c r="BL21" s="306">
        <v>1.85</v>
      </c>
      <c r="BM21" s="306">
        <v>1.85</v>
      </c>
      <c r="BN21" s="306">
        <v>1.85</v>
      </c>
      <c r="BO21" s="306">
        <v>1.85</v>
      </c>
      <c r="BP21" s="306">
        <v>1.85</v>
      </c>
      <c r="BQ21" s="306">
        <v>1.86</v>
      </c>
      <c r="BR21" s="306">
        <v>1.86</v>
      </c>
      <c r="BS21" s="306">
        <v>1.86</v>
      </c>
      <c r="BT21" s="306">
        <v>1.86</v>
      </c>
      <c r="BU21" s="306">
        <v>1.86</v>
      </c>
      <c r="BV21" s="306">
        <v>1.86</v>
      </c>
      <c r="BW21" s="306">
        <v>1.86</v>
      </c>
      <c r="BX21" s="306">
        <v>1.86</v>
      </c>
      <c r="BY21" s="306">
        <v>1.86</v>
      </c>
      <c r="BZ21" s="306">
        <v>1.86</v>
      </c>
      <c r="CA21" s="306">
        <v>1.86</v>
      </c>
      <c r="CB21" s="306">
        <v>1.86</v>
      </c>
      <c r="CC21" s="306">
        <v>1.86</v>
      </c>
      <c r="CD21" s="306">
        <v>1.86</v>
      </c>
      <c r="CE21" s="306">
        <v>1.86</v>
      </c>
      <c r="CF21" s="306">
        <v>1.86</v>
      </c>
      <c r="CG21" s="306">
        <v>1.86</v>
      </c>
      <c r="CH21" s="306">
        <v>1.86</v>
      </c>
      <c r="CI21" s="306">
        <v>1.86</v>
      </c>
      <c r="CJ21" s="306">
        <v>1.86</v>
      </c>
      <c r="CK21" s="306">
        <v>1.86</v>
      </c>
      <c r="CL21" s="306">
        <v>1.86</v>
      </c>
      <c r="CM21" s="306">
        <v>0</v>
      </c>
      <c r="CN21" s="306">
        <v>0</v>
      </c>
      <c r="CO21" s="306">
        <v>0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</row>
    <row r="22" spans="3:102" x14ac:dyDescent="0.25">
      <c r="C22" s="305">
        <v>14</v>
      </c>
      <c r="D22" s="306">
        <v>1.22</v>
      </c>
      <c r="E22" s="306">
        <v>1.31</v>
      </c>
      <c r="F22" s="306">
        <v>1.39</v>
      </c>
      <c r="G22" s="306">
        <v>1.46</v>
      </c>
      <c r="H22" s="306">
        <v>1.53</v>
      </c>
      <c r="I22" s="306">
        <v>1.58</v>
      </c>
      <c r="J22" s="306">
        <v>1.61</v>
      </c>
      <c r="K22" s="306">
        <v>1.64</v>
      </c>
      <c r="L22" s="306">
        <v>1.66</v>
      </c>
      <c r="M22" s="306">
        <v>1.68</v>
      </c>
      <c r="N22" s="306">
        <v>1.68</v>
      </c>
      <c r="O22" s="306">
        <v>1.69</v>
      </c>
      <c r="P22" s="306">
        <v>1.69</v>
      </c>
      <c r="Q22" s="306">
        <v>1.69</v>
      </c>
      <c r="R22" s="306">
        <v>1.69</v>
      </c>
      <c r="S22" s="306">
        <v>1.69</v>
      </c>
      <c r="T22" s="306">
        <v>1.69</v>
      </c>
      <c r="U22" s="306">
        <v>1.69</v>
      </c>
      <c r="V22" s="306">
        <v>1.69</v>
      </c>
      <c r="W22" s="306">
        <v>1.7</v>
      </c>
      <c r="X22" s="306">
        <v>1.7</v>
      </c>
      <c r="Y22" s="306">
        <v>1.71</v>
      </c>
      <c r="Z22" s="306">
        <v>1.71</v>
      </c>
      <c r="AA22" s="306">
        <v>1.72</v>
      </c>
      <c r="AB22" s="306">
        <v>1.73</v>
      </c>
      <c r="AC22" s="306">
        <v>1.73</v>
      </c>
      <c r="AD22" s="306">
        <v>1.74</v>
      </c>
      <c r="AE22" s="306">
        <v>1.75</v>
      </c>
      <c r="AF22" s="306">
        <v>1.76</v>
      </c>
      <c r="AG22" s="306">
        <v>1.77</v>
      </c>
      <c r="AH22" s="306">
        <v>1.78</v>
      </c>
      <c r="AI22" s="306">
        <v>1.78</v>
      </c>
      <c r="AJ22" s="306">
        <v>1.79</v>
      </c>
      <c r="AK22" s="306">
        <v>1.8</v>
      </c>
      <c r="AL22" s="306">
        <v>1.81</v>
      </c>
      <c r="AM22" s="306">
        <v>1.82</v>
      </c>
      <c r="AN22" s="306">
        <v>1.82</v>
      </c>
      <c r="AO22" s="306">
        <v>1.83</v>
      </c>
      <c r="AP22" s="306">
        <v>1.84</v>
      </c>
      <c r="AQ22" s="306">
        <v>1.84</v>
      </c>
      <c r="AR22" s="306">
        <v>1.85</v>
      </c>
      <c r="AS22" s="306">
        <v>1.86</v>
      </c>
      <c r="AT22" s="306">
        <v>1.86</v>
      </c>
      <c r="AU22" s="306">
        <v>1.87</v>
      </c>
      <c r="AV22" s="306">
        <v>1.87</v>
      </c>
      <c r="AW22" s="306">
        <v>1.88</v>
      </c>
      <c r="AX22" s="306">
        <v>1.88</v>
      </c>
      <c r="AY22" s="306">
        <v>1.89</v>
      </c>
      <c r="AZ22" s="306">
        <v>1.89</v>
      </c>
      <c r="BA22" s="306">
        <v>1.9</v>
      </c>
      <c r="BB22" s="306">
        <v>1.9</v>
      </c>
      <c r="BC22" s="306">
        <v>1.9</v>
      </c>
      <c r="BD22" s="306">
        <v>1.91</v>
      </c>
      <c r="BE22" s="306">
        <v>1.91</v>
      </c>
      <c r="BF22" s="306">
        <v>1.91</v>
      </c>
      <c r="BG22" s="306">
        <v>1.92</v>
      </c>
      <c r="BH22" s="306">
        <v>1.92</v>
      </c>
      <c r="BI22" s="306">
        <v>1.92</v>
      </c>
      <c r="BJ22" s="306">
        <v>1.92</v>
      </c>
      <c r="BK22" s="306">
        <v>1.92</v>
      </c>
      <c r="BL22" s="306">
        <v>1.93</v>
      </c>
      <c r="BM22" s="306">
        <v>1.93</v>
      </c>
      <c r="BN22" s="306">
        <v>1.93</v>
      </c>
      <c r="BO22" s="306">
        <v>1.93</v>
      </c>
      <c r="BP22" s="306">
        <v>1.93</v>
      </c>
      <c r="BQ22" s="306">
        <v>1.93</v>
      </c>
      <c r="BR22" s="306">
        <v>1.93</v>
      </c>
      <c r="BS22" s="306">
        <v>1.93</v>
      </c>
      <c r="BT22" s="306">
        <v>1.93</v>
      </c>
      <c r="BU22" s="306">
        <v>1.94</v>
      </c>
      <c r="BV22" s="306">
        <v>1.94</v>
      </c>
      <c r="BW22" s="306">
        <v>1.94</v>
      </c>
      <c r="BX22" s="306">
        <v>1.94</v>
      </c>
      <c r="BY22" s="306">
        <v>1.94</v>
      </c>
      <c r="BZ22" s="306">
        <v>1.94</v>
      </c>
      <c r="CA22" s="306">
        <v>1.94</v>
      </c>
      <c r="CB22" s="306">
        <v>1.94</v>
      </c>
      <c r="CC22" s="306">
        <v>1.94</v>
      </c>
      <c r="CD22" s="306">
        <v>1.94</v>
      </c>
      <c r="CE22" s="306">
        <v>1.94</v>
      </c>
      <c r="CF22" s="306">
        <v>1.94</v>
      </c>
      <c r="CG22" s="306">
        <v>1.94</v>
      </c>
      <c r="CH22" s="306">
        <v>1.94</v>
      </c>
      <c r="CI22" s="306">
        <v>1.94</v>
      </c>
      <c r="CJ22" s="306">
        <v>1.94</v>
      </c>
      <c r="CK22" s="306">
        <v>1.94</v>
      </c>
      <c r="CL22" s="306">
        <v>0</v>
      </c>
      <c r="CM22" s="306">
        <v>0</v>
      </c>
      <c r="CN22" s="306">
        <v>0</v>
      </c>
      <c r="CO22" s="306">
        <v>0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</row>
    <row r="23" spans="3:102" x14ac:dyDescent="0.25">
      <c r="C23" s="305">
        <v>15</v>
      </c>
      <c r="D23" s="306">
        <v>1.4</v>
      </c>
      <c r="E23" s="306">
        <v>1.48</v>
      </c>
      <c r="F23" s="306">
        <v>1.55</v>
      </c>
      <c r="G23" s="306">
        <v>1.61</v>
      </c>
      <c r="H23" s="306">
        <v>1.65</v>
      </c>
      <c r="I23" s="306">
        <v>1.69</v>
      </c>
      <c r="J23" s="306">
        <v>1.71</v>
      </c>
      <c r="K23" s="306">
        <v>1.73</v>
      </c>
      <c r="L23" s="306">
        <v>1.74</v>
      </c>
      <c r="M23" s="306">
        <v>1.74</v>
      </c>
      <c r="N23" s="306">
        <v>1.74</v>
      </c>
      <c r="O23" s="306">
        <v>1.74</v>
      </c>
      <c r="P23" s="306">
        <v>1.73</v>
      </c>
      <c r="Q23" s="306">
        <v>1.73</v>
      </c>
      <c r="R23" s="306">
        <v>1.73</v>
      </c>
      <c r="S23" s="306">
        <v>1.73</v>
      </c>
      <c r="T23" s="306">
        <v>1.73</v>
      </c>
      <c r="U23" s="306">
        <v>1.73</v>
      </c>
      <c r="V23" s="306">
        <v>1.74</v>
      </c>
      <c r="W23" s="306">
        <v>1.74</v>
      </c>
      <c r="X23" s="306">
        <v>1.75</v>
      </c>
      <c r="Y23" s="306">
        <v>1.75</v>
      </c>
      <c r="Z23" s="306">
        <v>1.76</v>
      </c>
      <c r="AA23" s="306">
        <v>1.77</v>
      </c>
      <c r="AB23" s="306">
        <v>1.78</v>
      </c>
      <c r="AC23" s="306">
        <v>1.79</v>
      </c>
      <c r="AD23" s="306">
        <v>1.8</v>
      </c>
      <c r="AE23" s="306">
        <v>1.8</v>
      </c>
      <c r="AF23" s="306">
        <v>1.81</v>
      </c>
      <c r="AG23" s="306">
        <v>1.82</v>
      </c>
      <c r="AH23" s="306">
        <v>1.83</v>
      </c>
      <c r="AI23" s="306">
        <v>1.84</v>
      </c>
      <c r="AJ23" s="306">
        <v>1.85</v>
      </c>
      <c r="AK23" s="306">
        <v>1.86</v>
      </c>
      <c r="AL23" s="306">
        <v>1.87</v>
      </c>
      <c r="AM23" s="306">
        <v>1.88</v>
      </c>
      <c r="AN23" s="306">
        <v>1.88</v>
      </c>
      <c r="AO23" s="306">
        <v>1.89</v>
      </c>
      <c r="AP23" s="306">
        <v>1.9</v>
      </c>
      <c r="AQ23" s="306">
        <v>1.91</v>
      </c>
      <c r="AR23" s="306">
        <v>1.91</v>
      </c>
      <c r="AS23" s="306">
        <v>1.92</v>
      </c>
      <c r="AT23" s="306">
        <v>1.93</v>
      </c>
      <c r="AU23" s="306">
        <v>1.93</v>
      </c>
      <c r="AV23" s="306">
        <v>1.94</v>
      </c>
      <c r="AW23" s="306">
        <v>1.94</v>
      </c>
      <c r="AX23" s="306">
        <v>1.95</v>
      </c>
      <c r="AY23" s="306">
        <v>1.95</v>
      </c>
      <c r="AZ23" s="306">
        <v>1.96</v>
      </c>
      <c r="BA23" s="306">
        <v>1.96</v>
      </c>
      <c r="BB23" s="306">
        <v>1.97</v>
      </c>
      <c r="BC23" s="306">
        <v>1.97</v>
      </c>
      <c r="BD23" s="306">
        <v>1.98</v>
      </c>
      <c r="BE23" s="306">
        <v>1.98</v>
      </c>
      <c r="BF23" s="306">
        <v>1.98</v>
      </c>
      <c r="BG23" s="306">
        <v>1.99</v>
      </c>
      <c r="BH23" s="306">
        <v>1.99</v>
      </c>
      <c r="BI23" s="306">
        <v>1.99</v>
      </c>
      <c r="BJ23" s="306">
        <v>1.99</v>
      </c>
      <c r="BK23" s="306">
        <v>1.99</v>
      </c>
      <c r="BL23" s="306">
        <v>2</v>
      </c>
      <c r="BM23" s="306">
        <v>2</v>
      </c>
      <c r="BN23" s="306">
        <v>2</v>
      </c>
      <c r="BO23" s="306">
        <v>2</v>
      </c>
      <c r="BP23" s="306">
        <v>2</v>
      </c>
      <c r="BQ23" s="306">
        <v>2</v>
      </c>
      <c r="BR23" s="306">
        <v>2</v>
      </c>
      <c r="BS23" s="306">
        <v>2</v>
      </c>
      <c r="BT23" s="306">
        <v>2.0099999999999998</v>
      </c>
      <c r="BU23" s="306">
        <v>2.0099999999999998</v>
      </c>
      <c r="BV23" s="306">
        <v>2.0099999999999998</v>
      </c>
      <c r="BW23" s="306">
        <v>2.0099999999999998</v>
      </c>
      <c r="BX23" s="306">
        <v>2.0099999999999998</v>
      </c>
      <c r="BY23" s="306">
        <v>2.0099999999999998</v>
      </c>
      <c r="BZ23" s="306">
        <v>2.0099999999999998</v>
      </c>
      <c r="CA23" s="306">
        <v>2.0099999999999998</v>
      </c>
      <c r="CB23" s="306">
        <v>2.0099999999999998</v>
      </c>
      <c r="CC23" s="306">
        <v>2.0099999999999998</v>
      </c>
      <c r="CD23" s="306">
        <v>2.0099999999999998</v>
      </c>
      <c r="CE23" s="306">
        <v>2.0099999999999998</v>
      </c>
      <c r="CF23" s="306">
        <v>2.0099999999999998</v>
      </c>
      <c r="CG23" s="306">
        <v>2.0099999999999998</v>
      </c>
      <c r="CH23" s="306">
        <v>2.0099999999999998</v>
      </c>
      <c r="CI23" s="306">
        <v>2.0099999999999998</v>
      </c>
      <c r="CJ23" s="306">
        <v>2.0099999999999998</v>
      </c>
      <c r="CK23" s="306">
        <v>0</v>
      </c>
      <c r="CL23" s="306">
        <v>0</v>
      </c>
      <c r="CM23" s="306">
        <v>0</v>
      </c>
      <c r="CN23" s="306">
        <v>0</v>
      </c>
      <c r="CO23" s="306">
        <v>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</row>
    <row r="24" spans="3:102" x14ac:dyDescent="0.25">
      <c r="C24" s="305">
        <v>16</v>
      </c>
      <c r="D24" s="306">
        <v>1.57</v>
      </c>
      <c r="E24" s="306">
        <v>1.63</v>
      </c>
      <c r="F24" s="306">
        <v>1.68</v>
      </c>
      <c r="G24" s="306">
        <v>1.72</v>
      </c>
      <c r="H24" s="306">
        <v>1.75</v>
      </c>
      <c r="I24" s="306">
        <v>1.77</v>
      </c>
      <c r="J24" s="306">
        <v>1.78</v>
      </c>
      <c r="K24" s="306">
        <v>1.78</v>
      </c>
      <c r="L24" s="306">
        <v>1.78</v>
      </c>
      <c r="M24" s="306">
        <v>1.78</v>
      </c>
      <c r="N24" s="306">
        <v>1.77</v>
      </c>
      <c r="O24" s="306">
        <v>1.77</v>
      </c>
      <c r="P24" s="306">
        <v>1.76</v>
      </c>
      <c r="Q24" s="306">
        <v>1.76</v>
      </c>
      <c r="R24" s="306">
        <v>1.76</v>
      </c>
      <c r="S24" s="306">
        <v>1.76</v>
      </c>
      <c r="T24" s="306">
        <v>1.76</v>
      </c>
      <c r="U24" s="306">
        <v>1.76</v>
      </c>
      <c r="V24" s="306">
        <v>1.77</v>
      </c>
      <c r="W24" s="306">
        <v>1.77</v>
      </c>
      <c r="X24" s="306">
        <v>1.78</v>
      </c>
      <c r="Y24" s="306">
        <v>1.79</v>
      </c>
      <c r="Z24" s="306">
        <v>1.8</v>
      </c>
      <c r="AA24" s="306">
        <v>1.81</v>
      </c>
      <c r="AB24" s="306">
        <v>1.82</v>
      </c>
      <c r="AC24" s="306">
        <v>1.83</v>
      </c>
      <c r="AD24" s="306">
        <v>1.84</v>
      </c>
      <c r="AE24" s="306">
        <v>1.85</v>
      </c>
      <c r="AF24" s="306">
        <v>1.86</v>
      </c>
      <c r="AG24" s="306">
        <v>1.87</v>
      </c>
      <c r="AH24" s="306">
        <v>1.88</v>
      </c>
      <c r="AI24" s="306">
        <v>1.89</v>
      </c>
      <c r="AJ24" s="306">
        <v>1.9</v>
      </c>
      <c r="AK24" s="306">
        <v>1.91</v>
      </c>
      <c r="AL24" s="306">
        <v>1.92</v>
      </c>
      <c r="AM24" s="306">
        <v>1.93</v>
      </c>
      <c r="AN24" s="306">
        <v>1.94</v>
      </c>
      <c r="AO24" s="306">
        <v>1.95</v>
      </c>
      <c r="AP24" s="306">
        <v>1.96</v>
      </c>
      <c r="AQ24" s="306">
        <v>1.96</v>
      </c>
      <c r="AR24" s="306">
        <v>1.97</v>
      </c>
      <c r="AS24" s="306">
        <v>1.98</v>
      </c>
      <c r="AT24" s="306">
        <v>1.99</v>
      </c>
      <c r="AU24" s="306">
        <v>1.99</v>
      </c>
      <c r="AV24" s="306">
        <v>2</v>
      </c>
      <c r="AW24" s="306">
        <v>2.0099999999999998</v>
      </c>
      <c r="AX24" s="306">
        <v>2.0099999999999998</v>
      </c>
      <c r="AY24" s="306">
        <v>2.02</v>
      </c>
      <c r="AZ24" s="306">
        <v>2.02</v>
      </c>
      <c r="BA24" s="306">
        <v>2.0299999999999998</v>
      </c>
      <c r="BB24" s="306">
        <v>2.0299999999999998</v>
      </c>
      <c r="BC24" s="306">
        <v>2.0299999999999998</v>
      </c>
      <c r="BD24" s="306">
        <v>2.04</v>
      </c>
      <c r="BE24" s="306">
        <v>2.04</v>
      </c>
      <c r="BF24" s="306">
        <v>2.0499999999999998</v>
      </c>
      <c r="BG24" s="306">
        <v>2.0499999999999998</v>
      </c>
      <c r="BH24" s="306">
        <v>2.0499999999999998</v>
      </c>
      <c r="BI24" s="306">
        <v>2.0499999999999998</v>
      </c>
      <c r="BJ24" s="306">
        <v>2.06</v>
      </c>
      <c r="BK24" s="306">
        <v>2.06</v>
      </c>
      <c r="BL24" s="306">
        <v>2.06</v>
      </c>
      <c r="BM24" s="306">
        <v>2.06</v>
      </c>
      <c r="BN24" s="306">
        <v>2.06</v>
      </c>
      <c r="BO24" s="306">
        <v>2.0699999999999998</v>
      </c>
      <c r="BP24" s="306">
        <v>2.0699999999999998</v>
      </c>
      <c r="BQ24" s="306">
        <v>2.0699999999999998</v>
      </c>
      <c r="BR24" s="306">
        <v>2.0699999999999998</v>
      </c>
      <c r="BS24" s="306">
        <v>2.0699999999999998</v>
      </c>
      <c r="BT24" s="306">
        <v>2.0699999999999998</v>
      </c>
      <c r="BU24" s="306">
        <v>2.0699999999999998</v>
      </c>
      <c r="BV24" s="306">
        <v>2.0699999999999998</v>
      </c>
      <c r="BW24" s="306">
        <v>2.0699999999999998</v>
      </c>
      <c r="BX24" s="306">
        <v>2.0699999999999998</v>
      </c>
      <c r="BY24" s="306">
        <v>2.0699999999999998</v>
      </c>
      <c r="BZ24" s="306">
        <v>2.0699999999999998</v>
      </c>
      <c r="CA24" s="306">
        <v>2.0699999999999998</v>
      </c>
      <c r="CB24" s="306">
        <v>2.0699999999999998</v>
      </c>
      <c r="CC24" s="306">
        <v>2.0699999999999998</v>
      </c>
      <c r="CD24" s="306">
        <v>2.0699999999999998</v>
      </c>
      <c r="CE24" s="306">
        <v>2.0699999999999998</v>
      </c>
      <c r="CF24" s="306">
        <v>2.0699999999999998</v>
      </c>
      <c r="CG24" s="306">
        <v>2.0699999999999998</v>
      </c>
      <c r="CH24" s="306">
        <v>2.0699999999999998</v>
      </c>
      <c r="CI24" s="306">
        <v>2.0699999999999998</v>
      </c>
      <c r="CJ24" s="306">
        <v>0</v>
      </c>
      <c r="CK24" s="306">
        <v>0</v>
      </c>
      <c r="CL24" s="306">
        <v>0</v>
      </c>
      <c r="CM24" s="306">
        <v>0</v>
      </c>
      <c r="CN24" s="306">
        <v>0</v>
      </c>
      <c r="CO24" s="306">
        <v>0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</row>
    <row r="25" spans="3:102" x14ac:dyDescent="0.25">
      <c r="C25" s="305">
        <v>17</v>
      </c>
      <c r="D25" s="306">
        <v>1.69</v>
      </c>
      <c r="E25" s="306">
        <v>1.74</v>
      </c>
      <c r="F25" s="306">
        <v>1.78</v>
      </c>
      <c r="G25" s="306">
        <v>1.8</v>
      </c>
      <c r="H25" s="306">
        <v>1.81</v>
      </c>
      <c r="I25" s="306">
        <v>1.82</v>
      </c>
      <c r="J25" s="306">
        <v>1.82</v>
      </c>
      <c r="K25" s="306">
        <v>1.81</v>
      </c>
      <c r="L25" s="306">
        <v>1.81</v>
      </c>
      <c r="M25" s="306">
        <v>1.8</v>
      </c>
      <c r="N25" s="306">
        <v>1.79</v>
      </c>
      <c r="O25" s="306">
        <v>1.78</v>
      </c>
      <c r="P25" s="306">
        <v>1.78</v>
      </c>
      <c r="Q25" s="306">
        <v>1.77</v>
      </c>
      <c r="R25" s="306">
        <v>1.77</v>
      </c>
      <c r="S25" s="306">
        <v>1.78</v>
      </c>
      <c r="T25" s="306">
        <v>1.78</v>
      </c>
      <c r="U25" s="306">
        <v>1.78</v>
      </c>
      <c r="V25" s="306">
        <v>1.79</v>
      </c>
      <c r="W25" s="306">
        <v>1.8</v>
      </c>
      <c r="X25" s="306">
        <v>1.81</v>
      </c>
      <c r="Y25" s="306">
        <v>1.82</v>
      </c>
      <c r="Z25" s="306">
        <v>1.83</v>
      </c>
      <c r="AA25" s="306">
        <v>1.84</v>
      </c>
      <c r="AB25" s="306">
        <v>1.85</v>
      </c>
      <c r="AC25" s="306">
        <v>1.87</v>
      </c>
      <c r="AD25" s="306">
        <v>1.88</v>
      </c>
      <c r="AE25" s="306">
        <v>1.89</v>
      </c>
      <c r="AF25" s="306">
        <v>1.9</v>
      </c>
      <c r="AG25" s="306">
        <v>1.91</v>
      </c>
      <c r="AH25" s="306">
        <v>1.93</v>
      </c>
      <c r="AI25" s="306">
        <v>1.94</v>
      </c>
      <c r="AJ25" s="306">
        <v>1.95</v>
      </c>
      <c r="AK25" s="306">
        <v>1.96</v>
      </c>
      <c r="AL25" s="306">
        <v>1.97</v>
      </c>
      <c r="AM25" s="306">
        <v>1.98</v>
      </c>
      <c r="AN25" s="306">
        <v>1.99</v>
      </c>
      <c r="AO25" s="306">
        <v>2</v>
      </c>
      <c r="AP25" s="306">
        <v>2.0099999999999998</v>
      </c>
      <c r="AQ25" s="306">
        <v>2.02</v>
      </c>
      <c r="AR25" s="306">
        <v>2.02</v>
      </c>
      <c r="AS25" s="306">
        <v>2.0299999999999998</v>
      </c>
      <c r="AT25" s="306">
        <v>2.04</v>
      </c>
      <c r="AU25" s="306">
        <v>2.0499999999999998</v>
      </c>
      <c r="AV25" s="306">
        <v>2.0499999999999998</v>
      </c>
      <c r="AW25" s="306">
        <v>2.06</v>
      </c>
      <c r="AX25" s="306">
        <v>2.0699999999999998</v>
      </c>
      <c r="AY25" s="306">
        <v>2.0699999999999998</v>
      </c>
      <c r="AZ25" s="306">
        <v>2.08</v>
      </c>
      <c r="BA25" s="306">
        <v>2.08</v>
      </c>
      <c r="BB25" s="306">
        <v>2.09</v>
      </c>
      <c r="BC25" s="306">
        <v>2.09</v>
      </c>
      <c r="BD25" s="306">
        <v>2.1</v>
      </c>
      <c r="BE25" s="306">
        <v>2.1</v>
      </c>
      <c r="BF25" s="306">
        <v>2.1</v>
      </c>
      <c r="BG25" s="306">
        <v>2.11</v>
      </c>
      <c r="BH25" s="306">
        <v>2.11</v>
      </c>
      <c r="BI25" s="306">
        <v>2.11</v>
      </c>
      <c r="BJ25" s="306">
        <v>2.12</v>
      </c>
      <c r="BK25" s="306">
        <v>2.12</v>
      </c>
      <c r="BL25" s="306">
        <v>2.12</v>
      </c>
      <c r="BM25" s="306">
        <v>2.12</v>
      </c>
      <c r="BN25" s="306">
        <v>2.12</v>
      </c>
      <c r="BO25" s="306">
        <v>2.12</v>
      </c>
      <c r="BP25" s="306">
        <v>2.13</v>
      </c>
      <c r="BQ25" s="306">
        <v>2.13</v>
      </c>
      <c r="BR25" s="306">
        <v>2.13</v>
      </c>
      <c r="BS25" s="306">
        <v>2.13</v>
      </c>
      <c r="BT25" s="306">
        <v>2.13</v>
      </c>
      <c r="BU25" s="306">
        <v>2.13</v>
      </c>
      <c r="BV25" s="306">
        <v>2.13</v>
      </c>
      <c r="BW25" s="306">
        <v>2.13</v>
      </c>
      <c r="BX25" s="306">
        <v>2.13</v>
      </c>
      <c r="BY25" s="306">
        <v>2.13</v>
      </c>
      <c r="BZ25" s="306">
        <v>2.13</v>
      </c>
      <c r="CA25" s="306">
        <v>2.13</v>
      </c>
      <c r="CB25" s="306">
        <v>2.13</v>
      </c>
      <c r="CC25" s="306">
        <v>2.13</v>
      </c>
      <c r="CD25" s="306">
        <v>2.13</v>
      </c>
      <c r="CE25" s="306">
        <v>2.13</v>
      </c>
      <c r="CF25" s="306">
        <v>2.13</v>
      </c>
      <c r="CG25" s="306">
        <v>2.13</v>
      </c>
      <c r="CH25" s="306">
        <v>2.13</v>
      </c>
      <c r="CI25" s="306">
        <v>0</v>
      </c>
      <c r="CJ25" s="306">
        <v>0</v>
      </c>
      <c r="CK25" s="306">
        <v>0</v>
      </c>
      <c r="CL25" s="306">
        <v>0</v>
      </c>
      <c r="CM25" s="306">
        <v>0</v>
      </c>
      <c r="CN25" s="306">
        <v>0</v>
      </c>
      <c r="CO25" s="306">
        <v>0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</row>
    <row r="26" spans="3:102" x14ac:dyDescent="0.25">
      <c r="C26" s="305">
        <v>18</v>
      </c>
      <c r="D26" s="306">
        <v>1.79</v>
      </c>
      <c r="E26" s="306">
        <v>1.82</v>
      </c>
      <c r="F26" s="306">
        <v>1.84</v>
      </c>
      <c r="G26" s="306">
        <v>1.85</v>
      </c>
      <c r="H26" s="306">
        <v>1.85</v>
      </c>
      <c r="I26" s="306">
        <v>1.84</v>
      </c>
      <c r="J26" s="306">
        <v>1.83</v>
      </c>
      <c r="K26" s="306">
        <v>1.82</v>
      </c>
      <c r="L26" s="306">
        <v>1.81</v>
      </c>
      <c r="M26" s="306">
        <v>1.8</v>
      </c>
      <c r="N26" s="306">
        <v>1.79</v>
      </c>
      <c r="O26" s="306">
        <v>1.78</v>
      </c>
      <c r="P26" s="306">
        <v>1.78</v>
      </c>
      <c r="Q26" s="306">
        <v>1.78</v>
      </c>
      <c r="R26" s="306">
        <v>1.78</v>
      </c>
      <c r="S26" s="306">
        <v>1.79</v>
      </c>
      <c r="T26" s="306">
        <v>1.79</v>
      </c>
      <c r="U26" s="306">
        <v>1.8</v>
      </c>
      <c r="V26" s="306">
        <v>1.81</v>
      </c>
      <c r="W26" s="306">
        <v>1.82</v>
      </c>
      <c r="X26" s="306">
        <v>1.83</v>
      </c>
      <c r="Y26" s="306">
        <v>1.84</v>
      </c>
      <c r="Z26" s="306">
        <v>1.86</v>
      </c>
      <c r="AA26" s="306">
        <v>1.87</v>
      </c>
      <c r="AB26" s="306">
        <v>1.88</v>
      </c>
      <c r="AC26" s="306">
        <v>1.9</v>
      </c>
      <c r="AD26" s="306">
        <v>1.91</v>
      </c>
      <c r="AE26" s="306">
        <v>1.93</v>
      </c>
      <c r="AF26" s="306">
        <v>1.94</v>
      </c>
      <c r="AG26" s="306">
        <v>1.95</v>
      </c>
      <c r="AH26" s="306">
        <v>1.97</v>
      </c>
      <c r="AI26" s="306">
        <v>1.98</v>
      </c>
      <c r="AJ26" s="306">
        <v>1.99</v>
      </c>
      <c r="AK26" s="306">
        <v>2</v>
      </c>
      <c r="AL26" s="306">
        <v>2.0099999999999998</v>
      </c>
      <c r="AM26" s="306">
        <v>2.0299999999999998</v>
      </c>
      <c r="AN26" s="306">
        <v>2.04</v>
      </c>
      <c r="AO26" s="306">
        <v>2.0499999999999998</v>
      </c>
      <c r="AP26" s="306">
        <v>2.06</v>
      </c>
      <c r="AQ26" s="306">
        <v>2.0699999999999998</v>
      </c>
      <c r="AR26" s="306">
        <v>2.08</v>
      </c>
      <c r="AS26" s="306">
        <v>2.08</v>
      </c>
      <c r="AT26" s="306">
        <v>2.09</v>
      </c>
      <c r="AU26" s="306">
        <v>2.1</v>
      </c>
      <c r="AV26" s="306">
        <v>2.11</v>
      </c>
      <c r="AW26" s="306">
        <v>2.11</v>
      </c>
      <c r="AX26" s="306">
        <v>2.12</v>
      </c>
      <c r="AY26" s="306">
        <v>2.13</v>
      </c>
      <c r="AZ26" s="306">
        <v>2.13</v>
      </c>
      <c r="BA26" s="306">
        <v>2.14</v>
      </c>
      <c r="BB26" s="306">
        <v>2.14</v>
      </c>
      <c r="BC26" s="306">
        <v>2.15</v>
      </c>
      <c r="BD26" s="306">
        <v>2.15</v>
      </c>
      <c r="BE26" s="306">
        <v>2.16</v>
      </c>
      <c r="BF26" s="306">
        <v>2.16</v>
      </c>
      <c r="BG26" s="306">
        <v>2.16</v>
      </c>
      <c r="BH26" s="306">
        <v>2.17</v>
      </c>
      <c r="BI26" s="306">
        <v>2.17</v>
      </c>
      <c r="BJ26" s="306">
        <v>2.17</v>
      </c>
      <c r="BK26" s="306">
        <v>2.1800000000000002</v>
      </c>
      <c r="BL26" s="306">
        <v>2.1800000000000002</v>
      </c>
      <c r="BM26" s="306">
        <v>2.1800000000000002</v>
      </c>
      <c r="BN26" s="306">
        <v>2.1800000000000002</v>
      </c>
      <c r="BO26" s="306">
        <v>2.1800000000000002</v>
      </c>
      <c r="BP26" s="306">
        <v>2.1800000000000002</v>
      </c>
      <c r="BQ26" s="306">
        <v>2.1800000000000002</v>
      </c>
      <c r="BR26" s="306">
        <v>2.1800000000000002</v>
      </c>
      <c r="BS26" s="306">
        <v>2.1800000000000002</v>
      </c>
      <c r="BT26" s="306">
        <v>2.19</v>
      </c>
      <c r="BU26" s="306">
        <v>2.19</v>
      </c>
      <c r="BV26" s="306">
        <v>2.19</v>
      </c>
      <c r="BW26" s="306">
        <v>2.19</v>
      </c>
      <c r="BX26" s="306">
        <v>2.19</v>
      </c>
      <c r="BY26" s="306">
        <v>2.19</v>
      </c>
      <c r="BZ26" s="306">
        <v>2.19</v>
      </c>
      <c r="CA26" s="306">
        <v>2.19</v>
      </c>
      <c r="CB26" s="306">
        <v>2.19</v>
      </c>
      <c r="CC26" s="306">
        <v>2.19</v>
      </c>
      <c r="CD26" s="306">
        <v>2.19</v>
      </c>
      <c r="CE26" s="306">
        <v>2.19</v>
      </c>
      <c r="CF26" s="306">
        <v>2.19</v>
      </c>
      <c r="CG26" s="306">
        <v>2.19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M26" s="306">
        <v>0</v>
      </c>
      <c r="CN26" s="306">
        <v>0</v>
      </c>
      <c r="CO26" s="306">
        <v>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</row>
    <row r="27" spans="3:102" x14ac:dyDescent="0.25">
      <c r="C27" s="305">
        <v>19</v>
      </c>
      <c r="D27" s="306">
        <v>1.85</v>
      </c>
      <c r="E27" s="306">
        <v>1.86</v>
      </c>
      <c r="F27" s="306">
        <v>1.87</v>
      </c>
      <c r="G27" s="306">
        <v>1.86</v>
      </c>
      <c r="H27" s="306">
        <v>1.85</v>
      </c>
      <c r="I27" s="306">
        <v>1.84</v>
      </c>
      <c r="J27" s="306">
        <v>1.83</v>
      </c>
      <c r="K27" s="306">
        <v>1.81</v>
      </c>
      <c r="L27" s="306">
        <v>1.8</v>
      </c>
      <c r="M27" s="306">
        <v>1.79</v>
      </c>
      <c r="N27" s="306">
        <v>1.78</v>
      </c>
      <c r="O27" s="306">
        <v>1.78</v>
      </c>
      <c r="P27" s="306">
        <v>1.78</v>
      </c>
      <c r="Q27" s="306">
        <v>1.78</v>
      </c>
      <c r="R27" s="306">
        <v>1.79</v>
      </c>
      <c r="S27" s="306">
        <v>1.79</v>
      </c>
      <c r="T27" s="306">
        <v>1.8</v>
      </c>
      <c r="U27" s="306">
        <v>1.81</v>
      </c>
      <c r="V27" s="306">
        <v>1.82</v>
      </c>
      <c r="W27" s="306">
        <v>1.84</v>
      </c>
      <c r="X27" s="306">
        <v>1.85</v>
      </c>
      <c r="Y27" s="306">
        <v>1.87</v>
      </c>
      <c r="Z27" s="306">
        <v>1.88</v>
      </c>
      <c r="AA27" s="306">
        <v>1.9</v>
      </c>
      <c r="AB27" s="306">
        <v>1.92</v>
      </c>
      <c r="AC27" s="306">
        <v>1.93</v>
      </c>
      <c r="AD27" s="306">
        <v>1.95</v>
      </c>
      <c r="AE27" s="306">
        <v>1.96</v>
      </c>
      <c r="AF27" s="306">
        <v>1.98</v>
      </c>
      <c r="AG27" s="306">
        <v>1.99</v>
      </c>
      <c r="AH27" s="306">
        <v>2.0099999999999998</v>
      </c>
      <c r="AI27" s="306">
        <v>2.02</v>
      </c>
      <c r="AJ27" s="306">
        <v>2.0299999999999998</v>
      </c>
      <c r="AK27" s="306">
        <v>2.0499999999999998</v>
      </c>
      <c r="AL27" s="306">
        <v>2.06</v>
      </c>
      <c r="AM27" s="306">
        <v>2.0699999999999998</v>
      </c>
      <c r="AN27" s="306">
        <v>2.08</v>
      </c>
      <c r="AO27" s="306">
        <v>2.1</v>
      </c>
      <c r="AP27" s="306">
        <v>2.11</v>
      </c>
      <c r="AQ27" s="306">
        <v>2.12</v>
      </c>
      <c r="AR27" s="306">
        <v>2.13</v>
      </c>
      <c r="AS27" s="306">
        <v>2.14</v>
      </c>
      <c r="AT27" s="306">
        <v>2.15</v>
      </c>
      <c r="AU27" s="306">
        <v>2.15</v>
      </c>
      <c r="AV27" s="306">
        <v>2.16</v>
      </c>
      <c r="AW27" s="306">
        <v>2.17</v>
      </c>
      <c r="AX27" s="306">
        <v>2.1800000000000002</v>
      </c>
      <c r="AY27" s="306">
        <v>2.1800000000000002</v>
      </c>
      <c r="AZ27" s="306">
        <v>2.19</v>
      </c>
      <c r="BA27" s="306">
        <v>2.2000000000000002</v>
      </c>
      <c r="BB27" s="306">
        <v>2.2000000000000002</v>
      </c>
      <c r="BC27" s="306">
        <v>2.21</v>
      </c>
      <c r="BD27" s="306">
        <v>2.21</v>
      </c>
      <c r="BE27" s="306">
        <v>2.2200000000000002</v>
      </c>
      <c r="BF27" s="306">
        <v>2.2200000000000002</v>
      </c>
      <c r="BG27" s="306">
        <v>2.2200000000000002</v>
      </c>
      <c r="BH27" s="306">
        <v>2.23</v>
      </c>
      <c r="BI27" s="306">
        <v>2.23</v>
      </c>
      <c r="BJ27" s="306">
        <v>2.23</v>
      </c>
      <c r="BK27" s="306">
        <v>2.23</v>
      </c>
      <c r="BL27" s="306">
        <v>2.2400000000000002</v>
      </c>
      <c r="BM27" s="306">
        <v>2.2400000000000002</v>
      </c>
      <c r="BN27" s="306">
        <v>2.2400000000000002</v>
      </c>
      <c r="BO27" s="306">
        <v>2.2400000000000002</v>
      </c>
      <c r="BP27" s="306">
        <v>2.2400000000000002</v>
      </c>
      <c r="BQ27" s="306">
        <v>2.2400000000000002</v>
      </c>
      <c r="BR27" s="306">
        <v>2.2400000000000002</v>
      </c>
      <c r="BS27" s="306">
        <v>2.2400000000000002</v>
      </c>
      <c r="BT27" s="306">
        <v>2.2400000000000002</v>
      </c>
      <c r="BU27" s="306">
        <v>2.2400000000000002</v>
      </c>
      <c r="BV27" s="306">
        <v>2.2400000000000002</v>
      </c>
      <c r="BW27" s="306">
        <v>2.2400000000000002</v>
      </c>
      <c r="BX27" s="306">
        <v>2.2400000000000002</v>
      </c>
      <c r="BY27" s="306">
        <v>2.2400000000000002</v>
      </c>
      <c r="BZ27" s="306">
        <v>2.2400000000000002</v>
      </c>
      <c r="CA27" s="306">
        <v>2.2400000000000002</v>
      </c>
      <c r="CB27" s="306">
        <v>2.2400000000000002</v>
      </c>
      <c r="CC27" s="306">
        <v>2.2400000000000002</v>
      </c>
      <c r="CD27" s="306">
        <v>2.2400000000000002</v>
      </c>
      <c r="CE27" s="306">
        <v>2.2400000000000002</v>
      </c>
      <c r="CF27" s="306">
        <v>2.2400000000000002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M27" s="306">
        <v>0</v>
      </c>
      <c r="CN27" s="306">
        <v>0</v>
      </c>
      <c r="CO27" s="306">
        <v>0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</row>
    <row r="28" spans="3:102" x14ac:dyDescent="0.25">
      <c r="C28" s="305">
        <v>20</v>
      </c>
      <c r="D28" s="306">
        <v>1.87</v>
      </c>
      <c r="E28" s="306">
        <v>1.87</v>
      </c>
      <c r="F28" s="306">
        <v>1.87</v>
      </c>
      <c r="G28" s="306">
        <v>1.85</v>
      </c>
      <c r="H28" s="306">
        <v>1.84</v>
      </c>
      <c r="I28" s="306">
        <v>1.82</v>
      </c>
      <c r="J28" s="306">
        <v>1.8</v>
      </c>
      <c r="K28" s="306">
        <v>1.79</v>
      </c>
      <c r="L28" s="306">
        <v>1.78</v>
      </c>
      <c r="M28" s="306">
        <v>1.77</v>
      </c>
      <c r="N28" s="306">
        <v>1.77</v>
      </c>
      <c r="O28" s="306">
        <v>1.77</v>
      </c>
      <c r="P28" s="306">
        <v>1.77</v>
      </c>
      <c r="Q28" s="306">
        <v>1.78</v>
      </c>
      <c r="R28" s="306">
        <v>1.79</v>
      </c>
      <c r="S28" s="306">
        <v>1.8</v>
      </c>
      <c r="T28" s="306">
        <v>1.81</v>
      </c>
      <c r="U28" s="306">
        <v>1.83</v>
      </c>
      <c r="V28" s="306">
        <v>1.84</v>
      </c>
      <c r="W28" s="306">
        <v>1.86</v>
      </c>
      <c r="X28" s="306">
        <v>1.88</v>
      </c>
      <c r="Y28" s="306">
        <v>1.89</v>
      </c>
      <c r="Z28" s="306">
        <v>1.91</v>
      </c>
      <c r="AA28" s="306">
        <v>1.93</v>
      </c>
      <c r="AB28" s="306">
        <v>1.95</v>
      </c>
      <c r="AC28" s="306">
        <v>1.97</v>
      </c>
      <c r="AD28" s="306">
        <v>1.99</v>
      </c>
      <c r="AE28" s="306">
        <v>2</v>
      </c>
      <c r="AF28" s="306">
        <v>2.02</v>
      </c>
      <c r="AG28" s="306">
        <v>2.04</v>
      </c>
      <c r="AH28" s="306">
        <v>2.0499999999999998</v>
      </c>
      <c r="AI28" s="306">
        <v>2.0699999999999998</v>
      </c>
      <c r="AJ28" s="306">
        <v>2.08</v>
      </c>
      <c r="AK28" s="306">
        <v>2.1</v>
      </c>
      <c r="AL28" s="306">
        <v>2.11</v>
      </c>
      <c r="AM28" s="306">
        <v>2.12</v>
      </c>
      <c r="AN28" s="306">
        <v>2.14</v>
      </c>
      <c r="AO28" s="306">
        <v>2.15</v>
      </c>
      <c r="AP28" s="306">
        <v>2.16</v>
      </c>
      <c r="AQ28" s="306">
        <v>2.17</v>
      </c>
      <c r="AR28" s="306">
        <v>2.1800000000000002</v>
      </c>
      <c r="AS28" s="306">
        <v>2.19</v>
      </c>
      <c r="AT28" s="306">
        <v>2.2000000000000002</v>
      </c>
      <c r="AU28" s="306">
        <v>2.21</v>
      </c>
      <c r="AV28" s="306">
        <v>2.2200000000000002</v>
      </c>
      <c r="AW28" s="306">
        <v>2.23</v>
      </c>
      <c r="AX28" s="306">
        <v>2.2400000000000002</v>
      </c>
      <c r="AY28" s="306">
        <v>2.25</v>
      </c>
      <c r="AZ28" s="306">
        <v>2.25</v>
      </c>
      <c r="BA28" s="306">
        <v>2.2599999999999998</v>
      </c>
      <c r="BB28" s="306">
        <v>2.2599999999999998</v>
      </c>
      <c r="BC28" s="306">
        <v>2.27</v>
      </c>
      <c r="BD28" s="306">
        <v>2.27</v>
      </c>
      <c r="BE28" s="306">
        <v>2.2799999999999998</v>
      </c>
      <c r="BF28" s="306">
        <v>2.2799999999999998</v>
      </c>
      <c r="BG28" s="306">
        <v>2.29</v>
      </c>
      <c r="BH28" s="306">
        <v>2.29</v>
      </c>
      <c r="BI28" s="306">
        <v>2.29</v>
      </c>
      <c r="BJ28" s="306">
        <v>2.2999999999999998</v>
      </c>
      <c r="BK28" s="306">
        <v>2.2999999999999998</v>
      </c>
      <c r="BL28" s="306">
        <v>2.2999999999999998</v>
      </c>
      <c r="BM28" s="306">
        <v>2.2999999999999998</v>
      </c>
      <c r="BN28" s="306">
        <v>2.2999999999999998</v>
      </c>
      <c r="BO28" s="306">
        <v>2.2999999999999998</v>
      </c>
      <c r="BP28" s="306">
        <v>2.2999999999999998</v>
      </c>
      <c r="BQ28" s="306">
        <v>2.31</v>
      </c>
      <c r="BR28" s="306">
        <v>2.31</v>
      </c>
      <c r="BS28" s="306">
        <v>2.31</v>
      </c>
      <c r="BT28" s="306">
        <v>2.31</v>
      </c>
      <c r="BU28" s="306">
        <v>2.31</v>
      </c>
      <c r="BV28" s="306">
        <v>2.31</v>
      </c>
      <c r="BW28" s="306">
        <v>2.31</v>
      </c>
      <c r="BX28" s="306">
        <v>2.31</v>
      </c>
      <c r="BY28" s="306">
        <v>2.31</v>
      </c>
      <c r="BZ28" s="306">
        <v>2.31</v>
      </c>
      <c r="CA28" s="306">
        <v>2.31</v>
      </c>
      <c r="CB28" s="306">
        <v>2.31</v>
      </c>
      <c r="CC28" s="306">
        <v>2.31</v>
      </c>
      <c r="CD28" s="306">
        <v>2.31</v>
      </c>
      <c r="CE28" s="306">
        <v>2.31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M28" s="306">
        <v>0</v>
      </c>
      <c r="CN28" s="306">
        <v>0</v>
      </c>
      <c r="CO28" s="306">
        <v>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</row>
    <row r="29" spans="3:102" x14ac:dyDescent="0.25">
      <c r="C29" s="305">
        <v>21</v>
      </c>
      <c r="D29" s="306">
        <v>1.87</v>
      </c>
      <c r="E29" s="306">
        <v>1.86</v>
      </c>
      <c r="F29" s="306">
        <v>1.85</v>
      </c>
      <c r="G29" s="306">
        <v>1.83</v>
      </c>
      <c r="H29" s="306">
        <v>1.81</v>
      </c>
      <c r="I29" s="306">
        <v>1.79</v>
      </c>
      <c r="J29" s="306">
        <v>1.78</v>
      </c>
      <c r="K29" s="306">
        <v>1.77</v>
      </c>
      <c r="L29" s="306">
        <v>1.76</v>
      </c>
      <c r="M29" s="306">
        <v>1.76</v>
      </c>
      <c r="N29" s="306">
        <v>1.76</v>
      </c>
      <c r="O29" s="306">
        <v>1.76</v>
      </c>
      <c r="P29" s="306">
        <v>1.77</v>
      </c>
      <c r="Q29" s="306">
        <v>1.78</v>
      </c>
      <c r="R29" s="306">
        <v>1.8</v>
      </c>
      <c r="S29" s="306">
        <v>1.81</v>
      </c>
      <c r="T29" s="306">
        <v>1.83</v>
      </c>
      <c r="U29" s="306">
        <v>1.85</v>
      </c>
      <c r="V29" s="306">
        <v>1.86</v>
      </c>
      <c r="W29" s="306">
        <v>1.89</v>
      </c>
      <c r="X29" s="306">
        <v>1.91</v>
      </c>
      <c r="Y29" s="306">
        <v>1.93</v>
      </c>
      <c r="Z29" s="306">
        <v>1.95</v>
      </c>
      <c r="AA29" s="306">
        <v>1.97</v>
      </c>
      <c r="AB29" s="306">
        <v>1.99</v>
      </c>
      <c r="AC29" s="306">
        <v>2.0099999999999998</v>
      </c>
      <c r="AD29" s="306">
        <v>2.0299999999999998</v>
      </c>
      <c r="AE29" s="306">
        <v>2.0499999999999998</v>
      </c>
      <c r="AF29" s="306">
        <v>2.0699999999999998</v>
      </c>
      <c r="AG29" s="306">
        <v>2.09</v>
      </c>
      <c r="AH29" s="306">
        <v>2.1</v>
      </c>
      <c r="AI29" s="306">
        <v>2.12</v>
      </c>
      <c r="AJ29" s="306">
        <v>2.14</v>
      </c>
      <c r="AK29" s="306">
        <v>2.15</v>
      </c>
      <c r="AL29" s="306">
        <v>2.17</v>
      </c>
      <c r="AM29" s="306">
        <v>2.19</v>
      </c>
      <c r="AN29" s="306">
        <v>2.2000000000000002</v>
      </c>
      <c r="AO29" s="306">
        <v>2.21</v>
      </c>
      <c r="AP29" s="306">
        <v>2.23</v>
      </c>
      <c r="AQ29" s="306">
        <v>2.2400000000000002</v>
      </c>
      <c r="AR29" s="306">
        <v>2.25</v>
      </c>
      <c r="AS29" s="306">
        <v>2.2599999999999998</v>
      </c>
      <c r="AT29" s="306">
        <v>2.27</v>
      </c>
      <c r="AU29" s="306">
        <v>2.2799999999999998</v>
      </c>
      <c r="AV29" s="306">
        <v>2.29</v>
      </c>
      <c r="AW29" s="306">
        <v>2.2999999999999998</v>
      </c>
      <c r="AX29" s="306">
        <v>2.31</v>
      </c>
      <c r="AY29" s="306">
        <v>2.3199999999999998</v>
      </c>
      <c r="AZ29" s="306">
        <v>2.3199999999999998</v>
      </c>
      <c r="BA29" s="306">
        <v>2.33</v>
      </c>
      <c r="BB29" s="306">
        <v>2.34</v>
      </c>
      <c r="BC29" s="306">
        <v>2.34</v>
      </c>
      <c r="BD29" s="306">
        <v>2.35</v>
      </c>
      <c r="BE29" s="306">
        <v>2.35</v>
      </c>
      <c r="BF29" s="306">
        <v>2.36</v>
      </c>
      <c r="BG29" s="306">
        <v>2.36</v>
      </c>
      <c r="BH29" s="306">
        <v>2.36</v>
      </c>
      <c r="BI29" s="306">
        <v>2.37</v>
      </c>
      <c r="BJ29" s="306">
        <v>2.37</v>
      </c>
      <c r="BK29" s="306">
        <v>2.37</v>
      </c>
      <c r="BL29" s="306">
        <v>2.37</v>
      </c>
      <c r="BM29" s="306">
        <v>2.37</v>
      </c>
      <c r="BN29" s="306">
        <v>2.37</v>
      </c>
      <c r="BO29" s="306">
        <v>2.38</v>
      </c>
      <c r="BP29" s="306">
        <v>2.38</v>
      </c>
      <c r="BQ29" s="306">
        <v>2.38</v>
      </c>
      <c r="BR29" s="306">
        <v>2.38</v>
      </c>
      <c r="BS29" s="306">
        <v>2.38</v>
      </c>
      <c r="BT29" s="306">
        <v>2.38</v>
      </c>
      <c r="BU29" s="306">
        <v>2.38</v>
      </c>
      <c r="BV29" s="306">
        <v>2.38</v>
      </c>
      <c r="BW29" s="306">
        <v>2.38</v>
      </c>
      <c r="BX29" s="306">
        <v>2.38</v>
      </c>
      <c r="BY29" s="306">
        <v>2.38</v>
      </c>
      <c r="BZ29" s="306">
        <v>2.38</v>
      </c>
      <c r="CA29" s="306">
        <v>2.38</v>
      </c>
      <c r="CB29" s="306">
        <v>2.38</v>
      </c>
      <c r="CC29" s="306">
        <v>2.38</v>
      </c>
      <c r="CD29" s="306">
        <v>2.38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M29" s="306">
        <v>0</v>
      </c>
      <c r="CN29" s="306">
        <v>0</v>
      </c>
      <c r="CO29" s="306">
        <v>0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</row>
    <row r="30" spans="3:102" x14ac:dyDescent="0.25">
      <c r="C30" s="305">
        <v>22</v>
      </c>
      <c r="D30" s="306">
        <v>1.85</v>
      </c>
      <c r="E30" s="306">
        <v>1.83</v>
      </c>
      <c r="F30" s="306">
        <v>1.81</v>
      </c>
      <c r="G30" s="306">
        <v>1.79</v>
      </c>
      <c r="H30" s="306">
        <v>1.77</v>
      </c>
      <c r="I30" s="306">
        <v>1.76</v>
      </c>
      <c r="J30" s="306">
        <v>1.75</v>
      </c>
      <c r="K30" s="306">
        <v>1.74</v>
      </c>
      <c r="L30" s="306">
        <v>1.74</v>
      </c>
      <c r="M30" s="306">
        <v>1.74</v>
      </c>
      <c r="N30" s="306">
        <v>1.75</v>
      </c>
      <c r="O30" s="306">
        <v>1.76</v>
      </c>
      <c r="P30" s="306">
        <v>1.78</v>
      </c>
      <c r="Q30" s="306">
        <v>1.79</v>
      </c>
      <c r="R30" s="306">
        <v>1.81</v>
      </c>
      <c r="S30" s="306">
        <v>1.83</v>
      </c>
      <c r="T30" s="306">
        <v>1.85</v>
      </c>
      <c r="U30" s="306">
        <v>1.87</v>
      </c>
      <c r="V30" s="306">
        <v>1.9</v>
      </c>
      <c r="W30" s="306">
        <v>1.92</v>
      </c>
      <c r="X30" s="306">
        <v>1.95</v>
      </c>
      <c r="Y30" s="306">
        <v>1.97</v>
      </c>
      <c r="Z30" s="306">
        <v>1.99</v>
      </c>
      <c r="AA30" s="306">
        <v>2.02</v>
      </c>
      <c r="AB30" s="306">
        <v>2.04</v>
      </c>
      <c r="AC30" s="306">
        <v>2.06</v>
      </c>
      <c r="AD30" s="306">
        <v>2.09</v>
      </c>
      <c r="AE30" s="306">
        <v>2.11</v>
      </c>
      <c r="AF30" s="306">
        <v>2.13</v>
      </c>
      <c r="AG30" s="306">
        <v>2.15</v>
      </c>
      <c r="AH30" s="306">
        <v>2.17</v>
      </c>
      <c r="AI30" s="306">
        <v>2.19</v>
      </c>
      <c r="AJ30" s="306">
        <v>2.21</v>
      </c>
      <c r="AK30" s="306">
        <v>2.2200000000000002</v>
      </c>
      <c r="AL30" s="306">
        <v>2.2400000000000002</v>
      </c>
      <c r="AM30" s="306">
        <v>2.2599999999999998</v>
      </c>
      <c r="AN30" s="306">
        <v>2.27</v>
      </c>
      <c r="AO30" s="306">
        <v>2.29</v>
      </c>
      <c r="AP30" s="306">
        <v>2.2999999999999998</v>
      </c>
      <c r="AQ30" s="306">
        <v>2.31</v>
      </c>
      <c r="AR30" s="306">
        <v>2.33</v>
      </c>
      <c r="AS30" s="306">
        <v>2.34</v>
      </c>
      <c r="AT30" s="306">
        <v>2.35</v>
      </c>
      <c r="AU30" s="306">
        <v>2.36</v>
      </c>
      <c r="AV30" s="306">
        <v>2.37</v>
      </c>
      <c r="AW30" s="306">
        <v>2.38</v>
      </c>
      <c r="AX30" s="306">
        <v>2.39</v>
      </c>
      <c r="AY30" s="306">
        <v>2.4</v>
      </c>
      <c r="AZ30" s="306">
        <v>2.41</v>
      </c>
      <c r="BA30" s="306">
        <v>2.41</v>
      </c>
      <c r="BB30" s="306">
        <v>2.42</v>
      </c>
      <c r="BC30" s="306">
        <v>2.42</v>
      </c>
      <c r="BD30" s="306">
        <v>2.4300000000000002</v>
      </c>
      <c r="BE30" s="306">
        <v>2.4300000000000002</v>
      </c>
      <c r="BF30" s="306">
        <v>2.44</v>
      </c>
      <c r="BG30" s="306">
        <v>2.44</v>
      </c>
      <c r="BH30" s="306">
        <v>2.4500000000000002</v>
      </c>
      <c r="BI30" s="306">
        <v>2.4500000000000002</v>
      </c>
      <c r="BJ30" s="306">
        <v>2.4500000000000002</v>
      </c>
      <c r="BK30" s="306">
        <v>2.4500000000000002</v>
      </c>
      <c r="BL30" s="306">
        <v>2.46</v>
      </c>
      <c r="BM30" s="306">
        <v>2.46</v>
      </c>
      <c r="BN30" s="306">
        <v>2.46</v>
      </c>
      <c r="BO30" s="306">
        <v>2.46</v>
      </c>
      <c r="BP30" s="306">
        <v>2.46</v>
      </c>
      <c r="BQ30" s="306">
        <v>2.46</v>
      </c>
      <c r="BR30" s="306">
        <v>2.46</v>
      </c>
      <c r="BS30" s="306">
        <v>2.46</v>
      </c>
      <c r="BT30" s="306">
        <v>2.46</v>
      </c>
      <c r="BU30" s="306">
        <v>2.46</v>
      </c>
      <c r="BV30" s="306">
        <v>2.46</v>
      </c>
      <c r="BW30" s="306">
        <v>2.46</v>
      </c>
      <c r="BX30" s="306">
        <v>2.46</v>
      </c>
      <c r="BY30" s="306">
        <v>2.46</v>
      </c>
      <c r="BZ30" s="306">
        <v>2.46</v>
      </c>
      <c r="CA30" s="306">
        <v>2.46</v>
      </c>
      <c r="CB30" s="306">
        <v>2.46</v>
      </c>
      <c r="CC30" s="306">
        <v>2.46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M30" s="306">
        <v>0</v>
      </c>
      <c r="CN30" s="306">
        <v>0</v>
      </c>
      <c r="CO30" s="306">
        <v>0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</row>
    <row r="31" spans="3:102" x14ac:dyDescent="0.25">
      <c r="C31" s="305">
        <v>23</v>
      </c>
      <c r="D31" s="306">
        <v>1.81</v>
      </c>
      <c r="E31" s="306">
        <v>1.79</v>
      </c>
      <c r="F31" s="306">
        <v>1.77</v>
      </c>
      <c r="G31" s="306">
        <v>1.75</v>
      </c>
      <c r="H31" s="306">
        <v>1.74</v>
      </c>
      <c r="I31" s="306">
        <v>1.73</v>
      </c>
      <c r="J31" s="306">
        <v>1.73</v>
      </c>
      <c r="K31" s="306">
        <v>1.73</v>
      </c>
      <c r="L31" s="306">
        <v>1.73</v>
      </c>
      <c r="M31" s="306">
        <v>1.74</v>
      </c>
      <c r="N31" s="306">
        <v>1.75</v>
      </c>
      <c r="O31" s="306">
        <v>1.77</v>
      </c>
      <c r="P31" s="306">
        <v>1.79</v>
      </c>
      <c r="Q31" s="306">
        <v>1.81</v>
      </c>
      <c r="R31" s="306">
        <v>1.84</v>
      </c>
      <c r="S31" s="306">
        <v>1.86</v>
      </c>
      <c r="T31" s="306">
        <v>1.89</v>
      </c>
      <c r="U31" s="306">
        <v>1.91</v>
      </c>
      <c r="V31" s="306">
        <v>1.94</v>
      </c>
      <c r="W31" s="306">
        <v>1.97</v>
      </c>
      <c r="X31" s="306">
        <v>2</v>
      </c>
      <c r="Y31" s="306">
        <v>2.02</v>
      </c>
      <c r="Z31" s="306">
        <v>2.0499999999999998</v>
      </c>
      <c r="AA31" s="306">
        <v>2.08</v>
      </c>
      <c r="AB31" s="306">
        <v>2.11</v>
      </c>
      <c r="AC31" s="306">
        <v>2.13</v>
      </c>
      <c r="AD31" s="306">
        <v>2.15</v>
      </c>
      <c r="AE31" s="306">
        <v>2.1800000000000002</v>
      </c>
      <c r="AF31" s="306">
        <v>2.2000000000000002</v>
      </c>
      <c r="AG31" s="306">
        <v>2.2200000000000002</v>
      </c>
      <c r="AH31" s="306">
        <v>2.25</v>
      </c>
      <c r="AI31" s="306">
        <v>2.27</v>
      </c>
      <c r="AJ31" s="306">
        <v>2.29</v>
      </c>
      <c r="AK31" s="306">
        <v>2.31</v>
      </c>
      <c r="AL31" s="306">
        <v>2.3199999999999998</v>
      </c>
      <c r="AM31" s="306">
        <v>2.34</v>
      </c>
      <c r="AN31" s="306">
        <v>2.36</v>
      </c>
      <c r="AO31" s="306">
        <v>2.38</v>
      </c>
      <c r="AP31" s="306">
        <v>2.39</v>
      </c>
      <c r="AQ31" s="306">
        <v>2.41</v>
      </c>
      <c r="AR31" s="306">
        <v>2.42</v>
      </c>
      <c r="AS31" s="306">
        <v>2.4300000000000002</v>
      </c>
      <c r="AT31" s="306">
        <v>2.44</v>
      </c>
      <c r="AU31" s="306">
        <v>2.46</v>
      </c>
      <c r="AV31" s="306">
        <v>2.4700000000000002</v>
      </c>
      <c r="AW31" s="306">
        <v>2.48</v>
      </c>
      <c r="AX31" s="306">
        <v>2.4900000000000002</v>
      </c>
      <c r="AY31" s="306">
        <v>2.4900000000000002</v>
      </c>
      <c r="AZ31" s="306">
        <v>2.5</v>
      </c>
      <c r="BA31" s="306">
        <v>2.5099999999999998</v>
      </c>
      <c r="BB31" s="306">
        <v>2.52</v>
      </c>
      <c r="BC31" s="306">
        <v>2.52</v>
      </c>
      <c r="BD31" s="306">
        <v>2.5299999999999998</v>
      </c>
      <c r="BE31" s="306">
        <v>2.5299999999999998</v>
      </c>
      <c r="BF31" s="306">
        <v>2.54</v>
      </c>
      <c r="BG31" s="306">
        <v>2.54</v>
      </c>
      <c r="BH31" s="306">
        <v>2.5499999999999998</v>
      </c>
      <c r="BI31" s="306">
        <v>2.5499999999999998</v>
      </c>
      <c r="BJ31" s="306">
        <v>2.5499999999999998</v>
      </c>
      <c r="BK31" s="306">
        <v>2.5499999999999998</v>
      </c>
      <c r="BL31" s="306">
        <v>2.5499999999999998</v>
      </c>
      <c r="BM31" s="306">
        <v>2.56</v>
      </c>
      <c r="BN31" s="306">
        <v>2.56</v>
      </c>
      <c r="BO31" s="306">
        <v>2.56</v>
      </c>
      <c r="BP31" s="306">
        <v>2.56</v>
      </c>
      <c r="BQ31" s="306">
        <v>2.56</v>
      </c>
      <c r="BR31" s="306">
        <v>2.56</v>
      </c>
      <c r="BS31" s="306">
        <v>2.56</v>
      </c>
      <c r="BT31" s="306">
        <v>2.56</v>
      </c>
      <c r="BU31" s="306">
        <v>2.56</v>
      </c>
      <c r="BV31" s="306">
        <v>2.56</v>
      </c>
      <c r="BW31" s="306">
        <v>2.56</v>
      </c>
      <c r="BX31" s="306">
        <v>2.56</v>
      </c>
      <c r="BY31" s="306">
        <v>2.56</v>
      </c>
      <c r="BZ31" s="306">
        <v>2.56</v>
      </c>
      <c r="CA31" s="306">
        <v>2.56</v>
      </c>
      <c r="CB31" s="306">
        <v>2.56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M31" s="306">
        <v>0</v>
      </c>
      <c r="CN31" s="306">
        <v>0</v>
      </c>
      <c r="CO31" s="306">
        <v>0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</row>
    <row r="32" spans="3:102" x14ac:dyDescent="0.25">
      <c r="C32" s="305">
        <v>24</v>
      </c>
      <c r="D32" s="306">
        <v>1.77</v>
      </c>
      <c r="E32" s="306">
        <v>1.75</v>
      </c>
      <c r="F32" s="306">
        <v>1.73</v>
      </c>
      <c r="G32" s="306">
        <v>1.72</v>
      </c>
      <c r="H32" s="306">
        <v>1.71</v>
      </c>
      <c r="I32" s="306">
        <v>1.71</v>
      </c>
      <c r="J32" s="306">
        <v>1.71</v>
      </c>
      <c r="K32" s="306">
        <v>1.72</v>
      </c>
      <c r="L32" s="306">
        <v>1.73</v>
      </c>
      <c r="M32" s="306">
        <v>1.75</v>
      </c>
      <c r="N32" s="306">
        <v>1.77</v>
      </c>
      <c r="O32" s="306">
        <v>1.79</v>
      </c>
      <c r="P32" s="306">
        <v>1.82</v>
      </c>
      <c r="Q32" s="306">
        <v>1.84</v>
      </c>
      <c r="R32" s="306">
        <v>1.87</v>
      </c>
      <c r="S32" s="306">
        <v>1.9</v>
      </c>
      <c r="T32" s="306">
        <v>1.94</v>
      </c>
      <c r="U32" s="306">
        <v>1.97</v>
      </c>
      <c r="V32" s="306">
        <v>2</v>
      </c>
      <c r="W32" s="306">
        <v>2.0299999999999998</v>
      </c>
      <c r="X32" s="306">
        <v>2.06</v>
      </c>
      <c r="Y32" s="306">
        <v>2.1</v>
      </c>
      <c r="Z32" s="306">
        <v>2.13</v>
      </c>
      <c r="AA32" s="306">
        <v>2.16</v>
      </c>
      <c r="AB32" s="306">
        <v>2.1800000000000002</v>
      </c>
      <c r="AC32" s="306">
        <v>2.21</v>
      </c>
      <c r="AD32" s="306">
        <v>2.2400000000000002</v>
      </c>
      <c r="AE32" s="306">
        <v>2.2599999999999998</v>
      </c>
      <c r="AF32" s="306">
        <v>2.29</v>
      </c>
      <c r="AG32" s="306">
        <v>2.31</v>
      </c>
      <c r="AH32" s="306">
        <v>2.34</v>
      </c>
      <c r="AI32" s="306">
        <v>2.36</v>
      </c>
      <c r="AJ32" s="306">
        <v>2.38</v>
      </c>
      <c r="AK32" s="306">
        <v>2.41</v>
      </c>
      <c r="AL32" s="306">
        <v>2.4300000000000002</v>
      </c>
      <c r="AM32" s="306">
        <v>2.4500000000000002</v>
      </c>
      <c r="AN32" s="306">
        <v>2.46</v>
      </c>
      <c r="AO32" s="306">
        <v>2.48</v>
      </c>
      <c r="AP32" s="306">
        <v>2.5</v>
      </c>
      <c r="AQ32" s="306">
        <v>2.5099999999999998</v>
      </c>
      <c r="AR32" s="306">
        <v>2.5299999999999998</v>
      </c>
      <c r="AS32" s="306">
        <v>2.54</v>
      </c>
      <c r="AT32" s="306">
        <v>2.56</v>
      </c>
      <c r="AU32" s="306">
        <v>2.57</v>
      </c>
      <c r="AV32" s="306">
        <v>2.58</v>
      </c>
      <c r="AW32" s="306">
        <v>2.59</v>
      </c>
      <c r="AX32" s="306">
        <v>2.6</v>
      </c>
      <c r="AY32" s="306">
        <v>2.61</v>
      </c>
      <c r="AZ32" s="306">
        <v>2.62</v>
      </c>
      <c r="BA32" s="306">
        <v>2.62</v>
      </c>
      <c r="BB32" s="306">
        <v>2.63</v>
      </c>
      <c r="BC32" s="306">
        <v>2.64</v>
      </c>
      <c r="BD32" s="306">
        <v>2.64</v>
      </c>
      <c r="BE32" s="306">
        <v>2.65</v>
      </c>
      <c r="BF32" s="306">
        <v>2.65</v>
      </c>
      <c r="BG32" s="306">
        <v>2.66</v>
      </c>
      <c r="BH32" s="306">
        <v>2.66</v>
      </c>
      <c r="BI32" s="306">
        <v>2.66</v>
      </c>
      <c r="BJ32" s="306">
        <v>2.67</v>
      </c>
      <c r="BK32" s="306">
        <v>2.67</v>
      </c>
      <c r="BL32" s="306">
        <v>2.67</v>
      </c>
      <c r="BM32" s="306">
        <v>2.67</v>
      </c>
      <c r="BN32" s="306">
        <v>2.67</v>
      </c>
      <c r="BO32" s="306">
        <v>2.67</v>
      </c>
      <c r="BP32" s="306">
        <v>2.67</v>
      </c>
      <c r="BQ32" s="306">
        <v>2.67</v>
      </c>
      <c r="BR32" s="306">
        <v>2.67</v>
      </c>
      <c r="BS32" s="306">
        <v>2.67</v>
      </c>
      <c r="BT32" s="306">
        <v>2.68</v>
      </c>
      <c r="BU32" s="306">
        <v>2.68</v>
      </c>
      <c r="BV32" s="306">
        <v>2.68</v>
      </c>
      <c r="BW32" s="306">
        <v>2.68</v>
      </c>
      <c r="BX32" s="306">
        <v>2.68</v>
      </c>
      <c r="BY32" s="306">
        <v>2.68</v>
      </c>
      <c r="BZ32" s="306">
        <v>2.68</v>
      </c>
      <c r="CA32" s="306">
        <v>2.68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M32" s="306">
        <v>0</v>
      </c>
      <c r="CN32" s="306">
        <v>0</v>
      </c>
      <c r="CO32" s="306">
        <v>0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</row>
    <row r="33" spans="3:102" x14ac:dyDescent="0.25">
      <c r="C33" s="305">
        <v>25</v>
      </c>
      <c r="D33" s="306">
        <v>1.72</v>
      </c>
      <c r="E33" s="306">
        <v>1.71</v>
      </c>
      <c r="F33" s="306">
        <v>1.7</v>
      </c>
      <c r="G33" s="306">
        <v>1.7</v>
      </c>
      <c r="H33" s="306">
        <v>1.7</v>
      </c>
      <c r="I33" s="306">
        <v>1.7</v>
      </c>
      <c r="J33" s="306">
        <v>1.71</v>
      </c>
      <c r="K33" s="306">
        <v>1.72</v>
      </c>
      <c r="L33" s="306">
        <v>1.74</v>
      </c>
      <c r="M33" s="306">
        <v>1.77</v>
      </c>
      <c r="N33" s="306">
        <v>1.8</v>
      </c>
      <c r="O33" s="306">
        <v>1.83</v>
      </c>
      <c r="P33" s="306">
        <v>1.86</v>
      </c>
      <c r="Q33" s="306">
        <v>1.89</v>
      </c>
      <c r="R33" s="306">
        <v>1.93</v>
      </c>
      <c r="S33" s="306">
        <v>1.97</v>
      </c>
      <c r="T33" s="306">
        <v>2</v>
      </c>
      <c r="U33" s="306">
        <v>2.04</v>
      </c>
      <c r="V33" s="306">
        <v>2.08</v>
      </c>
      <c r="W33" s="306">
        <v>2.11</v>
      </c>
      <c r="X33" s="306">
        <v>2.15</v>
      </c>
      <c r="Y33" s="306">
        <v>2.1800000000000002</v>
      </c>
      <c r="Z33" s="306">
        <v>2.2200000000000002</v>
      </c>
      <c r="AA33" s="306">
        <v>2.25</v>
      </c>
      <c r="AB33" s="306">
        <v>2.2799999999999998</v>
      </c>
      <c r="AC33" s="306">
        <v>2.31</v>
      </c>
      <c r="AD33" s="306">
        <v>2.34</v>
      </c>
      <c r="AE33" s="306">
        <v>2.37</v>
      </c>
      <c r="AF33" s="306">
        <v>2.4</v>
      </c>
      <c r="AG33" s="306">
        <v>2.42</v>
      </c>
      <c r="AH33" s="306">
        <v>2.4500000000000002</v>
      </c>
      <c r="AI33" s="306">
        <v>2.48</v>
      </c>
      <c r="AJ33" s="306">
        <v>2.5</v>
      </c>
      <c r="AK33" s="306">
        <v>2.52</v>
      </c>
      <c r="AL33" s="306">
        <v>2.5499999999999998</v>
      </c>
      <c r="AM33" s="306">
        <v>2.57</v>
      </c>
      <c r="AN33" s="306">
        <v>2.59</v>
      </c>
      <c r="AO33" s="306">
        <v>2.61</v>
      </c>
      <c r="AP33" s="306">
        <v>2.62</v>
      </c>
      <c r="AQ33" s="306">
        <v>2.64</v>
      </c>
      <c r="AR33" s="306">
        <v>2.66</v>
      </c>
      <c r="AS33" s="306">
        <v>2.67</v>
      </c>
      <c r="AT33" s="306">
        <v>2.69</v>
      </c>
      <c r="AU33" s="306">
        <v>2.7</v>
      </c>
      <c r="AV33" s="306">
        <v>2.71</v>
      </c>
      <c r="AW33" s="306">
        <v>2.72</v>
      </c>
      <c r="AX33" s="306">
        <v>2.73</v>
      </c>
      <c r="AY33" s="306">
        <v>2.74</v>
      </c>
      <c r="AZ33" s="306">
        <v>2.75</v>
      </c>
      <c r="BA33" s="306">
        <v>2.76</v>
      </c>
      <c r="BB33" s="306">
        <v>2.77</v>
      </c>
      <c r="BC33" s="306">
        <v>2.77</v>
      </c>
      <c r="BD33" s="306">
        <v>2.78</v>
      </c>
      <c r="BE33" s="306">
        <v>2.78</v>
      </c>
      <c r="BF33" s="306">
        <v>2.79</v>
      </c>
      <c r="BG33" s="306">
        <v>2.79</v>
      </c>
      <c r="BH33" s="306">
        <v>2.8</v>
      </c>
      <c r="BI33" s="306">
        <v>2.8</v>
      </c>
      <c r="BJ33" s="306">
        <v>2.8</v>
      </c>
      <c r="BK33" s="306">
        <v>2.8</v>
      </c>
      <c r="BL33" s="306">
        <v>2.8</v>
      </c>
      <c r="BM33" s="306">
        <v>2.81</v>
      </c>
      <c r="BN33" s="306">
        <v>2.81</v>
      </c>
      <c r="BO33" s="306">
        <v>2.81</v>
      </c>
      <c r="BP33" s="306">
        <v>2.81</v>
      </c>
      <c r="BQ33" s="306">
        <v>2.81</v>
      </c>
      <c r="BR33" s="306">
        <v>2.81</v>
      </c>
      <c r="BS33" s="306">
        <v>2.81</v>
      </c>
      <c r="BT33" s="306">
        <v>2.81</v>
      </c>
      <c r="BU33" s="306">
        <v>2.81</v>
      </c>
      <c r="BV33" s="306">
        <v>2.81</v>
      </c>
      <c r="BW33" s="306">
        <v>2.81</v>
      </c>
      <c r="BX33" s="306">
        <v>2.81</v>
      </c>
      <c r="BY33" s="306">
        <v>2.81</v>
      </c>
      <c r="BZ33" s="306">
        <v>2.81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M33" s="306">
        <v>0</v>
      </c>
      <c r="CN33" s="306">
        <v>0</v>
      </c>
      <c r="CO33" s="306">
        <v>0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</row>
    <row r="34" spans="3:102" x14ac:dyDescent="0.25">
      <c r="C34" s="305">
        <v>26</v>
      </c>
      <c r="D34" s="306">
        <v>1.69</v>
      </c>
      <c r="E34" s="306">
        <v>1.69</v>
      </c>
      <c r="F34" s="306">
        <v>1.69</v>
      </c>
      <c r="G34" s="306">
        <v>1.69</v>
      </c>
      <c r="H34" s="306">
        <v>1.69</v>
      </c>
      <c r="I34" s="306">
        <v>1.71</v>
      </c>
      <c r="J34" s="306">
        <v>1.72</v>
      </c>
      <c r="K34" s="306">
        <v>1.75</v>
      </c>
      <c r="L34" s="306">
        <v>1.77</v>
      </c>
      <c r="M34" s="306">
        <v>1.8</v>
      </c>
      <c r="N34" s="306">
        <v>1.84</v>
      </c>
      <c r="O34" s="306">
        <v>1.88</v>
      </c>
      <c r="P34" s="306">
        <v>1.92</v>
      </c>
      <c r="Q34" s="306">
        <v>1.96</v>
      </c>
      <c r="R34" s="306">
        <v>2</v>
      </c>
      <c r="S34" s="306">
        <v>2.04</v>
      </c>
      <c r="T34" s="306">
        <v>2.09</v>
      </c>
      <c r="U34" s="306">
        <v>2.13</v>
      </c>
      <c r="V34" s="306">
        <v>2.17</v>
      </c>
      <c r="W34" s="306">
        <v>2.21</v>
      </c>
      <c r="X34" s="306">
        <v>2.25</v>
      </c>
      <c r="Y34" s="306">
        <v>2.29</v>
      </c>
      <c r="Z34" s="306">
        <v>2.33</v>
      </c>
      <c r="AA34" s="306">
        <v>2.36</v>
      </c>
      <c r="AB34" s="306">
        <v>2.4</v>
      </c>
      <c r="AC34" s="306">
        <v>2.4300000000000002</v>
      </c>
      <c r="AD34" s="306">
        <v>2.46</v>
      </c>
      <c r="AE34" s="306">
        <v>2.4900000000000002</v>
      </c>
      <c r="AF34" s="306">
        <v>2.5299999999999998</v>
      </c>
      <c r="AG34" s="306">
        <v>2.56</v>
      </c>
      <c r="AH34" s="306">
        <v>2.58</v>
      </c>
      <c r="AI34" s="306">
        <v>2.61</v>
      </c>
      <c r="AJ34" s="306">
        <v>2.64</v>
      </c>
      <c r="AK34" s="306">
        <v>2.66</v>
      </c>
      <c r="AL34" s="306">
        <v>2.69</v>
      </c>
      <c r="AM34" s="306">
        <v>2.71</v>
      </c>
      <c r="AN34" s="306">
        <v>2.73</v>
      </c>
      <c r="AO34" s="306">
        <v>2.75</v>
      </c>
      <c r="AP34" s="306">
        <v>2.77</v>
      </c>
      <c r="AQ34" s="306">
        <v>2.79</v>
      </c>
      <c r="AR34" s="306">
        <v>2.81</v>
      </c>
      <c r="AS34" s="306">
        <v>2.82</v>
      </c>
      <c r="AT34" s="306">
        <v>2.84</v>
      </c>
      <c r="AU34" s="306">
        <v>2.85</v>
      </c>
      <c r="AV34" s="306">
        <v>2.86</v>
      </c>
      <c r="AW34" s="306">
        <v>2.88</v>
      </c>
      <c r="AX34" s="306">
        <v>2.89</v>
      </c>
      <c r="AY34" s="306">
        <v>2.9</v>
      </c>
      <c r="AZ34" s="306">
        <v>2.91</v>
      </c>
      <c r="BA34" s="306">
        <v>2.92</v>
      </c>
      <c r="BB34" s="306">
        <v>2.92</v>
      </c>
      <c r="BC34" s="306">
        <v>2.93</v>
      </c>
      <c r="BD34" s="306">
        <v>2.94</v>
      </c>
      <c r="BE34" s="306">
        <v>2.94</v>
      </c>
      <c r="BF34" s="306">
        <v>2.94</v>
      </c>
      <c r="BG34" s="306">
        <v>2.95</v>
      </c>
      <c r="BH34" s="306">
        <v>2.95</v>
      </c>
      <c r="BI34" s="306">
        <v>2.95</v>
      </c>
      <c r="BJ34" s="306">
        <v>2.96</v>
      </c>
      <c r="BK34" s="306">
        <v>2.96</v>
      </c>
      <c r="BL34" s="306">
        <v>2.96</v>
      </c>
      <c r="BM34" s="306">
        <v>2.96</v>
      </c>
      <c r="BN34" s="306">
        <v>2.96</v>
      </c>
      <c r="BO34" s="306">
        <v>2.96</v>
      </c>
      <c r="BP34" s="306">
        <v>2.96</v>
      </c>
      <c r="BQ34" s="306">
        <v>2.96</v>
      </c>
      <c r="BR34" s="306">
        <v>2.96</v>
      </c>
      <c r="BS34" s="306">
        <v>2.96</v>
      </c>
      <c r="BT34" s="306">
        <v>2.96</v>
      </c>
      <c r="BU34" s="306">
        <v>2.96</v>
      </c>
      <c r="BV34" s="306">
        <v>2.96</v>
      </c>
      <c r="BW34" s="306">
        <v>2.96</v>
      </c>
      <c r="BX34" s="306">
        <v>2.96</v>
      </c>
      <c r="BY34" s="306">
        <v>2.96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M34" s="306">
        <v>0</v>
      </c>
      <c r="CN34" s="306">
        <v>0</v>
      </c>
      <c r="CO34" s="306">
        <v>0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</row>
    <row r="35" spans="3:102" x14ac:dyDescent="0.25">
      <c r="C35" s="305">
        <v>27</v>
      </c>
      <c r="D35" s="306">
        <v>1.68</v>
      </c>
      <c r="E35" s="306">
        <v>1.68</v>
      </c>
      <c r="F35" s="306">
        <v>1.68</v>
      </c>
      <c r="G35" s="306">
        <v>1.69</v>
      </c>
      <c r="H35" s="306">
        <v>1.71</v>
      </c>
      <c r="I35" s="306">
        <v>1.73</v>
      </c>
      <c r="J35" s="306">
        <v>1.75</v>
      </c>
      <c r="K35" s="306">
        <v>1.78</v>
      </c>
      <c r="L35" s="306">
        <v>1.82</v>
      </c>
      <c r="M35" s="306">
        <v>1.86</v>
      </c>
      <c r="N35" s="306">
        <v>1.91</v>
      </c>
      <c r="O35" s="306">
        <v>1.95</v>
      </c>
      <c r="P35" s="306">
        <v>2</v>
      </c>
      <c r="Q35" s="306">
        <v>2.0499999999999998</v>
      </c>
      <c r="R35" s="306">
        <v>2.09</v>
      </c>
      <c r="S35" s="306">
        <v>2.14</v>
      </c>
      <c r="T35" s="306">
        <v>2.19</v>
      </c>
      <c r="U35" s="306">
        <v>2.2400000000000002</v>
      </c>
      <c r="V35" s="306">
        <v>2.2799999999999998</v>
      </c>
      <c r="W35" s="306">
        <v>2.33</v>
      </c>
      <c r="X35" s="306">
        <v>2.37</v>
      </c>
      <c r="Y35" s="306">
        <v>2.41</v>
      </c>
      <c r="Z35" s="306">
        <v>2.4500000000000002</v>
      </c>
      <c r="AA35" s="306">
        <v>2.4900000000000002</v>
      </c>
      <c r="AB35" s="306">
        <v>2.5299999999999998</v>
      </c>
      <c r="AC35" s="306">
        <v>2.57</v>
      </c>
      <c r="AD35" s="306">
        <v>2.6</v>
      </c>
      <c r="AE35" s="306">
        <v>2.64</v>
      </c>
      <c r="AF35" s="306">
        <v>2.67</v>
      </c>
      <c r="AG35" s="306">
        <v>2.71</v>
      </c>
      <c r="AH35" s="306">
        <v>2.74</v>
      </c>
      <c r="AI35" s="306">
        <v>2.77</v>
      </c>
      <c r="AJ35" s="306">
        <v>2.8</v>
      </c>
      <c r="AK35" s="306">
        <v>2.82</v>
      </c>
      <c r="AL35" s="306">
        <v>2.85</v>
      </c>
      <c r="AM35" s="306">
        <v>2.87</v>
      </c>
      <c r="AN35" s="306">
        <v>2.9</v>
      </c>
      <c r="AO35" s="306">
        <v>2.92</v>
      </c>
      <c r="AP35" s="306">
        <v>2.94</v>
      </c>
      <c r="AQ35" s="306">
        <v>2.96</v>
      </c>
      <c r="AR35" s="306">
        <v>2.98</v>
      </c>
      <c r="AS35" s="306">
        <v>3</v>
      </c>
      <c r="AT35" s="306">
        <v>3.01</v>
      </c>
      <c r="AU35" s="306">
        <v>3.03</v>
      </c>
      <c r="AV35" s="306">
        <v>3.04</v>
      </c>
      <c r="AW35" s="306">
        <v>3.05</v>
      </c>
      <c r="AX35" s="306">
        <v>3.06</v>
      </c>
      <c r="AY35" s="306">
        <v>3.07</v>
      </c>
      <c r="AZ35" s="306">
        <v>3.08</v>
      </c>
      <c r="BA35" s="306">
        <v>3.09</v>
      </c>
      <c r="BB35" s="306">
        <v>3.1</v>
      </c>
      <c r="BC35" s="306">
        <v>3.11</v>
      </c>
      <c r="BD35" s="306">
        <v>3.11</v>
      </c>
      <c r="BE35" s="306">
        <v>3.12</v>
      </c>
      <c r="BF35" s="306">
        <v>3.12</v>
      </c>
      <c r="BG35" s="306">
        <v>3.13</v>
      </c>
      <c r="BH35" s="306">
        <v>3.13</v>
      </c>
      <c r="BI35" s="306">
        <v>3.13</v>
      </c>
      <c r="BJ35" s="306">
        <v>3.13</v>
      </c>
      <c r="BK35" s="306">
        <v>3.14</v>
      </c>
      <c r="BL35" s="306">
        <v>3.14</v>
      </c>
      <c r="BM35" s="306">
        <v>3.14</v>
      </c>
      <c r="BN35" s="306">
        <v>3.14</v>
      </c>
      <c r="BO35" s="306">
        <v>3.14</v>
      </c>
      <c r="BP35" s="306">
        <v>3.14</v>
      </c>
      <c r="BQ35" s="306">
        <v>3.14</v>
      </c>
      <c r="BR35" s="306">
        <v>3.14</v>
      </c>
      <c r="BS35" s="306">
        <v>3.14</v>
      </c>
      <c r="BT35" s="306">
        <v>3.14</v>
      </c>
      <c r="BU35" s="306">
        <v>3.14</v>
      </c>
      <c r="BV35" s="306">
        <v>3.14</v>
      </c>
      <c r="BW35" s="306">
        <v>3.14</v>
      </c>
      <c r="BX35" s="306">
        <v>3.14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M35" s="306">
        <v>0</v>
      </c>
      <c r="CN35" s="306">
        <v>0</v>
      </c>
      <c r="CO35" s="306">
        <v>0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</row>
    <row r="36" spans="3:102" x14ac:dyDescent="0.25">
      <c r="C36" s="305">
        <v>28</v>
      </c>
      <c r="D36" s="306">
        <v>1.68</v>
      </c>
      <c r="E36" s="306">
        <v>1.68</v>
      </c>
      <c r="F36" s="306">
        <v>1.7</v>
      </c>
      <c r="G36" s="306">
        <v>1.72</v>
      </c>
      <c r="H36" s="306">
        <v>1.74</v>
      </c>
      <c r="I36" s="306">
        <v>1.77</v>
      </c>
      <c r="J36" s="306">
        <v>1.8</v>
      </c>
      <c r="K36" s="306">
        <v>1.84</v>
      </c>
      <c r="L36" s="306">
        <v>1.88</v>
      </c>
      <c r="M36" s="306">
        <v>1.93</v>
      </c>
      <c r="N36" s="306">
        <v>1.99</v>
      </c>
      <c r="O36" s="306">
        <v>2.04</v>
      </c>
      <c r="P36" s="306">
        <v>2.1</v>
      </c>
      <c r="Q36" s="306">
        <v>2.15</v>
      </c>
      <c r="R36" s="306">
        <v>2.21</v>
      </c>
      <c r="S36" s="306">
        <v>2.2599999999999998</v>
      </c>
      <c r="T36" s="306">
        <v>2.31</v>
      </c>
      <c r="U36" s="306">
        <v>2.37</v>
      </c>
      <c r="V36" s="306">
        <v>2.42</v>
      </c>
      <c r="W36" s="306">
        <v>2.4700000000000002</v>
      </c>
      <c r="X36" s="306">
        <v>2.5099999999999998</v>
      </c>
      <c r="Y36" s="306">
        <v>2.56</v>
      </c>
      <c r="Z36" s="306">
        <v>2.6</v>
      </c>
      <c r="AA36" s="306">
        <v>2.65</v>
      </c>
      <c r="AB36" s="306">
        <v>2.69</v>
      </c>
      <c r="AC36" s="306">
        <v>2.73</v>
      </c>
      <c r="AD36" s="306">
        <v>2.77</v>
      </c>
      <c r="AE36" s="306">
        <v>2.81</v>
      </c>
      <c r="AF36" s="306">
        <v>2.85</v>
      </c>
      <c r="AG36" s="306">
        <v>2.88</v>
      </c>
      <c r="AH36" s="306">
        <v>2.91</v>
      </c>
      <c r="AI36" s="306">
        <v>2.95</v>
      </c>
      <c r="AJ36" s="306">
        <v>2.98</v>
      </c>
      <c r="AK36" s="306">
        <v>3.01</v>
      </c>
      <c r="AL36" s="306">
        <v>3.04</v>
      </c>
      <c r="AM36" s="306">
        <v>3.06</v>
      </c>
      <c r="AN36" s="306">
        <v>3.09</v>
      </c>
      <c r="AO36" s="306">
        <v>3.11</v>
      </c>
      <c r="AP36" s="306">
        <v>3.13</v>
      </c>
      <c r="AQ36" s="306">
        <v>3.15</v>
      </c>
      <c r="AR36" s="306">
        <v>3.17</v>
      </c>
      <c r="AS36" s="306">
        <v>3.19</v>
      </c>
      <c r="AT36" s="306">
        <v>3.21</v>
      </c>
      <c r="AU36" s="306">
        <v>3.22</v>
      </c>
      <c r="AV36" s="306">
        <v>3.24</v>
      </c>
      <c r="AW36" s="306">
        <v>3.25</v>
      </c>
      <c r="AX36" s="306">
        <v>3.26</v>
      </c>
      <c r="AY36" s="306">
        <v>3.28</v>
      </c>
      <c r="AZ36" s="306">
        <v>3.29</v>
      </c>
      <c r="BA36" s="306">
        <v>3.29</v>
      </c>
      <c r="BB36" s="306">
        <v>3.3</v>
      </c>
      <c r="BC36" s="306">
        <v>3.31</v>
      </c>
      <c r="BD36" s="306">
        <v>3.31</v>
      </c>
      <c r="BE36" s="306">
        <v>3.32</v>
      </c>
      <c r="BF36" s="306">
        <v>3.32</v>
      </c>
      <c r="BG36" s="306">
        <v>3.33</v>
      </c>
      <c r="BH36" s="306">
        <v>3.33</v>
      </c>
      <c r="BI36" s="306">
        <v>3.33</v>
      </c>
      <c r="BJ36" s="306">
        <v>3.33</v>
      </c>
      <c r="BK36" s="306">
        <v>3.34</v>
      </c>
      <c r="BL36" s="306">
        <v>3.34</v>
      </c>
      <c r="BM36" s="306">
        <v>3.34</v>
      </c>
      <c r="BN36" s="306">
        <v>3.34</v>
      </c>
      <c r="BO36" s="306">
        <v>3.34</v>
      </c>
      <c r="BP36" s="306">
        <v>3.34</v>
      </c>
      <c r="BQ36" s="306">
        <v>3.34</v>
      </c>
      <c r="BR36" s="306">
        <v>3.34</v>
      </c>
      <c r="BS36" s="306">
        <v>3.34</v>
      </c>
      <c r="BT36" s="306">
        <v>3.34</v>
      </c>
      <c r="BU36" s="306">
        <v>3.34</v>
      </c>
      <c r="BV36" s="306">
        <v>3.34</v>
      </c>
      <c r="BW36" s="306">
        <v>3.34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M36" s="306">
        <v>0</v>
      </c>
      <c r="CN36" s="306">
        <v>0</v>
      </c>
      <c r="CO36" s="306">
        <v>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</row>
    <row r="37" spans="3:102" x14ac:dyDescent="0.25">
      <c r="C37" s="305">
        <v>29</v>
      </c>
      <c r="D37" s="306">
        <v>1.69</v>
      </c>
      <c r="E37" s="306">
        <v>1.71</v>
      </c>
      <c r="F37" s="306">
        <v>1.73</v>
      </c>
      <c r="G37" s="306">
        <v>1.76</v>
      </c>
      <c r="H37" s="306">
        <v>1.79</v>
      </c>
      <c r="I37" s="306">
        <v>1.82</v>
      </c>
      <c r="J37" s="306">
        <v>1.86</v>
      </c>
      <c r="K37" s="306">
        <v>1.91</v>
      </c>
      <c r="L37" s="306">
        <v>1.96</v>
      </c>
      <c r="M37" s="306">
        <v>2.02</v>
      </c>
      <c r="N37" s="306">
        <v>2.09</v>
      </c>
      <c r="O37" s="306">
        <v>2.15</v>
      </c>
      <c r="P37" s="306">
        <v>2.21</v>
      </c>
      <c r="Q37" s="306">
        <v>2.2799999999999998</v>
      </c>
      <c r="R37" s="306">
        <v>2.34</v>
      </c>
      <c r="S37" s="306">
        <v>2.4</v>
      </c>
      <c r="T37" s="306">
        <v>2.46</v>
      </c>
      <c r="U37" s="306">
        <v>2.5099999999999998</v>
      </c>
      <c r="V37" s="306">
        <v>2.57</v>
      </c>
      <c r="W37" s="306">
        <v>2.62</v>
      </c>
      <c r="X37" s="306">
        <v>2.68</v>
      </c>
      <c r="Y37" s="306">
        <v>2.73</v>
      </c>
      <c r="Z37" s="306">
        <v>2.77</v>
      </c>
      <c r="AA37" s="306">
        <v>2.82</v>
      </c>
      <c r="AB37" s="306">
        <v>2.87</v>
      </c>
      <c r="AC37" s="306">
        <v>2.91</v>
      </c>
      <c r="AD37" s="306">
        <v>2.96</v>
      </c>
      <c r="AE37" s="306">
        <v>3</v>
      </c>
      <c r="AF37" s="306">
        <v>3.04</v>
      </c>
      <c r="AG37" s="306">
        <v>3.08</v>
      </c>
      <c r="AH37" s="306">
        <v>3.12</v>
      </c>
      <c r="AI37" s="306">
        <v>3.15</v>
      </c>
      <c r="AJ37" s="306">
        <v>3.18</v>
      </c>
      <c r="AK37" s="306">
        <v>3.22</v>
      </c>
      <c r="AL37" s="306">
        <v>3.25</v>
      </c>
      <c r="AM37" s="306">
        <v>3.27</v>
      </c>
      <c r="AN37" s="306">
        <v>3.3</v>
      </c>
      <c r="AO37" s="306">
        <v>3.33</v>
      </c>
      <c r="AP37" s="306">
        <v>3.35</v>
      </c>
      <c r="AQ37" s="306">
        <v>3.37</v>
      </c>
      <c r="AR37" s="306">
        <v>3.39</v>
      </c>
      <c r="AS37" s="306">
        <v>3.41</v>
      </c>
      <c r="AT37" s="306">
        <v>3.43</v>
      </c>
      <c r="AU37" s="306">
        <v>3.45</v>
      </c>
      <c r="AV37" s="306">
        <v>3.46</v>
      </c>
      <c r="AW37" s="306">
        <v>3.48</v>
      </c>
      <c r="AX37" s="306">
        <v>3.49</v>
      </c>
      <c r="AY37" s="306">
        <v>3.5</v>
      </c>
      <c r="AZ37" s="306">
        <v>3.51</v>
      </c>
      <c r="BA37" s="306">
        <v>3.52</v>
      </c>
      <c r="BB37" s="306">
        <v>3.53</v>
      </c>
      <c r="BC37" s="306">
        <v>3.53</v>
      </c>
      <c r="BD37" s="306">
        <v>3.54</v>
      </c>
      <c r="BE37" s="306">
        <v>3.54</v>
      </c>
      <c r="BF37" s="306">
        <v>3.55</v>
      </c>
      <c r="BG37" s="306">
        <v>3.55</v>
      </c>
      <c r="BH37" s="306">
        <v>3.55</v>
      </c>
      <c r="BI37" s="306">
        <v>3.56</v>
      </c>
      <c r="BJ37" s="306">
        <v>3.56</v>
      </c>
      <c r="BK37" s="306">
        <v>3.56</v>
      </c>
      <c r="BL37" s="306">
        <v>3.56</v>
      </c>
      <c r="BM37" s="306">
        <v>3.56</v>
      </c>
      <c r="BN37" s="306">
        <v>3.56</v>
      </c>
      <c r="BO37" s="306">
        <v>3.56</v>
      </c>
      <c r="BP37" s="306">
        <v>3.56</v>
      </c>
      <c r="BQ37" s="306">
        <v>3.56</v>
      </c>
      <c r="BR37" s="306">
        <v>3.56</v>
      </c>
      <c r="BS37" s="306">
        <v>3.56</v>
      </c>
      <c r="BT37" s="306">
        <v>3.56</v>
      </c>
      <c r="BU37" s="306">
        <v>3.56</v>
      </c>
      <c r="BV37" s="306">
        <v>3.56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M37" s="306">
        <v>0</v>
      </c>
      <c r="CN37" s="306">
        <v>0</v>
      </c>
      <c r="CO37" s="306">
        <v>0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</row>
    <row r="38" spans="3:102" x14ac:dyDescent="0.25">
      <c r="C38" s="305">
        <v>30</v>
      </c>
      <c r="D38" s="306">
        <v>1.72</v>
      </c>
      <c r="E38" s="306">
        <v>1.75</v>
      </c>
      <c r="F38" s="306">
        <v>1.78</v>
      </c>
      <c r="G38" s="306">
        <v>1.81</v>
      </c>
      <c r="H38" s="306">
        <v>1.85</v>
      </c>
      <c r="I38" s="306">
        <v>1.9</v>
      </c>
      <c r="J38" s="306">
        <v>1.95</v>
      </c>
      <c r="K38" s="306">
        <v>2</v>
      </c>
      <c r="L38" s="306">
        <v>2.0699999999999998</v>
      </c>
      <c r="M38" s="306">
        <v>2.13</v>
      </c>
      <c r="N38" s="306">
        <v>2.21</v>
      </c>
      <c r="O38" s="306">
        <v>2.2799999999999998</v>
      </c>
      <c r="P38" s="306">
        <v>2.35</v>
      </c>
      <c r="Q38" s="306">
        <v>2.42</v>
      </c>
      <c r="R38" s="306">
        <v>2.4900000000000002</v>
      </c>
      <c r="S38" s="306">
        <v>2.56</v>
      </c>
      <c r="T38" s="306">
        <v>2.62</v>
      </c>
      <c r="U38" s="306">
        <v>2.68</v>
      </c>
      <c r="V38" s="306">
        <v>2.74</v>
      </c>
      <c r="W38" s="306">
        <v>2.8</v>
      </c>
      <c r="X38" s="306">
        <v>2.86</v>
      </c>
      <c r="Y38" s="306">
        <v>2.91</v>
      </c>
      <c r="Z38" s="306">
        <v>2.97</v>
      </c>
      <c r="AA38" s="306">
        <v>3.02</v>
      </c>
      <c r="AB38" s="306">
        <v>3.07</v>
      </c>
      <c r="AC38" s="306">
        <v>3.12</v>
      </c>
      <c r="AD38" s="306">
        <v>3.17</v>
      </c>
      <c r="AE38" s="306">
        <v>3.21</v>
      </c>
      <c r="AF38" s="306">
        <v>3.26</v>
      </c>
      <c r="AG38" s="306">
        <v>3.3</v>
      </c>
      <c r="AH38" s="306">
        <v>3.34</v>
      </c>
      <c r="AI38" s="306">
        <v>3.38</v>
      </c>
      <c r="AJ38" s="306">
        <v>3.41</v>
      </c>
      <c r="AK38" s="306">
        <v>3.45</v>
      </c>
      <c r="AL38" s="306">
        <v>3.48</v>
      </c>
      <c r="AM38" s="306">
        <v>3.51</v>
      </c>
      <c r="AN38" s="306">
        <v>3.54</v>
      </c>
      <c r="AO38" s="306">
        <v>3.57</v>
      </c>
      <c r="AP38" s="306">
        <v>3.59</v>
      </c>
      <c r="AQ38" s="306">
        <v>3.62</v>
      </c>
      <c r="AR38" s="306">
        <v>3.64</v>
      </c>
      <c r="AS38" s="306">
        <v>3.66</v>
      </c>
      <c r="AT38" s="306">
        <v>3.68</v>
      </c>
      <c r="AU38" s="306">
        <v>3.7</v>
      </c>
      <c r="AV38" s="306">
        <v>3.71</v>
      </c>
      <c r="AW38" s="306">
        <v>3.73</v>
      </c>
      <c r="AX38" s="306">
        <v>3.74</v>
      </c>
      <c r="AY38" s="306">
        <v>3.75</v>
      </c>
      <c r="AZ38" s="306">
        <v>3.76</v>
      </c>
      <c r="BA38" s="306">
        <v>3.77</v>
      </c>
      <c r="BB38" s="306">
        <v>3.78</v>
      </c>
      <c r="BC38" s="306">
        <v>3.78</v>
      </c>
      <c r="BD38" s="306">
        <v>3.79</v>
      </c>
      <c r="BE38" s="306">
        <v>3.79</v>
      </c>
      <c r="BF38" s="306">
        <v>3.8</v>
      </c>
      <c r="BG38" s="306">
        <v>3.8</v>
      </c>
      <c r="BH38" s="306">
        <v>3.8</v>
      </c>
      <c r="BI38" s="306">
        <v>3.8</v>
      </c>
      <c r="BJ38" s="306">
        <v>3.81</v>
      </c>
      <c r="BK38" s="306">
        <v>3.81</v>
      </c>
      <c r="BL38" s="306">
        <v>3.81</v>
      </c>
      <c r="BM38" s="306">
        <v>3.81</v>
      </c>
      <c r="BN38" s="306">
        <v>3.81</v>
      </c>
      <c r="BO38" s="306">
        <v>3.81</v>
      </c>
      <c r="BP38" s="306">
        <v>3.81</v>
      </c>
      <c r="BQ38" s="306">
        <v>3.81</v>
      </c>
      <c r="BR38" s="306">
        <v>3.81</v>
      </c>
      <c r="BS38" s="306">
        <v>3.81</v>
      </c>
      <c r="BT38" s="306">
        <v>3.81</v>
      </c>
      <c r="BU38" s="306">
        <v>3.81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M38" s="306">
        <v>0</v>
      </c>
      <c r="CN38" s="306">
        <v>0</v>
      </c>
      <c r="CO38" s="306">
        <v>0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</row>
    <row r="39" spans="3:102" x14ac:dyDescent="0.25">
      <c r="C39" s="305">
        <v>31</v>
      </c>
      <c r="D39" s="306">
        <v>1.77</v>
      </c>
      <c r="E39" s="306">
        <v>1.81</v>
      </c>
      <c r="F39" s="306">
        <v>1.84</v>
      </c>
      <c r="G39" s="306">
        <v>1.89</v>
      </c>
      <c r="H39" s="306">
        <v>1.93</v>
      </c>
      <c r="I39" s="306">
        <v>1.99</v>
      </c>
      <c r="J39" s="306">
        <v>2.0499999999999998</v>
      </c>
      <c r="K39" s="306">
        <v>2.11</v>
      </c>
      <c r="L39" s="306">
        <v>2.19</v>
      </c>
      <c r="M39" s="306">
        <v>2.27</v>
      </c>
      <c r="N39" s="306">
        <v>2.35</v>
      </c>
      <c r="O39" s="306">
        <v>2.4300000000000002</v>
      </c>
      <c r="P39" s="306">
        <v>2.5099999999999998</v>
      </c>
      <c r="Q39" s="306">
        <v>2.59</v>
      </c>
      <c r="R39" s="306">
        <v>2.67</v>
      </c>
      <c r="S39" s="306">
        <v>2.74</v>
      </c>
      <c r="T39" s="306">
        <v>2.81</v>
      </c>
      <c r="U39" s="306">
        <v>2.88</v>
      </c>
      <c r="V39" s="306">
        <v>2.94</v>
      </c>
      <c r="W39" s="306">
        <v>3</v>
      </c>
      <c r="X39" s="306">
        <v>3.07</v>
      </c>
      <c r="Y39" s="306">
        <v>3.13</v>
      </c>
      <c r="Z39" s="306">
        <v>3.19</v>
      </c>
      <c r="AA39" s="306">
        <v>3.24</v>
      </c>
      <c r="AB39" s="306">
        <v>3.3</v>
      </c>
      <c r="AC39" s="306">
        <v>3.35</v>
      </c>
      <c r="AD39" s="306">
        <v>3.41</v>
      </c>
      <c r="AE39" s="306">
        <v>3.45</v>
      </c>
      <c r="AF39" s="306">
        <v>3.5</v>
      </c>
      <c r="AG39" s="306">
        <v>3.55</v>
      </c>
      <c r="AH39" s="306">
        <v>3.59</v>
      </c>
      <c r="AI39" s="306">
        <v>3.63</v>
      </c>
      <c r="AJ39" s="306">
        <v>3.67</v>
      </c>
      <c r="AK39" s="306">
        <v>3.71</v>
      </c>
      <c r="AL39" s="306">
        <v>3.74</v>
      </c>
      <c r="AM39" s="306">
        <v>3.78</v>
      </c>
      <c r="AN39" s="306">
        <v>3.81</v>
      </c>
      <c r="AO39" s="306">
        <v>3.84</v>
      </c>
      <c r="AP39" s="306">
        <v>3.86</v>
      </c>
      <c r="AQ39" s="306">
        <v>3.89</v>
      </c>
      <c r="AR39" s="306">
        <v>3.91</v>
      </c>
      <c r="AS39" s="306">
        <v>3.93</v>
      </c>
      <c r="AT39" s="306">
        <v>3.95</v>
      </c>
      <c r="AU39" s="306">
        <v>3.97</v>
      </c>
      <c r="AV39" s="306">
        <v>3.99</v>
      </c>
      <c r="AW39" s="306">
        <v>4</v>
      </c>
      <c r="AX39" s="306">
        <v>4.0199999999999996</v>
      </c>
      <c r="AY39" s="306">
        <v>4.03</v>
      </c>
      <c r="AZ39" s="306">
        <v>4.04</v>
      </c>
      <c r="BA39" s="306">
        <v>4.05</v>
      </c>
      <c r="BB39" s="306">
        <v>4.05</v>
      </c>
      <c r="BC39" s="306">
        <v>4.0599999999999996</v>
      </c>
      <c r="BD39" s="306">
        <v>4.0599999999999996</v>
      </c>
      <c r="BE39" s="306">
        <v>4.07</v>
      </c>
      <c r="BF39" s="306">
        <v>4.07</v>
      </c>
      <c r="BG39" s="306">
        <v>4.08</v>
      </c>
      <c r="BH39" s="306">
        <v>4.08</v>
      </c>
      <c r="BI39" s="306">
        <v>4.08</v>
      </c>
      <c r="BJ39" s="306">
        <v>4.08</v>
      </c>
      <c r="BK39" s="306">
        <v>4.08</v>
      </c>
      <c r="BL39" s="306">
        <v>4.08</v>
      </c>
      <c r="BM39" s="306">
        <v>4.08</v>
      </c>
      <c r="BN39" s="306">
        <v>4.08</v>
      </c>
      <c r="BO39" s="306">
        <v>4.08</v>
      </c>
      <c r="BP39" s="306">
        <v>4.08</v>
      </c>
      <c r="BQ39" s="306">
        <v>4.08</v>
      </c>
      <c r="BR39" s="306">
        <v>4.08</v>
      </c>
      <c r="BS39" s="306">
        <v>4.08</v>
      </c>
      <c r="BT39" s="306">
        <v>4.08</v>
      </c>
      <c r="BU39" s="306">
        <v>0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M39" s="306">
        <v>0</v>
      </c>
      <c r="CN39" s="306">
        <v>0</v>
      </c>
      <c r="CO39" s="306">
        <v>0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</row>
    <row r="40" spans="3:102" x14ac:dyDescent="0.25">
      <c r="C40" s="305">
        <v>32</v>
      </c>
      <c r="D40" s="306">
        <v>1.84</v>
      </c>
      <c r="E40" s="306">
        <v>1.88</v>
      </c>
      <c r="F40" s="306">
        <v>1.93</v>
      </c>
      <c r="G40" s="306">
        <v>1.98</v>
      </c>
      <c r="H40" s="306">
        <v>2.0299999999999998</v>
      </c>
      <c r="I40" s="306">
        <v>2.1</v>
      </c>
      <c r="J40" s="306">
        <v>2.17</v>
      </c>
      <c r="K40" s="306">
        <v>2.25</v>
      </c>
      <c r="L40" s="306">
        <v>2.33</v>
      </c>
      <c r="M40" s="306">
        <v>2.42</v>
      </c>
      <c r="N40" s="306">
        <v>2.5099999999999998</v>
      </c>
      <c r="O40" s="306">
        <v>2.61</v>
      </c>
      <c r="P40" s="306">
        <v>2.69</v>
      </c>
      <c r="Q40" s="306">
        <v>2.78</v>
      </c>
      <c r="R40" s="306">
        <v>2.86</v>
      </c>
      <c r="S40" s="306">
        <v>2.94</v>
      </c>
      <c r="T40" s="306">
        <v>3.02</v>
      </c>
      <c r="U40" s="306">
        <v>3.09</v>
      </c>
      <c r="V40" s="306">
        <v>3.16</v>
      </c>
      <c r="W40" s="306">
        <v>3.23</v>
      </c>
      <c r="X40" s="306">
        <v>3.3</v>
      </c>
      <c r="Y40" s="306">
        <v>3.36</v>
      </c>
      <c r="Z40" s="306">
        <v>3.43</v>
      </c>
      <c r="AA40" s="306">
        <v>3.49</v>
      </c>
      <c r="AB40" s="306">
        <v>3.55</v>
      </c>
      <c r="AC40" s="306">
        <v>3.61</v>
      </c>
      <c r="AD40" s="306">
        <v>3.67</v>
      </c>
      <c r="AE40" s="306">
        <v>3.72</v>
      </c>
      <c r="AF40" s="306">
        <v>3.77</v>
      </c>
      <c r="AG40" s="306">
        <v>3.82</v>
      </c>
      <c r="AH40" s="306">
        <v>3.87</v>
      </c>
      <c r="AI40" s="306">
        <v>3.91</v>
      </c>
      <c r="AJ40" s="306">
        <v>3.95</v>
      </c>
      <c r="AK40" s="306">
        <v>4</v>
      </c>
      <c r="AL40" s="306">
        <v>4.03</v>
      </c>
      <c r="AM40" s="306">
        <v>4.07</v>
      </c>
      <c r="AN40" s="306">
        <v>4.0999999999999996</v>
      </c>
      <c r="AO40" s="306">
        <v>4.13</v>
      </c>
      <c r="AP40" s="306">
        <v>4.16</v>
      </c>
      <c r="AQ40" s="306">
        <v>4.1900000000000004</v>
      </c>
      <c r="AR40" s="306">
        <v>4.21</v>
      </c>
      <c r="AS40" s="306">
        <v>4.2300000000000004</v>
      </c>
      <c r="AT40" s="306">
        <v>4.26</v>
      </c>
      <c r="AU40" s="306">
        <v>4.2699999999999996</v>
      </c>
      <c r="AV40" s="306">
        <v>4.29</v>
      </c>
      <c r="AW40" s="306">
        <v>4.3099999999999996</v>
      </c>
      <c r="AX40" s="306">
        <v>4.32</v>
      </c>
      <c r="AY40" s="306">
        <v>4.33</v>
      </c>
      <c r="AZ40" s="306">
        <v>4.34</v>
      </c>
      <c r="BA40" s="306">
        <v>4.3499999999999996</v>
      </c>
      <c r="BB40" s="306">
        <v>4.3600000000000003</v>
      </c>
      <c r="BC40" s="306">
        <v>4.3600000000000003</v>
      </c>
      <c r="BD40" s="306">
        <v>4.37</v>
      </c>
      <c r="BE40" s="306">
        <v>4.37</v>
      </c>
      <c r="BF40" s="306">
        <v>4.37</v>
      </c>
      <c r="BG40" s="306">
        <v>4.38</v>
      </c>
      <c r="BH40" s="306">
        <v>4.38</v>
      </c>
      <c r="BI40" s="306">
        <v>4.38</v>
      </c>
      <c r="BJ40" s="306">
        <v>4.38</v>
      </c>
      <c r="BK40" s="306">
        <v>4.38</v>
      </c>
      <c r="BL40" s="306">
        <v>4.38</v>
      </c>
      <c r="BM40" s="306">
        <v>4.38</v>
      </c>
      <c r="BN40" s="306">
        <v>4.38</v>
      </c>
      <c r="BO40" s="306">
        <v>4.38</v>
      </c>
      <c r="BP40" s="306">
        <v>4.38</v>
      </c>
      <c r="BQ40" s="306">
        <v>4.38</v>
      </c>
      <c r="BR40" s="306">
        <v>4.38</v>
      </c>
      <c r="BS40" s="306">
        <v>4.38</v>
      </c>
      <c r="BT40" s="306">
        <v>0</v>
      </c>
      <c r="BU40" s="306">
        <v>0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M40" s="306">
        <v>0</v>
      </c>
      <c r="CN40" s="306">
        <v>0</v>
      </c>
      <c r="CO40" s="306">
        <v>0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</row>
    <row r="41" spans="3:102" x14ac:dyDescent="0.25">
      <c r="C41" s="305">
        <v>33</v>
      </c>
      <c r="D41" s="306">
        <v>1.92</v>
      </c>
      <c r="E41" s="306">
        <v>1.97</v>
      </c>
      <c r="F41" s="306">
        <v>2.02</v>
      </c>
      <c r="G41" s="306">
        <v>2.09</v>
      </c>
      <c r="H41" s="306">
        <v>2.16</v>
      </c>
      <c r="I41" s="306">
        <v>2.23</v>
      </c>
      <c r="J41" s="306">
        <v>2.31</v>
      </c>
      <c r="K41" s="306">
        <v>2.4</v>
      </c>
      <c r="L41" s="306">
        <v>2.4900000000000002</v>
      </c>
      <c r="M41" s="306">
        <v>2.59</v>
      </c>
      <c r="N41" s="306">
        <v>2.7</v>
      </c>
      <c r="O41" s="306">
        <v>2.8</v>
      </c>
      <c r="P41" s="306">
        <v>2.9</v>
      </c>
      <c r="Q41" s="306">
        <v>2.99</v>
      </c>
      <c r="R41" s="306">
        <v>3.08</v>
      </c>
      <c r="S41" s="306">
        <v>3.16</v>
      </c>
      <c r="T41" s="306">
        <v>3.25</v>
      </c>
      <c r="U41" s="306">
        <v>3.33</v>
      </c>
      <c r="V41" s="306">
        <v>3.4</v>
      </c>
      <c r="W41" s="306">
        <v>3.48</v>
      </c>
      <c r="X41" s="306">
        <v>3.55</v>
      </c>
      <c r="Y41" s="306">
        <v>3.63</v>
      </c>
      <c r="Z41" s="306">
        <v>3.7</v>
      </c>
      <c r="AA41" s="306">
        <v>3.77</v>
      </c>
      <c r="AB41" s="306">
        <v>3.83</v>
      </c>
      <c r="AC41" s="306">
        <v>3.9</v>
      </c>
      <c r="AD41" s="306">
        <v>3.96</v>
      </c>
      <c r="AE41" s="306">
        <v>4.0199999999999996</v>
      </c>
      <c r="AF41" s="306">
        <v>4.07</v>
      </c>
      <c r="AG41" s="306">
        <v>4.12</v>
      </c>
      <c r="AH41" s="306">
        <v>4.17</v>
      </c>
      <c r="AI41" s="306">
        <v>4.22</v>
      </c>
      <c r="AJ41" s="306">
        <v>4.2699999999999996</v>
      </c>
      <c r="AK41" s="306">
        <v>4.3099999999999996</v>
      </c>
      <c r="AL41" s="306">
        <v>4.3499999999999996</v>
      </c>
      <c r="AM41" s="306">
        <v>4.3899999999999997</v>
      </c>
      <c r="AN41" s="306">
        <v>4.42</v>
      </c>
      <c r="AO41" s="306">
        <v>4.46</v>
      </c>
      <c r="AP41" s="306">
        <v>4.49</v>
      </c>
      <c r="AQ41" s="306">
        <v>4.5199999999999996</v>
      </c>
      <c r="AR41" s="306">
        <v>4.54</v>
      </c>
      <c r="AS41" s="306">
        <v>4.57</v>
      </c>
      <c r="AT41" s="306">
        <v>4.59</v>
      </c>
      <c r="AU41" s="306">
        <v>4.6100000000000003</v>
      </c>
      <c r="AV41" s="306">
        <v>4.62</v>
      </c>
      <c r="AW41" s="306">
        <v>4.6399999999999997</v>
      </c>
      <c r="AX41" s="306">
        <v>4.6500000000000004</v>
      </c>
      <c r="AY41" s="306">
        <v>4.66</v>
      </c>
      <c r="AZ41" s="306">
        <v>4.67</v>
      </c>
      <c r="BA41" s="306">
        <v>4.68</v>
      </c>
      <c r="BB41" s="306">
        <v>4.6900000000000004</v>
      </c>
      <c r="BC41" s="306">
        <v>4.6900000000000004</v>
      </c>
      <c r="BD41" s="306">
        <v>4.7</v>
      </c>
      <c r="BE41" s="306">
        <v>4.7</v>
      </c>
      <c r="BF41" s="306">
        <v>4.7</v>
      </c>
      <c r="BG41" s="306">
        <v>4.71</v>
      </c>
      <c r="BH41" s="306">
        <v>4.71</v>
      </c>
      <c r="BI41" s="306">
        <v>4.71</v>
      </c>
      <c r="BJ41" s="306">
        <v>4.71</v>
      </c>
      <c r="BK41" s="306">
        <v>4.71</v>
      </c>
      <c r="BL41" s="306">
        <v>4.71</v>
      </c>
      <c r="BM41" s="306">
        <v>4.71</v>
      </c>
      <c r="BN41" s="306">
        <v>4.71</v>
      </c>
      <c r="BO41" s="306">
        <v>4.71</v>
      </c>
      <c r="BP41" s="306">
        <v>4.71</v>
      </c>
      <c r="BQ41" s="306">
        <v>4.71</v>
      </c>
      <c r="BR41" s="306">
        <v>4.71</v>
      </c>
      <c r="BS41" s="306">
        <v>0</v>
      </c>
      <c r="BT41" s="306">
        <v>0</v>
      </c>
      <c r="BU41" s="306">
        <v>0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M41" s="306">
        <v>0</v>
      </c>
      <c r="CN41" s="306">
        <v>0</v>
      </c>
      <c r="CO41" s="306">
        <v>0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</row>
    <row r="42" spans="3:102" x14ac:dyDescent="0.25">
      <c r="C42" s="305">
        <v>34</v>
      </c>
      <c r="D42" s="306">
        <v>2.02</v>
      </c>
      <c r="E42" s="306">
        <v>2.08</v>
      </c>
      <c r="F42" s="306">
        <v>2.15</v>
      </c>
      <c r="G42" s="306">
        <v>2.2200000000000002</v>
      </c>
      <c r="H42" s="306">
        <v>2.2999999999999998</v>
      </c>
      <c r="I42" s="306">
        <v>2.38</v>
      </c>
      <c r="J42" s="306">
        <v>2.48</v>
      </c>
      <c r="K42" s="306">
        <v>2.58</v>
      </c>
      <c r="L42" s="306">
        <v>2.68</v>
      </c>
      <c r="M42" s="306">
        <v>2.79</v>
      </c>
      <c r="N42" s="306">
        <v>2.91</v>
      </c>
      <c r="O42" s="306">
        <v>3.02</v>
      </c>
      <c r="P42" s="306">
        <v>3.12</v>
      </c>
      <c r="Q42" s="306">
        <v>3.22</v>
      </c>
      <c r="R42" s="306">
        <v>3.32</v>
      </c>
      <c r="S42" s="306">
        <v>3.41</v>
      </c>
      <c r="T42" s="306">
        <v>3.5</v>
      </c>
      <c r="U42" s="306">
        <v>3.59</v>
      </c>
      <c r="V42" s="306">
        <v>3.67</v>
      </c>
      <c r="W42" s="306">
        <v>3.76</v>
      </c>
      <c r="X42" s="306">
        <v>3.84</v>
      </c>
      <c r="Y42" s="306">
        <v>3.92</v>
      </c>
      <c r="Z42" s="306">
        <v>4</v>
      </c>
      <c r="AA42" s="306">
        <v>4.07</v>
      </c>
      <c r="AB42" s="306">
        <v>4.1399999999999997</v>
      </c>
      <c r="AC42" s="306">
        <v>4.21</v>
      </c>
      <c r="AD42" s="306">
        <v>4.28</v>
      </c>
      <c r="AE42" s="306">
        <v>4.34</v>
      </c>
      <c r="AF42" s="306">
        <v>4.4000000000000004</v>
      </c>
      <c r="AG42" s="306">
        <v>4.46</v>
      </c>
      <c r="AH42" s="306">
        <v>4.51</v>
      </c>
      <c r="AI42" s="306">
        <v>4.5599999999999996</v>
      </c>
      <c r="AJ42" s="306">
        <v>4.6100000000000003</v>
      </c>
      <c r="AK42" s="306">
        <v>4.66</v>
      </c>
      <c r="AL42" s="306">
        <v>4.7</v>
      </c>
      <c r="AM42" s="306">
        <v>4.74</v>
      </c>
      <c r="AN42" s="306">
        <v>4.78</v>
      </c>
      <c r="AO42" s="306">
        <v>4.8099999999999996</v>
      </c>
      <c r="AP42" s="306">
        <v>4.8499999999999996</v>
      </c>
      <c r="AQ42" s="306">
        <v>4.88</v>
      </c>
      <c r="AR42" s="306">
        <v>4.9000000000000004</v>
      </c>
      <c r="AS42" s="306">
        <v>4.93</v>
      </c>
      <c r="AT42" s="306">
        <v>4.95</v>
      </c>
      <c r="AU42" s="306">
        <v>4.97</v>
      </c>
      <c r="AV42" s="306">
        <v>4.99</v>
      </c>
      <c r="AW42" s="306">
        <v>5</v>
      </c>
      <c r="AX42" s="306">
        <v>5.01</v>
      </c>
      <c r="AY42" s="306">
        <v>5.03</v>
      </c>
      <c r="AZ42" s="306">
        <v>5.03</v>
      </c>
      <c r="BA42" s="306">
        <v>5.04</v>
      </c>
      <c r="BB42" s="306">
        <v>5.05</v>
      </c>
      <c r="BC42" s="306">
        <v>5.05</v>
      </c>
      <c r="BD42" s="306">
        <v>5.0599999999999996</v>
      </c>
      <c r="BE42" s="306">
        <v>5.0599999999999996</v>
      </c>
      <c r="BF42" s="306">
        <v>5.07</v>
      </c>
      <c r="BG42" s="306">
        <v>5.07</v>
      </c>
      <c r="BH42" s="306">
        <v>5.07</v>
      </c>
      <c r="BI42" s="306">
        <v>5.07</v>
      </c>
      <c r="BJ42" s="306">
        <v>5.07</v>
      </c>
      <c r="BK42" s="306">
        <v>5.07</v>
      </c>
      <c r="BL42" s="306">
        <v>5.07</v>
      </c>
      <c r="BM42" s="306">
        <v>5.07</v>
      </c>
      <c r="BN42" s="306">
        <v>5.07</v>
      </c>
      <c r="BO42" s="306">
        <v>5.07</v>
      </c>
      <c r="BP42" s="306">
        <v>5.07</v>
      </c>
      <c r="BQ42" s="306">
        <v>5.07</v>
      </c>
      <c r="BR42" s="306">
        <v>0</v>
      </c>
      <c r="BS42" s="306">
        <v>0</v>
      </c>
      <c r="BT42" s="306">
        <v>0</v>
      </c>
      <c r="BU42" s="306">
        <v>0</v>
      </c>
      <c r="BV42" s="306">
        <v>0</v>
      </c>
      <c r="BW42" s="306">
        <v>0</v>
      </c>
      <c r="BX42" s="306">
        <v>0</v>
      </c>
      <c r="BY42" s="306">
        <v>0</v>
      </c>
      <c r="BZ42" s="306">
        <v>0</v>
      </c>
      <c r="CA42" s="306">
        <v>0</v>
      </c>
      <c r="CB42" s="306">
        <v>0</v>
      </c>
      <c r="CC42" s="306">
        <v>0</v>
      </c>
      <c r="CD42" s="306">
        <v>0</v>
      </c>
      <c r="CE42" s="306">
        <v>0</v>
      </c>
      <c r="CF42" s="306">
        <v>0</v>
      </c>
      <c r="CG42" s="306">
        <v>0</v>
      </c>
      <c r="CH42" s="306">
        <v>0</v>
      </c>
      <c r="CI42" s="306">
        <v>0</v>
      </c>
      <c r="CJ42" s="306">
        <v>0</v>
      </c>
      <c r="CK42" s="306">
        <v>0</v>
      </c>
      <c r="CL42" s="306">
        <v>0</v>
      </c>
      <c r="CM42" s="306">
        <v>0</v>
      </c>
      <c r="CN42" s="306">
        <v>0</v>
      </c>
      <c r="CO42" s="306">
        <v>0</v>
      </c>
      <c r="CP42" s="306">
        <v>0</v>
      </c>
      <c r="CQ42" s="306">
        <v>0</v>
      </c>
      <c r="CR42" s="306">
        <v>0</v>
      </c>
      <c r="CS42" s="306">
        <v>0</v>
      </c>
      <c r="CT42" s="306">
        <v>0</v>
      </c>
      <c r="CU42" s="306">
        <v>0</v>
      </c>
      <c r="CV42" s="306">
        <v>0</v>
      </c>
      <c r="CW42" s="306">
        <v>0</v>
      </c>
      <c r="CX42" s="306">
        <v>0</v>
      </c>
    </row>
    <row r="43" spans="3:102" x14ac:dyDescent="0.25">
      <c r="C43" s="305">
        <v>35</v>
      </c>
      <c r="D43" s="306">
        <v>2.14</v>
      </c>
      <c r="E43" s="306">
        <v>2.21</v>
      </c>
      <c r="F43" s="306">
        <v>2.29</v>
      </c>
      <c r="G43" s="306">
        <v>2.37</v>
      </c>
      <c r="H43" s="306">
        <v>2.46</v>
      </c>
      <c r="I43" s="306">
        <v>2.56</v>
      </c>
      <c r="J43" s="306">
        <v>2.67</v>
      </c>
      <c r="K43" s="306">
        <v>2.78</v>
      </c>
      <c r="L43" s="306">
        <v>2.89</v>
      </c>
      <c r="M43" s="306">
        <v>3.01</v>
      </c>
      <c r="N43" s="306">
        <v>3.14</v>
      </c>
      <c r="O43" s="306">
        <v>3.26</v>
      </c>
      <c r="P43" s="306">
        <v>3.37</v>
      </c>
      <c r="Q43" s="306">
        <v>3.48</v>
      </c>
      <c r="R43" s="306">
        <v>3.58</v>
      </c>
      <c r="S43" s="306">
        <v>3.68</v>
      </c>
      <c r="T43" s="306">
        <v>3.78</v>
      </c>
      <c r="U43" s="306">
        <v>3.88</v>
      </c>
      <c r="V43" s="306">
        <v>3.97</v>
      </c>
      <c r="W43" s="306">
        <v>4.0599999999999996</v>
      </c>
      <c r="X43" s="306">
        <v>4.1500000000000004</v>
      </c>
      <c r="Y43" s="306">
        <v>4.24</v>
      </c>
      <c r="Z43" s="306">
        <v>4.33</v>
      </c>
      <c r="AA43" s="306">
        <v>4.41</v>
      </c>
      <c r="AB43" s="306">
        <v>4.4800000000000004</v>
      </c>
      <c r="AC43" s="306">
        <v>4.5599999999999996</v>
      </c>
      <c r="AD43" s="306">
        <v>4.63</v>
      </c>
      <c r="AE43" s="306">
        <v>4.7</v>
      </c>
      <c r="AF43" s="306">
        <v>4.76</v>
      </c>
      <c r="AG43" s="306">
        <v>4.82</v>
      </c>
      <c r="AH43" s="306">
        <v>4.88</v>
      </c>
      <c r="AI43" s="306">
        <v>4.9400000000000004</v>
      </c>
      <c r="AJ43" s="306">
        <v>4.99</v>
      </c>
      <c r="AK43" s="306">
        <v>5.04</v>
      </c>
      <c r="AL43" s="306">
        <v>5.09</v>
      </c>
      <c r="AM43" s="306">
        <v>5.13</v>
      </c>
      <c r="AN43" s="306">
        <v>5.17</v>
      </c>
      <c r="AO43" s="306">
        <v>5.2</v>
      </c>
      <c r="AP43" s="306">
        <v>5.24</v>
      </c>
      <c r="AQ43" s="306">
        <v>5.27</v>
      </c>
      <c r="AR43" s="306">
        <v>5.3</v>
      </c>
      <c r="AS43" s="306">
        <v>5.32</v>
      </c>
      <c r="AT43" s="306">
        <v>5.34</v>
      </c>
      <c r="AU43" s="306">
        <v>5.36</v>
      </c>
      <c r="AV43" s="306">
        <v>5.38</v>
      </c>
      <c r="AW43" s="306">
        <v>5.4</v>
      </c>
      <c r="AX43" s="306">
        <v>5.41</v>
      </c>
      <c r="AY43" s="306">
        <v>5.42</v>
      </c>
      <c r="AZ43" s="306">
        <v>5.43</v>
      </c>
      <c r="BA43" s="306">
        <v>5.44</v>
      </c>
      <c r="BB43" s="306">
        <v>5.44</v>
      </c>
      <c r="BC43" s="306">
        <v>5.45</v>
      </c>
      <c r="BD43" s="306">
        <v>5.45</v>
      </c>
      <c r="BE43" s="306">
        <v>5.45</v>
      </c>
      <c r="BF43" s="306">
        <v>5.46</v>
      </c>
      <c r="BG43" s="306">
        <v>5.46</v>
      </c>
      <c r="BH43" s="306">
        <v>5.46</v>
      </c>
      <c r="BI43" s="306">
        <v>5.46</v>
      </c>
      <c r="BJ43" s="306">
        <v>5.46</v>
      </c>
      <c r="BK43" s="306">
        <v>5.46</v>
      </c>
      <c r="BL43" s="306">
        <v>5.46</v>
      </c>
      <c r="BM43" s="306">
        <v>5.46</v>
      </c>
      <c r="BN43" s="306">
        <v>5.46</v>
      </c>
      <c r="BO43" s="306">
        <v>5.46</v>
      </c>
      <c r="BP43" s="306">
        <v>5.46</v>
      </c>
      <c r="BQ43" s="306">
        <v>0</v>
      </c>
      <c r="BR43" s="306">
        <v>0</v>
      </c>
      <c r="BS43" s="306">
        <v>0</v>
      </c>
      <c r="BT43" s="306">
        <v>0</v>
      </c>
      <c r="BU43" s="306">
        <v>0</v>
      </c>
      <c r="BV43" s="306">
        <v>0</v>
      </c>
      <c r="BW43" s="306">
        <v>0</v>
      </c>
      <c r="BX43" s="306">
        <v>0</v>
      </c>
      <c r="BY43" s="306">
        <v>0</v>
      </c>
      <c r="BZ43" s="306">
        <v>0</v>
      </c>
      <c r="CA43" s="306">
        <v>0</v>
      </c>
      <c r="CB43" s="306">
        <v>0</v>
      </c>
      <c r="CC43" s="306">
        <v>0</v>
      </c>
      <c r="CD43" s="306">
        <v>0</v>
      </c>
      <c r="CE43" s="306">
        <v>0</v>
      </c>
      <c r="CF43" s="306">
        <v>0</v>
      </c>
      <c r="CG43" s="306">
        <v>0</v>
      </c>
      <c r="CH43" s="306">
        <v>0</v>
      </c>
      <c r="CI43" s="306">
        <v>0</v>
      </c>
      <c r="CJ43" s="306">
        <v>0</v>
      </c>
      <c r="CK43" s="306">
        <v>0</v>
      </c>
      <c r="CL43" s="306">
        <v>0</v>
      </c>
      <c r="CM43" s="306">
        <v>0</v>
      </c>
      <c r="CN43" s="306">
        <v>0</v>
      </c>
      <c r="CO43" s="306">
        <v>0</v>
      </c>
      <c r="CP43" s="306">
        <v>0</v>
      </c>
      <c r="CQ43" s="306">
        <v>0</v>
      </c>
      <c r="CR43" s="306">
        <v>0</v>
      </c>
      <c r="CS43" s="306">
        <v>0</v>
      </c>
      <c r="CT43" s="306">
        <v>0</v>
      </c>
      <c r="CU43" s="306">
        <v>0</v>
      </c>
      <c r="CV43" s="306">
        <v>0</v>
      </c>
      <c r="CW43" s="306">
        <v>0</v>
      </c>
      <c r="CX43" s="306">
        <v>0</v>
      </c>
    </row>
    <row r="44" spans="3:102" x14ac:dyDescent="0.25">
      <c r="C44" s="305">
        <v>36</v>
      </c>
      <c r="D44" s="306">
        <v>2.29</v>
      </c>
      <c r="E44" s="306">
        <v>2.37</v>
      </c>
      <c r="F44" s="306">
        <v>2.46</v>
      </c>
      <c r="G44" s="306">
        <v>2.5499999999999998</v>
      </c>
      <c r="H44" s="306">
        <v>2.66</v>
      </c>
      <c r="I44" s="306">
        <v>2.76</v>
      </c>
      <c r="J44" s="306">
        <v>2.88</v>
      </c>
      <c r="K44" s="306">
        <v>3</v>
      </c>
      <c r="L44" s="306">
        <v>3.13</v>
      </c>
      <c r="M44" s="306">
        <v>3.26</v>
      </c>
      <c r="N44" s="306">
        <v>3.4</v>
      </c>
      <c r="O44" s="306">
        <v>3.52</v>
      </c>
      <c r="P44" s="306">
        <v>3.65</v>
      </c>
      <c r="Q44" s="306">
        <v>3.76</v>
      </c>
      <c r="R44" s="306">
        <v>3.87</v>
      </c>
      <c r="S44" s="306">
        <v>3.98</v>
      </c>
      <c r="T44" s="306">
        <v>4.09</v>
      </c>
      <c r="U44" s="306">
        <v>4.2</v>
      </c>
      <c r="V44" s="306">
        <v>4.3</v>
      </c>
      <c r="W44" s="306">
        <v>4.4000000000000004</v>
      </c>
      <c r="X44" s="306">
        <v>4.5</v>
      </c>
      <c r="Y44" s="306">
        <v>4.5999999999999996</v>
      </c>
      <c r="Z44" s="306">
        <v>4.6900000000000004</v>
      </c>
      <c r="AA44" s="306">
        <v>4.7699999999999996</v>
      </c>
      <c r="AB44" s="306">
        <v>4.8600000000000003</v>
      </c>
      <c r="AC44" s="306">
        <v>4.9400000000000004</v>
      </c>
      <c r="AD44" s="306">
        <v>5.01</v>
      </c>
      <c r="AE44" s="306">
        <v>5.09</v>
      </c>
      <c r="AF44" s="306">
        <v>5.16</v>
      </c>
      <c r="AG44" s="306">
        <v>5.23</v>
      </c>
      <c r="AH44" s="306">
        <v>5.29</v>
      </c>
      <c r="AI44" s="306">
        <v>5.35</v>
      </c>
      <c r="AJ44" s="306">
        <v>5.4</v>
      </c>
      <c r="AK44" s="306">
        <v>5.46</v>
      </c>
      <c r="AL44" s="306">
        <v>5.5</v>
      </c>
      <c r="AM44" s="306">
        <v>5.55</v>
      </c>
      <c r="AN44" s="306">
        <v>5.59</v>
      </c>
      <c r="AO44" s="306">
        <v>5.63</v>
      </c>
      <c r="AP44" s="306">
        <v>5.66</v>
      </c>
      <c r="AQ44" s="306">
        <v>5.7</v>
      </c>
      <c r="AR44" s="306">
        <v>5.73</v>
      </c>
      <c r="AS44" s="306">
        <v>5.75</v>
      </c>
      <c r="AT44" s="306">
        <v>5.77</v>
      </c>
      <c r="AU44" s="306">
        <v>5.79</v>
      </c>
      <c r="AV44" s="306">
        <v>5.81</v>
      </c>
      <c r="AW44" s="306">
        <v>5.83</v>
      </c>
      <c r="AX44" s="306">
        <v>5.84</v>
      </c>
      <c r="AY44" s="306">
        <v>5.85</v>
      </c>
      <c r="AZ44" s="306">
        <v>5.86</v>
      </c>
      <c r="BA44" s="306">
        <v>5.86</v>
      </c>
      <c r="BB44" s="306">
        <v>5.87</v>
      </c>
      <c r="BC44" s="306">
        <v>5.87</v>
      </c>
      <c r="BD44" s="306">
        <v>5.88</v>
      </c>
      <c r="BE44" s="306">
        <v>5.88</v>
      </c>
      <c r="BF44" s="306">
        <v>5.88</v>
      </c>
      <c r="BG44" s="306">
        <v>5.88</v>
      </c>
      <c r="BH44" s="306">
        <v>5.88</v>
      </c>
      <c r="BI44" s="306">
        <v>5.88</v>
      </c>
      <c r="BJ44" s="306">
        <v>5.89</v>
      </c>
      <c r="BK44" s="306">
        <v>5.89</v>
      </c>
      <c r="BL44" s="306">
        <v>5.89</v>
      </c>
      <c r="BM44" s="306">
        <v>5.89</v>
      </c>
      <c r="BN44" s="306">
        <v>5.89</v>
      </c>
      <c r="BO44" s="306">
        <v>5.89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306">
        <v>0</v>
      </c>
      <c r="BY44" s="306">
        <v>0</v>
      </c>
      <c r="BZ44" s="306">
        <v>0</v>
      </c>
      <c r="CA44" s="306">
        <v>0</v>
      </c>
      <c r="CB44" s="306">
        <v>0</v>
      </c>
      <c r="CC44" s="306">
        <v>0</v>
      </c>
      <c r="CD44" s="306">
        <v>0</v>
      </c>
      <c r="CE44" s="306">
        <v>0</v>
      </c>
      <c r="CF44" s="306">
        <v>0</v>
      </c>
      <c r="CG44" s="306">
        <v>0</v>
      </c>
      <c r="CH44" s="306">
        <v>0</v>
      </c>
      <c r="CI44" s="306">
        <v>0</v>
      </c>
      <c r="CJ44" s="306">
        <v>0</v>
      </c>
      <c r="CK44" s="306">
        <v>0</v>
      </c>
      <c r="CL44" s="306">
        <v>0</v>
      </c>
      <c r="CM44" s="306">
        <v>0</v>
      </c>
      <c r="CN44" s="306">
        <v>0</v>
      </c>
      <c r="CO44" s="306">
        <v>0</v>
      </c>
      <c r="CP44" s="306">
        <v>0</v>
      </c>
      <c r="CQ44" s="306">
        <v>0</v>
      </c>
      <c r="CR44" s="306">
        <v>0</v>
      </c>
      <c r="CS44" s="306">
        <v>0</v>
      </c>
      <c r="CT44" s="306">
        <v>0</v>
      </c>
      <c r="CU44" s="306">
        <v>0</v>
      </c>
      <c r="CV44" s="306">
        <v>0</v>
      </c>
      <c r="CW44" s="306">
        <v>0</v>
      </c>
      <c r="CX44" s="306">
        <v>0</v>
      </c>
    </row>
    <row r="45" spans="3:102" x14ac:dyDescent="0.25">
      <c r="C45" s="305">
        <v>37</v>
      </c>
      <c r="D45" s="306">
        <v>2.4500000000000002</v>
      </c>
      <c r="E45" s="306">
        <v>2.5499999999999998</v>
      </c>
      <c r="F45" s="306">
        <v>2.65</v>
      </c>
      <c r="G45" s="306">
        <v>2.76</v>
      </c>
      <c r="H45" s="306">
        <v>2.87</v>
      </c>
      <c r="I45" s="306">
        <v>2.99</v>
      </c>
      <c r="J45" s="306">
        <v>3.12</v>
      </c>
      <c r="K45" s="306">
        <v>3.25</v>
      </c>
      <c r="L45" s="306">
        <v>3.39</v>
      </c>
      <c r="M45" s="306">
        <v>3.53</v>
      </c>
      <c r="N45" s="306">
        <v>3.67</v>
      </c>
      <c r="O45" s="306">
        <v>3.81</v>
      </c>
      <c r="P45" s="306">
        <v>3.94</v>
      </c>
      <c r="Q45" s="306">
        <v>4.07</v>
      </c>
      <c r="R45" s="306">
        <v>4.1900000000000004</v>
      </c>
      <c r="S45" s="306">
        <v>4.3099999999999996</v>
      </c>
      <c r="T45" s="306">
        <v>4.43</v>
      </c>
      <c r="U45" s="306">
        <v>4.55</v>
      </c>
      <c r="V45" s="306">
        <v>4.66</v>
      </c>
      <c r="W45" s="306">
        <v>4.7699999999999996</v>
      </c>
      <c r="X45" s="306">
        <v>4.88</v>
      </c>
      <c r="Y45" s="306">
        <v>4.9800000000000004</v>
      </c>
      <c r="Z45" s="306">
        <v>5.08</v>
      </c>
      <c r="AA45" s="306">
        <v>5.17</v>
      </c>
      <c r="AB45" s="306">
        <v>5.26</v>
      </c>
      <c r="AC45" s="306">
        <v>5.35</v>
      </c>
      <c r="AD45" s="306">
        <v>5.43</v>
      </c>
      <c r="AE45" s="306">
        <v>5.51</v>
      </c>
      <c r="AF45" s="306">
        <v>5.59</v>
      </c>
      <c r="AG45" s="306">
        <v>5.66</v>
      </c>
      <c r="AH45" s="306">
        <v>5.73</v>
      </c>
      <c r="AI45" s="306">
        <v>5.79</v>
      </c>
      <c r="AJ45" s="306">
        <v>5.85</v>
      </c>
      <c r="AK45" s="306">
        <v>5.91</v>
      </c>
      <c r="AL45" s="306">
        <v>5.96</v>
      </c>
      <c r="AM45" s="306">
        <v>6.01</v>
      </c>
      <c r="AN45" s="306">
        <v>6.05</v>
      </c>
      <c r="AO45" s="306">
        <v>6.09</v>
      </c>
      <c r="AP45" s="306">
        <v>6.13</v>
      </c>
      <c r="AQ45" s="306">
        <v>6.16</v>
      </c>
      <c r="AR45" s="306">
        <v>6.19</v>
      </c>
      <c r="AS45" s="306">
        <v>6.22</v>
      </c>
      <c r="AT45" s="306">
        <v>6.24</v>
      </c>
      <c r="AU45" s="306">
        <v>6.26</v>
      </c>
      <c r="AV45" s="306">
        <v>6.28</v>
      </c>
      <c r="AW45" s="306">
        <v>6.29</v>
      </c>
      <c r="AX45" s="306">
        <v>6.3</v>
      </c>
      <c r="AY45" s="306">
        <v>6.31</v>
      </c>
      <c r="AZ45" s="306">
        <v>6.32</v>
      </c>
      <c r="BA45" s="306">
        <v>6.33</v>
      </c>
      <c r="BB45" s="306">
        <v>6.33</v>
      </c>
      <c r="BC45" s="306">
        <v>6.34</v>
      </c>
      <c r="BD45" s="306">
        <v>6.34</v>
      </c>
      <c r="BE45" s="306">
        <v>6.34</v>
      </c>
      <c r="BF45" s="306">
        <v>6.34</v>
      </c>
      <c r="BG45" s="306">
        <v>6.34</v>
      </c>
      <c r="BH45" s="306">
        <v>6.34</v>
      </c>
      <c r="BI45" s="306">
        <v>6.34</v>
      </c>
      <c r="BJ45" s="306">
        <v>6.34</v>
      </c>
      <c r="BK45" s="306">
        <v>6.34</v>
      </c>
      <c r="BL45" s="306">
        <v>6.35</v>
      </c>
      <c r="BM45" s="306">
        <v>6.35</v>
      </c>
      <c r="BN45" s="306">
        <v>6.35</v>
      </c>
      <c r="BO45" s="306">
        <v>0</v>
      </c>
      <c r="BP45" s="306">
        <v>0</v>
      </c>
      <c r="BQ45" s="306">
        <v>0</v>
      </c>
      <c r="BR45" s="306">
        <v>0</v>
      </c>
      <c r="BS45" s="306">
        <v>0</v>
      </c>
      <c r="BT45" s="306">
        <v>0</v>
      </c>
      <c r="BU45" s="306">
        <v>0</v>
      </c>
      <c r="BV45" s="306">
        <v>0</v>
      </c>
      <c r="BW45" s="306">
        <v>0</v>
      </c>
      <c r="BX45" s="306">
        <v>0</v>
      </c>
      <c r="BY45" s="306">
        <v>0</v>
      </c>
      <c r="BZ45" s="306">
        <v>0</v>
      </c>
      <c r="CA45" s="306">
        <v>0</v>
      </c>
      <c r="CB45" s="306">
        <v>0</v>
      </c>
      <c r="CC45" s="306">
        <v>0</v>
      </c>
      <c r="CD45" s="306">
        <v>0</v>
      </c>
      <c r="CE45" s="306">
        <v>0</v>
      </c>
      <c r="CF45" s="306">
        <v>0</v>
      </c>
      <c r="CG45" s="306">
        <v>0</v>
      </c>
      <c r="CH45" s="306">
        <v>0</v>
      </c>
      <c r="CI45" s="306">
        <v>0</v>
      </c>
      <c r="CJ45" s="306">
        <v>0</v>
      </c>
      <c r="CK45" s="306">
        <v>0</v>
      </c>
      <c r="CL45" s="306">
        <v>0</v>
      </c>
      <c r="CM45" s="306">
        <v>0</v>
      </c>
      <c r="CN45" s="306">
        <v>0</v>
      </c>
      <c r="CO45" s="306">
        <v>0</v>
      </c>
      <c r="CP45" s="306">
        <v>0</v>
      </c>
      <c r="CQ45" s="306">
        <v>0</v>
      </c>
      <c r="CR45" s="306">
        <v>0</v>
      </c>
      <c r="CS45" s="306">
        <v>0</v>
      </c>
      <c r="CT45" s="306">
        <v>0</v>
      </c>
      <c r="CU45" s="306">
        <v>0</v>
      </c>
      <c r="CV45" s="306">
        <v>0</v>
      </c>
      <c r="CW45" s="306">
        <v>0</v>
      </c>
      <c r="CX45" s="306">
        <v>0</v>
      </c>
    </row>
    <row r="46" spans="3:102" x14ac:dyDescent="0.25">
      <c r="C46" s="305">
        <v>38</v>
      </c>
      <c r="D46" s="306">
        <v>2.64</v>
      </c>
      <c r="E46" s="306">
        <v>2.75</v>
      </c>
      <c r="F46" s="306">
        <v>2.86</v>
      </c>
      <c r="G46" s="306">
        <v>2.98</v>
      </c>
      <c r="H46" s="306">
        <v>3.11</v>
      </c>
      <c r="I46" s="306">
        <v>3.24</v>
      </c>
      <c r="J46" s="306">
        <v>3.38</v>
      </c>
      <c r="K46" s="306">
        <v>3.52</v>
      </c>
      <c r="L46" s="306">
        <v>3.67</v>
      </c>
      <c r="M46" s="306">
        <v>3.82</v>
      </c>
      <c r="N46" s="306">
        <v>3.98</v>
      </c>
      <c r="O46" s="306">
        <v>4.13</v>
      </c>
      <c r="P46" s="306">
        <v>4.2699999999999996</v>
      </c>
      <c r="Q46" s="306">
        <v>4.41</v>
      </c>
      <c r="R46" s="306">
        <v>4.54</v>
      </c>
      <c r="S46" s="306">
        <v>4.67</v>
      </c>
      <c r="T46" s="306">
        <v>4.8099999999999996</v>
      </c>
      <c r="U46" s="306">
        <v>4.93</v>
      </c>
      <c r="V46" s="306">
        <v>5.0599999999999996</v>
      </c>
      <c r="W46" s="306">
        <v>5.18</v>
      </c>
      <c r="X46" s="306">
        <v>5.29</v>
      </c>
      <c r="Y46" s="306">
        <v>5.4</v>
      </c>
      <c r="Z46" s="306">
        <v>5.51</v>
      </c>
      <c r="AA46" s="306">
        <v>5.61</v>
      </c>
      <c r="AB46" s="306">
        <v>5.71</v>
      </c>
      <c r="AC46" s="306">
        <v>5.8</v>
      </c>
      <c r="AD46" s="306">
        <v>5.89</v>
      </c>
      <c r="AE46" s="306">
        <v>5.98</v>
      </c>
      <c r="AF46" s="306">
        <v>6.06</v>
      </c>
      <c r="AG46" s="306">
        <v>6.14</v>
      </c>
      <c r="AH46" s="306">
        <v>6.21</v>
      </c>
      <c r="AI46" s="306">
        <v>6.28</v>
      </c>
      <c r="AJ46" s="306">
        <v>6.34</v>
      </c>
      <c r="AK46" s="306">
        <v>6.4</v>
      </c>
      <c r="AL46" s="306">
        <v>6.45</v>
      </c>
      <c r="AM46" s="306">
        <v>6.5</v>
      </c>
      <c r="AN46" s="306">
        <v>6.55</v>
      </c>
      <c r="AO46" s="306">
        <v>6.59</v>
      </c>
      <c r="AP46" s="306">
        <v>6.63</v>
      </c>
      <c r="AQ46" s="306">
        <v>6.66</v>
      </c>
      <c r="AR46" s="306">
        <v>6.69</v>
      </c>
      <c r="AS46" s="306">
        <v>6.72</v>
      </c>
      <c r="AT46" s="306">
        <v>6.74</v>
      </c>
      <c r="AU46" s="306">
        <v>6.76</v>
      </c>
      <c r="AV46" s="306">
        <v>6.78</v>
      </c>
      <c r="AW46" s="306">
        <v>6.79</v>
      </c>
      <c r="AX46" s="306">
        <v>6.8</v>
      </c>
      <c r="AY46" s="306">
        <v>6.81</v>
      </c>
      <c r="AZ46" s="306">
        <v>6.82</v>
      </c>
      <c r="BA46" s="306">
        <v>6.83</v>
      </c>
      <c r="BB46" s="306">
        <v>6.83</v>
      </c>
      <c r="BC46" s="306">
        <v>6.83</v>
      </c>
      <c r="BD46" s="306">
        <v>6.84</v>
      </c>
      <c r="BE46" s="306">
        <v>6.84</v>
      </c>
      <c r="BF46" s="306">
        <v>6.84</v>
      </c>
      <c r="BG46" s="306">
        <v>6.84</v>
      </c>
      <c r="BH46" s="306">
        <v>6.84</v>
      </c>
      <c r="BI46" s="306">
        <v>6.84</v>
      </c>
      <c r="BJ46" s="306">
        <v>6.84</v>
      </c>
      <c r="BK46" s="306">
        <v>6.84</v>
      </c>
      <c r="BL46" s="306">
        <v>6.84</v>
      </c>
      <c r="BM46" s="306">
        <v>6.84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>
        <v>0</v>
      </c>
      <c r="BT46" s="306">
        <v>0</v>
      </c>
      <c r="BU46" s="306">
        <v>0</v>
      </c>
      <c r="BV46" s="306">
        <v>0</v>
      </c>
      <c r="BW46" s="306">
        <v>0</v>
      </c>
      <c r="BX46" s="306">
        <v>0</v>
      </c>
      <c r="BY46" s="306">
        <v>0</v>
      </c>
      <c r="BZ46" s="306">
        <v>0</v>
      </c>
      <c r="CA46" s="306">
        <v>0</v>
      </c>
      <c r="CB46" s="306">
        <v>0</v>
      </c>
      <c r="CC46" s="306">
        <v>0</v>
      </c>
      <c r="CD46" s="306">
        <v>0</v>
      </c>
      <c r="CE46" s="306">
        <v>0</v>
      </c>
      <c r="CF46" s="306">
        <v>0</v>
      </c>
      <c r="CG46" s="306">
        <v>0</v>
      </c>
      <c r="CH46" s="306">
        <v>0</v>
      </c>
      <c r="CI46" s="306">
        <v>0</v>
      </c>
      <c r="CJ46" s="306">
        <v>0</v>
      </c>
      <c r="CK46" s="306">
        <v>0</v>
      </c>
      <c r="CL46" s="306">
        <v>0</v>
      </c>
      <c r="CM46" s="306">
        <v>0</v>
      </c>
      <c r="CN46" s="306">
        <v>0</v>
      </c>
      <c r="CO46" s="306">
        <v>0</v>
      </c>
      <c r="CP46" s="306">
        <v>0</v>
      </c>
      <c r="CQ46" s="306">
        <v>0</v>
      </c>
      <c r="CR46" s="306">
        <v>0</v>
      </c>
      <c r="CS46" s="306">
        <v>0</v>
      </c>
      <c r="CT46" s="306">
        <v>0</v>
      </c>
      <c r="CU46" s="306">
        <v>0</v>
      </c>
      <c r="CV46" s="306">
        <v>0</v>
      </c>
      <c r="CW46" s="306">
        <v>0</v>
      </c>
      <c r="CX46" s="306">
        <v>0</v>
      </c>
    </row>
    <row r="47" spans="3:102" x14ac:dyDescent="0.25">
      <c r="C47" s="305">
        <v>39</v>
      </c>
      <c r="D47" s="306">
        <v>2.86</v>
      </c>
      <c r="E47" s="306">
        <v>2.98</v>
      </c>
      <c r="F47" s="306">
        <v>3.1</v>
      </c>
      <c r="G47" s="306">
        <v>3.24</v>
      </c>
      <c r="H47" s="306">
        <v>3.37</v>
      </c>
      <c r="I47" s="306">
        <v>3.52</v>
      </c>
      <c r="J47" s="306">
        <v>3.66</v>
      </c>
      <c r="K47" s="306">
        <v>3.82</v>
      </c>
      <c r="L47" s="306">
        <v>3.97</v>
      </c>
      <c r="M47" s="306">
        <v>4.1399999999999997</v>
      </c>
      <c r="N47" s="306">
        <v>4.3099999999999996</v>
      </c>
      <c r="O47" s="306">
        <v>4.47</v>
      </c>
      <c r="P47" s="306">
        <v>4.62</v>
      </c>
      <c r="Q47" s="306">
        <v>4.78</v>
      </c>
      <c r="R47" s="306">
        <v>4.92</v>
      </c>
      <c r="S47" s="306">
        <v>5.07</v>
      </c>
      <c r="T47" s="306">
        <v>5.22</v>
      </c>
      <c r="U47" s="306">
        <v>5.35</v>
      </c>
      <c r="V47" s="306">
        <v>5.49</v>
      </c>
      <c r="W47" s="306">
        <v>5.62</v>
      </c>
      <c r="X47" s="306">
        <v>5.74</v>
      </c>
      <c r="Y47" s="306">
        <v>5.86</v>
      </c>
      <c r="Z47" s="306">
        <v>5.98</v>
      </c>
      <c r="AA47" s="306">
        <v>6.09</v>
      </c>
      <c r="AB47" s="306">
        <v>6.2</v>
      </c>
      <c r="AC47" s="306">
        <v>6.3</v>
      </c>
      <c r="AD47" s="306">
        <v>6.4</v>
      </c>
      <c r="AE47" s="306">
        <v>6.49</v>
      </c>
      <c r="AF47" s="306">
        <v>6.58</v>
      </c>
      <c r="AG47" s="306">
        <v>6.66</v>
      </c>
      <c r="AH47" s="306">
        <v>6.73</v>
      </c>
      <c r="AI47" s="306">
        <v>6.81</v>
      </c>
      <c r="AJ47" s="306">
        <v>6.87</v>
      </c>
      <c r="AK47" s="306">
        <v>6.93</v>
      </c>
      <c r="AL47" s="306">
        <v>6.99</v>
      </c>
      <c r="AM47" s="306">
        <v>7.04</v>
      </c>
      <c r="AN47" s="306">
        <v>7.09</v>
      </c>
      <c r="AO47" s="306">
        <v>7.14</v>
      </c>
      <c r="AP47" s="306">
        <v>7.17</v>
      </c>
      <c r="AQ47" s="306">
        <v>7.21</v>
      </c>
      <c r="AR47" s="306">
        <v>7.24</v>
      </c>
      <c r="AS47" s="306">
        <v>7.26</v>
      </c>
      <c r="AT47" s="306">
        <v>7.29</v>
      </c>
      <c r="AU47" s="306">
        <v>7.3</v>
      </c>
      <c r="AV47" s="306">
        <v>7.32</v>
      </c>
      <c r="AW47" s="306">
        <v>7.33</v>
      </c>
      <c r="AX47" s="306">
        <v>7.34</v>
      </c>
      <c r="AY47" s="306">
        <v>7.35</v>
      </c>
      <c r="AZ47" s="306">
        <v>7.36</v>
      </c>
      <c r="BA47" s="306">
        <v>7.36</v>
      </c>
      <c r="BB47" s="306">
        <v>7.37</v>
      </c>
      <c r="BC47" s="306">
        <v>7.37</v>
      </c>
      <c r="BD47" s="306">
        <v>7.37</v>
      </c>
      <c r="BE47" s="306">
        <v>7.38</v>
      </c>
      <c r="BF47" s="306">
        <v>7.38</v>
      </c>
      <c r="BG47" s="306">
        <v>7.38</v>
      </c>
      <c r="BH47" s="306">
        <v>7.38</v>
      </c>
      <c r="BI47" s="306">
        <v>7.38</v>
      </c>
      <c r="BJ47" s="306">
        <v>7.38</v>
      </c>
      <c r="BK47" s="306">
        <v>7.38</v>
      </c>
      <c r="BL47" s="306">
        <v>7.38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>
        <v>0</v>
      </c>
      <c r="BT47" s="306">
        <v>0</v>
      </c>
      <c r="BU47" s="306">
        <v>0</v>
      </c>
      <c r="BV47" s="306">
        <v>0</v>
      </c>
      <c r="BW47" s="306">
        <v>0</v>
      </c>
      <c r="BX47" s="306">
        <v>0</v>
      </c>
      <c r="BY47" s="306">
        <v>0</v>
      </c>
      <c r="BZ47" s="306">
        <v>0</v>
      </c>
      <c r="CA47" s="306">
        <v>0</v>
      </c>
      <c r="CB47" s="306">
        <v>0</v>
      </c>
      <c r="CC47" s="306">
        <v>0</v>
      </c>
      <c r="CD47" s="306">
        <v>0</v>
      </c>
      <c r="CE47" s="306">
        <v>0</v>
      </c>
      <c r="CF47" s="306">
        <v>0</v>
      </c>
      <c r="CG47" s="306">
        <v>0</v>
      </c>
      <c r="CH47" s="306">
        <v>0</v>
      </c>
      <c r="CI47" s="306">
        <v>0</v>
      </c>
      <c r="CJ47" s="306">
        <v>0</v>
      </c>
      <c r="CK47" s="306">
        <v>0</v>
      </c>
      <c r="CL47" s="306">
        <v>0</v>
      </c>
      <c r="CM47" s="306">
        <v>0</v>
      </c>
      <c r="CN47" s="306">
        <v>0</v>
      </c>
      <c r="CO47" s="306">
        <v>0</v>
      </c>
      <c r="CP47" s="306">
        <v>0</v>
      </c>
      <c r="CQ47" s="306">
        <v>0</v>
      </c>
      <c r="CR47" s="306">
        <v>0</v>
      </c>
      <c r="CS47" s="306">
        <v>0</v>
      </c>
      <c r="CT47" s="306">
        <v>0</v>
      </c>
      <c r="CU47" s="306">
        <v>0</v>
      </c>
      <c r="CV47" s="306">
        <v>0</v>
      </c>
      <c r="CW47" s="306">
        <v>0</v>
      </c>
      <c r="CX47" s="306">
        <v>0</v>
      </c>
    </row>
    <row r="48" spans="3:102" x14ac:dyDescent="0.25">
      <c r="C48" s="305">
        <v>40</v>
      </c>
      <c r="D48" s="306">
        <v>3.1</v>
      </c>
      <c r="E48" s="306">
        <v>3.23</v>
      </c>
      <c r="F48" s="306">
        <v>3.37</v>
      </c>
      <c r="G48" s="306">
        <v>3.51</v>
      </c>
      <c r="H48" s="306">
        <v>3.66</v>
      </c>
      <c r="I48" s="306">
        <v>3.81</v>
      </c>
      <c r="J48" s="306">
        <v>3.97</v>
      </c>
      <c r="K48" s="306">
        <v>4.1399999999999997</v>
      </c>
      <c r="L48" s="306">
        <v>4.3</v>
      </c>
      <c r="M48" s="306">
        <v>4.4800000000000004</v>
      </c>
      <c r="N48" s="306">
        <v>4.66</v>
      </c>
      <c r="O48" s="306">
        <v>4.84</v>
      </c>
      <c r="P48" s="306">
        <v>5.01</v>
      </c>
      <c r="Q48" s="306">
        <v>5.18</v>
      </c>
      <c r="R48" s="306">
        <v>5.35</v>
      </c>
      <c r="S48" s="306">
        <v>5.51</v>
      </c>
      <c r="T48" s="306">
        <v>5.66</v>
      </c>
      <c r="U48" s="306">
        <v>5.82</v>
      </c>
      <c r="V48" s="306">
        <v>5.96</v>
      </c>
      <c r="W48" s="306">
        <v>6.1</v>
      </c>
      <c r="X48" s="306">
        <v>6.24</v>
      </c>
      <c r="Y48" s="306">
        <v>6.36</v>
      </c>
      <c r="Z48" s="306">
        <v>6.49</v>
      </c>
      <c r="AA48" s="306">
        <v>6.61</v>
      </c>
      <c r="AB48" s="306">
        <v>6.73</v>
      </c>
      <c r="AC48" s="306">
        <v>6.84</v>
      </c>
      <c r="AD48" s="306">
        <v>6.94</v>
      </c>
      <c r="AE48" s="306">
        <v>7.04</v>
      </c>
      <c r="AF48" s="306">
        <v>7.13</v>
      </c>
      <c r="AG48" s="306">
        <v>7.22</v>
      </c>
      <c r="AH48" s="306">
        <v>7.3</v>
      </c>
      <c r="AI48" s="306">
        <v>7.38</v>
      </c>
      <c r="AJ48" s="306">
        <v>7.45</v>
      </c>
      <c r="AK48" s="306">
        <v>7.51</v>
      </c>
      <c r="AL48" s="306">
        <v>7.57</v>
      </c>
      <c r="AM48" s="306">
        <v>7.63</v>
      </c>
      <c r="AN48" s="306">
        <v>7.68</v>
      </c>
      <c r="AO48" s="306">
        <v>7.72</v>
      </c>
      <c r="AP48" s="306">
        <v>7.76</v>
      </c>
      <c r="AQ48" s="306">
        <v>7.8</v>
      </c>
      <c r="AR48" s="306">
        <v>7.83</v>
      </c>
      <c r="AS48" s="306">
        <v>7.85</v>
      </c>
      <c r="AT48" s="306">
        <v>7.87</v>
      </c>
      <c r="AU48" s="306">
        <v>7.89</v>
      </c>
      <c r="AV48" s="306">
        <v>7.91</v>
      </c>
      <c r="AW48" s="306">
        <v>7.92</v>
      </c>
      <c r="AX48" s="306">
        <v>7.93</v>
      </c>
      <c r="AY48" s="306">
        <v>7.94</v>
      </c>
      <c r="AZ48" s="306">
        <v>7.94</v>
      </c>
      <c r="BA48" s="306">
        <v>7.95</v>
      </c>
      <c r="BB48" s="306">
        <v>7.95</v>
      </c>
      <c r="BC48" s="306">
        <v>7.95</v>
      </c>
      <c r="BD48" s="306">
        <v>7.95</v>
      </c>
      <c r="BE48" s="306">
        <v>7.95</v>
      </c>
      <c r="BF48" s="306">
        <v>7.96</v>
      </c>
      <c r="BG48" s="306">
        <v>7.96</v>
      </c>
      <c r="BH48" s="306">
        <v>7.96</v>
      </c>
      <c r="BI48" s="306">
        <v>7.96</v>
      </c>
      <c r="BJ48" s="306">
        <v>7.96</v>
      </c>
      <c r="BK48" s="306">
        <v>7.96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>
        <v>0</v>
      </c>
      <c r="BT48" s="306">
        <v>0</v>
      </c>
      <c r="BU48" s="306">
        <v>0</v>
      </c>
      <c r="BV48" s="306">
        <v>0</v>
      </c>
      <c r="BW48" s="306">
        <v>0</v>
      </c>
      <c r="BX48" s="306">
        <v>0</v>
      </c>
      <c r="BY48" s="306">
        <v>0</v>
      </c>
      <c r="BZ48" s="306">
        <v>0</v>
      </c>
      <c r="CA48" s="306">
        <v>0</v>
      </c>
      <c r="CB48" s="306">
        <v>0</v>
      </c>
      <c r="CC48" s="306">
        <v>0</v>
      </c>
      <c r="CD48" s="306">
        <v>0</v>
      </c>
      <c r="CE48" s="306">
        <v>0</v>
      </c>
      <c r="CF48" s="306">
        <v>0</v>
      </c>
      <c r="CG48" s="306">
        <v>0</v>
      </c>
      <c r="CH48" s="306">
        <v>0</v>
      </c>
      <c r="CI48" s="306">
        <v>0</v>
      </c>
      <c r="CJ48" s="306">
        <v>0</v>
      </c>
      <c r="CK48" s="306">
        <v>0</v>
      </c>
      <c r="CL48" s="306">
        <v>0</v>
      </c>
      <c r="CM48" s="306">
        <v>0</v>
      </c>
      <c r="CN48" s="306">
        <v>0</v>
      </c>
      <c r="CO48" s="306">
        <v>0</v>
      </c>
      <c r="CP48" s="306">
        <v>0</v>
      </c>
      <c r="CQ48" s="306">
        <v>0</v>
      </c>
      <c r="CR48" s="306">
        <v>0</v>
      </c>
      <c r="CS48" s="306">
        <v>0</v>
      </c>
      <c r="CT48" s="306">
        <v>0</v>
      </c>
      <c r="CU48" s="306">
        <v>0</v>
      </c>
      <c r="CV48" s="306">
        <v>0</v>
      </c>
      <c r="CW48" s="306">
        <v>0</v>
      </c>
      <c r="CX48" s="306">
        <v>0</v>
      </c>
    </row>
    <row r="49" spans="3:102" x14ac:dyDescent="0.25">
      <c r="C49" s="305">
        <v>41</v>
      </c>
      <c r="D49" s="306">
        <v>3.37</v>
      </c>
      <c r="E49" s="306">
        <v>3.51</v>
      </c>
      <c r="F49" s="306">
        <v>3.66</v>
      </c>
      <c r="G49" s="306">
        <v>3.81</v>
      </c>
      <c r="H49" s="306">
        <v>3.97</v>
      </c>
      <c r="I49" s="306">
        <v>4.1399999999999997</v>
      </c>
      <c r="J49" s="306">
        <v>4.3</v>
      </c>
      <c r="K49" s="306">
        <v>4.4800000000000004</v>
      </c>
      <c r="L49" s="306">
        <v>4.66</v>
      </c>
      <c r="M49" s="306">
        <v>4.8499999999999996</v>
      </c>
      <c r="N49" s="306">
        <v>5.05</v>
      </c>
      <c r="O49" s="306">
        <v>5.25</v>
      </c>
      <c r="P49" s="306">
        <v>5.44</v>
      </c>
      <c r="Q49" s="306">
        <v>5.62</v>
      </c>
      <c r="R49" s="306">
        <v>5.81</v>
      </c>
      <c r="S49" s="306">
        <v>5.98</v>
      </c>
      <c r="T49" s="306">
        <v>6.15</v>
      </c>
      <c r="U49" s="306">
        <v>6.32</v>
      </c>
      <c r="V49" s="306">
        <v>6.47</v>
      </c>
      <c r="W49" s="306">
        <v>6.62</v>
      </c>
      <c r="X49" s="306">
        <v>6.77</v>
      </c>
      <c r="Y49" s="306">
        <v>6.91</v>
      </c>
      <c r="Z49" s="306">
        <v>7.05</v>
      </c>
      <c r="AA49" s="306">
        <v>7.18</v>
      </c>
      <c r="AB49" s="306">
        <v>7.3</v>
      </c>
      <c r="AC49" s="306">
        <v>7.42</v>
      </c>
      <c r="AD49" s="306">
        <v>7.54</v>
      </c>
      <c r="AE49" s="306">
        <v>7.64</v>
      </c>
      <c r="AF49" s="306">
        <v>7.74</v>
      </c>
      <c r="AG49" s="306">
        <v>7.83</v>
      </c>
      <c r="AH49" s="306">
        <v>7.92</v>
      </c>
      <c r="AI49" s="306">
        <v>8</v>
      </c>
      <c r="AJ49" s="306">
        <v>8.07</v>
      </c>
      <c r="AK49" s="306">
        <v>8.14</v>
      </c>
      <c r="AL49" s="306">
        <v>8.2100000000000009</v>
      </c>
      <c r="AM49" s="306">
        <v>8.26</v>
      </c>
      <c r="AN49" s="306">
        <v>8.31</v>
      </c>
      <c r="AO49" s="306">
        <v>8.36</v>
      </c>
      <c r="AP49" s="306">
        <v>8.4</v>
      </c>
      <c r="AQ49" s="306">
        <v>8.43</v>
      </c>
      <c r="AR49" s="306">
        <v>8.4600000000000009</v>
      </c>
      <c r="AS49" s="306">
        <v>8.48</v>
      </c>
      <c r="AT49" s="306">
        <v>8.51</v>
      </c>
      <c r="AU49" s="306">
        <v>8.52</v>
      </c>
      <c r="AV49" s="306">
        <v>8.5399999999999991</v>
      </c>
      <c r="AW49" s="306">
        <v>8.5500000000000007</v>
      </c>
      <c r="AX49" s="306">
        <v>8.56</v>
      </c>
      <c r="AY49" s="306">
        <v>8.56</v>
      </c>
      <c r="AZ49" s="306">
        <v>8.57</v>
      </c>
      <c r="BA49" s="306">
        <v>8.57</v>
      </c>
      <c r="BB49" s="306">
        <v>8.57</v>
      </c>
      <c r="BC49" s="306">
        <v>8.58</v>
      </c>
      <c r="BD49" s="306">
        <v>8.58</v>
      </c>
      <c r="BE49" s="306">
        <v>8.58</v>
      </c>
      <c r="BF49" s="306">
        <v>8.58</v>
      </c>
      <c r="BG49" s="306">
        <v>8.58</v>
      </c>
      <c r="BH49" s="306">
        <v>8.58</v>
      </c>
      <c r="BI49" s="306">
        <v>8.58</v>
      </c>
      <c r="BJ49" s="306">
        <v>8.58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>
        <v>0</v>
      </c>
      <c r="BT49" s="306">
        <v>0</v>
      </c>
      <c r="BU49" s="306">
        <v>0</v>
      </c>
      <c r="BV49" s="306">
        <v>0</v>
      </c>
      <c r="BW49" s="306">
        <v>0</v>
      </c>
      <c r="BX49" s="306">
        <v>0</v>
      </c>
      <c r="BY49" s="306">
        <v>0</v>
      </c>
      <c r="BZ49" s="306">
        <v>0</v>
      </c>
      <c r="CA49" s="306">
        <v>0</v>
      </c>
      <c r="CB49" s="306">
        <v>0</v>
      </c>
      <c r="CC49" s="306">
        <v>0</v>
      </c>
      <c r="CD49" s="306">
        <v>0</v>
      </c>
      <c r="CE49" s="306">
        <v>0</v>
      </c>
      <c r="CF49" s="306">
        <v>0</v>
      </c>
      <c r="CG49" s="306">
        <v>0</v>
      </c>
      <c r="CH49" s="306">
        <v>0</v>
      </c>
      <c r="CI49" s="306">
        <v>0</v>
      </c>
      <c r="CJ49" s="306">
        <v>0</v>
      </c>
      <c r="CK49" s="306">
        <v>0</v>
      </c>
      <c r="CL49" s="306">
        <v>0</v>
      </c>
      <c r="CM49" s="306">
        <v>0</v>
      </c>
      <c r="CN49" s="306">
        <v>0</v>
      </c>
      <c r="CO49" s="306">
        <v>0</v>
      </c>
      <c r="CP49" s="306">
        <v>0</v>
      </c>
      <c r="CQ49" s="306">
        <v>0</v>
      </c>
      <c r="CR49" s="306">
        <v>0</v>
      </c>
      <c r="CS49" s="306">
        <v>0</v>
      </c>
      <c r="CT49" s="306">
        <v>0</v>
      </c>
      <c r="CU49" s="306">
        <v>0</v>
      </c>
      <c r="CV49" s="306">
        <v>0</v>
      </c>
      <c r="CW49" s="306">
        <v>0</v>
      </c>
      <c r="CX49" s="306">
        <v>0</v>
      </c>
    </row>
    <row r="50" spans="3:102" x14ac:dyDescent="0.25">
      <c r="C50" s="305">
        <v>42</v>
      </c>
      <c r="D50" s="306">
        <v>3.66</v>
      </c>
      <c r="E50" s="306">
        <v>3.81</v>
      </c>
      <c r="F50" s="306">
        <v>3.97</v>
      </c>
      <c r="G50" s="306">
        <v>4.13</v>
      </c>
      <c r="H50" s="306">
        <v>4.3</v>
      </c>
      <c r="I50" s="306">
        <v>4.4800000000000004</v>
      </c>
      <c r="J50" s="306">
        <v>4.66</v>
      </c>
      <c r="K50" s="306">
        <v>4.8499999999999996</v>
      </c>
      <c r="L50" s="306">
        <v>5.04</v>
      </c>
      <c r="M50" s="306">
        <v>5.25</v>
      </c>
      <c r="N50" s="306">
        <v>5.48</v>
      </c>
      <c r="O50" s="306">
        <v>5.69</v>
      </c>
      <c r="P50" s="306">
        <v>5.9</v>
      </c>
      <c r="Q50" s="306">
        <v>6.11</v>
      </c>
      <c r="R50" s="306">
        <v>6.31</v>
      </c>
      <c r="S50" s="306">
        <v>6.5</v>
      </c>
      <c r="T50" s="306">
        <v>6.68</v>
      </c>
      <c r="U50" s="306">
        <v>6.86</v>
      </c>
      <c r="V50" s="306">
        <v>7.03</v>
      </c>
      <c r="W50" s="306">
        <v>7.2</v>
      </c>
      <c r="X50" s="306">
        <v>7.35</v>
      </c>
      <c r="Y50" s="306">
        <v>7.51</v>
      </c>
      <c r="Z50" s="306">
        <v>7.66</v>
      </c>
      <c r="AA50" s="306">
        <v>7.8</v>
      </c>
      <c r="AB50" s="306">
        <v>7.93</v>
      </c>
      <c r="AC50" s="306">
        <v>8.06</v>
      </c>
      <c r="AD50" s="306">
        <v>8.18</v>
      </c>
      <c r="AE50" s="306">
        <v>8.2899999999999991</v>
      </c>
      <c r="AF50" s="306">
        <v>8.4</v>
      </c>
      <c r="AG50" s="306">
        <v>8.49</v>
      </c>
      <c r="AH50" s="306">
        <v>8.59</v>
      </c>
      <c r="AI50" s="306">
        <v>8.67</v>
      </c>
      <c r="AJ50" s="306">
        <v>8.75</v>
      </c>
      <c r="AK50" s="306">
        <v>8.82</v>
      </c>
      <c r="AL50" s="306">
        <v>8.89</v>
      </c>
      <c r="AM50" s="306">
        <v>8.9499999999999993</v>
      </c>
      <c r="AN50" s="306">
        <v>9</v>
      </c>
      <c r="AO50" s="306">
        <v>9.0399999999999991</v>
      </c>
      <c r="AP50" s="306">
        <v>9.08</v>
      </c>
      <c r="AQ50" s="306">
        <v>9.11</v>
      </c>
      <c r="AR50" s="306">
        <v>9.14</v>
      </c>
      <c r="AS50" s="306">
        <v>9.17</v>
      </c>
      <c r="AT50" s="306">
        <v>9.19</v>
      </c>
      <c r="AU50" s="306">
        <v>9.1999999999999993</v>
      </c>
      <c r="AV50" s="306">
        <v>9.2200000000000006</v>
      </c>
      <c r="AW50" s="306">
        <v>9.23</v>
      </c>
      <c r="AX50" s="306">
        <v>9.23</v>
      </c>
      <c r="AY50" s="306">
        <v>9.24</v>
      </c>
      <c r="AZ50" s="306">
        <v>9.24</v>
      </c>
      <c r="BA50" s="306">
        <v>9.25</v>
      </c>
      <c r="BB50" s="306">
        <v>9.25</v>
      </c>
      <c r="BC50" s="306">
        <v>9.25</v>
      </c>
      <c r="BD50" s="306">
        <v>9.25</v>
      </c>
      <c r="BE50" s="306">
        <v>9.25</v>
      </c>
      <c r="BF50" s="306">
        <v>9.25</v>
      </c>
      <c r="BG50" s="306">
        <v>9.25</v>
      </c>
      <c r="BH50" s="306">
        <v>9.25</v>
      </c>
      <c r="BI50" s="306">
        <v>9.25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>
        <v>0</v>
      </c>
      <c r="BT50" s="306">
        <v>0</v>
      </c>
      <c r="BU50" s="306">
        <v>0</v>
      </c>
      <c r="BV50" s="306">
        <v>0</v>
      </c>
      <c r="BW50" s="306">
        <v>0</v>
      </c>
      <c r="BX50" s="306">
        <v>0</v>
      </c>
      <c r="BY50" s="306">
        <v>0</v>
      </c>
      <c r="BZ50" s="306">
        <v>0</v>
      </c>
      <c r="CA50" s="306">
        <v>0</v>
      </c>
      <c r="CB50" s="306">
        <v>0</v>
      </c>
      <c r="CC50" s="306">
        <v>0</v>
      </c>
      <c r="CD50" s="306">
        <v>0</v>
      </c>
      <c r="CE50" s="306">
        <v>0</v>
      </c>
      <c r="CF50" s="306">
        <v>0</v>
      </c>
      <c r="CG50" s="306">
        <v>0</v>
      </c>
      <c r="CH50" s="306">
        <v>0</v>
      </c>
      <c r="CI50" s="306">
        <v>0</v>
      </c>
      <c r="CJ50" s="306">
        <v>0</v>
      </c>
      <c r="CK50" s="306">
        <v>0</v>
      </c>
      <c r="CL50" s="306">
        <v>0</v>
      </c>
      <c r="CM50" s="306">
        <v>0</v>
      </c>
      <c r="CN50" s="306">
        <v>0</v>
      </c>
      <c r="CO50" s="306">
        <v>0</v>
      </c>
      <c r="CP50" s="306">
        <v>0</v>
      </c>
      <c r="CQ50" s="306">
        <v>0</v>
      </c>
      <c r="CR50" s="306">
        <v>0</v>
      </c>
      <c r="CS50" s="306">
        <v>0</v>
      </c>
      <c r="CT50" s="306">
        <v>0</v>
      </c>
      <c r="CU50" s="306">
        <v>0</v>
      </c>
      <c r="CV50" s="306">
        <v>0</v>
      </c>
      <c r="CW50" s="306">
        <v>0</v>
      </c>
      <c r="CX50" s="306">
        <v>0</v>
      </c>
    </row>
    <row r="51" spans="3:102" x14ac:dyDescent="0.25">
      <c r="C51" s="305">
        <v>43</v>
      </c>
      <c r="D51" s="306">
        <v>3.97</v>
      </c>
      <c r="E51" s="306">
        <v>4.1399999999999997</v>
      </c>
      <c r="F51" s="306">
        <v>4.3</v>
      </c>
      <c r="G51" s="306">
        <v>4.4800000000000004</v>
      </c>
      <c r="H51" s="306">
        <v>4.66</v>
      </c>
      <c r="I51" s="306">
        <v>4.8499999999999996</v>
      </c>
      <c r="J51" s="306">
        <v>5.04</v>
      </c>
      <c r="K51" s="306">
        <v>5.25</v>
      </c>
      <c r="L51" s="306">
        <v>5.46</v>
      </c>
      <c r="M51" s="306">
        <v>5.7</v>
      </c>
      <c r="N51" s="306">
        <v>5.95</v>
      </c>
      <c r="O51" s="306">
        <v>6.19</v>
      </c>
      <c r="P51" s="306">
        <v>6.42</v>
      </c>
      <c r="Q51" s="306">
        <v>6.64</v>
      </c>
      <c r="R51" s="306">
        <v>6.86</v>
      </c>
      <c r="S51" s="306">
        <v>7.06</v>
      </c>
      <c r="T51" s="306">
        <v>7.26</v>
      </c>
      <c r="U51" s="306">
        <v>7.45</v>
      </c>
      <c r="V51" s="306">
        <v>7.64</v>
      </c>
      <c r="W51" s="306">
        <v>7.82</v>
      </c>
      <c r="X51" s="306">
        <v>7.99</v>
      </c>
      <c r="Y51" s="306">
        <v>8.16</v>
      </c>
      <c r="Z51" s="306">
        <v>8.32</v>
      </c>
      <c r="AA51" s="306">
        <v>8.4700000000000006</v>
      </c>
      <c r="AB51" s="306">
        <v>8.6199999999999992</v>
      </c>
      <c r="AC51" s="306">
        <v>8.75</v>
      </c>
      <c r="AD51" s="306">
        <v>8.8800000000000008</v>
      </c>
      <c r="AE51" s="306">
        <v>9</v>
      </c>
      <c r="AF51" s="306">
        <v>9.11</v>
      </c>
      <c r="AG51" s="306">
        <v>9.2100000000000009</v>
      </c>
      <c r="AH51" s="306">
        <v>9.31</v>
      </c>
      <c r="AI51" s="306">
        <v>9.4</v>
      </c>
      <c r="AJ51" s="306">
        <v>9.49</v>
      </c>
      <c r="AK51" s="306">
        <v>9.56</v>
      </c>
      <c r="AL51" s="306">
        <v>9.6300000000000008</v>
      </c>
      <c r="AM51" s="306">
        <v>9.68</v>
      </c>
      <c r="AN51" s="306">
        <v>9.74</v>
      </c>
      <c r="AO51" s="306">
        <v>9.7799999999999994</v>
      </c>
      <c r="AP51" s="306">
        <v>9.82</v>
      </c>
      <c r="AQ51" s="306">
        <v>9.85</v>
      </c>
      <c r="AR51" s="306">
        <v>9.8800000000000008</v>
      </c>
      <c r="AS51" s="306">
        <v>9.9</v>
      </c>
      <c r="AT51" s="306">
        <v>9.92</v>
      </c>
      <c r="AU51" s="306">
        <v>9.94</v>
      </c>
      <c r="AV51" s="306">
        <v>9.9499999999999993</v>
      </c>
      <c r="AW51" s="306">
        <v>9.9600000000000009</v>
      </c>
      <c r="AX51" s="306">
        <v>9.9600000000000009</v>
      </c>
      <c r="AY51" s="306">
        <v>9.9700000000000006</v>
      </c>
      <c r="AZ51" s="306">
        <v>9.9700000000000006</v>
      </c>
      <c r="BA51" s="306">
        <v>9.9700000000000006</v>
      </c>
      <c r="BB51" s="306">
        <v>9.98</v>
      </c>
      <c r="BC51" s="306">
        <v>9.98</v>
      </c>
      <c r="BD51" s="306">
        <v>9.98</v>
      </c>
      <c r="BE51" s="306">
        <v>9.98</v>
      </c>
      <c r="BF51" s="306">
        <v>9.98</v>
      </c>
      <c r="BG51" s="306">
        <v>9.98</v>
      </c>
      <c r="BH51" s="306">
        <v>9.98</v>
      </c>
      <c r="BI51" s="306">
        <v>0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>
        <v>0</v>
      </c>
      <c r="BT51" s="306">
        <v>0</v>
      </c>
      <c r="BU51" s="306">
        <v>0</v>
      </c>
      <c r="BV51" s="306">
        <v>0</v>
      </c>
      <c r="BW51" s="306">
        <v>0</v>
      </c>
      <c r="BX51" s="306">
        <v>0</v>
      </c>
      <c r="BY51" s="306">
        <v>0</v>
      </c>
      <c r="BZ51" s="306">
        <v>0</v>
      </c>
      <c r="CA51" s="306">
        <v>0</v>
      </c>
      <c r="CB51" s="306">
        <v>0</v>
      </c>
      <c r="CC51" s="306">
        <v>0</v>
      </c>
      <c r="CD51" s="306">
        <v>0</v>
      </c>
      <c r="CE51" s="306">
        <v>0</v>
      </c>
      <c r="CF51" s="306">
        <v>0</v>
      </c>
      <c r="CG51" s="306">
        <v>0</v>
      </c>
      <c r="CH51" s="306">
        <v>0</v>
      </c>
      <c r="CI51" s="306">
        <v>0</v>
      </c>
      <c r="CJ51" s="306">
        <v>0</v>
      </c>
      <c r="CK51" s="306">
        <v>0</v>
      </c>
      <c r="CL51" s="306">
        <v>0</v>
      </c>
      <c r="CM51" s="306">
        <v>0</v>
      </c>
      <c r="CN51" s="306">
        <v>0</v>
      </c>
      <c r="CO51" s="306">
        <v>0</v>
      </c>
      <c r="CP51" s="306">
        <v>0</v>
      </c>
      <c r="CQ51" s="306">
        <v>0</v>
      </c>
      <c r="CR51" s="306">
        <v>0</v>
      </c>
      <c r="CS51" s="306">
        <v>0</v>
      </c>
      <c r="CT51" s="306">
        <v>0</v>
      </c>
      <c r="CU51" s="306">
        <v>0</v>
      </c>
      <c r="CV51" s="306">
        <v>0</v>
      </c>
      <c r="CW51" s="306">
        <v>0</v>
      </c>
      <c r="CX51" s="306">
        <v>0</v>
      </c>
    </row>
    <row r="52" spans="3:102" x14ac:dyDescent="0.25">
      <c r="C52" s="305">
        <v>44</v>
      </c>
      <c r="D52" s="306">
        <v>4.3099999999999996</v>
      </c>
      <c r="E52" s="306">
        <v>4.4800000000000004</v>
      </c>
      <c r="F52" s="306">
        <v>4.66</v>
      </c>
      <c r="G52" s="306">
        <v>4.8499999999999996</v>
      </c>
      <c r="H52" s="306">
        <v>5.04</v>
      </c>
      <c r="I52" s="306">
        <v>5.24</v>
      </c>
      <c r="J52" s="306">
        <v>5.46</v>
      </c>
      <c r="K52" s="306">
        <v>5.68</v>
      </c>
      <c r="L52" s="306">
        <v>5.92</v>
      </c>
      <c r="M52" s="306">
        <v>6.18</v>
      </c>
      <c r="N52" s="306">
        <v>6.46</v>
      </c>
      <c r="O52" s="306">
        <v>6.72</v>
      </c>
      <c r="P52" s="306">
        <v>6.98</v>
      </c>
      <c r="Q52" s="306">
        <v>7.22</v>
      </c>
      <c r="R52" s="306">
        <v>7.46</v>
      </c>
      <c r="S52" s="306">
        <v>7.68</v>
      </c>
      <c r="T52" s="306">
        <v>7.89</v>
      </c>
      <c r="U52" s="306">
        <v>8.1</v>
      </c>
      <c r="V52" s="306">
        <v>8.3000000000000007</v>
      </c>
      <c r="W52" s="306">
        <v>8.5</v>
      </c>
      <c r="X52" s="306">
        <v>8.69</v>
      </c>
      <c r="Y52" s="306">
        <v>8.8699999999999992</v>
      </c>
      <c r="Z52" s="306">
        <v>9.0399999999999991</v>
      </c>
      <c r="AA52" s="306">
        <v>9.2100000000000009</v>
      </c>
      <c r="AB52" s="306">
        <v>9.36</v>
      </c>
      <c r="AC52" s="306">
        <v>9.5</v>
      </c>
      <c r="AD52" s="306">
        <v>9.64</v>
      </c>
      <c r="AE52" s="306">
        <v>9.77</v>
      </c>
      <c r="AF52" s="306">
        <v>9.89</v>
      </c>
      <c r="AG52" s="306">
        <v>10</v>
      </c>
      <c r="AH52" s="306">
        <v>10.1</v>
      </c>
      <c r="AI52" s="306">
        <v>10.19</v>
      </c>
      <c r="AJ52" s="306">
        <v>10.28</v>
      </c>
      <c r="AK52" s="306">
        <v>10.36</v>
      </c>
      <c r="AL52" s="306">
        <v>10.42</v>
      </c>
      <c r="AM52" s="306">
        <v>10.48</v>
      </c>
      <c r="AN52" s="306">
        <v>10.53</v>
      </c>
      <c r="AO52" s="306">
        <v>10.58</v>
      </c>
      <c r="AP52" s="306">
        <v>10.61</v>
      </c>
      <c r="AQ52" s="306">
        <v>10.64</v>
      </c>
      <c r="AR52" s="306">
        <v>10.67</v>
      </c>
      <c r="AS52" s="306">
        <v>10.69</v>
      </c>
      <c r="AT52" s="306">
        <v>10.71</v>
      </c>
      <c r="AU52" s="306">
        <v>10.72</v>
      </c>
      <c r="AV52" s="306">
        <v>10.73</v>
      </c>
      <c r="AW52" s="306">
        <v>10.74</v>
      </c>
      <c r="AX52" s="306">
        <v>10.75</v>
      </c>
      <c r="AY52" s="306">
        <v>10.75</v>
      </c>
      <c r="AZ52" s="306">
        <v>10.75</v>
      </c>
      <c r="BA52" s="306">
        <v>10.76</v>
      </c>
      <c r="BB52" s="306">
        <v>10.76</v>
      </c>
      <c r="BC52" s="306">
        <v>10.76</v>
      </c>
      <c r="BD52" s="306">
        <v>10.76</v>
      </c>
      <c r="BE52" s="306">
        <v>10.76</v>
      </c>
      <c r="BF52" s="306">
        <v>10.76</v>
      </c>
      <c r="BG52" s="306">
        <v>10.76</v>
      </c>
      <c r="BH52" s="306">
        <v>0</v>
      </c>
      <c r="BI52" s="306">
        <v>0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>
        <v>0</v>
      </c>
      <c r="BT52" s="306">
        <v>0</v>
      </c>
      <c r="BU52" s="306">
        <v>0</v>
      </c>
      <c r="BV52" s="306">
        <v>0</v>
      </c>
      <c r="BW52" s="306">
        <v>0</v>
      </c>
      <c r="BX52" s="306">
        <v>0</v>
      </c>
      <c r="BY52" s="306">
        <v>0</v>
      </c>
      <c r="BZ52" s="306">
        <v>0</v>
      </c>
      <c r="CA52" s="306">
        <v>0</v>
      </c>
      <c r="CB52" s="306">
        <v>0</v>
      </c>
      <c r="CC52" s="306">
        <v>0</v>
      </c>
      <c r="CD52" s="306">
        <v>0</v>
      </c>
      <c r="CE52" s="306">
        <v>0</v>
      </c>
      <c r="CF52" s="306">
        <v>0</v>
      </c>
      <c r="CG52" s="306">
        <v>0</v>
      </c>
      <c r="CH52" s="306">
        <v>0</v>
      </c>
      <c r="CI52" s="306">
        <v>0</v>
      </c>
      <c r="CJ52" s="306">
        <v>0</v>
      </c>
      <c r="CK52" s="306">
        <v>0</v>
      </c>
      <c r="CL52" s="306">
        <v>0</v>
      </c>
      <c r="CM52" s="306">
        <v>0</v>
      </c>
      <c r="CN52" s="306">
        <v>0</v>
      </c>
      <c r="CO52" s="306">
        <v>0</v>
      </c>
      <c r="CP52" s="306">
        <v>0</v>
      </c>
      <c r="CQ52" s="306">
        <v>0</v>
      </c>
      <c r="CR52" s="306">
        <v>0</v>
      </c>
      <c r="CS52" s="306">
        <v>0</v>
      </c>
      <c r="CT52" s="306">
        <v>0</v>
      </c>
      <c r="CU52" s="306">
        <v>0</v>
      </c>
      <c r="CV52" s="306">
        <v>0</v>
      </c>
      <c r="CW52" s="306">
        <v>0</v>
      </c>
      <c r="CX52" s="306">
        <v>0</v>
      </c>
    </row>
    <row r="53" spans="3:102" x14ac:dyDescent="0.25">
      <c r="C53" s="305">
        <v>45</v>
      </c>
      <c r="D53" s="306">
        <v>4.66</v>
      </c>
      <c r="E53" s="306">
        <v>4.8499999999999996</v>
      </c>
      <c r="F53" s="306">
        <v>5.04</v>
      </c>
      <c r="G53" s="306">
        <v>5.24</v>
      </c>
      <c r="H53" s="306">
        <v>5.45</v>
      </c>
      <c r="I53" s="306">
        <v>5.67</v>
      </c>
      <c r="J53" s="306">
        <v>5.91</v>
      </c>
      <c r="K53" s="306">
        <v>6.16</v>
      </c>
      <c r="L53" s="306">
        <v>6.43</v>
      </c>
      <c r="M53" s="306">
        <v>6.72</v>
      </c>
      <c r="N53" s="306">
        <v>7.03</v>
      </c>
      <c r="O53" s="306">
        <v>7.32</v>
      </c>
      <c r="P53" s="306">
        <v>7.59</v>
      </c>
      <c r="Q53" s="306">
        <v>7.85</v>
      </c>
      <c r="R53" s="306">
        <v>8.11</v>
      </c>
      <c r="S53" s="306">
        <v>8.35</v>
      </c>
      <c r="T53" s="306">
        <v>8.58</v>
      </c>
      <c r="U53" s="306">
        <v>8.81</v>
      </c>
      <c r="V53" s="306">
        <v>9.0299999999999994</v>
      </c>
      <c r="W53" s="306">
        <v>9.24</v>
      </c>
      <c r="X53" s="306">
        <v>9.4499999999999993</v>
      </c>
      <c r="Y53" s="306">
        <v>9.64</v>
      </c>
      <c r="Z53" s="306">
        <v>9.83</v>
      </c>
      <c r="AA53" s="306">
        <v>10</v>
      </c>
      <c r="AB53" s="306">
        <v>10.17</v>
      </c>
      <c r="AC53" s="306">
        <v>10.32</v>
      </c>
      <c r="AD53" s="306">
        <v>10.46</v>
      </c>
      <c r="AE53" s="306">
        <v>10.6</v>
      </c>
      <c r="AF53" s="306">
        <v>10.73</v>
      </c>
      <c r="AG53" s="306">
        <v>10.84</v>
      </c>
      <c r="AH53" s="306">
        <v>10.95</v>
      </c>
      <c r="AI53" s="306">
        <v>11.05</v>
      </c>
      <c r="AJ53" s="306">
        <v>11.14</v>
      </c>
      <c r="AK53" s="306">
        <v>11.21</v>
      </c>
      <c r="AL53" s="306">
        <v>11.28</v>
      </c>
      <c r="AM53" s="306">
        <v>11.34</v>
      </c>
      <c r="AN53" s="306">
        <v>11.39</v>
      </c>
      <c r="AO53" s="306">
        <v>11.43</v>
      </c>
      <c r="AP53" s="306">
        <v>11.47</v>
      </c>
      <c r="AQ53" s="306">
        <v>11.5</v>
      </c>
      <c r="AR53" s="306">
        <v>11.52</v>
      </c>
      <c r="AS53" s="306">
        <v>11.54</v>
      </c>
      <c r="AT53" s="306">
        <v>11.56</v>
      </c>
      <c r="AU53" s="306">
        <v>11.57</v>
      </c>
      <c r="AV53" s="306">
        <v>11.58</v>
      </c>
      <c r="AW53" s="306">
        <v>11.59</v>
      </c>
      <c r="AX53" s="306">
        <v>11.59</v>
      </c>
      <c r="AY53" s="306">
        <v>11.6</v>
      </c>
      <c r="AZ53" s="306">
        <v>11.6</v>
      </c>
      <c r="BA53" s="306">
        <v>11.6</v>
      </c>
      <c r="BB53" s="306">
        <v>11.6</v>
      </c>
      <c r="BC53" s="306">
        <v>11.6</v>
      </c>
      <c r="BD53" s="306">
        <v>11.6</v>
      </c>
      <c r="BE53" s="306">
        <v>11.6</v>
      </c>
      <c r="BF53" s="306">
        <v>11.6</v>
      </c>
      <c r="BG53" s="306">
        <v>0</v>
      </c>
      <c r="BH53" s="306">
        <v>0</v>
      </c>
      <c r="BI53" s="306">
        <v>0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>
        <v>0</v>
      </c>
      <c r="BT53" s="306">
        <v>0</v>
      </c>
      <c r="BU53" s="306">
        <v>0</v>
      </c>
      <c r="BV53" s="306">
        <v>0</v>
      </c>
      <c r="BW53" s="306">
        <v>0</v>
      </c>
      <c r="BX53" s="306">
        <v>0</v>
      </c>
      <c r="BY53" s="306">
        <v>0</v>
      </c>
      <c r="BZ53" s="306">
        <v>0</v>
      </c>
      <c r="CA53" s="306">
        <v>0</v>
      </c>
      <c r="CB53" s="306">
        <v>0</v>
      </c>
      <c r="CC53" s="306">
        <v>0</v>
      </c>
      <c r="CD53" s="306">
        <v>0</v>
      </c>
      <c r="CE53" s="306">
        <v>0</v>
      </c>
      <c r="CF53" s="306">
        <v>0</v>
      </c>
      <c r="CG53" s="306">
        <v>0</v>
      </c>
      <c r="CH53" s="306">
        <v>0</v>
      </c>
      <c r="CI53" s="306">
        <v>0</v>
      </c>
      <c r="CJ53" s="306">
        <v>0</v>
      </c>
      <c r="CK53" s="306">
        <v>0</v>
      </c>
      <c r="CL53" s="306">
        <v>0</v>
      </c>
      <c r="CM53" s="306">
        <v>0</v>
      </c>
      <c r="CN53" s="306">
        <v>0</v>
      </c>
      <c r="CO53" s="306">
        <v>0</v>
      </c>
      <c r="CP53" s="306">
        <v>0</v>
      </c>
      <c r="CQ53" s="306">
        <v>0</v>
      </c>
      <c r="CR53" s="306">
        <v>0</v>
      </c>
      <c r="CS53" s="306">
        <v>0</v>
      </c>
      <c r="CT53" s="306">
        <v>0</v>
      </c>
      <c r="CU53" s="306">
        <v>0</v>
      </c>
      <c r="CV53" s="306">
        <v>0</v>
      </c>
      <c r="CW53" s="306">
        <v>0</v>
      </c>
      <c r="CX53" s="306">
        <v>0</v>
      </c>
    </row>
    <row r="54" spans="3:102" x14ac:dyDescent="0.25">
      <c r="C54" s="305">
        <v>46</v>
      </c>
      <c r="D54" s="306">
        <v>5.04</v>
      </c>
      <c r="E54" s="306">
        <v>5.24</v>
      </c>
      <c r="F54" s="306">
        <v>5.45</v>
      </c>
      <c r="G54" s="306">
        <v>5.67</v>
      </c>
      <c r="H54" s="306">
        <v>5.9</v>
      </c>
      <c r="I54" s="306">
        <v>6.14</v>
      </c>
      <c r="J54" s="306">
        <v>6.41</v>
      </c>
      <c r="K54" s="306">
        <v>6.69</v>
      </c>
      <c r="L54" s="306">
        <v>6.99</v>
      </c>
      <c r="M54" s="306">
        <v>7.31</v>
      </c>
      <c r="N54" s="306">
        <v>7.65</v>
      </c>
      <c r="O54" s="306">
        <v>7.96</v>
      </c>
      <c r="P54" s="306">
        <v>8.26</v>
      </c>
      <c r="Q54" s="306">
        <v>8.5399999999999991</v>
      </c>
      <c r="R54" s="306">
        <v>8.82</v>
      </c>
      <c r="S54" s="306">
        <v>9.08</v>
      </c>
      <c r="T54" s="306">
        <v>9.34</v>
      </c>
      <c r="U54" s="306">
        <v>9.58</v>
      </c>
      <c r="V54" s="306">
        <v>9.82</v>
      </c>
      <c r="W54" s="306">
        <v>10.06</v>
      </c>
      <c r="X54" s="306">
        <v>10.28</v>
      </c>
      <c r="Y54" s="306">
        <v>10.49</v>
      </c>
      <c r="Z54" s="306">
        <v>10.68</v>
      </c>
      <c r="AA54" s="306">
        <v>10.87</v>
      </c>
      <c r="AB54" s="306">
        <v>11.04</v>
      </c>
      <c r="AC54" s="306">
        <v>11.21</v>
      </c>
      <c r="AD54" s="306">
        <v>11.36</v>
      </c>
      <c r="AE54" s="306">
        <v>11.51</v>
      </c>
      <c r="AF54" s="306">
        <v>11.64</v>
      </c>
      <c r="AG54" s="306">
        <v>11.76</v>
      </c>
      <c r="AH54" s="306">
        <v>11.88</v>
      </c>
      <c r="AI54" s="306">
        <v>11.98</v>
      </c>
      <c r="AJ54" s="306">
        <v>12.06</v>
      </c>
      <c r="AK54" s="306">
        <v>12.14</v>
      </c>
      <c r="AL54" s="306">
        <v>12.21</v>
      </c>
      <c r="AM54" s="306">
        <v>12.27</v>
      </c>
      <c r="AN54" s="306">
        <v>12.32</v>
      </c>
      <c r="AO54" s="306">
        <v>12.36</v>
      </c>
      <c r="AP54" s="306">
        <v>12.39</v>
      </c>
      <c r="AQ54" s="306">
        <v>12.42</v>
      </c>
      <c r="AR54" s="306">
        <v>12.44</v>
      </c>
      <c r="AS54" s="306">
        <v>12.46</v>
      </c>
      <c r="AT54" s="306">
        <v>12.47</v>
      </c>
      <c r="AU54" s="306">
        <v>12.49</v>
      </c>
      <c r="AV54" s="306">
        <v>12.49</v>
      </c>
      <c r="AW54" s="306">
        <v>12.5</v>
      </c>
      <c r="AX54" s="306">
        <v>12.5</v>
      </c>
      <c r="AY54" s="306">
        <v>12.5</v>
      </c>
      <c r="AZ54" s="306">
        <v>12.51</v>
      </c>
      <c r="BA54" s="306">
        <v>12.51</v>
      </c>
      <c r="BB54" s="306">
        <v>12.51</v>
      </c>
      <c r="BC54" s="306">
        <v>12.51</v>
      </c>
      <c r="BD54" s="306">
        <v>12.51</v>
      </c>
      <c r="BE54" s="306">
        <v>12.51</v>
      </c>
      <c r="BF54" s="306">
        <v>0</v>
      </c>
      <c r="BG54" s="306">
        <v>0</v>
      </c>
      <c r="BH54" s="306">
        <v>0</v>
      </c>
      <c r="BI54" s="306">
        <v>0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>
        <v>0</v>
      </c>
      <c r="BT54" s="306">
        <v>0</v>
      </c>
      <c r="BU54" s="306">
        <v>0</v>
      </c>
      <c r="BV54" s="306">
        <v>0</v>
      </c>
      <c r="BW54" s="306">
        <v>0</v>
      </c>
      <c r="BX54" s="306">
        <v>0</v>
      </c>
      <c r="BY54" s="306">
        <v>0</v>
      </c>
      <c r="BZ54" s="306">
        <v>0</v>
      </c>
      <c r="CA54" s="306">
        <v>0</v>
      </c>
      <c r="CB54" s="306">
        <v>0</v>
      </c>
      <c r="CC54" s="306">
        <v>0</v>
      </c>
      <c r="CD54" s="306">
        <v>0</v>
      </c>
      <c r="CE54" s="306">
        <v>0</v>
      </c>
      <c r="CF54" s="306">
        <v>0</v>
      </c>
      <c r="CG54" s="306">
        <v>0</v>
      </c>
      <c r="CH54" s="306">
        <v>0</v>
      </c>
      <c r="CI54" s="306">
        <v>0</v>
      </c>
      <c r="CJ54" s="306">
        <v>0</v>
      </c>
      <c r="CK54" s="306">
        <v>0</v>
      </c>
      <c r="CL54" s="306">
        <v>0</v>
      </c>
      <c r="CM54" s="306">
        <v>0</v>
      </c>
      <c r="CN54" s="306">
        <v>0</v>
      </c>
      <c r="CO54" s="306">
        <v>0</v>
      </c>
      <c r="CP54" s="306">
        <v>0</v>
      </c>
      <c r="CQ54" s="306">
        <v>0</v>
      </c>
      <c r="CR54" s="306">
        <v>0</v>
      </c>
      <c r="CS54" s="306">
        <v>0</v>
      </c>
      <c r="CT54" s="306">
        <v>0</v>
      </c>
      <c r="CU54" s="306">
        <v>0</v>
      </c>
      <c r="CV54" s="306">
        <v>0</v>
      </c>
      <c r="CW54" s="306">
        <v>0</v>
      </c>
      <c r="CX54" s="306">
        <v>0</v>
      </c>
    </row>
    <row r="55" spans="3:102" x14ac:dyDescent="0.25">
      <c r="C55" s="305">
        <v>47</v>
      </c>
      <c r="D55" s="306">
        <v>5.45</v>
      </c>
      <c r="E55" s="306">
        <v>5.66</v>
      </c>
      <c r="F55" s="306">
        <v>5.89</v>
      </c>
      <c r="G55" s="306">
        <v>6.13</v>
      </c>
      <c r="H55" s="306">
        <v>6.39</v>
      </c>
      <c r="I55" s="306">
        <v>6.66</v>
      </c>
      <c r="J55" s="306">
        <v>6.96</v>
      </c>
      <c r="K55" s="306">
        <v>7.28</v>
      </c>
      <c r="L55" s="306">
        <v>7.61</v>
      </c>
      <c r="M55" s="306">
        <v>7.96</v>
      </c>
      <c r="N55" s="306">
        <v>8.32</v>
      </c>
      <c r="O55" s="306">
        <v>8.66</v>
      </c>
      <c r="P55" s="306">
        <v>8.99</v>
      </c>
      <c r="Q55" s="306">
        <v>9.2899999999999991</v>
      </c>
      <c r="R55" s="306">
        <v>9.59</v>
      </c>
      <c r="S55" s="306">
        <v>9.8800000000000008</v>
      </c>
      <c r="T55" s="306">
        <v>10.16</v>
      </c>
      <c r="U55" s="306">
        <v>10.43</v>
      </c>
      <c r="V55" s="306">
        <v>10.69</v>
      </c>
      <c r="W55" s="306">
        <v>10.94</v>
      </c>
      <c r="X55" s="306">
        <v>11.18</v>
      </c>
      <c r="Y55" s="306">
        <v>11.4</v>
      </c>
      <c r="Z55" s="306">
        <v>11.61</v>
      </c>
      <c r="AA55" s="306">
        <v>11.81</v>
      </c>
      <c r="AB55" s="306">
        <v>12</v>
      </c>
      <c r="AC55" s="306">
        <v>12.17</v>
      </c>
      <c r="AD55" s="306">
        <v>12.34</v>
      </c>
      <c r="AE55" s="306">
        <v>12.49</v>
      </c>
      <c r="AF55" s="306">
        <v>12.63</v>
      </c>
      <c r="AG55" s="306">
        <v>12.76</v>
      </c>
      <c r="AH55" s="306">
        <v>12.87</v>
      </c>
      <c r="AI55" s="306">
        <v>12.98</v>
      </c>
      <c r="AJ55" s="306">
        <v>13.06</v>
      </c>
      <c r="AK55" s="306">
        <v>13.14</v>
      </c>
      <c r="AL55" s="306">
        <v>13.21</v>
      </c>
      <c r="AM55" s="306">
        <v>13.26</v>
      </c>
      <c r="AN55" s="306">
        <v>13.31</v>
      </c>
      <c r="AO55" s="306">
        <v>13.35</v>
      </c>
      <c r="AP55" s="306">
        <v>13.39</v>
      </c>
      <c r="AQ55" s="306">
        <v>13.41</v>
      </c>
      <c r="AR55" s="306">
        <v>13.43</v>
      </c>
      <c r="AS55" s="306">
        <v>13.45</v>
      </c>
      <c r="AT55" s="306">
        <v>13.46</v>
      </c>
      <c r="AU55" s="306">
        <v>13.47</v>
      </c>
      <c r="AV55" s="306">
        <v>13.47</v>
      </c>
      <c r="AW55" s="306">
        <v>13.48</v>
      </c>
      <c r="AX55" s="306">
        <v>13.48</v>
      </c>
      <c r="AY55" s="306">
        <v>13.48</v>
      </c>
      <c r="AZ55" s="306">
        <v>13.49</v>
      </c>
      <c r="BA55" s="306">
        <v>13.49</v>
      </c>
      <c r="BB55" s="306">
        <v>13.49</v>
      </c>
      <c r="BC55" s="306">
        <v>13.49</v>
      </c>
      <c r="BD55" s="306">
        <v>13.49</v>
      </c>
      <c r="BE55" s="306">
        <v>0</v>
      </c>
      <c r="BF55" s="306">
        <v>0</v>
      </c>
      <c r="BG55" s="306">
        <v>0</v>
      </c>
      <c r="BH55" s="306">
        <v>0</v>
      </c>
      <c r="BI55" s="306">
        <v>0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>
        <v>0</v>
      </c>
      <c r="BT55" s="306">
        <v>0</v>
      </c>
      <c r="BU55" s="306">
        <v>0</v>
      </c>
      <c r="BV55" s="306">
        <v>0</v>
      </c>
      <c r="BW55" s="306">
        <v>0</v>
      </c>
      <c r="BX55" s="306">
        <v>0</v>
      </c>
      <c r="BY55" s="306">
        <v>0</v>
      </c>
      <c r="BZ55" s="306">
        <v>0</v>
      </c>
      <c r="CA55" s="306">
        <v>0</v>
      </c>
      <c r="CB55" s="306">
        <v>0</v>
      </c>
      <c r="CC55" s="306">
        <v>0</v>
      </c>
      <c r="CD55" s="306">
        <v>0</v>
      </c>
      <c r="CE55" s="306">
        <v>0</v>
      </c>
      <c r="CF55" s="306">
        <v>0</v>
      </c>
      <c r="CG55" s="306">
        <v>0</v>
      </c>
      <c r="CH55" s="306">
        <v>0</v>
      </c>
      <c r="CI55" s="306">
        <v>0</v>
      </c>
      <c r="CJ55" s="306">
        <v>0</v>
      </c>
      <c r="CK55" s="306">
        <v>0</v>
      </c>
      <c r="CL55" s="306">
        <v>0</v>
      </c>
      <c r="CM55" s="306">
        <v>0</v>
      </c>
      <c r="CN55" s="306">
        <v>0</v>
      </c>
      <c r="CO55" s="306">
        <v>0</v>
      </c>
      <c r="CP55" s="306">
        <v>0</v>
      </c>
      <c r="CQ55" s="306">
        <v>0</v>
      </c>
      <c r="CR55" s="306">
        <v>0</v>
      </c>
      <c r="CS55" s="306">
        <v>0</v>
      </c>
      <c r="CT55" s="306">
        <v>0</v>
      </c>
      <c r="CU55" s="306">
        <v>0</v>
      </c>
      <c r="CV55" s="306">
        <v>0</v>
      </c>
      <c r="CW55" s="306">
        <v>0</v>
      </c>
      <c r="CX55" s="306">
        <v>0</v>
      </c>
    </row>
    <row r="56" spans="3:102" x14ac:dyDescent="0.25">
      <c r="C56" s="305">
        <v>48</v>
      </c>
      <c r="D56" s="306">
        <v>5.88</v>
      </c>
      <c r="E56" s="306">
        <v>6.12</v>
      </c>
      <c r="F56" s="306">
        <v>6.37</v>
      </c>
      <c r="G56" s="306">
        <v>6.64</v>
      </c>
      <c r="H56" s="306">
        <v>6.93</v>
      </c>
      <c r="I56" s="306">
        <v>7.25</v>
      </c>
      <c r="J56" s="306">
        <v>7.58</v>
      </c>
      <c r="K56" s="306">
        <v>7.93</v>
      </c>
      <c r="L56" s="306">
        <v>8.3000000000000007</v>
      </c>
      <c r="M56" s="306">
        <v>8.68</v>
      </c>
      <c r="N56" s="306">
        <v>9.07</v>
      </c>
      <c r="O56" s="306">
        <v>9.43</v>
      </c>
      <c r="P56" s="306">
        <v>9.7799999999999994</v>
      </c>
      <c r="Q56" s="306">
        <v>10.119999999999999</v>
      </c>
      <c r="R56" s="306">
        <v>10.44</v>
      </c>
      <c r="S56" s="306">
        <v>10.76</v>
      </c>
      <c r="T56" s="306">
        <v>11.06</v>
      </c>
      <c r="U56" s="306">
        <v>11.36</v>
      </c>
      <c r="V56" s="306">
        <v>11.64</v>
      </c>
      <c r="W56" s="306">
        <v>11.91</v>
      </c>
      <c r="X56" s="306">
        <v>12.16</v>
      </c>
      <c r="Y56" s="306">
        <v>12.4</v>
      </c>
      <c r="Z56" s="306">
        <v>12.63</v>
      </c>
      <c r="AA56" s="306">
        <v>12.84</v>
      </c>
      <c r="AB56" s="306">
        <v>13.04</v>
      </c>
      <c r="AC56" s="306">
        <v>13.23</v>
      </c>
      <c r="AD56" s="306">
        <v>13.4</v>
      </c>
      <c r="AE56" s="306">
        <v>13.56</v>
      </c>
      <c r="AF56" s="306">
        <v>13.71</v>
      </c>
      <c r="AG56" s="306">
        <v>13.84</v>
      </c>
      <c r="AH56" s="306">
        <v>13.95</v>
      </c>
      <c r="AI56" s="306">
        <v>14.06</v>
      </c>
      <c r="AJ56" s="306">
        <v>14.14</v>
      </c>
      <c r="AK56" s="306">
        <v>14.22</v>
      </c>
      <c r="AL56" s="306">
        <v>14.29</v>
      </c>
      <c r="AM56" s="306">
        <v>14.34</v>
      </c>
      <c r="AN56" s="306">
        <v>14.39</v>
      </c>
      <c r="AO56" s="306">
        <v>14.42</v>
      </c>
      <c r="AP56" s="306">
        <v>14.46</v>
      </c>
      <c r="AQ56" s="306">
        <v>14.48</v>
      </c>
      <c r="AR56" s="306">
        <v>14.5</v>
      </c>
      <c r="AS56" s="306">
        <v>14.51</v>
      </c>
      <c r="AT56" s="306">
        <v>14.52</v>
      </c>
      <c r="AU56" s="306">
        <v>14.53</v>
      </c>
      <c r="AV56" s="306">
        <v>14.53</v>
      </c>
      <c r="AW56" s="306">
        <v>14.54</v>
      </c>
      <c r="AX56" s="306">
        <v>14.54</v>
      </c>
      <c r="AY56" s="306">
        <v>14.54</v>
      </c>
      <c r="AZ56" s="306">
        <v>14.54</v>
      </c>
      <c r="BA56" s="306">
        <v>14.54</v>
      </c>
      <c r="BB56" s="306">
        <v>14.54</v>
      </c>
      <c r="BC56" s="306">
        <v>14.54</v>
      </c>
      <c r="BD56" s="306">
        <v>0</v>
      </c>
      <c r="BE56" s="306">
        <v>0</v>
      </c>
      <c r="BF56" s="306">
        <v>0</v>
      </c>
      <c r="BG56" s="306">
        <v>0</v>
      </c>
      <c r="BH56" s="306">
        <v>0</v>
      </c>
      <c r="BI56" s="306">
        <v>0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>
        <v>0</v>
      </c>
      <c r="BT56" s="306">
        <v>0</v>
      </c>
      <c r="BU56" s="306">
        <v>0</v>
      </c>
      <c r="BV56" s="306">
        <v>0</v>
      </c>
      <c r="BW56" s="306">
        <v>0</v>
      </c>
      <c r="BX56" s="306">
        <v>0</v>
      </c>
      <c r="BY56" s="306">
        <v>0</v>
      </c>
      <c r="BZ56" s="306">
        <v>0</v>
      </c>
      <c r="CA56" s="306">
        <v>0</v>
      </c>
      <c r="CB56" s="306">
        <v>0</v>
      </c>
      <c r="CC56" s="306">
        <v>0</v>
      </c>
      <c r="CD56" s="306">
        <v>0</v>
      </c>
      <c r="CE56" s="306">
        <v>0</v>
      </c>
      <c r="CF56" s="306">
        <v>0</v>
      </c>
      <c r="CG56" s="306">
        <v>0</v>
      </c>
      <c r="CH56" s="306">
        <v>0</v>
      </c>
      <c r="CI56" s="306">
        <v>0</v>
      </c>
      <c r="CJ56" s="306">
        <v>0</v>
      </c>
      <c r="CK56" s="306">
        <v>0</v>
      </c>
      <c r="CL56" s="306">
        <v>0</v>
      </c>
      <c r="CM56" s="306">
        <v>0</v>
      </c>
      <c r="CN56" s="306">
        <v>0</v>
      </c>
      <c r="CO56" s="306">
        <v>0</v>
      </c>
      <c r="CP56" s="306">
        <v>0</v>
      </c>
      <c r="CQ56" s="306">
        <v>0</v>
      </c>
      <c r="CR56" s="306">
        <v>0</v>
      </c>
      <c r="CS56" s="306">
        <v>0</v>
      </c>
      <c r="CT56" s="306">
        <v>0</v>
      </c>
      <c r="CU56" s="306">
        <v>0</v>
      </c>
      <c r="CV56" s="306">
        <v>0</v>
      </c>
      <c r="CW56" s="306">
        <v>0</v>
      </c>
      <c r="CX56" s="306">
        <v>0</v>
      </c>
    </row>
    <row r="57" spans="3:102" x14ac:dyDescent="0.25">
      <c r="C57" s="305">
        <v>49</v>
      </c>
      <c r="D57" s="306">
        <v>6.37</v>
      </c>
      <c r="E57" s="306">
        <v>6.63</v>
      </c>
      <c r="F57" s="306">
        <v>6.91</v>
      </c>
      <c r="G57" s="306">
        <v>7.22</v>
      </c>
      <c r="H57" s="306">
        <v>7.55</v>
      </c>
      <c r="I57" s="306">
        <v>7.9</v>
      </c>
      <c r="J57" s="306">
        <v>8.27</v>
      </c>
      <c r="K57" s="306">
        <v>8.65</v>
      </c>
      <c r="L57" s="306">
        <v>9.0500000000000007</v>
      </c>
      <c r="M57" s="306">
        <v>9.4600000000000009</v>
      </c>
      <c r="N57" s="306">
        <v>9.8800000000000008</v>
      </c>
      <c r="O57" s="306">
        <v>10.28</v>
      </c>
      <c r="P57" s="306">
        <v>10.66</v>
      </c>
      <c r="Q57" s="306">
        <v>11.02</v>
      </c>
      <c r="R57" s="306">
        <v>11.38</v>
      </c>
      <c r="S57" s="306">
        <v>11.72</v>
      </c>
      <c r="T57" s="306">
        <v>12.06</v>
      </c>
      <c r="U57" s="306">
        <v>12.38</v>
      </c>
      <c r="V57" s="306">
        <v>12.68</v>
      </c>
      <c r="W57" s="306">
        <v>12.97</v>
      </c>
      <c r="X57" s="306">
        <v>13.24</v>
      </c>
      <c r="Y57" s="306">
        <v>13.49</v>
      </c>
      <c r="Z57" s="306">
        <v>13.73</v>
      </c>
      <c r="AA57" s="306">
        <v>13.96</v>
      </c>
      <c r="AB57" s="306">
        <v>14.17</v>
      </c>
      <c r="AC57" s="306">
        <v>14.37</v>
      </c>
      <c r="AD57" s="306">
        <v>14.56</v>
      </c>
      <c r="AE57" s="306">
        <v>14.72</v>
      </c>
      <c r="AF57" s="306">
        <v>14.87</v>
      </c>
      <c r="AG57" s="306">
        <v>15.01</v>
      </c>
      <c r="AH57" s="306">
        <v>15.12</v>
      </c>
      <c r="AI57" s="306">
        <v>15.22</v>
      </c>
      <c r="AJ57" s="306">
        <v>15.31</v>
      </c>
      <c r="AK57" s="306">
        <v>15.39</v>
      </c>
      <c r="AL57" s="306">
        <v>15.45</v>
      </c>
      <c r="AM57" s="306">
        <v>15.5</v>
      </c>
      <c r="AN57" s="306">
        <v>15.55</v>
      </c>
      <c r="AO57" s="306">
        <v>15.58</v>
      </c>
      <c r="AP57" s="306">
        <v>15.61</v>
      </c>
      <c r="AQ57" s="306">
        <v>15.63</v>
      </c>
      <c r="AR57" s="306">
        <v>15.65</v>
      </c>
      <c r="AS57" s="306">
        <v>15.66</v>
      </c>
      <c r="AT57" s="306">
        <v>15.67</v>
      </c>
      <c r="AU57" s="306">
        <v>15.67</v>
      </c>
      <c r="AV57" s="306">
        <v>15.68</v>
      </c>
      <c r="AW57" s="306">
        <v>15.68</v>
      </c>
      <c r="AX57" s="306">
        <v>15.68</v>
      </c>
      <c r="AY57" s="306">
        <v>15.68</v>
      </c>
      <c r="AZ57" s="306">
        <v>15.68</v>
      </c>
      <c r="BA57" s="306">
        <v>15.68</v>
      </c>
      <c r="BB57" s="306">
        <v>15.68</v>
      </c>
      <c r="BC57" s="306">
        <v>0</v>
      </c>
      <c r="BD57" s="306">
        <v>0</v>
      </c>
      <c r="BE57" s="306">
        <v>0</v>
      </c>
      <c r="BF57" s="306">
        <v>0</v>
      </c>
      <c r="BG57" s="306">
        <v>0</v>
      </c>
      <c r="BH57" s="306">
        <v>0</v>
      </c>
      <c r="BI57" s="306">
        <v>0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>
        <v>0</v>
      </c>
      <c r="BT57" s="306">
        <v>0</v>
      </c>
      <c r="BU57" s="306">
        <v>0</v>
      </c>
      <c r="BV57" s="306">
        <v>0</v>
      </c>
      <c r="BW57" s="306">
        <v>0</v>
      </c>
      <c r="BX57" s="306">
        <v>0</v>
      </c>
      <c r="BY57" s="306">
        <v>0</v>
      </c>
      <c r="BZ57" s="306">
        <v>0</v>
      </c>
      <c r="CA57" s="306">
        <v>0</v>
      </c>
      <c r="CB57" s="306">
        <v>0</v>
      </c>
      <c r="CC57" s="306">
        <v>0</v>
      </c>
      <c r="CD57" s="306">
        <v>0</v>
      </c>
      <c r="CE57" s="306">
        <v>0</v>
      </c>
      <c r="CF57" s="306">
        <v>0</v>
      </c>
      <c r="CG57" s="306">
        <v>0</v>
      </c>
      <c r="CH57" s="306">
        <v>0</v>
      </c>
      <c r="CI57" s="306">
        <v>0</v>
      </c>
      <c r="CJ57" s="306">
        <v>0</v>
      </c>
      <c r="CK57" s="306">
        <v>0</v>
      </c>
      <c r="CL57" s="306">
        <v>0</v>
      </c>
      <c r="CM57" s="306">
        <v>0</v>
      </c>
      <c r="CN57" s="306">
        <v>0</v>
      </c>
      <c r="CO57" s="306">
        <v>0</v>
      </c>
      <c r="CP57" s="306">
        <v>0</v>
      </c>
      <c r="CQ57" s="306">
        <v>0</v>
      </c>
      <c r="CR57" s="306">
        <v>0</v>
      </c>
      <c r="CS57" s="306">
        <v>0</v>
      </c>
      <c r="CT57" s="306">
        <v>0</v>
      </c>
      <c r="CU57" s="306">
        <v>0</v>
      </c>
      <c r="CV57" s="306">
        <v>0</v>
      </c>
      <c r="CW57" s="306">
        <v>0</v>
      </c>
      <c r="CX57" s="306">
        <v>0</v>
      </c>
    </row>
    <row r="58" spans="3:102" s="307" customFormat="1" x14ac:dyDescent="0.25">
      <c r="C58" s="305">
        <v>50</v>
      </c>
      <c r="D58" s="306">
        <v>6.9</v>
      </c>
      <c r="E58" s="306">
        <v>7.2</v>
      </c>
      <c r="F58" s="306">
        <v>7.52</v>
      </c>
      <c r="G58" s="306">
        <v>7.87</v>
      </c>
      <c r="H58" s="306">
        <v>8.24</v>
      </c>
      <c r="I58" s="306">
        <v>8.6300000000000008</v>
      </c>
      <c r="J58" s="306">
        <v>9.0299999999999994</v>
      </c>
      <c r="K58" s="306">
        <v>9.44</v>
      </c>
      <c r="L58" s="306">
        <v>9.8699999999999992</v>
      </c>
      <c r="M58" s="306">
        <v>10.31</v>
      </c>
      <c r="N58" s="306">
        <v>10.77</v>
      </c>
      <c r="O58" s="306">
        <v>11.2</v>
      </c>
      <c r="P58" s="306">
        <v>11.61</v>
      </c>
      <c r="Q58" s="306">
        <v>12.02</v>
      </c>
      <c r="R58" s="306">
        <v>12.41</v>
      </c>
      <c r="S58" s="306">
        <v>12.78</v>
      </c>
      <c r="T58" s="306">
        <v>13.14</v>
      </c>
      <c r="U58" s="306">
        <v>13.49</v>
      </c>
      <c r="V58" s="306">
        <v>13.81</v>
      </c>
      <c r="W58" s="306">
        <v>14.12</v>
      </c>
      <c r="X58" s="306">
        <v>14.41</v>
      </c>
      <c r="Y58" s="306">
        <v>14.68</v>
      </c>
      <c r="Z58" s="306">
        <v>14.94</v>
      </c>
      <c r="AA58" s="306">
        <v>15.18</v>
      </c>
      <c r="AB58" s="306">
        <v>15.41</v>
      </c>
      <c r="AC58" s="306">
        <v>15.62</v>
      </c>
      <c r="AD58" s="306">
        <v>15.81</v>
      </c>
      <c r="AE58" s="306">
        <v>15.98</v>
      </c>
      <c r="AF58" s="306">
        <v>16.13</v>
      </c>
      <c r="AG58" s="306">
        <v>16.27</v>
      </c>
      <c r="AH58" s="306">
        <v>16.38</v>
      </c>
      <c r="AI58" s="306">
        <v>16.48</v>
      </c>
      <c r="AJ58" s="306">
        <v>16.57</v>
      </c>
      <c r="AK58" s="306">
        <v>16.64</v>
      </c>
      <c r="AL58" s="306">
        <v>16.7</v>
      </c>
      <c r="AM58" s="306">
        <v>16.75</v>
      </c>
      <c r="AN58" s="306">
        <v>16.79</v>
      </c>
      <c r="AO58" s="306">
        <v>16.829999999999998</v>
      </c>
      <c r="AP58" s="306">
        <v>16.850000000000001</v>
      </c>
      <c r="AQ58" s="306">
        <v>16.87</v>
      </c>
      <c r="AR58" s="306">
        <v>16.88</v>
      </c>
      <c r="AS58" s="306">
        <v>16.89</v>
      </c>
      <c r="AT58" s="306">
        <v>16.899999999999999</v>
      </c>
      <c r="AU58" s="306">
        <v>16.899999999999999</v>
      </c>
      <c r="AV58" s="306">
        <v>16.91</v>
      </c>
      <c r="AW58" s="306">
        <v>16.91</v>
      </c>
      <c r="AX58" s="306">
        <v>16.91</v>
      </c>
      <c r="AY58" s="306">
        <v>16.91</v>
      </c>
      <c r="AZ58" s="306">
        <v>16.91</v>
      </c>
      <c r="BA58" s="306">
        <v>16.91</v>
      </c>
      <c r="BB58" s="306">
        <v>0</v>
      </c>
      <c r="BC58" s="306">
        <v>0</v>
      </c>
      <c r="BD58" s="306">
        <v>0</v>
      </c>
      <c r="BE58" s="306">
        <v>0</v>
      </c>
      <c r="BF58" s="306">
        <v>0</v>
      </c>
      <c r="BG58" s="306">
        <v>0</v>
      </c>
      <c r="BH58" s="306">
        <v>0</v>
      </c>
      <c r="BI58" s="306">
        <v>0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>
        <v>0</v>
      </c>
      <c r="BT58" s="306">
        <v>0</v>
      </c>
      <c r="BU58" s="306">
        <v>0</v>
      </c>
      <c r="BV58" s="306">
        <v>0</v>
      </c>
      <c r="BW58" s="306">
        <v>0</v>
      </c>
      <c r="BX58" s="306">
        <v>0</v>
      </c>
      <c r="BY58" s="306">
        <v>0</v>
      </c>
      <c r="BZ58" s="306">
        <v>0</v>
      </c>
      <c r="CA58" s="306">
        <v>0</v>
      </c>
      <c r="CB58" s="306">
        <v>0</v>
      </c>
      <c r="CC58" s="306">
        <v>0</v>
      </c>
      <c r="CD58" s="306">
        <v>0</v>
      </c>
      <c r="CE58" s="306">
        <v>0</v>
      </c>
      <c r="CF58" s="306">
        <v>0</v>
      </c>
      <c r="CG58" s="306">
        <v>0</v>
      </c>
      <c r="CH58" s="306">
        <v>0</v>
      </c>
      <c r="CI58" s="306">
        <v>0</v>
      </c>
      <c r="CJ58" s="306">
        <v>0</v>
      </c>
      <c r="CK58" s="306">
        <v>0</v>
      </c>
      <c r="CL58" s="306">
        <v>0</v>
      </c>
      <c r="CM58" s="306">
        <v>0</v>
      </c>
      <c r="CN58" s="306">
        <v>0</v>
      </c>
      <c r="CO58" s="306">
        <v>0</v>
      </c>
      <c r="CP58" s="306">
        <v>0</v>
      </c>
      <c r="CQ58" s="306">
        <v>0</v>
      </c>
      <c r="CR58" s="306">
        <v>0</v>
      </c>
      <c r="CS58" s="306">
        <v>0</v>
      </c>
      <c r="CT58" s="306">
        <v>0</v>
      </c>
      <c r="CU58" s="306">
        <v>0</v>
      </c>
      <c r="CV58" s="306">
        <v>0</v>
      </c>
      <c r="CW58" s="306">
        <v>0</v>
      </c>
      <c r="CX58" s="306">
        <v>0</v>
      </c>
    </row>
    <row r="59" spans="3:102" x14ac:dyDescent="0.25">
      <c r="C59" s="305">
        <v>51</v>
      </c>
      <c r="D59" s="306">
        <v>7.52</v>
      </c>
      <c r="E59" s="306">
        <v>7.86</v>
      </c>
      <c r="F59" s="306">
        <v>8.2200000000000006</v>
      </c>
      <c r="G59" s="306">
        <v>8.61</v>
      </c>
      <c r="H59" s="306">
        <v>9.01</v>
      </c>
      <c r="I59" s="306">
        <v>9.43</v>
      </c>
      <c r="J59" s="306">
        <v>9.86</v>
      </c>
      <c r="K59" s="306">
        <v>10.31</v>
      </c>
      <c r="L59" s="306">
        <v>10.77</v>
      </c>
      <c r="M59" s="306">
        <v>11.24</v>
      </c>
      <c r="N59" s="306">
        <v>11.74</v>
      </c>
      <c r="O59" s="306">
        <v>12.21</v>
      </c>
      <c r="P59" s="306">
        <v>12.67</v>
      </c>
      <c r="Q59" s="306">
        <v>13.11</v>
      </c>
      <c r="R59" s="306">
        <v>13.54</v>
      </c>
      <c r="S59" s="306">
        <v>13.95</v>
      </c>
      <c r="T59" s="306">
        <v>14.33</v>
      </c>
      <c r="U59" s="306">
        <v>14.7</v>
      </c>
      <c r="V59" s="306">
        <v>15.04</v>
      </c>
      <c r="W59" s="306">
        <v>15.37</v>
      </c>
      <c r="X59" s="306">
        <v>15.68</v>
      </c>
      <c r="Y59" s="306">
        <v>15.98</v>
      </c>
      <c r="Z59" s="306">
        <v>16.25</v>
      </c>
      <c r="AA59" s="306">
        <v>16.510000000000002</v>
      </c>
      <c r="AB59" s="306">
        <v>16.75</v>
      </c>
      <c r="AC59" s="306">
        <v>16.97</v>
      </c>
      <c r="AD59" s="306">
        <v>17.170000000000002</v>
      </c>
      <c r="AE59" s="306">
        <v>17.34</v>
      </c>
      <c r="AF59" s="306">
        <v>17.5</v>
      </c>
      <c r="AG59" s="306">
        <v>17.63</v>
      </c>
      <c r="AH59" s="306">
        <v>17.739999999999998</v>
      </c>
      <c r="AI59" s="306">
        <v>17.84</v>
      </c>
      <c r="AJ59" s="306">
        <v>17.93</v>
      </c>
      <c r="AK59" s="306">
        <v>18</v>
      </c>
      <c r="AL59" s="306">
        <v>18.059999999999999</v>
      </c>
      <c r="AM59" s="306">
        <v>18.100000000000001</v>
      </c>
      <c r="AN59" s="306">
        <v>18.14</v>
      </c>
      <c r="AO59" s="306">
        <v>18.170000000000002</v>
      </c>
      <c r="AP59" s="306">
        <v>18.190000000000001</v>
      </c>
      <c r="AQ59" s="306">
        <v>18.2</v>
      </c>
      <c r="AR59" s="306">
        <v>18.22</v>
      </c>
      <c r="AS59" s="306">
        <v>18.22</v>
      </c>
      <c r="AT59" s="306">
        <v>18.23</v>
      </c>
      <c r="AU59" s="306">
        <v>18.23</v>
      </c>
      <c r="AV59" s="306">
        <v>18.239999999999998</v>
      </c>
      <c r="AW59" s="306">
        <v>18.239999999999998</v>
      </c>
      <c r="AX59" s="306">
        <v>18.239999999999998</v>
      </c>
      <c r="AY59" s="306">
        <v>18.239999999999998</v>
      </c>
      <c r="AZ59" s="306">
        <v>18.239999999999998</v>
      </c>
      <c r="BA59" s="306">
        <v>0</v>
      </c>
      <c r="BB59" s="306">
        <v>0</v>
      </c>
      <c r="BC59" s="306">
        <v>0</v>
      </c>
      <c r="BD59" s="306">
        <v>0</v>
      </c>
      <c r="BE59" s="306">
        <v>0</v>
      </c>
      <c r="BF59" s="306">
        <v>0</v>
      </c>
      <c r="BG59" s="306">
        <v>0</v>
      </c>
      <c r="BH59" s="306">
        <v>0</v>
      </c>
      <c r="BI59" s="306">
        <v>0</v>
      </c>
      <c r="BJ59" s="306">
        <v>0</v>
      </c>
      <c r="BK59" s="306">
        <v>0</v>
      </c>
      <c r="BL59" s="306">
        <v>0</v>
      </c>
      <c r="BM59" s="306">
        <v>0</v>
      </c>
      <c r="BN59" s="306">
        <v>0</v>
      </c>
      <c r="BO59" s="306">
        <v>0</v>
      </c>
      <c r="BP59" s="306">
        <v>0</v>
      </c>
      <c r="BQ59" s="306">
        <v>0</v>
      </c>
      <c r="BR59" s="306">
        <v>0</v>
      </c>
      <c r="BS59" s="306">
        <v>0</v>
      </c>
      <c r="BT59" s="306">
        <v>0</v>
      </c>
      <c r="BU59" s="306">
        <v>0</v>
      </c>
      <c r="BV59" s="306">
        <v>0</v>
      </c>
      <c r="BW59" s="306">
        <v>0</v>
      </c>
      <c r="BX59" s="306">
        <v>0</v>
      </c>
      <c r="BY59" s="306">
        <v>0</v>
      </c>
      <c r="BZ59" s="306">
        <v>0</v>
      </c>
      <c r="CA59" s="306">
        <v>0</v>
      </c>
      <c r="CB59" s="306">
        <v>0</v>
      </c>
      <c r="CC59" s="306">
        <v>0</v>
      </c>
      <c r="CD59" s="306">
        <v>0</v>
      </c>
      <c r="CE59" s="306">
        <v>0</v>
      </c>
      <c r="CF59" s="306">
        <v>0</v>
      </c>
      <c r="CG59" s="306">
        <v>0</v>
      </c>
      <c r="CH59" s="306">
        <v>0</v>
      </c>
      <c r="CI59" s="306">
        <v>0</v>
      </c>
      <c r="CJ59" s="306">
        <v>0</v>
      </c>
      <c r="CK59" s="306">
        <v>0</v>
      </c>
      <c r="CL59" s="306">
        <v>0</v>
      </c>
      <c r="CM59" s="306">
        <v>0</v>
      </c>
      <c r="CN59" s="306">
        <v>0</v>
      </c>
      <c r="CO59" s="306">
        <v>0</v>
      </c>
      <c r="CP59" s="306">
        <v>0</v>
      </c>
      <c r="CQ59" s="306">
        <v>0</v>
      </c>
      <c r="CR59" s="306">
        <v>0</v>
      </c>
      <c r="CS59" s="306">
        <v>0</v>
      </c>
      <c r="CT59" s="306">
        <v>0</v>
      </c>
      <c r="CU59" s="306">
        <v>0</v>
      </c>
      <c r="CV59" s="306">
        <v>0</v>
      </c>
      <c r="CW59" s="306">
        <v>0</v>
      </c>
      <c r="CX59" s="306">
        <v>0</v>
      </c>
    </row>
    <row r="60" spans="3:102" x14ac:dyDescent="0.25">
      <c r="C60" s="305">
        <v>52</v>
      </c>
      <c r="D60" s="306">
        <v>8.2100000000000009</v>
      </c>
      <c r="E60" s="306">
        <v>8.59</v>
      </c>
      <c r="F60" s="306">
        <v>9</v>
      </c>
      <c r="G60" s="306">
        <v>9.42</v>
      </c>
      <c r="H60" s="306">
        <v>9.86</v>
      </c>
      <c r="I60" s="306">
        <v>10.31</v>
      </c>
      <c r="J60" s="306">
        <v>10.77</v>
      </c>
      <c r="K60" s="306">
        <v>11.25</v>
      </c>
      <c r="L60" s="306">
        <v>11.74</v>
      </c>
      <c r="M60" s="306">
        <v>12.26</v>
      </c>
      <c r="N60" s="306">
        <v>12.81</v>
      </c>
      <c r="O60" s="306">
        <v>13.33</v>
      </c>
      <c r="P60" s="306">
        <v>13.83</v>
      </c>
      <c r="Q60" s="306">
        <v>14.31</v>
      </c>
      <c r="R60" s="306">
        <v>14.77</v>
      </c>
      <c r="S60" s="306">
        <v>15.21</v>
      </c>
      <c r="T60" s="306">
        <v>15.62</v>
      </c>
      <c r="U60" s="306">
        <v>16.02</v>
      </c>
      <c r="V60" s="306">
        <v>16.39</v>
      </c>
      <c r="W60" s="306">
        <v>16.739999999999998</v>
      </c>
      <c r="X60" s="306">
        <v>17.07</v>
      </c>
      <c r="Y60" s="306">
        <v>17.39</v>
      </c>
      <c r="Z60" s="306">
        <v>17.690000000000001</v>
      </c>
      <c r="AA60" s="306">
        <v>17.96</v>
      </c>
      <c r="AB60" s="306">
        <v>18.21</v>
      </c>
      <c r="AC60" s="306">
        <v>18.43</v>
      </c>
      <c r="AD60" s="306">
        <v>18.63</v>
      </c>
      <c r="AE60" s="306">
        <v>18.809999999999999</v>
      </c>
      <c r="AF60" s="306">
        <v>18.96</v>
      </c>
      <c r="AG60" s="306">
        <v>19.100000000000001</v>
      </c>
      <c r="AH60" s="306">
        <v>19.21</v>
      </c>
      <c r="AI60" s="306">
        <v>19.309999999999999</v>
      </c>
      <c r="AJ60" s="306">
        <v>19.39</v>
      </c>
      <c r="AK60" s="306">
        <v>19.46</v>
      </c>
      <c r="AL60" s="306">
        <v>19.510000000000002</v>
      </c>
      <c r="AM60" s="306">
        <v>19.55</v>
      </c>
      <c r="AN60" s="306">
        <v>19.579999999999998</v>
      </c>
      <c r="AO60" s="306">
        <v>19.61</v>
      </c>
      <c r="AP60" s="306">
        <v>19.63</v>
      </c>
      <c r="AQ60" s="306">
        <v>19.64</v>
      </c>
      <c r="AR60" s="306">
        <v>19.649999999999999</v>
      </c>
      <c r="AS60" s="306">
        <v>19.66</v>
      </c>
      <c r="AT60" s="306">
        <v>19.66</v>
      </c>
      <c r="AU60" s="306">
        <v>19.66</v>
      </c>
      <c r="AV60" s="306">
        <v>19.670000000000002</v>
      </c>
      <c r="AW60" s="306">
        <v>19.670000000000002</v>
      </c>
      <c r="AX60" s="306">
        <v>19.670000000000002</v>
      </c>
      <c r="AY60" s="306">
        <v>19.670000000000002</v>
      </c>
      <c r="AZ60" s="306">
        <v>0</v>
      </c>
      <c r="BA60" s="306">
        <v>0</v>
      </c>
      <c r="BB60" s="306">
        <v>0</v>
      </c>
      <c r="BC60" s="306">
        <v>0</v>
      </c>
      <c r="BD60" s="306">
        <v>0</v>
      </c>
      <c r="BE60" s="306">
        <v>0</v>
      </c>
      <c r="BF60" s="306">
        <v>0</v>
      </c>
      <c r="BG60" s="306">
        <v>0</v>
      </c>
      <c r="BH60" s="306">
        <v>0</v>
      </c>
      <c r="BI60" s="306">
        <v>0</v>
      </c>
      <c r="BJ60" s="306">
        <v>0</v>
      </c>
      <c r="BK60" s="306">
        <v>0</v>
      </c>
      <c r="BL60" s="306">
        <v>0</v>
      </c>
      <c r="BM60" s="306">
        <v>0</v>
      </c>
      <c r="BN60" s="306">
        <v>0</v>
      </c>
      <c r="BO60" s="306">
        <v>0</v>
      </c>
      <c r="BP60" s="306">
        <v>0</v>
      </c>
      <c r="BQ60" s="306">
        <v>0</v>
      </c>
      <c r="BR60" s="306">
        <v>0</v>
      </c>
      <c r="BS60" s="306">
        <v>0</v>
      </c>
      <c r="BT60" s="306">
        <v>0</v>
      </c>
      <c r="BU60" s="306">
        <v>0</v>
      </c>
      <c r="BV60" s="306">
        <v>0</v>
      </c>
      <c r="BW60" s="306">
        <v>0</v>
      </c>
      <c r="BX60" s="306">
        <v>0</v>
      </c>
      <c r="BY60" s="306">
        <v>0</v>
      </c>
      <c r="BZ60" s="306">
        <v>0</v>
      </c>
      <c r="CA60" s="306">
        <v>0</v>
      </c>
      <c r="CB60" s="306">
        <v>0</v>
      </c>
      <c r="CC60" s="306">
        <v>0</v>
      </c>
      <c r="CD60" s="306">
        <v>0</v>
      </c>
      <c r="CE60" s="306">
        <v>0</v>
      </c>
      <c r="CF60" s="306">
        <v>0</v>
      </c>
      <c r="CG60" s="306">
        <v>0</v>
      </c>
      <c r="CH60" s="306">
        <v>0</v>
      </c>
      <c r="CI60" s="306">
        <v>0</v>
      </c>
      <c r="CJ60" s="306">
        <v>0</v>
      </c>
      <c r="CK60" s="306">
        <v>0</v>
      </c>
      <c r="CL60" s="306">
        <v>0</v>
      </c>
      <c r="CM60" s="306">
        <v>0</v>
      </c>
      <c r="CN60" s="306">
        <v>0</v>
      </c>
      <c r="CO60" s="306">
        <v>0</v>
      </c>
      <c r="CP60" s="306">
        <v>0</v>
      </c>
      <c r="CQ60" s="306">
        <v>0</v>
      </c>
      <c r="CR60" s="306">
        <v>0</v>
      </c>
      <c r="CS60" s="306">
        <v>0</v>
      </c>
      <c r="CT60" s="306">
        <v>0</v>
      </c>
      <c r="CU60" s="306">
        <v>0</v>
      </c>
      <c r="CV60" s="306">
        <v>0</v>
      </c>
      <c r="CW60" s="306">
        <v>0</v>
      </c>
      <c r="CX60" s="306">
        <v>0</v>
      </c>
    </row>
    <row r="61" spans="3:102" x14ac:dyDescent="0.25">
      <c r="C61" s="305">
        <v>53</v>
      </c>
      <c r="D61" s="306">
        <v>9</v>
      </c>
      <c r="E61" s="306">
        <v>9.42</v>
      </c>
      <c r="F61" s="306">
        <v>9.86</v>
      </c>
      <c r="G61" s="306">
        <v>10.32</v>
      </c>
      <c r="H61" s="306">
        <v>10.78</v>
      </c>
      <c r="I61" s="306">
        <v>11.26</v>
      </c>
      <c r="J61" s="306">
        <v>11.75</v>
      </c>
      <c r="K61" s="306">
        <v>12.27</v>
      </c>
      <c r="L61" s="306">
        <v>12.81</v>
      </c>
      <c r="M61" s="306">
        <v>13.38</v>
      </c>
      <c r="N61" s="306">
        <v>13.98</v>
      </c>
      <c r="O61" s="306">
        <v>14.55</v>
      </c>
      <c r="P61" s="306">
        <v>15.1</v>
      </c>
      <c r="Q61" s="306">
        <v>15.62</v>
      </c>
      <c r="R61" s="306">
        <v>16.12</v>
      </c>
      <c r="S61" s="306">
        <v>16.59</v>
      </c>
      <c r="T61" s="306">
        <v>17.03</v>
      </c>
      <c r="U61" s="306">
        <v>17.45</v>
      </c>
      <c r="V61" s="306">
        <v>17.850000000000001</v>
      </c>
      <c r="W61" s="306">
        <v>18.23</v>
      </c>
      <c r="X61" s="306">
        <v>18.59</v>
      </c>
      <c r="Y61" s="306">
        <v>18.93</v>
      </c>
      <c r="Z61" s="306">
        <v>19.239999999999998</v>
      </c>
      <c r="AA61" s="306">
        <v>19.53</v>
      </c>
      <c r="AB61" s="306">
        <v>19.78</v>
      </c>
      <c r="AC61" s="306">
        <v>20.010000000000002</v>
      </c>
      <c r="AD61" s="306">
        <v>20.21</v>
      </c>
      <c r="AE61" s="306">
        <v>20.39</v>
      </c>
      <c r="AF61" s="306">
        <v>20.54</v>
      </c>
      <c r="AG61" s="306">
        <v>20.67</v>
      </c>
      <c r="AH61" s="306">
        <v>20.79</v>
      </c>
      <c r="AI61" s="306">
        <v>20.88</v>
      </c>
      <c r="AJ61" s="306">
        <v>20.96</v>
      </c>
      <c r="AK61" s="306">
        <v>21.02</v>
      </c>
      <c r="AL61" s="306">
        <v>21.07</v>
      </c>
      <c r="AM61" s="306">
        <v>21.11</v>
      </c>
      <c r="AN61" s="306">
        <v>21.13</v>
      </c>
      <c r="AO61" s="306">
        <v>21.16</v>
      </c>
      <c r="AP61" s="306">
        <v>21.17</v>
      </c>
      <c r="AQ61" s="306">
        <v>21.18</v>
      </c>
      <c r="AR61" s="306">
        <v>21.19</v>
      </c>
      <c r="AS61" s="306">
        <v>21.19</v>
      </c>
      <c r="AT61" s="306">
        <v>21.2</v>
      </c>
      <c r="AU61" s="306">
        <v>21.2</v>
      </c>
      <c r="AV61" s="306">
        <v>21.2</v>
      </c>
      <c r="AW61" s="306">
        <v>21.2</v>
      </c>
      <c r="AX61" s="306">
        <v>21.2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  <c r="BD61" s="306">
        <v>0</v>
      </c>
      <c r="BE61" s="306">
        <v>0</v>
      </c>
      <c r="BF61" s="306">
        <v>0</v>
      </c>
      <c r="BG61" s="306">
        <v>0</v>
      </c>
      <c r="BH61" s="306">
        <v>0</v>
      </c>
      <c r="BI61" s="306">
        <v>0</v>
      </c>
      <c r="BJ61" s="306">
        <v>0</v>
      </c>
      <c r="BK61" s="306">
        <v>0</v>
      </c>
      <c r="BL61" s="306">
        <v>0</v>
      </c>
      <c r="BM61" s="306">
        <v>0</v>
      </c>
      <c r="BN61" s="306">
        <v>0</v>
      </c>
      <c r="BO61" s="306">
        <v>0</v>
      </c>
      <c r="BP61" s="306">
        <v>0</v>
      </c>
      <c r="BQ61" s="306">
        <v>0</v>
      </c>
      <c r="BR61" s="306">
        <v>0</v>
      </c>
      <c r="BS61" s="306">
        <v>0</v>
      </c>
      <c r="BT61" s="306">
        <v>0</v>
      </c>
      <c r="BU61" s="306">
        <v>0</v>
      </c>
      <c r="BV61" s="306">
        <v>0</v>
      </c>
      <c r="BW61" s="306">
        <v>0</v>
      </c>
      <c r="BX61" s="306">
        <v>0</v>
      </c>
      <c r="BY61" s="306">
        <v>0</v>
      </c>
      <c r="BZ61" s="306">
        <v>0</v>
      </c>
      <c r="CA61" s="306">
        <v>0</v>
      </c>
      <c r="CB61" s="306">
        <v>0</v>
      </c>
      <c r="CC61" s="306">
        <v>0</v>
      </c>
      <c r="CD61" s="306">
        <v>0</v>
      </c>
      <c r="CE61" s="306">
        <v>0</v>
      </c>
      <c r="CF61" s="306">
        <v>0</v>
      </c>
      <c r="CG61" s="306">
        <v>0</v>
      </c>
      <c r="CH61" s="306">
        <v>0</v>
      </c>
      <c r="CI61" s="306">
        <v>0</v>
      </c>
      <c r="CJ61" s="306">
        <v>0</v>
      </c>
      <c r="CK61" s="306">
        <v>0</v>
      </c>
      <c r="CL61" s="306">
        <v>0</v>
      </c>
      <c r="CM61" s="306">
        <v>0</v>
      </c>
      <c r="CN61" s="306">
        <v>0</v>
      </c>
      <c r="CO61" s="306">
        <v>0</v>
      </c>
      <c r="CP61" s="306">
        <v>0</v>
      </c>
      <c r="CQ61" s="306">
        <v>0</v>
      </c>
      <c r="CR61" s="306">
        <v>0</v>
      </c>
      <c r="CS61" s="306">
        <v>0</v>
      </c>
      <c r="CT61" s="306">
        <v>0</v>
      </c>
      <c r="CU61" s="306">
        <v>0</v>
      </c>
      <c r="CV61" s="306">
        <v>0</v>
      </c>
      <c r="CW61" s="306">
        <v>0</v>
      </c>
      <c r="CX61" s="306">
        <v>0</v>
      </c>
    </row>
    <row r="62" spans="3:102" x14ac:dyDescent="0.25">
      <c r="C62" s="305">
        <v>54</v>
      </c>
      <c r="D62" s="306">
        <v>9.86</v>
      </c>
      <c r="E62" s="306">
        <v>10.32</v>
      </c>
      <c r="F62" s="306">
        <v>10.79</v>
      </c>
      <c r="G62" s="306">
        <v>11.28</v>
      </c>
      <c r="H62" s="306">
        <v>11.77</v>
      </c>
      <c r="I62" s="306">
        <v>12.28</v>
      </c>
      <c r="J62" s="306">
        <v>12.82</v>
      </c>
      <c r="K62" s="306">
        <v>13.38</v>
      </c>
      <c r="L62" s="306">
        <v>13.97</v>
      </c>
      <c r="M62" s="306">
        <v>14.6</v>
      </c>
      <c r="N62" s="306">
        <v>15.27</v>
      </c>
      <c r="O62" s="306">
        <v>15.89</v>
      </c>
      <c r="P62" s="306">
        <v>16.489999999999998</v>
      </c>
      <c r="Q62" s="306">
        <v>17.05</v>
      </c>
      <c r="R62" s="306">
        <v>17.579999999999998</v>
      </c>
      <c r="S62" s="306">
        <v>18.079999999999998</v>
      </c>
      <c r="T62" s="306">
        <v>18.559999999999999</v>
      </c>
      <c r="U62" s="306">
        <v>19.010000000000002</v>
      </c>
      <c r="V62" s="306">
        <v>19.440000000000001</v>
      </c>
      <c r="W62" s="306">
        <v>19.850000000000001</v>
      </c>
      <c r="X62" s="306">
        <v>20.239999999999998</v>
      </c>
      <c r="Y62" s="306">
        <v>20.59</v>
      </c>
      <c r="Z62" s="306">
        <v>20.92</v>
      </c>
      <c r="AA62" s="306">
        <v>21.21</v>
      </c>
      <c r="AB62" s="306">
        <v>21.48</v>
      </c>
      <c r="AC62" s="306">
        <v>21.71</v>
      </c>
      <c r="AD62" s="306">
        <v>21.91</v>
      </c>
      <c r="AE62" s="306">
        <v>22.09</v>
      </c>
      <c r="AF62" s="306">
        <v>22.24</v>
      </c>
      <c r="AG62" s="306">
        <v>22.37</v>
      </c>
      <c r="AH62" s="306">
        <v>22.48</v>
      </c>
      <c r="AI62" s="306">
        <v>22.57</v>
      </c>
      <c r="AJ62" s="306">
        <v>22.64</v>
      </c>
      <c r="AK62" s="306">
        <v>22.69</v>
      </c>
      <c r="AL62" s="306">
        <v>22.74</v>
      </c>
      <c r="AM62" s="306">
        <v>22.77</v>
      </c>
      <c r="AN62" s="306">
        <v>22.8</v>
      </c>
      <c r="AO62" s="306">
        <v>22.81</v>
      </c>
      <c r="AP62" s="306">
        <v>22.83</v>
      </c>
      <c r="AQ62" s="306">
        <v>22.83</v>
      </c>
      <c r="AR62" s="306">
        <v>22.84</v>
      </c>
      <c r="AS62" s="306">
        <v>22.85</v>
      </c>
      <c r="AT62" s="306">
        <v>22.85</v>
      </c>
      <c r="AU62" s="306">
        <v>22.85</v>
      </c>
      <c r="AV62" s="306">
        <v>22.85</v>
      </c>
      <c r="AW62" s="306">
        <v>22.85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  <c r="BD62" s="306">
        <v>0</v>
      </c>
      <c r="BE62" s="306">
        <v>0</v>
      </c>
      <c r="BF62" s="306">
        <v>0</v>
      </c>
      <c r="BG62" s="306">
        <v>0</v>
      </c>
      <c r="BH62" s="306">
        <v>0</v>
      </c>
      <c r="BI62" s="306">
        <v>0</v>
      </c>
      <c r="BJ62" s="306">
        <v>0</v>
      </c>
      <c r="BK62" s="306">
        <v>0</v>
      </c>
      <c r="BL62" s="306">
        <v>0</v>
      </c>
      <c r="BM62" s="306">
        <v>0</v>
      </c>
      <c r="BN62" s="306">
        <v>0</v>
      </c>
      <c r="BO62" s="306">
        <v>0</v>
      </c>
      <c r="BP62" s="306">
        <v>0</v>
      </c>
      <c r="BQ62" s="306">
        <v>0</v>
      </c>
      <c r="BR62" s="306">
        <v>0</v>
      </c>
      <c r="BS62" s="306">
        <v>0</v>
      </c>
      <c r="BT62" s="306">
        <v>0</v>
      </c>
      <c r="BU62" s="306">
        <v>0</v>
      </c>
      <c r="BV62" s="306">
        <v>0</v>
      </c>
      <c r="BW62" s="306">
        <v>0</v>
      </c>
      <c r="BX62" s="306">
        <v>0</v>
      </c>
      <c r="BY62" s="306">
        <v>0</v>
      </c>
      <c r="BZ62" s="306">
        <v>0</v>
      </c>
      <c r="CA62" s="306">
        <v>0</v>
      </c>
      <c r="CB62" s="306">
        <v>0</v>
      </c>
      <c r="CC62" s="306">
        <v>0</v>
      </c>
      <c r="CD62" s="306">
        <v>0</v>
      </c>
      <c r="CE62" s="306">
        <v>0</v>
      </c>
      <c r="CF62" s="306">
        <v>0</v>
      </c>
      <c r="CG62" s="306">
        <v>0</v>
      </c>
      <c r="CH62" s="306">
        <v>0</v>
      </c>
      <c r="CI62" s="306">
        <v>0</v>
      </c>
      <c r="CJ62" s="306">
        <v>0</v>
      </c>
      <c r="CK62" s="306">
        <v>0</v>
      </c>
      <c r="CL62" s="306">
        <v>0</v>
      </c>
      <c r="CM62" s="306">
        <v>0</v>
      </c>
      <c r="CN62" s="306">
        <v>0</v>
      </c>
      <c r="CO62" s="306">
        <v>0</v>
      </c>
      <c r="CP62" s="306">
        <v>0</v>
      </c>
      <c r="CQ62" s="306">
        <v>0</v>
      </c>
      <c r="CR62" s="306">
        <v>0</v>
      </c>
      <c r="CS62" s="306">
        <v>0</v>
      </c>
      <c r="CT62" s="306">
        <v>0</v>
      </c>
      <c r="CU62" s="306">
        <v>0</v>
      </c>
      <c r="CV62" s="306">
        <v>0</v>
      </c>
      <c r="CW62" s="306">
        <v>0</v>
      </c>
      <c r="CX62" s="306">
        <v>0</v>
      </c>
    </row>
    <row r="63" spans="3:102" x14ac:dyDescent="0.25">
      <c r="C63" s="305">
        <v>55</v>
      </c>
      <c r="D63" s="306">
        <v>10.8</v>
      </c>
      <c r="E63" s="306">
        <v>11.29</v>
      </c>
      <c r="F63" s="306">
        <v>11.79</v>
      </c>
      <c r="G63" s="306">
        <v>12.3</v>
      </c>
      <c r="H63" s="306">
        <v>12.83</v>
      </c>
      <c r="I63" s="306">
        <v>13.38</v>
      </c>
      <c r="J63" s="306">
        <v>13.97</v>
      </c>
      <c r="K63" s="306">
        <v>14.59</v>
      </c>
      <c r="L63" s="306">
        <v>15.25</v>
      </c>
      <c r="M63" s="306">
        <v>15.94</v>
      </c>
      <c r="N63" s="306">
        <v>16.670000000000002</v>
      </c>
      <c r="O63" s="306">
        <v>17.350000000000001</v>
      </c>
      <c r="P63" s="306">
        <v>17.989999999999998</v>
      </c>
      <c r="Q63" s="306">
        <v>18.59</v>
      </c>
      <c r="R63" s="306">
        <v>19.16</v>
      </c>
      <c r="S63" s="306">
        <v>19.7</v>
      </c>
      <c r="T63" s="306">
        <v>20.22</v>
      </c>
      <c r="U63" s="306">
        <v>20.71</v>
      </c>
      <c r="V63" s="306">
        <v>21.17</v>
      </c>
      <c r="W63" s="306">
        <v>21.61</v>
      </c>
      <c r="X63" s="306">
        <v>22.02</v>
      </c>
      <c r="Y63" s="306">
        <v>22.39</v>
      </c>
      <c r="Z63" s="306">
        <v>22.73</v>
      </c>
      <c r="AA63" s="306">
        <v>23.03</v>
      </c>
      <c r="AB63" s="306">
        <v>23.3</v>
      </c>
      <c r="AC63" s="306">
        <v>23.53</v>
      </c>
      <c r="AD63" s="306">
        <v>23.73</v>
      </c>
      <c r="AE63" s="306">
        <v>23.91</v>
      </c>
      <c r="AF63" s="306">
        <v>24.06</v>
      </c>
      <c r="AG63" s="306">
        <v>24.18</v>
      </c>
      <c r="AH63" s="306">
        <v>24.29</v>
      </c>
      <c r="AI63" s="306">
        <v>24.37</v>
      </c>
      <c r="AJ63" s="306">
        <v>24.44</v>
      </c>
      <c r="AK63" s="306">
        <v>24.49</v>
      </c>
      <c r="AL63" s="306">
        <v>24.52</v>
      </c>
      <c r="AM63" s="306">
        <v>24.55</v>
      </c>
      <c r="AN63" s="306">
        <v>24.57</v>
      </c>
      <c r="AO63" s="306">
        <v>24.59</v>
      </c>
      <c r="AP63" s="306">
        <v>24.6</v>
      </c>
      <c r="AQ63" s="306">
        <v>24.61</v>
      </c>
      <c r="AR63" s="306">
        <v>24.61</v>
      </c>
      <c r="AS63" s="306">
        <v>24.61</v>
      </c>
      <c r="AT63" s="306">
        <v>24.62</v>
      </c>
      <c r="AU63" s="306">
        <v>24.62</v>
      </c>
      <c r="AV63" s="306">
        <v>24.62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  <c r="BD63" s="306">
        <v>0</v>
      </c>
      <c r="BE63" s="306">
        <v>0</v>
      </c>
      <c r="BF63" s="306">
        <v>0</v>
      </c>
      <c r="BG63" s="306">
        <v>0</v>
      </c>
      <c r="BH63" s="306">
        <v>0</v>
      </c>
      <c r="BI63" s="306">
        <v>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306">
        <v>0</v>
      </c>
      <c r="BY63" s="306">
        <v>0</v>
      </c>
      <c r="BZ63" s="306">
        <v>0</v>
      </c>
      <c r="CA63" s="306">
        <v>0</v>
      </c>
      <c r="CB63" s="306">
        <v>0</v>
      </c>
      <c r="CC63" s="306">
        <v>0</v>
      </c>
      <c r="CD63" s="306">
        <v>0</v>
      </c>
      <c r="CE63" s="306">
        <v>0</v>
      </c>
      <c r="CF63" s="306">
        <v>0</v>
      </c>
      <c r="CG63" s="306">
        <v>0</v>
      </c>
      <c r="CH63" s="306">
        <v>0</v>
      </c>
      <c r="CI63" s="306">
        <v>0</v>
      </c>
      <c r="CJ63" s="306">
        <v>0</v>
      </c>
      <c r="CK63" s="306">
        <v>0</v>
      </c>
      <c r="CL63" s="306">
        <v>0</v>
      </c>
      <c r="CM63" s="306">
        <v>0</v>
      </c>
      <c r="CN63" s="306">
        <v>0</v>
      </c>
      <c r="CO63" s="306">
        <v>0</v>
      </c>
      <c r="CP63" s="306">
        <v>0</v>
      </c>
      <c r="CQ63" s="306">
        <v>0</v>
      </c>
      <c r="CR63" s="306">
        <v>0</v>
      </c>
      <c r="CS63" s="306">
        <v>0</v>
      </c>
      <c r="CT63" s="306">
        <v>0</v>
      </c>
      <c r="CU63" s="306">
        <v>0</v>
      </c>
      <c r="CV63" s="306">
        <v>0</v>
      </c>
      <c r="CW63" s="306">
        <v>0</v>
      </c>
      <c r="CX63" s="306">
        <v>0</v>
      </c>
    </row>
    <row r="64" spans="3:102" x14ac:dyDescent="0.25">
      <c r="C64" s="305">
        <v>56</v>
      </c>
      <c r="D64" s="306">
        <v>11.79</v>
      </c>
      <c r="E64" s="306">
        <v>12.31</v>
      </c>
      <c r="F64" s="306">
        <v>12.84</v>
      </c>
      <c r="G64" s="306">
        <v>13.39</v>
      </c>
      <c r="H64" s="306">
        <v>13.97</v>
      </c>
      <c r="I64" s="306">
        <v>14.58</v>
      </c>
      <c r="J64" s="306">
        <v>15.23</v>
      </c>
      <c r="K64" s="306">
        <v>15.92</v>
      </c>
      <c r="L64" s="306">
        <v>16.649999999999999</v>
      </c>
      <c r="M64" s="306">
        <v>17.41</v>
      </c>
      <c r="N64" s="306">
        <v>18.2</v>
      </c>
      <c r="O64" s="306">
        <v>18.93</v>
      </c>
      <c r="P64" s="306">
        <v>19.62</v>
      </c>
      <c r="Q64" s="306">
        <v>20.27</v>
      </c>
      <c r="R64" s="306">
        <v>20.88</v>
      </c>
      <c r="S64" s="306">
        <v>21.47</v>
      </c>
      <c r="T64" s="306">
        <v>22.02</v>
      </c>
      <c r="U64" s="306">
        <v>22.55</v>
      </c>
      <c r="V64" s="306">
        <v>23.05</v>
      </c>
      <c r="W64" s="306">
        <v>23.52</v>
      </c>
      <c r="X64" s="306">
        <v>23.95</v>
      </c>
      <c r="Y64" s="306">
        <v>24.34</v>
      </c>
      <c r="Z64" s="306">
        <v>24.68</v>
      </c>
      <c r="AA64" s="306">
        <v>24.99</v>
      </c>
      <c r="AB64" s="306">
        <v>25.25</v>
      </c>
      <c r="AC64" s="306">
        <v>25.49</v>
      </c>
      <c r="AD64" s="306">
        <v>25.69</v>
      </c>
      <c r="AE64" s="306">
        <v>25.86</v>
      </c>
      <c r="AF64" s="306">
        <v>26.01</v>
      </c>
      <c r="AG64" s="306">
        <v>26.13</v>
      </c>
      <c r="AH64" s="306">
        <v>26.22</v>
      </c>
      <c r="AI64" s="306">
        <v>26.3</v>
      </c>
      <c r="AJ64" s="306">
        <v>26.36</v>
      </c>
      <c r="AK64" s="306">
        <v>26.4</v>
      </c>
      <c r="AL64" s="306">
        <v>26.44</v>
      </c>
      <c r="AM64" s="306">
        <v>26.46</v>
      </c>
      <c r="AN64" s="306">
        <v>26.48</v>
      </c>
      <c r="AO64" s="306">
        <v>26.49</v>
      </c>
      <c r="AP64" s="306">
        <v>26.5</v>
      </c>
      <c r="AQ64" s="306">
        <v>26.5</v>
      </c>
      <c r="AR64" s="306">
        <v>26.51</v>
      </c>
      <c r="AS64" s="306">
        <v>26.51</v>
      </c>
      <c r="AT64" s="306">
        <v>26.51</v>
      </c>
      <c r="AU64" s="306">
        <v>26.51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  <c r="BD64" s="306">
        <v>0</v>
      </c>
      <c r="BE64" s="306">
        <v>0</v>
      </c>
      <c r="BF64" s="306">
        <v>0</v>
      </c>
      <c r="BG64" s="306">
        <v>0</v>
      </c>
      <c r="BH64" s="306">
        <v>0</v>
      </c>
      <c r="BI64" s="306">
        <v>0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0</v>
      </c>
      <c r="BP64" s="306">
        <v>0</v>
      </c>
      <c r="BQ64" s="306">
        <v>0</v>
      </c>
      <c r="BR64" s="306">
        <v>0</v>
      </c>
      <c r="BS64" s="306">
        <v>0</v>
      </c>
      <c r="BT64" s="306">
        <v>0</v>
      </c>
      <c r="BU64" s="306">
        <v>0</v>
      </c>
      <c r="BV64" s="306">
        <v>0</v>
      </c>
      <c r="BW64" s="306">
        <v>0</v>
      </c>
      <c r="BX64" s="306">
        <v>0</v>
      </c>
      <c r="BY64" s="306">
        <v>0</v>
      </c>
      <c r="BZ64" s="306">
        <v>0</v>
      </c>
      <c r="CA64" s="306">
        <v>0</v>
      </c>
      <c r="CB64" s="306">
        <v>0</v>
      </c>
      <c r="CC64" s="306">
        <v>0</v>
      </c>
      <c r="CD64" s="306">
        <v>0</v>
      </c>
      <c r="CE64" s="306">
        <v>0</v>
      </c>
      <c r="CF64" s="306">
        <v>0</v>
      </c>
      <c r="CG64" s="306">
        <v>0</v>
      </c>
      <c r="CH64" s="306">
        <v>0</v>
      </c>
      <c r="CI64" s="306">
        <v>0</v>
      </c>
      <c r="CJ64" s="306">
        <v>0</v>
      </c>
      <c r="CK64" s="306">
        <v>0</v>
      </c>
      <c r="CL64" s="306">
        <v>0</v>
      </c>
      <c r="CM64" s="306">
        <v>0</v>
      </c>
      <c r="CN64" s="306">
        <v>0</v>
      </c>
      <c r="CO64" s="306">
        <v>0</v>
      </c>
      <c r="CP64" s="306">
        <v>0</v>
      </c>
      <c r="CQ64" s="306">
        <v>0</v>
      </c>
      <c r="CR64" s="306">
        <v>0</v>
      </c>
      <c r="CS64" s="306">
        <v>0</v>
      </c>
      <c r="CT64" s="306">
        <v>0</v>
      </c>
      <c r="CU64" s="306">
        <v>0</v>
      </c>
      <c r="CV64" s="306">
        <v>0</v>
      </c>
      <c r="CW64" s="306">
        <v>0</v>
      </c>
      <c r="CX64" s="306">
        <v>0</v>
      </c>
    </row>
    <row r="65" spans="3:102" x14ac:dyDescent="0.25">
      <c r="C65" s="305">
        <v>57</v>
      </c>
      <c r="D65" s="306">
        <v>12.85</v>
      </c>
      <c r="E65" s="306">
        <v>13.4</v>
      </c>
      <c r="F65" s="306">
        <v>13.97</v>
      </c>
      <c r="G65" s="306">
        <v>14.57</v>
      </c>
      <c r="H65" s="306">
        <v>15.22</v>
      </c>
      <c r="I65" s="306">
        <v>15.9</v>
      </c>
      <c r="J65" s="306">
        <v>16.62</v>
      </c>
      <c r="K65" s="306">
        <v>17.39</v>
      </c>
      <c r="L65" s="306">
        <v>18.190000000000001</v>
      </c>
      <c r="M65" s="306">
        <v>19.010000000000002</v>
      </c>
      <c r="N65" s="306">
        <v>19.86</v>
      </c>
      <c r="O65" s="306">
        <v>20.65</v>
      </c>
      <c r="P65" s="306">
        <v>21.39</v>
      </c>
      <c r="Q65" s="306">
        <v>22.09</v>
      </c>
      <c r="R65" s="306">
        <v>22.76</v>
      </c>
      <c r="S65" s="306">
        <v>23.39</v>
      </c>
      <c r="T65" s="306">
        <v>24</v>
      </c>
      <c r="U65" s="306">
        <v>24.57</v>
      </c>
      <c r="V65" s="306">
        <v>25.1</v>
      </c>
      <c r="W65" s="306">
        <v>25.59</v>
      </c>
      <c r="X65" s="306">
        <v>26.03</v>
      </c>
      <c r="Y65" s="306">
        <v>26.43</v>
      </c>
      <c r="Z65" s="306">
        <v>26.78</v>
      </c>
      <c r="AA65" s="306">
        <v>27.09</v>
      </c>
      <c r="AB65" s="306">
        <v>27.36</v>
      </c>
      <c r="AC65" s="306">
        <v>27.59</v>
      </c>
      <c r="AD65" s="306">
        <v>27.79</v>
      </c>
      <c r="AE65" s="306">
        <v>27.96</v>
      </c>
      <c r="AF65" s="306">
        <v>28.1</v>
      </c>
      <c r="AG65" s="306">
        <v>28.21</v>
      </c>
      <c r="AH65" s="306">
        <v>28.3</v>
      </c>
      <c r="AI65" s="306">
        <v>28.37</v>
      </c>
      <c r="AJ65" s="306">
        <v>28.42</v>
      </c>
      <c r="AK65" s="306">
        <v>28.46</v>
      </c>
      <c r="AL65" s="306">
        <v>28.48</v>
      </c>
      <c r="AM65" s="306">
        <v>28.5</v>
      </c>
      <c r="AN65" s="306">
        <v>28.52</v>
      </c>
      <c r="AO65" s="306">
        <v>28.53</v>
      </c>
      <c r="AP65" s="306">
        <v>28.53</v>
      </c>
      <c r="AQ65" s="306">
        <v>28.54</v>
      </c>
      <c r="AR65" s="306">
        <v>28.54</v>
      </c>
      <c r="AS65" s="306">
        <v>28.54</v>
      </c>
      <c r="AT65" s="306">
        <v>28.54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0</v>
      </c>
      <c r="BD65" s="306">
        <v>0</v>
      </c>
      <c r="BE65" s="306">
        <v>0</v>
      </c>
      <c r="BF65" s="306">
        <v>0</v>
      </c>
      <c r="BG65" s="306">
        <v>0</v>
      </c>
      <c r="BH65" s="306">
        <v>0</v>
      </c>
      <c r="BI65" s="306">
        <v>0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>
        <v>0</v>
      </c>
      <c r="BT65" s="306">
        <v>0</v>
      </c>
      <c r="BU65" s="306">
        <v>0</v>
      </c>
      <c r="BV65" s="306">
        <v>0</v>
      </c>
      <c r="BW65" s="306">
        <v>0</v>
      </c>
      <c r="BX65" s="306">
        <v>0</v>
      </c>
      <c r="BY65" s="306">
        <v>0</v>
      </c>
      <c r="BZ65" s="306">
        <v>0</v>
      </c>
      <c r="CA65" s="306">
        <v>0</v>
      </c>
      <c r="CB65" s="306">
        <v>0</v>
      </c>
      <c r="CC65" s="306">
        <v>0</v>
      </c>
      <c r="CD65" s="306">
        <v>0</v>
      </c>
      <c r="CE65" s="306">
        <v>0</v>
      </c>
      <c r="CF65" s="306">
        <v>0</v>
      </c>
      <c r="CG65" s="306">
        <v>0</v>
      </c>
      <c r="CH65" s="306">
        <v>0</v>
      </c>
      <c r="CI65" s="306">
        <v>0</v>
      </c>
      <c r="CJ65" s="306">
        <v>0</v>
      </c>
      <c r="CK65" s="306">
        <v>0</v>
      </c>
      <c r="CL65" s="306">
        <v>0</v>
      </c>
      <c r="CM65" s="306">
        <v>0</v>
      </c>
      <c r="CN65" s="306">
        <v>0</v>
      </c>
      <c r="CO65" s="306">
        <v>0</v>
      </c>
      <c r="CP65" s="306">
        <v>0</v>
      </c>
      <c r="CQ65" s="306">
        <v>0</v>
      </c>
      <c r="CR65" s="306">
        <v>0</v>
      </c>
      <c r="CS65" s="306">
        <v>0</v>
      </c>
      <c r="CT65" s="306">
        <v>0</v>
      </c>
      <c r="CU65" s="306">
        <v>0</v>
      </c>
      <c r="CV65" s="306">
        <v>0</v>
      </c>
      <c r="CW65" s="306">
        <v>0</v>
      </c>
      <c r="CX65" s="306">
        <v>0</v>
      </c>
    </row>
    <row r="66" spans="3:102" x14ac:dyDescent="0.25">
      <c r="C66" s="305">
        <v>58</v>
      </c>
      <c r="D66" s="306">
        <v>13.97</v>
      </c>
      <c r="E66" s="306">
        <v>14.57</v>
      </c>
      <c r="F66" s="306">
        <v>15.2</v>
      </c>
      <c r="G66" s="306">
        <v>15.88</v>
      </c>
      <c r="H66" s="306">
        <v>16.59</v>
      </c>
      <c r="I66" s="306">
        <v>17.36</v>
      </c>
      <c r="J66" s="306">
        <v>18.16</v>
      </c>
      <c r="K66" s="306">
        <v>19</v>
      </c>
      <c r="L66" s="306">
        <v>19.87</v>
      </c>
      <c r="M66" s="306">
        <v>20.76</v>
      </c>
      <c r="N66" s="306">
        <v>21.68</v>
      </c>
      <c r="O66" s="306">
        <v>22.53</v>
      </c>
      <c r="P66" s="306">
        <v>23.32</v>
      </c>
      <c r="Q66" s="306">
        <v>24.08</v>
      </c>
      <c r="R66" s="306">
        <v>24.81</v>
      </c>
      <c r="S66" s="306">
        <v>25.5</v>
      </c>
      <c r="T66" s="306">
        <v>26.15</v>
      </c>
      <c r="U66" s="306">
        <v>26.76</v>
      </c>
      <c r="V66" s="306">
        <v>27.32</v>
      </c>
      <c r="W66" s="306">
        <v>27.83</v>
      </c>
      <c r="X66" s="306">
        <v>28.28</v>
      </c>
      <c r="Y66" s="306">
        <v>28.69</v>
      </c>
      <c r="Z66" s="306">
        <v>29.04</v>
      </c>
      <c r="AA66" s="306">
        <v>29.35</v>
      </c>
      <c r="AB66" s="306">
        <v>29.62</v>
      </c>
      <c r="AC66" s="306">
        <v>29.85</v>
      </c>
      <c r="AD66" s="306">
        <v>30.05</v>
      </c>
      <c r="AE66" s="306">
        <v>30.21</v>
      </c>
      <c r="AF66" s="306">
        <v>30.34</v>
      </c>
      <c r="AG66" s="306">
        <v>30.44</v>
      </c>
      <c r="AH66" s="306">
        <v>30.52</v>
      </c>
      <c r="AI66" s="306">
        <v>30.58</v>
      </c>
      <c r="AJ66" s="306">
        <v>30.62</v>
      </c>
      <c r="AK66" s="306">
        <v>30.66</v>
      </c>
      <c r="AL66" s="306">
        <v>30.68</v>
      </c>
      <c r="AM66" s="306">
        <v>30.7</v>
      </c>
      <c r="AN66" s="306">
        <v>30.71</v>
      </c>
      <c r="AO66" s="306">
        <v>30.72</v>
      </c>
      <c r="AP66" s="306">
        <v>30.72</v>
      </c>
      <c r="AQ66" s="306">
        <v>30.72</v>
      </c>
      <c r="AR66" s="306">
        <v>30.73</v>
      </c>
      <c r="AS66" s="306">
        <v>30.73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0</v>
      </c>
      <c r="BA66" s="306">
        <v>0</v>
      </c>
      <c r="BB66" s="306">
        <v>0</v>
      </c>
      <c r="BC66" s="306">
        <v>0</v>
      </c>
      <c r="BD66" s="306">
        <v>0</v>
      </c>
      <c r="BE66" s="306">
        <v>0</v>
      </c>
      <c r="BF66" s="306">
        <v>0</v>
      </c>
      <c r="BG66" s="306">
        <v>0</v>
      </c>
      <c r="BH66" s="306">
        <v>0</v>
      </c>
      <c r="BI66" s="306">
        <v>0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>
        <v>0</v>
      </c>
      <c r="BT66" s="306">
        <v>0</v>
      </c>
      <c r="BU66" s="306">
        <v>0</v>
      </c>
      <c r="BV66" s="306">
        <v>0</v>
      </c>
      <c r="BW66" s="306">
        <v>0</v>
      </c>
      <c r="BX66" s="306">
        <v>0</v>
      </c>
      <c r="BY66" s="306">
        <v>0</v>
      </c>
      <c r="BZ66" s="306">
        <v>0</v>
      </c>
      <c r="CA66" s="306">
        <v>0</v>
      </c>
      <c r="CB66" s="306">
        <v>0</v>
      </c>
      <c r="CC66" s="306">
        <v>0</v>
      </c>
      <c r="CD66" s="306">
        <v>0</v>
      </c>
      <c r="CE66" s="306">
        <v>0</v>
      </c>
      <c r="CF66" s="306">
        <v>0</v>
      </c>
      <c r="CG66" s="306">
        <v>0</v>
      </c>
      <c r="CH66" s="306">
        <v>0</v>
      </c>
      <c r="CI66" s="306">
        <v>0</v>
      </c>
      <c r="CJ66" s="306">
        <v>0</v>
      </c>
      <c r="CK66" s="306">
        <v>0</v>
      </c>
      <c r="CL66" s="306">
        <v>0</v>
      </c>
      <c r="CM66" s="306">
        <v>0</v>
      </c>
      <c r="CN66" s="306">
        <v>0</v>
      </c>
      <c r="CO66" s="306">
        <v>0</v>
      </c>
      <c r="CP66" s="306">
        <v>0</v>
      </c>
      <c r="CQ66" s="306">
        <v>0</v>
      </c>
      <c r="CR66" s="306">
        <v>0</v>
      </c>
      <c r="CS66" s="306">
        <v>0</v>
      </c>
      <c r="CT66" s="306">
        <v>0</v>
      </c>
      <c r="CU66" s="306">
        <v>0</v>
      </c>
      <c r="CV66" s="306">
        <v>0</v>
      </c>
      <c r="CW66" s="306">
        <v>0</v>
      </c>
      <c r="CX66" s="306">
        <v>0</v>
      </c>
    </row>
    <row r="67" spans="3:102" x14ac:dyDescent="0.25">
      <c r="C67" s="305">
        <v>59</v>
      </c>
      <c r="D67" s="306">
        <v>15.19</v>
      </c>
      <c r="E67" s="306">
        <v>15.86</v>
      </c>
      <c r="F67" s="306">
        <v>16.57</v>
      </c>
      <c r="G67" s="306">
        <v>17.329999999999998</v>
      </c>
      <c r="H67" s="306">
        <v>18.13</v>
      </c>
      <c r="I67" s="306">
        <v>18.98</v>
      </c>
      <c r="J67" s="306">
        <v>19.86</v>
      </c>
      <c r="K67" s="306">
        <v>20.78</v>
      </c>
      <c r="L67" s="306">
        <v>21.72</v>
      </c>
      <c r="M67" s="306">
        <v>22.67</v>
      </c>
      <c r="N67" s="306">
        <v>23.66</v>
      </c>
      <c r="O67" s="306">
        <v>24.57</v>
      </c>
      <c r="P67" s="306">
        <v>25.44</v>
      </c>
      <c r="Q67" s="306">
        <v>26.27</v>
      </c>
      <c r="R67" s="306">
        <v>27.06</v>
      </c>
      <c r="S67" s="306">
        <v>27.8</v>
      </c>
      <c r="T67" s="306">
        <v>28.5</v>
      </c>
      <c r="U67" s="306">
        <v>29.14</v>
      </c>
      <c r="V67" s="306">
        <v>29.73</v>
      </c>
      <c r="W67" s="306">
        <v>30.25</v>
      </c>
      <c r="X67" s="306">
        <v>30.71</v>
      </c>
      <c r="Y67" s="306">
        <v>31.12</v>
      </c>
      <c r="Z67" s="306">
        <v>31.48</v>
      </c>
      <c r="AA67" s="306">
        <v>31.79</v>
      </c>
      <c r="AB67" s="306">
        <v>32.06</v>
      </c>
      <c r="AC67" s="306">
        <v>32.28</v>
      </c>
      <c r="AD67" s="306">
        <v>32.47</v>
      </c>
      <c r="AE67" s="306">
        <v>32.619999999999997</v>
      </c>
      <c r="AF67" s="306">
        <v>32.74</v>
      </c>
      <c r="AG67" s="306">
        <v>32.83</v>
      </c>
      <c r="AH67" s="306">
        <v>32.9</v>
      </c>
      <c r="AI67" s="306">
        <v>32.96</v>
      </c>
      <c r="AJ67" s="306">
        <v>32.99</v>
      </c>
      <c r="AK67" s="306">
        <v>33.020000000000003</v>
      </c>
      <c r="AL67" s="306">
        <v>33.04</v>
      </c>
      <c r="AM67" s="306">
        <v>33.049999999999997</v>
      </c>
      <c r="AN67" s="306">
        <v>33.06</v>
      </c>
      <c r="AO67" s="306">
        <v>33.07</v>
      </c>
      <c r="AP67" s="306">
        <v>33.07</v>
      </c>
      <c r="AQ67" s="306">
        <v>33.08</v>
      </c>
      <c r="AR67" s="306">
        <v>33.08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0</v>
      </c>
      <c r="AZ67" s="306">
        <v>0</v>
      </c>
      <c r="BA67" s="306">
        <v>0</v>
      </c>
      <c r="BB67" s="306">
        <v>0</v>
      </c>
      <c r="BC67" s="306">
        <v>0</v>
      </c>
      <c r="BD67" s="306">
        <v>0</v>
      </c>
      <c r="BE67" s="306">
        <v>0</v>
      </c>
      <c r="BF67" s="306">
        <v>0</v>
      </c>
      <c r="BG67" s="306">
        <v>0</v>
      </c>
      <c r="BH67" s="306">
        <v>0</v>
      </c>
      <c r="BI67" s="306">
        <v>0</v>
      </c>
      <c r="BJ67" s="306">
        <v>0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>
        <v>0</v>
      </c>
      <c r="BT67" s="306">
        <v>0</v>
      </c>
      <c r="BU67" s="306">
        <v>0</v>
      </c>
      <c r="BV67" s="306">
        <v>0</v>
      </c>
      <c r="BW67" s="306">
        <v>0</v>
      </c>
      <c r="BX67" s="306">
        <v>0</v>
      </c>
      <c r="BY67" s="306">
        <v>0</v>
      </c>
      <c r="BZ67" s="306">
        <v>0</v>
      </c>
      <c r="CA67" s="306">
        <v>0</v>
      </c>
      <c r="CB67" s="306">
        <v>0</v>
      </c>
      <c r="CC67" s="306">
        <v>0</v>
      </c>
      <c r="CD67" s="306">
        <v>0</v>
      </c>
      <c r="CE67" s="306">
        <v>0</v>
      </c>
      <c r="CF67" s="306">
        <v>0</v>
      </c>
      <c r="CG67" s="306">
        <v>0</v>
      </c>
      <c r="CH67" s="306">
        <v>0</v>
      </c>
      <c r="CI67" s="306">
        <v>0</v>
      </c>
      <c r="CJ67" s="306">
        <v>0</v>
      </c>
      <c r="CK67" s="306">
        <v>0</v>
      </c>
      <c r="CL67" s="306">
        <v>0</v>
      </c>
      <c r="CM67" s="306">
        <v>0</v>
      </c>
      <c r="CN67" s="306">
        <v>0</v>
      </c>
      <c r="CO67" s="306">
        <v>0</v>
      </c>
      <c r="CP67" s="306">
        <v>0</v>
      </c>
      <c r="CQ67" s="306">
        <v>0</v>
      </c>
      <c r="CR67" s="306">
        <v>0</v>
      </c>
      <c r="CS67" s="306">
        <v>0</v>
      </c>
      <c r="CT67" s="306">
        <v>0</v>
      </c>
      <c r="CU67" s="306">
        <v>0</v>
      </c>
      <c r="CV67" s="306">
        <v>0</v>
      </c>
      <c r="CW67" s="306">
        <v>0</v>
      </c>
      <c r="CX67" s="306">
        <v>0</v>
      </c>
    </row>
    <row r="68" spans="3:102" x14ac:dyDescent="0.25">
      <c r="C68" s="305">
        <v>60</v>
      </c>
      <c r="D68" s="306">
        <v>16.55</v>
      </c>
      <c r="E68" s="306">
        <v>17.3</v>
      </c>
      <c r="F68" s="306">
        <v>18.100000000000001</v>
      </c>
      <c r="G68" s="306">
        <v>18.95</v>
      </c>
      <c r="H68" s="306">
        <v>19.850000000000001</v>
      </c>
      <c r="I68" s="306">
        <v>20.78</v>
      </c>
      <c r="J68" s="306">
        <v>21.74</v>
      </c>
      <c r="K68" s="306">
        <v>22.73</v>
      </c>
      <c r="L68" s="306">
        <v>23.73</v>
      </c>
      <c r="M68" s="306">
        <v>24.76</v>
      </c>
      <c r="N68" s="306">
        <v>25.82</v>
      </c>
      <c r="O68" s="306">
        <v>26.82</v>
      </c>
      <c r="P68" s="306">
        <v>27.77</v>
      </c>
      <c r="Q68" s="306">
        <v>28.67</v>
      </c>
      <c r="R68" s="306">
        <v>29.53</v>
      </c>
      <c r="S68" s="306">
        <v>30.33</v>
      </c>
      <c r="T68" s="306">
        <v>31.06</v>
      </c>
      <c r="U68" s="306">
        <v>31.73</v>
      </c>
      <c r="V68" s="306">
        <v>32.33</v>
      </c>
      <c r="W68" s="306">
        <v>32.869999999999997</v>
      </c>
      <c r="X68" s="306">
        <v>33.340000000000003</v>
      </c>
      <c r="Y68" s="306">
        <v>33.75</v>
      </c>
      <c r="Z68" s="306">
        <v>34.11</v>
      </c>
      <c r="AA68" s="306">
        <v>34.42</v>
      </c>
      <c r="AB68" s="306">
        <v>34.68</v>
      </c>
      <c r="AC68" s="306">
        <v>34.9</v>
      </c>
      <c r="AD68" s="306">
        <v>35.07</v>
      </c>
      <c r="AE68" s="306">
        <v>35.21</v>
      </c>
      <c r="AF68" s="306">
        <v>35.32</v>
      </c>
      <c r="AG68" s="306">
        <v>35.4</v>
      </c>
      <c r="AH68" s="306">
        <v>35.46</v>
      </c>
      <c r="AI68" s="306">
        <v>35.51</v>
      </c>
      <c r="AJ68" s="306">
        <v>35.54</v>
      </c>
      <c r="AK68" s="306">
        <v>35.56</v>
      </c>
      <c r="AL68" s="306">
        <v>35.58</v>
      </c>
      <c r="AM68" s="306">
        <v>35.590000000000003</v>
      </c>
      <c r="AN68" s="306">
        <v>35.6</v>
      </c>
      <c r="AO68" s="306">
        <v>35.6</v>
      </c>
      <c r="AP68" s="306">
        <v>35.6</v>
      </c>
      <c r="AQ68" s="306">
        <v>35.6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0</v>
      </c>
      <c r="BA68" s="306">
        <v>0</v>
      </c>
      <c r="BB68" s="306">
        <v>0</v>
      </c>
      <c r="BC68" s="306">
        <v>0</v>
      </c>
      <c r="BD68" s="306">
        <v>0</v>
      </c>
      <c r="BE68" s="306">
        <v>0</v>
      </c>
      <c r="BF68" s="306">
        <v>0</v>
      </c>
      <c r="BG68" s="306">
        <v>0</v>
      </c>
      <c r="BH68" s="306">
        <v>0</v>
      </c>
      <c r="BI68" s="306">
        <v>0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0</v>
      </c>
      <c r="BS68" s="306">
        <v>0</v>
      </c>
      <c r="BT68" s="306">
        <v>0</v>
      </c>
      <c r="BU68" s="306">
        <v>0</v>
      </c>
      <c r="BV68" s="306">
        <v>0</v>
      </c>
      <c r="BW68" s="306">
        <v>0</v>
      </c>
      <c r="BX68" s="306">
        <v>0</v>
      </c>
      <c r="BY68" s="306">
        <v>0</v>
      </c>
      <c r="BZ68" s="306">
        <v>0</v>
      </c>
      <c r="CA68" s="306">
        <v>0</v>
      </c>
      <c r="CB68" s="306">
        <v>0</v>
      </c>
      <c r="CC68" s="306">
        <v>0</v>
      </c>
      <c r="CD68" s="306">
        <v>0</v>
      </c>
      <c r="CE68" s="306">
        <v>0</v>
      </c>
      <c r="CF68" s="306">
        <v>0</v>
      </c>
      <c r="CG68" s="306">
        <v>0</v>
      </c>
      <c r="CH68" s="306">
        <v>0</v>
      </c>
      <c r="CI68" s="306">
        <v>0</v>
      </c>
      <c r="CJ68" s="306">
        <v>0</v>
      </c>
      <c r="CK68" s="306">
        <v>0</v>
      </c>
      <c r="CL68" s="306">
        <v>0</v>
      </c>
      <c r="CM68" s="306">
        <v>0</v>
      </c>
      <c r="CN68" s="306">
        <v>0</v>
      </c>
      <c r="CO68" s="306">
        <v>0</v>
      </c>
      <c r="CP68" s="306">
        <v>0</v>
      </c>
      <c r="CQ68" s="306">
        <v>0</v>
      </c>
      <c r="CR68" s="306">
        <v>0</v>
      </c>
      <c r="CS68" s="306">
        <v>0</v>
      </c>
      <c r="CT68" s="306">
        <v>0</v>
      </c>
      <c r="CU68" s="306">
        <v>0</v>
      </c>
      <c r="CV68" s="306">
        <v>0</v>
      </c>
      <c r="CW68" s="306">
        <v>0</v>
      </c>
      <c r="CX68" s="306">
        <v>0</v>
      </c>
    </row>
    <row r="69" spans="3:102" x14ac:dyDescent="0.25">
      <c r="C69" s="305">
        <v>61</v>
      </c>
      <c r="D69" s="306">
        <v>18.09</v>
      </c>
      <c r="E69" s="306">
        <v>18.940000000000001</v>
      </c>
      <c r="F69" s="306">
        <v>19.829999999999998</v>
      </c>
      <c r="G69" s="306">
        <v>20.78</v>
      </c>
      <c r="H69" s="306">
        <v>21.76</v>
      </c>
      <c r="I69" s="306">
        <v>22.77</v>
      </c>
      <c r="J69" s="306">
        <v>23.8</v>
      </c>
      <c r="K69" s="306">
        <v>24.85</v>
      </c>
      <c r="L69" s="306">
        <v>25.93</v>
      </c>
      <c r="M69" s="306">
        <v>27.04</v>
      </c>
      <c r="N69" s="306">
        <v>28.2</v>
      </c>
      <c r="O69" s="306">
        <v>29.3</v>
      </c>
      <c r="P69" s="306">
        <v>30.33</v>
      </c>
      <c r="Q69" s="306">
        <v>31.32</v>
      </c>
      <c r="R69" s="306">
        <v>32.229999999999997</v>
      </c>
      <c r="S69" s="306">
        <v>33.08</v>
      </c>
      <c r="T69" s="306">
        <v>33.85</v>
      </c>
      <c r="U69" s="306">
        <v>34.54</v>
      </c>
      <c r="V69" s="306">
        <v>35.15</v>
      </c>
      <c r="W69" s="306">
        <v>35.69</v>
      </c>
      <c r="X69" s="306">
        <v>36.17</v>
      </c>
      <c r="Y69" s="306">
        <v>36.58</v>
      </c>
      <c r="Z69" s="306">
        <v>36.94</v>
      </c>
      <c r="AA69" s="306">
        <v>37.25</v>
      </c>
      <c r="AB69" s="306">
        <v>37.5</v>
      </c>
      <c r="AC69" s="306">
        <v>37.700000000000003</v>
      </c>
      <c r="AD69" s="306">
        <v>37.869999999999997</v>
      </c>
      <c r="AE69" s="306">
        <v>37.99</v>
      </c>
      <c r="AF69" s="306">
        <v>38.090000000000003</v>
      </c>
      <c r="AG69" s="306">
        <v>38.159999999999997</v>
      </c>
      <c r="AH69" s="306">
        <v>38.21</v>
      </c>
      <c r="AI69" s="306">
        <v>38.25</v>
      </c>
      <c r="AJ69" s="306">
        <v>38.28</v>
      </c>
      <c r="AK69" s="306">
        <v>38.29</v>
      </c>
      <c r="AL69" s="306">
        <v>38.31</v>
      </c>
      <c r="AM69" s="306">
        <v>38.32</v>
      </c>
      <c r="AN69" s="306">
        <v>38.32</v>
      </c>
      <c r="AO69" s="306">
        <v>38.33</v>
      </c>
      <c r="AP69" s="306">
        <v>38.33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  <c r="BD69" s="306">
        <v>0</v>
      </c>
      <c r="BE69" s="306">
        <v>0</v>
      </c>
      <c r="BF69" s="306">
        <v>0</v>
      </c>
      <c r="BG69" s="306">
        <v>0</v>
      </c>
      <c r="BH69" s="306">
        <v>0</v>
      </c>
      <c r="BI69" s="306">
        <v>0</v>
      </c>
      <c r="BJ69" s="306">
        <v>0</v>
      </c>
      <c r="BK69" s="306">
        <v>0</v>
      </c>
      <c r="BL69" s="306">
        <v>0</v>
      </c>
      <c r="BM69" s="306">
        <v>0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>
        <v>0</v>
      </c>
      <c r="BT69" s="306">
        <v>0</v>
      </c>
      <c r="BU69" s="306">
        <v>0</v>
      </c>
      <c r="BV69" s="306">
        <v>0</v>
      </c>
      <c r="BW69" s="306">
        <v>0</v>
      </c>
      <c r="BX69" s="306">
        <v>0</v>
      </c>
      <c r="BY69" s="306">
        <v>0</v>
      </c>
      <c r="BZ69" s="306">
        <v>0</v>
      </c>
      <c r="CA69" s="306">
        <v>0</v>
      </c>
      <c r="CB69" s="306">
        <v>0</v>
      </c>
      <c r="CC69" s="306">
        <v>0</v>
      </c>
      <c r="CD69" s="306">
        <v>0</v>
      </c>
      <c r="CE69" s="306">
        <v>0</v>
      </c>
      <c r="CF69" s="306">
        <v>0</v>
      </c>
      <c r="CG69" s="306">
        <v>0</v>
      </c>
      <c r="CH69" s="306">
        <v>0</v>
      </c>
      <c r="CI69" s="306">
        <v>0</v>
      </c>
      <c r="CJ69" s="306">
        <v>0</v>
      </c>
      <c r="CK69" s="306">
        <v>0</v>
      </c>
      <c r="CL69" s="306">
        <v>0</v>
      </c>
      <c r="CM69" s="306">
        <v>0</v>
      </c>
      <c r="CN69" s="306">
        <v>0</v>
      </c>
      <c r="CO69" s="306">
        <v>0</v>
      </c>
      <c r="CP69" s="306">
        <v>0</v>
      </c>
      <c r="CQ69" s="306">
        <v>0</v>
      </c>
      <c r="CR69" s="306">
        <v>0</v>
      </c>
      <c r="CS69" s="306">
        <v>0</v>
      </c>
      <c r="CT69" s="306">
        <v>0</v>
      </c>
      <c r="CU69" s="306">
        <v>0</v>
      </c>
      <c r="CV69" s="306">
        <v>0</v>
      </c>
      <c r="CW69" s="306">
        <v>0</v>
      </c>
      <c r="CX69" s="306">
        <v>0</v>
      </c>
    </row>
    <row r="70" spans="3:102" x14ac:dyDescent="0.25">
      <c r="C70" s="305">
        <v>62</v>
      </c>
      <c r="D70" s="306">
        <v>19.82</v>
      </c>
      <c r="E70" s="306">
        <v>20.77</v>
      </c>
      <c r="F70" s="306">
        <v>21.77</v>
      </c>
      <c r="G70" s="306">
        <v>22.8</v>
      </c>
      <c r="H70" s="306">
        <v>23.85</v>
      </c>
      <c r="I70" s="306">
        <v>24.93</v>
      </c>
      <c r="J70" s="306">
        <v>26.03</v>
      </c>
      <c r="K70" s="306">
        <v>27.16</v>
      </c>
      <c r="L70" s="306">
        <v>28.33</v>
      </c>
      <c r="M70" s="306">
        <v>29.55</v>
      </c>
      <c r="N70" s="306">
        <v>30.82</v>
      </c>
      <c r="O70" s="306">
        <v>32.020000000000003</v>
      </c>
      <c r="P70" s="306">
        <v>33.15</v>
      </c>
      <c r="Q70" s="306">
        <v>34.21</v>
      </c>
      <c r="R70" s="306">
        <v>35.18</v>
      </c>
      <c r="S70" s="306">
        <v>36.06</v>
      </c>
      <c r="T70" s="306">
        <v>36.86</v>
      </c>
      <c r="U70" s="306">
        <v>37.56</v>
      </c>
      <c r="V70" s="306">
        <v>38.19</v>
      </c>
      <c r="W70" s="306">
        <v>38.74</v>
      </c>
      <c r="X70" s="306">
        <v>39.22</v>
      </c>
      <c r="Y70" s="306">
        <v>39.630000000000003</v>
      </c>
      <c r="Z70" s="306">
        <v>39.99</v>
      </c>
      <c r="AA70" s="306">
        <v>40.28</v>
      </c>
      <c r="AB70" s="306">
        <v>40.520000000000003</v>
      </c>
      <c r="AC70" s="306">
        <v>40.71</v>
      </c>
      <c r="AD70" s="306">
        <v>40.86</v>
      </c>
      <c r="AE70" s="306">
        <v>40.97</v>
      </c>
      <c r="AF70" s="306">
        <v>41.05</v>
      </c>
      <c r="AG70" s="306">
        <v>41.11</v>
      </c>
      <c r="AH70" s="306">
        <v>41.16</v>
      </c>
      <c r="AI70" s="306">
        <v>41.19</v>
      </c>
      <c r="AJ70" s="306">
        <v>41.21</v>
      </c>
      <c r="AK70" s="306">
        <v>41.23</v>
      </c>
      <c r="AL70" s="306">
        <v>41.24</v>
      </c>
      <c r="AM70" s="306">
        <v>41.24</v>
      </c>
      <c r="AN70" s="306">
        <v>41.25</v>
      </c>
      <c r="AO70" s="306">
        <v>41.25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0</v>
      </c>
      <c r="BA70" s="306">
        <v>0</v>
      </c>
      <c r="BB70" s="306">
        <v>0</v>
      </c>
      <c r="BC70" s="306">
        <v>0</v>
      </c>
      <c r="BD70" s="306">
        <v>0</v>
      </c>
      <c r="BE70" s="306">
        <v>0</v>
      </c>
      <c r="BF70" s="306">
        <v>0</v>
      </c>
      <c r="BG70" s="306">
        <v>0</v>
      </c>
      <c r="BH70" s="306">
        <v>0</v>
      </c>
      <c r="BI70" s="306">
        <v>0</v>
      </c>
      <c r="BJ70" s="306">
        <v>0</v>
      </c>
      <c r="BK70" s="306">
        <v>0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>
        <v>0</v>
      </c>
      <c r="BT70" s="306">
        <v>0</v>
      </c>
      <c r="BU70" s="306">
        <v>0</v>
      </c>
      <c r="BV70" s="306">
        <v>0</v>
      </c>
      <c r="BW70" s="306">
        <v>0</v>
      </c>
      <c r="BX70" s="306">
        <v>0</v>
      </c>
      <c r="BY70" s="306">
        <v>0</v>
      </c>
      <c r="BZ70" s="306">
        <v>0</v>
      </c>
      <c r="CA70" s="306">
        <v>0</v>
      </c>
      <c r="CB70" s="306">
        <v>0</v>
      </c>
      <c r="CC70" s="306">
        <v>0</v>
      </c>
      <c r="CD70" s="306">
        <v>0</v>
      </c>
      <c r="CE70" s="306">
        <v>0</v>
      </c>
      <c r="CF70" s="306">
        <v>0</v>
      </c>
      <c r="CG70" s="306">
        <v>0</v>
      </c>
      <c r="CH70" s="306">
        <v>0</v>
      </c>
      <c r="CI70" s="306">
        <v>0</v>
      </c>
      <c r="CJ70" s="306">
        <v>0</v>
      </c>
      <c r="CK70" s="306">
        <v>0</v>
      </c>
      <c r="CL70" s="306">
        <v>0</v>
      </c>
      <c r="CM70" s="306">
        <v>0</v>
      </c>
      <c r="CN70" s="306">
        <v>0</v>
      </c>
      <c r="CO70" s="306">
        <v>0</v>
      </c>
      <c r="CP70" s="306">
        <v>0</v>
      </c>
      <c r="CQ70" s="306">
        <v>0</v>
      </c>
      <c r="CR70" s="306">
        <v>0</v>
      </c>
      <c r="CS70" s="306">
        <v>0</v>
      </c>
      <c r="CT70" s="306">
        <v>0</v>
      </c>
      <c r="CU70" s="306">
        <v>0</v>
      </c>
      <c r="CV70" s="306">
        <v>0</v>
      </c>
      <c r="CW70" s="306">
        <v>0</v>
      </c>
      <c r="CX70" s="306">
        <v>0</v>
      </c>
    </row>
    <row r="71" spans="3:102" x14ac:dyDescent="0.25">
      <c r="C71" s="305">
        <v>63</v>
      </c>
      <c r="D71" s="306">
        <v>21.77</v>
      </c>
      <c r="E71" s="306">
        <v>22.81</v>
      </c>
      <c r="F71" s="306">
        <v>23.89</v>
      </c>
      <c r="G71" s="306">
        <v>25</v>
      </c>
      <c r="H71" s="306">
        <v>26.12</v>
      </c>
      <c r="I71" s="306">
        <v>27.27</v>
      </c>
      <c r="J71" s="306">
        <v>28.46</v>
      </c>
      <c r="K71" s="306">
        <v>29.68</v>
      </c>
      <c r="L71" s="306">
        <v>30.96</v>
      </c>
      <c r="M71" s="306">
        <v>32.299999999999997</v>
      </c>
      <c r="N71" s="306">
        <v>33.700000000000003</v>
      </c>
      <c r="O71" s="306">
        <v>35.01</v>
      </c>
      <c r="P71" s="306">
        <v>36.229999999999997</v>
      </c>
      <c r="Q71" s="306">
        <v>37.35</v>
      </c>
      <c r="R71" s="306">
        <v>38.369999999999997</v>
      </c>
      <c r="S71" s="306">
        <v>39.28</v>
      </c>
      <c r="T71" s="306">
        <v>40.1</v>
      </c>
      <c r="U71" s="306">
        <v>40.82</v>
      </c>
      <c r="V71" s="306">
        <v>41.45</v>
      </c>
      <c r="W71" s="306">
        <v>42.01</v>
      </c>
      <c r="X71" s="306">
        <v>42.49</v>
      </c>
      <c r="Y71" s="306">
        <v>42.9</v>
      </c>
      <c r="Z71" s="306">
        <v>43.25</v>
      </c>
      <c r="AA71" s="306">
        <v>43.53</v>
      </c>
      <c r="AB71" s="306">
        <v>43.75</v>
      </c>
      <c r="AC71" s="306">
        <v>43.92</v>
      </c>
      <c r="AD71" s="306">
        <v>44.05</v>
      </c>
      <c r="AE71" s="306">
        <v>44.15</v>
      </c>
      <c r="AF71" s="306">
        <v>44.22</v>
      </c>
      <c r="AG71" s="306">
        <v>44.27</v>
      </c>
      <c r="AH71" s="306">
        <v>44.31</v>
      </c>
      <c r="AI71" s="306">
        <v>44.34</v>
      </c>
      <c r="AJ71" s="306">
        <v>44.35</v>
      </c>
      <c r="AK71" s="306">
        <v>44.37</v>
      </c>
      <c r="AL71" s="306">
        <v>44.38</v>
      </c>
      <c r="AM71" s="306">
        <v>44.38</v>
      </c>
      <c r="AN71" s="306">
        <v>44.38</v>
      </c>
      <c r="AO71" s="306">
        <v>0</v>
      </c>
      <c r="AP71" s="306">
        <v>0</v>
      </c>
      <c r="AQ71" s="306">
        <v>0</v>
      </c>
      <c r="AR71" s="306">
        <v>0</v>
      </c>
      <c r="AS71" s="306">
        <v>0</v>
      </c>
      <c r="AT71" s="306">
        <v>0</v>
      </c>
      <c r="AU71" s="306">
        <v>0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0</v>
      </c>
      <c r="BD71" s="306">
        <v>0</v>
      </c>
      <c r="BE71" s="306">
        <v>0</v>
      </c>
      <c r="BF71" s="306">
        <v>0</v>
      </c>
      <c r="BG71" s="306">
        <v>0</v>
      </c>
      <c r="BH71" s="306">
        <v>0</v>
      </c>
      <c r="BI71" s="306">
        <v>0</v>
      </c>
      <c r="BJ71" s="306">
        <v>0</v>
      </c>
      <c r="BK71" s="306">
        <v>0</v>
      </c>
      <c r="BL71" s="306">
        <v>0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>
        <v>0</v>
      </c>
      <c r="BT71" s="306">
        <v>0</v>
      </c>
      <c r="BU71" s="306">
        <v>0</v>
      </c>
      <c r="BV71" s="306">
        <v>0</v>
      </c>
      <c r="BW71" s="306">
        <v>0</v>
      </c>
      <c r="BX71" s="306">
        <v>0</v>
      </c>
      <c r="BY71" s="306">
        <v>0</v>
      </c>
      <c r="BZ71" s="306">
        <v>0</v>
      </c>
      <c r="CA71" s="306">
        <v>0</v>
      </c>
      <c r="CB71" s="306">
        <v>0</v>
      </c>
      <c r="CC71" s="306">
        <v>0</v>
      </c>
      <c r="CD71" s="306">
        <v>0</v>
      </c>
      <c r="CE71" s="306">
        <v>0</v>
      </c>
      <c r="CF71" s="306">
        <v>0</v>
      </c>
      <c r="CG71" s="306">
        <v>0</v>
      </c>
      <c r="CH71" s="306">
        <v>0</v>
      </c>
      <c r="CI71" s="306">
        <v>0</v>
      </c>
      <c r="CJ71" s="306">
        <v>0</v>
      </c>
      <c r="CK71" s="306">
        <v>0</v>
      </c>
      <c r="CL71" s="306">
        <v>0</v>
      </c>
      <c r="CM71" s="306">
        <v>0</v>
      </c>
      <c r="CN71" s="306">
        <v>0</v>
      </c>
      <c r="CO71" s="306">
        <v>0</v>
      </c>
      <c r="CP71" s="306">
        <v>0</v>
      </c>
      <c r="CQ71" s="306">
        <v>0</v>
      </c>
      <c r="CR71" s="306">
        <v>0</v>
      </c>
      <c r="CS71" s="306">
        <v>0</v>
      </c>
      <c r="CT71" s="306">
        <v>0</v>
      </c>
      <c r="CU71" s="306">
        <v>0</v>
      </c>
      <c r="CV71" s="306">
        <v>0</v>
      </c>
      <c r="CW71" s="306">
        <v>0</v>
      </c>
      <c r="CX71" s="306">
        <v>0</v>
      </c>
    </row>
    <row r="72" spans="3:102" x14ac:dyDescent="0.25">
      <c r="C72" s="305">
        <v>64</v>
      </c>
      <c r="D72" s="306">
        <v>23.91</v>
      </c>
      <c r="E72" s="306">
        <v>25.04</v>
      </c>
      <c r="F72" s="306">
        <v>26.19</v>
      </c>
      <c r="G72" s="306">
        <v>27.37</v>
      </c>
      <c r="H72" s="306">
        <v>28.57</v>
      </c>
      <c r="I72" s="306">
        <v>29.8</v>
      </c>
      <c r="J72" s="306">
        <v>31.09</v>
      </c>
      <c r="K72" s="306">
        <v>32.44</v>
      </c>
      <c r="L72" s="306">
        <v>33.85</v>
      </c>
      <c r="M72" s="306">
        <v>35.33</v>
      </c>
      <c r="N72" s="306">
        <v>36.86</v>
      </c>
      <c r="O72" s="306">
        <v>38.28</v>
      </c>
      <c r="P72" s="306">
        <v>39.57</v>
      </c>
      <c r="Q72" s="306">
        <v>40.75</v>
      </c>
      <c r="R72" s="306">
        <v>41.8</v>
      </c>
      <c r="S72" s="306">
        <v>42.74</v>
      </c>
      <c r="T72" s="306">
        <v>43.58</v>
      </c>
      <c r="U72" s="306">
        <v>44.31</v>
      </c>
      <c r="V72" s="306">
        <v>44.96</v>
      </c>
      <c r="W72" s="306">
        <v>45.52</v>
      </c>
      <c r="X72" s="306">
        <v>46</v>
      </c>
      <c r="Y72" s="306">
        <v>46.4</v>
      </c>
      <c r="Z72" s="306">
        <v>46.72</v>
      </c>
      <c r="AA72" s="306">
        <v>46.98</v>
      </c>
      <c r="AB72" s="306">
        <v>47.19</v>
      </c>
      <c r="AC72" s="306">
        <v>47.34</v>
      </c>
      <c r="AD72" s="306">
        <v>47.46</v>
      </c>
      <c r="AE72" s="306">
        <v>47.54</v>
      </c>
      <c r="AF72" s="306">
        <v>47.6</v>
      </c>
      <c r="AG72" s="306">
        <v>47.65</v>
      </c>
      <c r="AH72" s="306">
        <v>47.68</v>
      </c>
      <c r="AI72" s="306">
        <v>47.7</v>
      </c>
      <c r="AJ72" s="306">
        <v>47.71</v>
      </c>
      <c r="AK72" s="306">
        <v>47.72</v>
      </c>
      <c r="AL72" s="306">
        <v>47.73</v>
      </c>
      <c r="AM72" s="306">
        <v>47.73</v>
      </c>
      <c r="AN72" s="306">
        <v>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  <c r="BD72" s="306">
        <v>0</v>
      </c>
      <c r="BE72" s="306">
        <v>0</v>
      </c>
      <c r="BF72" s="306">
        <v>0</v>
      </c>
      <c r="BG72" s="306">
        <v>0</v>
      </c>
      <c r="BH72" s="306">
        <v>0</v>
      </c>
      <c r="BI72" s="306">
        <v>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0</v>
      </c>
      <c r="BR72" s="306">
        <v>0</v>
      </c>
      <c r="BS72" s="306">
        <v>0</v>
      </c>
      <c r="BT72" s="306">
        <v>0</v>
      </c>
      <c r="BU72" s="306">
        <v>0</v>
      </c>
      <c r="BV72" s="306">
        <v>0</v>
      </c>
      <c r="BW72" s="306">
        <v>0</v>
      </c>
      <c r="BX72" s="306">
        <v>0</v>
      </c>
      <c r="BY72" s="306">
        <v>0</v>
      </c>
      <c r="BZ72" s="306">
        <v>0</v>
      </c>
      <c r="CA72" s="306">
        <v>0</v>
      </c>
      <c r="CB72" s="306">
        <v>0</v>
      </c>
      <c r="CC72" s="306">
        <v>0</v>
      </c>
      <c r="CD72" s="306">
        <v>0</v>
      </c>
      <c r="CE72" s="306">
        <v>0</v>
      </c>
      <c r="CF72" s="306">
        <v>0</v>
      </c>
      <c r="CG72" s="306">
        <v>0</v>
      </c>
      <c r="CH72" s="306">
        <v>0</v>
      </c>
      <c r="CI72" s="306">
        <v>0</v>
      </c>
      <c r="CJ72" s="306">
        <v>0</v>
      </c>
      <c r="CK72" s="306">
        <v>0</v>
      </c>
      <c r="CL72" s="306">
        <v>0</v>
      </c>
      <c r="CM72" s="306">
        <v>0</v>
      </c>
      <c r="CN72" s="306">
        <v>0</v>
      </c>
      <c r="CO72" s="306">
        <v>0</v>
      </c>
      <c r="CP72" s="306">
        <v>0</v>
      </c>
      <c r="CQ72" s="306">
        <v>0</v>
      </c>
      <c r="CR72" s="306">
        <v>0</v>
      </c>
      <c r="CS72" s="306">
        <v>0</v>
      </c>
      <c r="CT72" s="306">
        <v>0</v>
      </c>
      <c r="CU72" s="306">
        <v>0</v>
      </c>
      <c r="CV72" s="306">
        <v>0</v>
      </c>
      <c r="CW72" s="306">
        <v>0</v>
      </c>
      <c r="CX72" s="306">
        <v>0</v>
      </c>
    </row>
    <row r="73" spans="3:102" x14ac:dyDescent="0.25">
      <c r="C73" s="305">
        <v>65</v>
      </c>
      <c r="D73" s="306">
        <v>26.23</v>
      </c>
      <c r="E73" s="306">
        <v>27.43</v>
      </c>
      <c r="F73" s="306">
        <v>28.65</v>
      </c>
      <c r="G73" s="306">
        <v>29.9</v>
      </c>
      <c r="H73" s="306">
        <v>31.2</v>
      </c>
      <c r="I73" s="306">
        <v>32.549999999999997</v>
      </c>
      <c r="J73" s="306">
        <v>33.97</v>
      </c>
      <c r="K73" s="306">
        <v>35.46</v>
      </c>
      <c r="L73" s="306">
        <v>37.03</v>
      </c>
      <c r="M73" s="306">
        <v>38.659999999999997</v>
      </c>
      <c r="N73" s="306">
        <v>40.32</v>
      </c>
      <c r="O73" s="306">
        <v>41.83</v>
      </c>
      <c r="P73" s="306">
        <v>43.19</v>
      </c>
      <c r="Q73" s="306">
        <v>44.4</v>
      </c>
      <c r="R73" s="306">
        <v>45.49</v>
      </c>
      <c r="S73" s="306">
        <v>46.45</v>
      </c>
      <c r="T73" s="306">
        <v>47.31</v>
      </c>
      <c r="U73" s="306">
        <v>48.06</v>
      </c>
      <c r="V73" s="306">
        <v>48.71</v>
      </c>
      <c r="W73" s="306">
        <v>49.27</v>
      </c>
      <c r="X73" s="306">
        <v>49.74</v>
      </c>
      <c r="Y73" s="306">
        <v>50.12</v>
      </c>
      <c r="Z73" s="306">
        <v>50.43</v>
      </c>
      <c r="AA73" s="306">
        <v>50.66</v>
      </c>
      <c r="AB73" s="306">
        <v>50.85</v>
      </c>
      <c r="AC73" s="306">
        <v>50.98</v>
      </c>
      <c r="AD73" s="306">
        <v>51.08</v>
      </c>
      <c r="AE73" s="306">
        <v>51.16</v>
      </c>
      <c r="AF73" s="306">
        <v>51.21</v>
      </c>
      <c r="AG73" s="306">
        <v>51.24</v>
      </c>
      <c r="AH73" s="306">
        <v>51.27</v>
      </c>
      <c r="AI73" s="306">
        <v>51.29</v>
      </c>
      <c r="AJ73" s="306">
        <v>51.3</v>
      </c>
      <c r="AK73" s="306">
        <v>51.3</v>
      </c>
      <c r="AL73" s="306">
        <v>51.3</v>
      </c>
      <c r="AM73" s="306">
        <v>0</v>
      </c>
      <c r="AN73" s="306">
        <v>0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  <c r="BD73" s="306">
        <v>0</v>
      </c>
      <c r="BE73" s="306">
        <v>0</v>
      </c>
      <c r="BF73" s="306">
        <v>0</v>
      </c>
      <c r="BG73" s="306">
        <v>0</v>
      </c>
      <c r="BH73" s="306">
        <v>0</v>
      </c>
      <c r="BI73" s="306">
        <v>0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0</v>
      </c>
      <c r="BP73" s="306">
        <v>0</v>
      </c>
      <c r="BQ73" s="306">
        <v>0</v>
      </c>
      <c r="BR73" s="306">
        <v>0</v>
      </c>
      <c r="BS73" s="306">
        <v>0</v>
      </c>
      <c r="BT73" s="306">
        <v>0</v>
      </c>
      <c r="BU73" s="306">
        <v>0</v>
      </c>
      <c r="BV73" s="306">
        <v>0</v>
      </c>
      <c r="BW73" s="306">
        <v>0</v>
      </c>
      <c r="BX73" s="306">
        <v>0</v>
      </c>
      <c r="BY73" s="306">
        <v>0</v>
      </c>
      <c r="BZ73" s="306">
        <v>0</v>
      </c>
      <c r="CA73" s="306">
        <v>0</v>
      </c>
      <c r="CB73" s="306">
        <v>0</v>
      </c>
      <c r="CC73" s="306">
        <v>0</v>
      </c>
      <c r="CD73" s="306">
        <v>0</v>
      </c>
      <c r="CE73" s="306">
        <v>0</v>
      </c>
      <c r="CF73" s="306">
        <v>0</v>
      </c>
      <c r="CG73" s="306">
        <v>0</v>
      </c>
      <c r="CH73" s="306">
        <v>0</v>
      </c>
      <c r="CI73" s="306">
        <v>0</v>
      </c>
      <c r="CJ73" s="306">
        <v>0</v>
      </c>
      <c r="CK73" s="306">
        <v>0</v>
      </c>
      <c r="CL73" s="306">
        <v>0</v>
      </c>
      <c r="CM73" s="306">
        <v>0</v>
      </c>
      <c r="CN73" s="306">
        <v>0</v>
      </c>
      <c r="CO73" s="306">
        <v>0</v>
      </c>
      <c r="CP73" s="306">
        <v>0</v>
      </c>
      <c r="CQ73" s="306">
        <v>0</v>
      </c>
      <c r="CR73" s="306">
        <v>0</v>
      </c>
      <c r="CS73" s="306">
        <v>0</v>
      </c>
      <c r="CT73" s="306">
        <v>0</v>
      </c>
      <c r="CU73" s="306">
        <v>0</v>
      </c>
      <c r="CV73" s="306">
        <v>0</v>
      </c>
      <c r="CW73" s="306">
        <v>0</v>
      </c>
      <c r="CX73" s="306">
        <v>0</v>
      </c>
    </row>
    <row r="74" spans="3:102" x14ac:dyDescent="0.25">
      <c r="C74" s="305">
        <v>66</v>
      </c>
      <c r="D74" s="306">
        <v>28.7</v>
      </c>
      <c r="E74" s="306">
        <v>29.97</v>
      </c>
      <c r="F74" s="306">
        <v>31.28</v>
      </c>
      <c r="G74" s="306">
        <v>32.64</v>
      </c>
      <c r="H74" s="306">
        <v>34.06</v>
      </c>
      <c r="I74" s="306">
        <v>35.56</v>
      </c>
      <c r="J74" s="306">
        <v>37.14</v>
      </c>
      <c r="K74" s="306">
        <v>38.81</v>
      </c>
      <c r="L74" s="306">
        <v>40.53</v>
      </c>
      <c r="M74" s="306">
        <v>42.3</v>
      </c>
      <c r="N74" s="306">
        <v>44.07</v>
      </c>
      <c r="O74" s="306">
        <v>45.66</v>
      </c>
      <c r="P74" s="306">
        <v>47.07</v>
      </c>
      <c r="Q74" s="306">
        <v>48.33</v>
      </c>
      <c r="R74" s="306">
        <v>49.45</v>
      </c>
      <c r="S74" s="306">
        <v>50.44</v>
      </c>
      <c r="T74" s="306">
        <v>51.31</v>
      </c>
      <c r="U74" s="306">
        <v>52.07</v>
      </c>
      <c r="V74" s="306">
        <v>52.72</v>
      </c>
      <c r="W74" s="306">
        <v>53.27</v>
      </c>
      <c r="X74" s="306">
        <v>53.72</v>
      </c>
      <c r="Y74" s="306">
        <v>54.08</v>
      </c>
      <c r="Z74" s="306">
        <v>54.36</v>
      </c>
      <c r="AA74" s="306">
        <v>54.58</v>
      </c>
      <c r="AB74" s="306">
        <v>54.74</v>
      </c>
      <c r="AC74" s="306">
        <v>54.86</v>
      </c>
      <c r="AD74" s="306">
        <v>54.94</v>
      </c>
      <c r="AE74" s="306">
        <v>55</v>
      </c>
      <c r="AF74" s="306">
        <v>55.04</v>
      </c>
      <c r="AG74" s="306">
        <v>55.07</v>
      </c>
      <c r="AH74" s="306">
        <v>55.1</v>
      </c>
      <c r="AI74" s="306">
        <v>55.11</v>
      </c>
      <c r="AJ74" s="306">
        <v>55.12</v>
      </c>
      <c r="AK74" s="306">
        <v>55.12</v>
      </c>
      <c r="AL74" s="306">
        <v>0</v>
      </c>
      <c r="AM74" s="306">
        <v>0</v>
      </c>
      <c r="AN74" s="306">
        <v>0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0</v>
      </c>
      <c r="BC74" s="306">
        <v>0</v>
      </c>
      <c r="BD74" s="306">
        <v>0</v>
      </c>
      <c r="BE74" s="306">
        <v>0</v>
      </c>
      <c r="BF74" s="306">
        <v>0</v>
      </c>
      <c r="BG74" s="306">
        <v>0</v>
      </c>
      <c r="BH74" s="306">
        <v>0</v>
      </c>
      <c r="BI74" s="306">
        <v>0</v>
      </c>
      <c r="BJ74" s="306">
        <v>0</v>
      </c>
      <c r="BK74" s="306">
        <v>0</v>
      </c>
      <c r="BL74" s="306">
        <v>0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0</v>
      </c>
      <c r="BS74" s="306">
        <v>0</v>
      </c>
      <c r="BT74" s="306">
        <v>0</v>
      </c>
      <c r="BU74" s="306">
        <v>0</v>
      </c>
      <c r="BV74" s="306">
        <v>0</v>
      </c>
      <c r="BW74" s="306">
        <v>0</v>
      </c>
      <c r="BX74" s="306">
        <v>0</v>
      </c>
      <c r="BY74" s="306">
        <v>0</v>
      </c>
      <c r="BZ74" s="306">
        <v>0</v>
      </c>
      <c r="CA74" s="306">
        <v>0</v>
      </c>
      <c r="CB74" s="306">
        <v>0</v>
      </c>
      <c r="CC74" s="306">
        <v>0</v>
      </c>
      <c r="CD74" s="306">
        <v>0</v>
      </c>
      <c r="CE74" s="306">
        <v>0</v>
      </c>
      <c r="CF74" s="306">
        <v>0</v>
      </c>
      <c r="CG74" s="306">
        <v>0</v>
      </c>
      <c r="CH74" s="306">
        <v>0</v>
      </c>
      <c r="CI74" s="306">
        <v>0</v>
      </c>
      <c r="CJ74" s="306">
        <v>0</v>
      </c>
      <c r="CK74" s="306">
        <v>0</v>
      </c>
      <c r="CL74" s="306">
        <v>0</v>
      </c>
      <c r="CM74" s="306">
        <v>0</v>
      </c>
      <c r="CN74" s="306">
        <v>0</v>
      </c>
      <c r="CO74" s="306">
        <v>0</v>
      </c>
      <c r="CP74" s="306">
        <v>0</v>
      </c>
      <c r="CQ74" s="306">
        <v>0</v>
      </c>
      <c r="CR74" s="306">
        <v>0</v>
      </c>
      <c r="CS74" s="306">
        <v>0</v>
      </c>
      <c r="CT74" s="306">
        <v>0</v>
      </c>
      <c r="CU74" s="306">
        <v>0</v>
      </c>
      <c r="CV74" s="306">
        <v>0</v>
      </c>
      <c r="CW74" s="306">
        <v>0</v>
      </c>
      <c r="CX74" s="306">
        <v>0</v>
      </c>
    </row>
    <row r="75" spans="3:102" x14ac:dyDescent="0.25">
      <c r="C75" s="305">
        <v>67</v>
      </c>
      <c r="D75" s="306">
        <v>31.32</v>
      </c>
      <c r="E75" s="306">
        <v>32.69</v>
      </c>
      <c r="F75" s="306">
        <v>34.119999999999997</v>
      </c>
      <c r="G75" s="306">
        <v>35.619999999999997</v>
      </c>
      <c r="H75" s="306">
        <v>37.21</v>
      </c>
      <c r="I75" s="306">
        <v>38.89</v>
      </c>
      <c r="J75" s="306">
        <v>40.659999999999997</v>
      </c>
      <c r="K75" s="306">
        <v>42.5</v>
      </c>
      <c r="L75" s="306">
        <v>44.38</v>
      </c>
      <c r="M75" s="306">
        <v>46.27</v>
      </c>
      <c r="N75" s="306">
        <v>48.13</v>
      </c>
      <c r="O75" s="306">
        <v>49.79</v>
      </c>
      <c r="P75" s="306">
        <v>51.25</v>
      </c>
      <c r="Q75" s="306">
        <v>52.55</v>
      </c>
      <c r="R75" s="306">
        <v>53.7</v>
      </c>
      <c r="S75" s="306">
        <v>54.71</v>
      </c>
      <c r="T75" s="306">
        <v>55.6</v>
      </c>
      <c r="U75" s="306">
        <v>56.37</v>
      </c>
      <c r="V75" s="306">
        <v>57.01</v>
      </c>
      <c r="W75" s="306">
        <v>57.54</v>
      </c>
      <c r="X75" s="306">
        <v>57.96</v>
      </c>
      <c r="Y75" s="306">
        <v>58.29</v>
      </c>
      <c r="Z75" s="306">
        <v>58.55</v>
      </c>
      <c r="AA75" s="306">
        <v>58.74</v>
      </c>
      <c r="AB75" s="306">
        <v>58.88</v>
      </c>
      <c r="AC75" s="306">
        <v>58.98</v>
      </c>
      <c r="AD75" s="306">
        <v>59.05</v>
      </c>
      <c r="AE75" s="306">
        <v>59.1</v>
      </c>
      <c r="AF75" s="306">
        <v>59.14</v>
      </c>
      <c r="AG75" s="306">
        <v>59.16</v>
      </c>
      <c r="AH75" s="306">
        <v>59.18</v>
      </c>
      <c r="AI75" s="306">
        <v>59.19</v>
      </c>
      <c r="AJ75" s="306">
        <v>59.19</v>
      </c>
      <c r="AK75" s="306">
        <v>0</v>
      </c>
      <c r="AL75" s="306">
        <v>0</v>
      </c>
      <c r="AM75" s="306">
        <v>0</v>
      </c>
      <c r="AN75" s="306">
        <v>0</v>
      </c>
      <c r="AO75" s="306">
        <v>0</v>
      </c>
      <c r="AP75" s="306">
        <v>0</v>
      </c>
      <c r="AQ75" s="306">
        <v>0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  <c r="BD75" s="306">
        <v>0</v>
      </c>
      <c r="BE75" s="306">
        <v>0</v>
      </c>
      <c r="BF75" s="306">
        <v>0</v>
      </c>
      <c r="BG75" s="306">
        <v>0</v>
      </c>
      <c r="BH75" s="306">
        <v>0</v>
      </c>
      <c r="BI75" s="306">
        <v>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>
        <v>0</v>
      </c>
      <c r="BT75" s="306">
        <v>0</v>
      </c>
      <c r="BU75" s="306">
        <v>0</v>
      </c>
      <c r="BV75" s="306">
        <v>0</v>
      </c>
      <c r="BW75" s="306">
        <v>0</v>
      </c>
      <c r="BX75" s="306">
        <v>0</v>
      </c>
      <c r="BY75" s="306">
        <v>0</v>
      </c>
      <c r="BZ75" s="306">
        <v>0</v>
      </c>
      <c r="CA75" s="306">
        <v>0</v>
      </c>
      <c r="CB75" s="306">
        <v>0</v>
      </c>
      <c r="CC75" s="306">
        <v>0</v>
      </c>
      <c r="CD75" s="306">
        <v>0</v>
      </c>
      <c r="CE75" s="306">
        <v>0</v>
      </c>
      <c r="CF75" s="306">
        <v>0</v>
      </c>
      <c r="CG75" s="306">
        <v>0</v>
      </c>
      <c r="CH75" s="306">
        <v>0</v>
      </c>
      <c r="CI75" s="306">
        <v>0</v>
      </c>
      <c r="CJ75" s="306">
        <v>0</v>
      </c>
      <c r="CK75" s="306">
        <v>0</v>
      </c>
      <c r="CL75" s="306">
        <v>0</v>
      </c>
      <c r="CM75" s="306">
        <v>0</v>
      </c>
      <c r="CN75" s="306">
        <v>0</v>
      </c>
      <c r="CO75" s="306">
        <v>0</v>
      </c>
      <c r="CP75" s="306">
        <v>0</v>
      </c>
      <c r="CQ75" s="306">
        <v>0</v>
      </c>
      <c r="CR75" s="306">
        <v>0</v>
      </c>
      <c r="CS75" s="306">
        <v>0</v>
      </c>
      <c r="CT75" s="306">
        <v>0</v>
      </c>
      <c r="CU75" s="306">
        <v>0</v>
      </c>
      <c r="CV75" s="306">
        <v>0</v>
      </c>
      <c r="CW75" s="306">
        <v>0</v>
      </c>
      <c r="CX75" s="306">
        <v>0</v>
      </c>
    </row>
    <row r="76" spans="3:102" x14ac:dyDescent="0.25">
      <c r="C76" s="305">
        <v>68</v>
      </c>
      <c r="D76" s="306">
        <v>34.14</v>
      </c>
      <c r="E76" s="306">
        <v>35.65</v>
      </c>
      <c r="F76" s="306">
        <v>37.24</v>
      </c>
      <c r="G76" s="306">
        <v>38.93</v>
      </c>
      <c r="H76" s="306">
        <v>40.72</v>
      </c>
      <c r="I76" s="306">
        <v>42.62</v>
      </c>
      <c r="J76" s="306">
        <v>44.58</v>
      </c>
      <c r="K76" s="306">
        <v>46.59</v>
      </c>
      <c r="L76" s="306">
        <v>48.6</v>
      </c>
      <c r="M76" s="306">
        <v>50.58</v>
      </c>
      <c r="N76" s="306">
        <v>52.53</v>
      </c>
      <c r="O76" s="306">
        <v>54.24</v>
      </c>
      <c r="P76" s="306">
        <v>55.75</v>
      </c>
      <c r="Q76" s="306">
        <v>57.09</v>
      </c>
      <c r="R76" s="306">
        <v>58.28</v>
      </c>
      <c r="S76" s="306">
        <v>59.32</v>
      </c>
      <c r="T76" s="306">
        <v>60.21</v>
      </c>
      <c r="U76" s="306">
        <v>60.96</v>
      </c>
      <c r="V76" s="306">
        <v>61.59</v>
      </c>
      <c r="W76" s="306">
        <v>62.09</v>
      </c>
      <c r="X76" s="306">
        <v>62.48</v>
      </c>
      <c r="Y76" s="306">
        <v>62.78</v>
      </c>
      <c r="Z76" s="306">
        <v>63.01</v>
      </c>
      <c r="AA76" s="306">
        <v>63.17</v>
      </c>
      <c r="AB76" s="306">
        <v>63.3</v>
      </c>
      <c r="AC76" s="306">
        <v>63.38</v>
      </c>
      <c r="AD76" s="306">
        <v>63.44</v>
      </c>
      <c r="AE76" s="306">
        <v>63.49</v>
      </c>
      <c r="AF76" s="306">
        <v>63.52</v>
      </c>
      <c r="AG76" s="306">
        <v>63.54</v>
      </c>
      <c r="AH76" s="306">
        <v>63.55</v>
      </c>
      <c r="AI76" s="306">
        <v>63.55</v>
      </c>
      <c r="AJ76" s="306">
        <v>0</v>
      </c>
      <c r="AK76" s="306">
        <v>0</v>
      </c>
      <c r="AL76" s="306">
        <v>0</v>
      </c>
      <c r="AM76" s="306">
        <v>0</v>
      </c>
      <c r="AN76" s="306">
        <v>0</v>
      </c>
      <c r="AO76" s="306">
        <v>0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  <c r="BD76" s="306">
        <v>0</v>
      </c>
      <c r="BE76" s="306">
        <v>0</v>
      </c>
      <c r="BF76" s="306">
        <v>0</v>
      </c>
      <c r="BG76" s="306">
        <v>0</v>
      </c>
      <c r="BH76" s="306">
        <v>0</v>
      </c>
      <c r="BI76" s="306">
        <v>0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>
        <v>0</v>
      </c>
      <c r="BT76" s="306">
        <v>0</v>
      </c>
      <c r="BU76" s="306">
        <v>0</v>
      </c>
      <c r="BV76" s="306">
        <v>0</v>
      </c>
      <c r="BW76" s="306">
        <v>0</v>
      </c>
      <c r="BX76" s="306">
        <v>0</v>
      </c>
      <c r="BY76" s="306">
        <v>0</v>
      </c>
      <c r="BZ76" s="306">
        <v>0</v>
      </c>
      <c r="CA76" s="306">
        <v>0</v>
      </c>
      <c r="CB76" s="306">
        <v>0</v>
      </c>
      <c r="CC76" s="306">
        <v>0</v>
      </c>
      <c r="CD76" s="306">
        <v>0</v>
      </c>
      <c r="CE76" s="306">
        <v>0</v>
      </c>
      <c r="CF76" s="306">
        <v>0</v>
      </c>
      <c r="CG76" s="306">
        <v>0</v>
      </c>
      <c r="CH76" s="306">
        <v>0</v>
      </c>
      <c r="CI76" s="306">
        <v>0</v>
      </c>
      <c r="CJ76" s="306">
        <v>0</v>
      </c>
      <c r="CK76" s="306">
        <v>0</v>
      </c>
      <c r="CL76" s="306">
        <v>0</v>
      </c>
      <c r="CM76" s="306">
        <v>0</v>
      </c>
      <c r="CN76" s="306">
        <v>0</v>
      </c>
      <c r="CO76" s="306">
        <v>0</v>
      </c>
      <c r="CP76" s="306">
        <v>0</v>
      </c>
      <c r="CQ76" s="306">
        <v>0</v>
      </c>
      <c r="CR76" s="306">
        <v>0</v>
      </c>
      <c r="CS76" s="306">
        <v>0</v>
      </c>
      <c r="CT76" s="306">
        <v>0</v>
      </c>
      <c r="CU76" s="306">
        <v>0</v>
      </c>
      <c r="CV76" s="306">
        <v>0</v>
      </c>
      <c r="CW76" s="306">
        <v>0</v>
      </c>
      <c r="CX76" s="306">
        <v>0</v>
      </c>
    </row>
    <row r="77" spans="3:102" x14ac:dyDescent="0.25">
      <c r="C77" s="305">
        <v>69</v>
      </c>
      <c r="D77" s="306">
        <v>37.26</v>
      </c>
      <c r="E77" s="306">
        <v>38.950000000000003</v>
      </c>
      <c r="F77" s="306">
        <v>40.75</v>
      </c>
      <c r="G77" s="306">
        <v>42.67</v>
      </c>
      <c r="H77" s="306">
        <v>44.7</v>
      </c>
      <c r="I77" s="306">
        <v>46.79</v>
      </c>
      <c r="J77" s="306">
        <v>48.93</v>
      </c>
      <c r="K77" s="306">
        <v>51.08</v>
      </c>
      <c r="L77" s="306">
        <v>53.19</v>
      </c>
      <c r="M77" s="306">
        <v>55.26</v>
      </c>
      <c r="N77" s="306">
        <v>57.27</v>
      </c>
      <c r="O77" s="306">
        <v>59.05</v>
      </c>
      <c r="P77" s="306">
        <v>60.61</v>
      </c>
      <c r="Q77" s="306">
        <v>62</v>
      </c>
      <c r="R77" s="306">
        <v>63.22</v>
      </c>
      <c r="S77" s="306">
        <v>64.27</v>
      </c>
      <c r="T77" s="306">
        <v>65.150000000000006</v>
      </c>
      <c r="U77" s="306">
        <v>65.89</v>
      </c>
      <c r="V77" s="306">
        <v>66.48</v>
      </c>
      <c r="W77" s="306">
        <v>66.94</v>
      </c>
      <c r="X77" s="306">
        <v>67.3</v>
      </c>
      <c r="Y77" s="306">
        <v>67.569999999999993</v>
      </c>
      <c r="Z77" s="306">
        <v>67.77</v>
      </c>
      <c r="AA77" s="306">
        <v>67.92</v>
      </c>
      <c r="AB77" s="306">
        <v>68.02</v>
      </c>
      <c r="AC77" s="306">
        <v>68.09</v>
      </c>
      <c r="AD77" s="306">
        <v>68.14</v>
      </c>
      <c r="AE77" s="306">
        <v>68.180000000000007</v>
      </c>
      <c r="AF77" s="306">
        <v>68.2</v>
      </c>
      <c r="AG77" s="306">
        <v>68.22</v>
      </c>
      <c r="AH77" s="306">
        <v>68.22</v>
      </c>
      <c r="AI77" s="306">
        <v>0</v>
      </c>
      <c r="AJ77" s="306">
        <v>0</v>
      </c>
      <c r="AK77" s="306">
        <v>0</v>
      </c>
      <c r="AL77" s="306">
        <v>0</v>
      </c>
      <c r="AM77" s="306">
        <v>0</v>
      </c>
      <c r="AN77" s="306">
        <v>0</v>
      </c>
      <c r="AO77" s="306">
        <v>0</v>
      </c>
      <c r="AP77" s="306">
        <v>0</v>
      </c>
      <c r="AQ77" s="306">
        <v>0</v>
      </c>
      <c r="AR77" s="306">
        <v>0</v>
      </c>
      <c r="AS77" s="306">
        <v>0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  <c r="BD77" s="306">
        <v>0</v>
      </c>
      <c r="BE77" s="306">
        <v>0</v>
      </c>
      <c r="BF77" s="306">
        <v>0</v>
      </c>
      <c r="BG77" s="306">
        <v>0</v>
      </c>
      <c r="BH77" s="306">
        <v>0</v>
      </c>
      <c r="BI77" s="306">
        <v>0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0</v>
      </c>
      <c r="BQ77" s="306">
        <v>0</v>
      </c>
      <c r="BR77" s="306">
        <v>0</v>
      </c>
      <c r="BS77" s="306">
        <v>0</v>
      </c>
      <c r="BT77" s="306">
        <v>0</v>
      </c>
      <c r="BU77" s="306">
        <v>0</v>
      </c>
      <c r="BV77" s="306">
        <v>0</v>
      </c>
      <c r="BW77" s="306">
        <v>0</v>
      </c>
      <c r="BX77" s="306">
        <v>0</v>
      </c>
      <c r="BY77" s="306">
        <v>0</v>
      </c>
      <c r="BZ77" s="306">
        <v>0</v>
      </c>
      <c r="CA77" s="306">
        <v>0</v>
      </c>
      <c r="CB77" s="306">
        <v>0</v>
      </c>
      <c r="CC77" s="306">
        <v>0</v>
      </c>
      <c r="CD77" s="306">
        <v>0</v>
      </c>
      <c r="CE77" s="306">
        <v>0</v>
      </c>
      <c r="CF77" s="306">
        <v>0</v>
      </c>
      <c r="CG77" s="306">
        <v>0</v>
      </c>
      <c r="CH77" s="306">
        <v>0</v>
      </c>
      <c r="CI77" s="306">
        <v>0</v>
      </c>
      <c r="CJ77" s="306">
        <v>0</v>
      </c>
      <c r="CK77" s="306">
        <v>0</v>
      </c>
      <c r="CL77" s="306">
        <v>0</v>
      </c>
      <c r="CM77" s="306">
        <v>0</v>
      </c>
      <c r="CN77" s="306">
        <v>0</v>
      </c>
      <c r="CO77" s="306">
        <v>0</v>
      </c>
      <c r="CP77" s="306">
        <v>0</v>
      </c>
      <c r="CQ77" s="306">
        <v>0</v>
      </c>
      <c r="CR77" s="306">
        <v>0</v>
      </c>
      <c r="CS77" s="306">
        <v>0</v>
      </c>
      <c r="CT77" s="306">
        <v>0</v>
      </c>
      <c r="CU77" s="306">
        <v>0</v>
      </c>
      <c r="CV77" s="306">
        <v>0</v>
      </c>
      <c r="CW77" s="306">
        <v>0</v>
      </c>
      <c r="CX77" s="306">
        <v>0</v>
      </c>
    </row>
    <row r="78" spans="3:102" x14ac:dyDescent="0.25">
      <c r="C78" s="305">
        <v>70</v>
      </c>
      <c r="D78" s="306">
        <v>40.76</v>
      </c>
      <c r="E78" s="306">
        <v>42.69</v>
      </c>
      <c r="F78" s="306">
        <v>44.75</v>
      </c>
      <c r="G78" s="306">
        <v>46.91</v>
      </c>
      <c r="H78" s="306">
        <v>49.16</v>
      </c>
      <c r="I78" s="306">
        <v>51.44</v>
      </c>
      <c r="J78" s="306">
        <v>53.73</v>
      </c>
      <c r="K78" s="306">
        <v>55.98</v>
      </c>
      <c r="L78" s="306">
        <v>58.18</v>
      </c>
      <c r="M78" s="306">
        <v>60.32</v>
      </c>
      <c r="N78" s="306">
        <v>62.41</v>
      </c>
      <c r="O78" s="306">
        <v>64.239999999999995</v>
      </c>
      <c r="P78" s="306">
        <v>65.87</v>
      </c>
      <c r="Q78" s="306">
        <v>67.3</v>
      </c>
      <c r="R78" s="306">
        <v>68.53</v>
      </c>
      <c r="S78" s="306">
        <v>69.58</v>
      </c>
      <c r="T78" s="306">
        <v>70.45</v>
      </c>
      <c r="U78" s="306">
        <v>71.150000000000006</v>
      </c>
      <c r="V78" s="306">
        <v>71.7</v>
      </c>
      <c r="W78" s="306">
        <v>72.13</v>
      </c>
      <c r="X78" s="306">
        <v>72.45</v>
      </c>
      <c r="Y78" s="306">
        <v>72.69</v>
      </c>
      <c r="Z78" s="306">
        <v>72.86</v>
      </c>
      <c r="AA78" s="306">
        <v>72.98</v>
      </c>
      <c r="AB78" s="306">
        <v>73.069999999999993</v>
      </c>
      <c r="AC78" s="306">
        <v>73.14</v>
      </c>
      <c r="AD78" s="306">
        <v>73.180000000000007</v>
      </c>
      <c r="AE78" s="306">
        <v>73.209999999999994</v>
      </c>
      <c r="AF78" s="306">
        <v>73.23</v>
      </c>
      <c r="AG78" s="306">
        <v>73.23</v>
      </c>
      <c r="AH78" s="306">
        <v>0</v>
      </c>
      <c r="AI78" s="306">
        <v>0</v>
      </c>
      <c r="AJ78" s="306">
        <v>0</v>
      </c>
      <c r="AK78" s="306">
        <v>0</v>
      </c>
      <c r="AL78" s="306">
        <v>0</v>
      </c>
      <c r="AM78" s="306">
        <v>0</v>
      </c>
      <c r="AN78" s="306">
        <v>0</v>
      </c>
      <c r="AO78" s="306">
        <v>0</v>
      </c>
      <c r="AP78" s="306">
        <v>0</v>
      </c>
      <c r="AQ78" s="306">
        <v>0</v>
      </c>
      <c r="AR78" s="306">
        <v>0</v>
      </c>
      <c r="AS78" s="306">
        <v>0</v>
      </c>
      <c r="AT78" s="306">
        <v>0</v>
      </c>
      <c r="AU78" s="306">
        <v>0</v>
      </c>
      <c r="AV78" s="306">
        <v>0</v>
      </c>
      <c r="AW78" s="306">
        <v>0</v>
      </c>
      <c r="AX78" s="306">
        <v>0</v>
      </c>
      <c r="AY78" s="306">
        <v>0</v>
      </c>
      <c r="AZ78" s="306">
        <v>0</v>
      </c>
      <c r="BA78" s="306">
        <v>0</v>
      </c>
      <c r="BB78" s="306">
        <v>0</v>
      </c>
      <c r="BC78" s="306">
        <v>0</v>
      </c>
      <c r="BD78" s="306">
        <v>0</v>
      </c>
      <c r="BE78" s="306">
        <v>0</v>
      </c>
      <c r="BF78" s="306">
        <v>0</v>
      </c>
      <c r="BG78" s="306">
        <v>0</v>
      </c>
      <c r="BH78" s="306">
        <v>0</v>
      </c>
      <c r="BI78" s="306">
        <v>0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>
        <v>0</v>
      </c>
      <c r="BT78" s="306">
        <v>0</v>
      </c>
      <c r="BU78" s="306">
        <v>0</v>
      </c>
      <c r="BV78" s="306">
        <v>0</v>
      </c>
      <c r="BW78" s="306">
        <v>0</v>
      </c>
      <c r="BX78" s="306">
        <v>0</v>
      </c>
      <c r="BY78" s="306">
        <v>0</v>
      </c>
      <c r="BZ78" s="306">
        <v>0</v>
      </c>
      <c r="CA78" s="306">
        <v>0</v>
      </c>
      <c r="CB78" s="306">
        <v>0</v>
      </c>
      <c r="CC78" s="306">
        <v>0</v>
      </c>
      <c r="CD78" s="306">
        <v>0</v>
      </c>
      <c r="CE78" s="306">
        <v>0</v>
      </c>
      <c r="CF78" s="306">
        <v>0</v>
      </c>
      <c r="CG78" s="306">
        <v>0</v>
      </c>
      <c r="CH78" s="306">
        <v>0</v>
      </c>
      <c r="CI78" s="306">
        <v>0</v>
      </c>
      <c r="CJ78" s="306">
        <v>0</v>
      </c>
      <c r="CK78" s="306">
        <v>0</v>
      </c>
      <c r="CL78" s="306">
        <v>0</v>
      </c>
      <c r="CM78" s="306">
        <v>0</v>
      </c>
      <c r="CN78" s="306">
        <v>0</v>
      </c>
      <c r="CO78" s="306">
        <v>0</v>
      </c>
      <c r="CP78" s="306">
        <v>0</v>
      </c>
      <c r="CQ78" s="306">
        <v>0</v>
      </c>
      <c r="CR78" s="306">
        <v>0</v>
      </c>
      <c r="CS78" s="306">
        <v>0</v>
      </c>
      <c r="CT78" s="306">
        <v>0</v>
      </c>
      <c r="CU78" s="306">
        <v>0</v>
      </c>
      <c r="CV78" s="306">
        <v>0</v>
      </c>
      <c r="CW78" s="306">
        <v>0</v>
      </c>
      <c r="CX78" s="306">
        <v>0</v>
      </c>
    </row>
    <row r="79" spans="3:102" x14ac:dyDescent="0.25">
      <c r="C79" s="305">
        <v>71</v>
      </c>
      <c r="D79" s="306">
        <v>44.76</v>
      </c>
      <c r="E79" s="306">
        <v>46.97</v>
      </c>
      <c r="F79" s="306">
        <v>49.29</v>
      </c>
      <c r="G79" s="306">
        <v>51.69</v>
      </c>
      <c r="H79" s="306">
        <v>54.12</v>
      </c>
      <c r="I79" s="306">
        <v>56.55</v>
      </c>
      <c r="J79" s="306">
        <v>58.94</v>
      </c>
      <c r="K79" s="306">
        <v>61.28</v>
      </c>
      <c r="L79" s="306">
        <v>63.56</v>
      </c>
      <c r="M79" s="306">
        <v>65.78</v>
      </c>
      <c r="N79" s="306">
        <v>67.95</v>
      </c>
      <c r="O79" s="306">
        <v>69.87</v>
      </c>
      <c r="P79" s="306">
        <v>71.55</v>
      </c>
      <c r="Q79" s="306">
        <v>73.010000000000005</v>
      </c>
      <c r="R79" s="306">
        <v>74.239999999999995</v>
      </c>
      <c r="S79" s="306">
        <v>75.27</v>
      </c>
      <c r="T79" s="306">
        <v>76.099999999999994</v>
      </c>
      <c r="U79" s="306">
        <v>76.760000000000005</v>
      </c>
      <c r="V79" s="306">
        <v>77.27</v>
      </c>
      <c r="W79" s="306">
        <v>77.650000000000006</v>
      </c>
      <c r="X79" s="306">
        <v>77.94</v>
      </c>
      <c r="Y79" s="306">
        <v>78.150000000000006</v>
      </c>
      <c r="Z79" s="306">
        <v>78.290000000000006</v>
      </c>
      <c r="AA79" s="306">
        <v>78.400000000000006</v>
      </c>
      <c r="AB79" s="306">
        <v>78.48</v>
      </c>
      <c r="AC79" s="306">
        <v>78.53</v>
      </c>
      <c r="AD79" s="306">
        <v>78.569999999999993</v>
      </c>
      <c r="AE79" s="306">
        <v>78.59</v>
      </c>
      <c r="AF79" s="306">
        <v>78.59</v>
      </c>
      <c r="AG79" s="306">
        <v>0</v>
      </c>
      <c r="AH79" s="306">
        <v>0</v>
      </c>
      <c r="AI79" s="306">
        <v>0</v>
      </c>
      <c r="AJ79" s="306">
        <v>0</v>
      </c>
      <c r="AK79" s="306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306">
        <v>0</v>
      </c>
      <c r="AU79" s="306">
        <v>0</v>
      </c>
      <c r="AV79" s="306">
        <v>0</v>
      </c>
      <c r="AW79" s="306">
        <v>0</v>
      </c>
      <c r="AX79" s="306">
        <v>0</v>
      </c>
      <c r="AY79" s="306">
        <v>0</v>
      </c>
      <c r="AZ79" s="306">
        <v>0</v>
      </c>
      <c r="BA79" s="306">
        <v>0</v>
      </c>
      <c r="BB79" s="306">
        <v>0</v>
      </c>
      <c r="BC79" s="306">
        <v>0</v>
      </c>
      <c r="BD79" s="306">
        <v>0</v>
      </c>
      <c r="BE79" s="306">
        <v>0</v>
      </c>
      <c r="BF79" s="306">
        <v>0</v>
      </c>
      <c r="BG79" s="306">
        <v>0</v>
      </c>
      <c r="BH79" s="306">
        <v>0</v>
      </c>
      <c r="BI79" s="306">
        <v>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>
        <v>0</v>
      </c>
      <c r="BT79" s="306">
        <v>0</v>
      </c>
      <c r="BU79" s="306">
        <v>0</v>
      </c>
      <c r="BV79" s="306">
        <v>0</v>
      </c>
      <c r="BW79" s="306">
        <v>0</v>
      </c>
      <c r="BX79" s="306">
        <v>0</v>
      </c>
      <c r="BY79" s="306">
        <v>0</v>
      </c>
      <c r="BZ79" s="306">
        <v>0</v>
      </c>
      <c r="CA79" s="306">
        <v>0</v>
      </c>
      <c r="CB79" s="306">
        <v>0</v>
      </c>
      <c r="CC79" s="306">
        <v>0</v>
      </c>
      <c r="CD79" s="306">
        <v>0</v>
      </c>
      <c r="CE79" s="306">
        <v>0</v>
      </c>
      <c r="CF79" s="306">
        <v>0</v>
      </c>
      <c r="CG79" s="306">
        <v>0</v>
      </c>
      <c r="CH79" s="306">
        <v>0</v>
      </c>
      <c r="CI79" s="306">
        <v>0</v>
      </c>
      <c r="CJ79" s="306">
        <v>0</v>
      </c>
      <c r="CK79" s="306">
        <v>0</v>
      </c>
      <c r="CL79" s="306">
        <v>0</v>
      </c>
      <c r="CM79" s="306">
        <v>0</v>
      </c>
      <c r="CN79" s="306">
        <v>0</v>
      </c>
      <c r="CO79" s="306">
        <v>0</v>
      </c>
      <c r="CP79" s="306">
        <v>0</v>
      </c>
      <c r="CQ79" s="306">
        <v>0</v>
      </c>
      <c r="CR79" s="306">
        <v>0</v>
      </c>
      <c r="CS79" s="306">
        <v>0</v>
      </c>
      <c r="CT79" s="306">
        <v>0</v>
      </c>
      <c r="CU79" s="306">
        <v>0</v>
      </c>
      <c r="CV79" s="306">
        <v>0</v>
      </c>
      <c r="CW79" s="306">
        <v>0</v>
      </c>
      <c r="CX79" s="306">
        <v>0</v>
      </c>
    </row>
    <row r="80" spans="3:102" x14ac:dyDescent="0.25">
      <c r="C80" s="305">
        <v>72</v>
      </c>
      <c r="D80" s="306">
        <v>49.35</v>
      </c>
      <c r="E80" s="306">
        <v>51.83</v>
      </c>
      <c r="F80" s="306">
        <v>54.39</v>
      </c>
      <c r="G80" s="306">
        <v>56.98</v>
      </c>
      <c r="H80" s="306">
        <v>59.55</v>
      </c>
      <c r="I80" s="306">
        <v>62.09</v>
      </c>
      <c r="J80" s="306">
        <v>64.56</v>
      </c>
      <c r="K80" s="306">
        <v>66.98</v>
      </c>
      <c r="L80" s="306">
        <v>69.34</v>
      </c>
      <c r="M80" s="306">
        <v>71.66</v>
      </c>
      <c r="N80" s="306">
        <v>73.930000000000007</v>
      </c>
      <c r="O80" s="306">
        <v>75.92</v>
      </c>
      <c r="P80" s="306">
        <v>77.650000000000006</v>
      </c>
      <c r="Q80" s="306">
        <v>79.11</v>
      </c>
      <c r="R80" s="306">
        <v>80.33</v>
      </c>
      <c r="S80" s="306">
        <v>81.319999999999993</v>
      </c>
      <c r="T80" s="306">
        <v>82.11</v>
      </c>
      <c r="U80" s="306">
        <v>82.72</v>
      </c>
      <c r="V80" s="306">
        <v>83.18</v>
      </c>
      <c r="W80" s="306">
        <v>83.52</v>
      </c>
      <c r="X80" s="306">
        <v>83.77</v>
      </c>
      <c r="Y80" s="306">
        <v>83.95</v>
      </c>
      <c r="Z80" s="306">
        <v>84.08</v>
      </c>
      <c r="AA80" s="306">
        <v>84.17</v>
      </c>
      <c r="AB80" s="306">
        <v>84.24</v>
      </c>
      <c r="AC80" s="306">
        <v>84.28</v>
      </c>
      <c r="AD80" s="306">
        <v>84.31</v>
      </c>
      <c r="AE80" s="306">
        <v>84.31</v>
      </c>
      <c r="AF80" s="306">
        <v>0</v>
      </c>
      <c r="AG80" s="306">
        <v>0</v>
      </c>
      <c r="AH80" s="306">
        <v>0</v>
      </c>
      <c r="AI80" s="306">
        <v>0</v>
      </c>
      <c r="AJ80" s="306">
        <v>0</v>
      </c>
      <c r="AK80" s="306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306">
        <v>0</v>
      </c>
      <c r="AU80" s="306">
        <v>0</v>
      </c>
      <c r="AV80" s="306">
        <v>0</v>
      </c>
      <c r="AW80" s="306">
        <v>0</v>
      </c>
      <c r="AX80" s="306">
        <v>0</v>
      </c>
      <c r="AY80" s="306">
        <v>0</v>
      </c>
      <c r="AZ80" s="306">
        <v>0</v>
      </c>
      <c r="BA80" s="306">
        <v>0</v>
      </c>
      <c r="BB80" s="306">
        <v>0</v>
      </c>
      <c r="BC80" s="306">
        <v>0</v>
      </c>
      <c r="BD80" s="306">
        <v>0</v>
      </c>
      <c r="BE80" s="306">
        <v>0</v>
      </c>
      <c r="BF80" s="306">
        <v>0</v>
      </c>
      <c r="BG80" s="306">
        <v>0</v>
      </c>
      <c r="BH80" s="306">
        <v>0</v>
      </c>
      <c r="BI80" s="306">
        <v>0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>
        <v>0</v>
      </c>
      <c r="BT80" s="306">
        <v>0</v>
      </c>
      <c r="BU80" s="306">
        <v>0</v>
      </c>
      <c r="BV80" s="306">
        <v>0</v>
      </c>
      <c r="BW80" s="306">
        <v>0</v>
      </c>
      <c r="BX80" s="306">
        <v>0</v>
      </c>
      <c r="BY80" s="306">
        <v>0</v>
      </c>
      <c r="BZ80" s="306">
        <v>0</v>
      </c>
      <c r="CA80" s="306">
        <v>0</v>
      </c>
      <c r="CB80" s="306">
        <v>0</v>
      </c>
      <c r="CC80" s="306">
        <v>0</v>
      </c>
      <c r="CD80" s="306">
        <v>0</v>
      </c>
      <c r="CE80" s="306">
        <v>0</v>
      </c>
      <c r="CF80" s="306">
        <v>0</v>
      </c>
      <c r="CG80" s="306">
        <v>0</v>
      </c>
      <c r="CH80" s="306">
        <v>0</v>
      </c>
      <c r="CI80" s="306">
        <v>0</v>
      </c>
      <c r="CJ80" s="306">
        <v>0</v>
      </c>
      <c r="CK80" s="306">
        <v>0</v>
      </c>
      <c r="CL80" s="306">
        <v>0</v>
      </c>
      <c r="CM80" s="306">
        <v>0</v>
      </c>
      <c r="CN80" s="306">
        <v>0</v>
      </c>
      <c r="CO80" s="306">
        <v>0</v>
      </c>
      <c r="CP80" s="306">
        <v>0</v>
      </c>
      <c r="CQ80" s="306">
        <v>0</v>
      </c>
      <c r="CR80" s="306">
        <v>0</v>
      </c>
      <c r="CS80" s="306">
        <v>0</v>
      </c>
      <c r="CT80" s="306">
        <v>0</v>
      </c>
      <c r="CU80" s="306">
        <v>0</v>
      </c>
      <c r="CV80" s="306">
        <v>0</v>
      </c>
      <c r="CW80" s="306">
        <v>0</v>
      </c>
      <c r="CX80" s="306">
        <v>0</v>
      </c>
    </row>
    <row r="81" spans="3:102" x14ac:dyDescent="0.25">
      <c r="C81" s="305">
        <v>73</v>
      </c>
      <c r="D81" s="306">
        <v>54.53</v>
      </c>
      <c r="E81" s="306">
        <v>57.24</v>
      </c>
      <c r="F81" s="306">
        <v>59.98</v>
      </c>
      <c r="G81" s="306">
        <v>62.71</v>
      </c>
      <c r="H81" s="306">
        <v>65.39</v>
      </c>
      <c r="I81" s="306">
        <v>68</v>
      </c>
      <c r="J81" s="306">
        <v>70.56</v>
      </c>
      <c r="K81" s="306">
        <v>73.08</v>
      </c>
      <c r="L81" s="306">
        <v>75.55</v>
      </c>
      <c r="M81" s="306">
        <v>77.989999999999995</v>
      </c>
      <c r="N81" s="306">
        <v>80.36</v>
      </c>
      <c r="O81" s="306">
        <v>82.41</v>
      </c>
      <c r="P81" s="306">
        <v>84.15</v>
      </c>
      <c r="Q81" s="306">
        <v>85.6</v>
      </c>
      <c r="R81" s="306">
        <v>86.78</v>
      </c>
      <c r="S81" s="306">
        <v>87.72</v>
      </c>
      <c r="T81" s="306">
        <v>88.45</v>
      </c>
      <c r="U81" s="306">
        <v>89.01</v>
      </c>
      <c r="V81" s="306">
        <v>89.42</v>
      </c>
      <c r="W81" s="306">
        <v>89.73</v>
      </c>
      <c r="X81" s="306">
        <v>89.95</v>
      </c>
      <c r="Y81" s="306">
        <v>90.1</v>
      </c>
      <c r="Z81" s="306">
        <v>90.22</v>
      </c>
      <c r="AA81" s="306">
        <v>90.3</v>
      </c>
      <c r="AB81" s="306">
        <v>90.35</v>
      </c>
      <c r="AC81" s="306">
        <v>90.38</v>
      </c>
      <c r="AD81" s="306">
        <v>90.38</v>
      </c>
      <c r="AE81" s="306">
        <v>0</v>
      </c>
      <c r="AF81" s="306">
        <v>0</v>
      </c>
      <c r="AG81" s="306">
        <v>0</v>
      </c>
      <c r="AH81" s="306">
        <v>0</v>
      </c>
      <c r="AI81" s="306">
        <v>0</v>
      </c>
      <c r="AJ81" s="306">
        <v>0</v>
      </c>
      <c r="AK81" s="306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306">
        <v>0</v>
      </c>
      <c r="AU81" s="306">
        <v>0</v>
      </c>
      <c r="AV81" s="306">
        <v>0</v>
      </c>
      <c r="AW81" s="306">
        <v>0</v>
      </c>
      <c r="AX81" s="306">
        <v>0</v>
      </c>
      <c r="AY81" s="306">
        <v>0</v>
      </c>
      <c r="AZ81" s="306">
        <v>0</v>
      </c>
      <c r="BA81" s="306">
        <v>0</v>
      </c>
      <c r="BB81" s="306">
        <v>0</v>
      </c>
      <c r="BC81" s="306">
        <v>0</v>
      </c>
      <c r="BD81" s="306">
        <v>0</v>
      </c>
      <c r="BE81" s="306">
        <v>0</v>
      </c>
      <c r="BF81" s="306">
        <v>0</v>
      </c>
      <c r="BG81" s="306">
        <v>0</v>
      </c>
      <c r="BH81" s="306">
        <v>0</v>
      </c>
      <c r="BI81" s="306">
        <v>0</v>
      </c>
      <c r="BJ81" s="306">
        <v>0</v>
      </c>
      <c r="BK81" s="306">
        <v>0</v>
      </c>
      <c r="BL81" s="306">
        <v>0</v>
      </c>
      <c r="BM81" s="306">
        <v>0</v>
      </c>
      <c r="BN81" s="306">
        <v>0</v>
      </c>
      <c r="BO81" s="306">
        <v>0</v>
      </c>
      <c r="BP81" s="306">
        <v>0</v>
      </c>
      <c r="BQ81" s="306">
        <v>0</v>
      </c>
      <c r="BR81" s="306">
        <v>0</v>
      </c>
      <c r="BS81" s="306">
        <v>0</v>
      </c>
      <c r="BT81" s="306">
        <v>0</v>
      </c>
      <c r="BU81" s="306">
        <v>0</v>
      </c>
      <c r="BV81" s="306">
        <v>0</v>
      </c>
      <c r="BW81" s="306">
        <v>0</v>
      </c>
      <c r="BX81" s="306">
        <v>0</v>
      </c>
      <c r="BY81" s="306">
        <v>0</v>
      </c>
      <c r="BZ81" s="306">
        <v>0</v>
      </c>
      <c r="CA81" s="306">
        <v>0</v>
      </c>
      <c r="CB81" s="306">
        <v>0</v>
      </c>
      <c r="CC81" s="306">
        <v>0</v>
      </c>
      <c r="CD81" s="306">
        <v>0</v>
      </c>
      <c r="CE81" s="306">
        <v>0</v>
      </c>
      <c r="CF81" s="306">
        <v>0</v>
      </c>
      <c r="CG81" s="306">
        <v>0</v>
      </c>
      <c r="CH81" s="306">
        <v>0</v>
      </c>
      <c r="CI81" s="306">
        <v>0</v>
      </c>
      <c r="CJ81" s="306">
        <v>0</v>
      </c>
      <c r="CK81" s="306">
        <v>0</v>
      </c>
      <c r="CL81" s="306">
        <v>0</v>
      </c>
      <c r="CM81" s="306">
        <v>0</v>
      </c>
      <c r="CN81" s="306">
        <v>0</v>
      </c>
      <c r="CO81" s="306">
        <v>0</v>
      </c>
      <c r="CP81" s="306">
        <v>0</v>
      </c>
      <c r="CQ81" s="306">
        <v>0</v>
      </c>
      <c r="CR81" s="306">
        <v>0</v>
      </c>
      <c r="CS81" s="306">
        <v>0</v>
      </c>
      <c r="CT81" s="306">
        <v>0</v>
      </c>
      <c r="CU81" s="306">
        <v>0</v>
      </c>
      <c r="CV81" s="306">
        <v>0</v>
      </c>
      <c r="CW81" s="306">
        <v>0</v>
      </c>
      <c r="CX81" s="306">
        <v>0</v>
      </c>
    </row>
    <row r="82" spans="3:102" x14ac:dyDescent="0.25">
      <c r="C82" s="305">
        <v>74</v>
      </c>
      <c r="D82" s="306">
        <v>60.2</v>
      </c>
      <c r="E82" s="306">
        <v>63.09</v>
      </c>
      <c r="F82" s="306">
        <v>65.97</v>
      </c>
      <c r="G82" s="306">
        <v>68.790000000000006</v>
      </c>
      <c r="H82" s="306">
        <v>71.55</v>
      </c>
      <c r="I82" s="306">
        <v>74.260000000000005</v>
      </c>
      <c r="J82" s="306">
        <v>76.930000000000007</v>
      </c>
      <c r="K82" s="306">
        <v>79.58</v>
      </c>
      <c r="L82" s="306">
        <v>82.19</v>
      </c>
      <c r="M82" s="306">
        <v>84.75</v>
      </c>
      <c r="N82" s="306">
        <v>87.21</v>
      </c>
      <c r="O82" s="306">
        <v>89.29</v>
      </c>
      <c r="P82" s="306">
        <v>91.03</v>
      </c>
      <c r="Q82" s="306">
        <v>92.44</v>
      </c>
      <c r="R82" s="306">
        <v>93.57</v>
      </c>
      <c r="S82" s="306">
        <v>94.45</v>
      </c>
      <c r="T82" s="306">
        <v>95.12</v>
      </c>
      <c r="U82" s="306">
        <v>95.62</v>
      </c>
      <c r="V82" s="306">
        <v>95.99</v>
      </c>
      <c r="W82" s="306">
        <v>96.26</v>
      </c>
      <c r="X82" s="306">
        <v>96.45</v>
      </c>
      <c r="Y82" s="306">
        <v>96.59</v>
      </c>
      <c r="Z82" s="306">
        <v>96.69</v>
      </c>
      <c r="AA82" s="306">
        <v>96.76</v>
      </c>
      <c r="AB82" s="306">
        <v>96.8</v>
      </c>
      <c r="AC82" s="306">
        <v>96.8</v>
      </c>
      <c r="AD82" s="306">
        <v>0</v>
      </c>
      <c r="AE82" s="306">
        <v>0</v>
      </c>
      <c r="AF82" s="306">
        <v>0</v>
      </c>
      <c r="AG82" s="306">
        <v>0</v>
      </c>
      <c r="AH82" s="306">
        <v>0</v>
      </c>
      <c r="AI82" s="306">
        <v>0</v>
      </c>
      <c r="AJ82" s="306">
        <v>0</v>
      </c>
      <c r="AK82" s="306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306">
        <v>0</v>
      </c>
      <c r="AU82" s="306">
        <v>0</v>
      </c>
      <c r="AV82" s="306">
        <v>0</v>
      </c>
      <c r="AW82" s="306">
        <v>0</v>
      </c>
      <c r="AX82" s="306">
        <v>0</v>
      </c>
      <c r="AY82" s="306">
        <v>0</v>
      </c>
      <c r="AZ82" s="306">
        <v>0</v>
      </c>
      <c r="BA82" s="306">
        <v>0</v>
      </c>
      <c r="BB82" s="306">
        <v>0</v>
      </c>
      <c r="BC82" s="306">
        <v>0</v>
      </c>
      <c r="BD82" s="306">
        <v>0</v>
      </c>
      <c r="BE82" s="306">
        <v>0</v>
      </c>
      <c r="BF82" s="306">
        <v>0</v>
      </c>
      <c r="BG82" s="306">
        <v>0</v>
      </c>
      <c r="BH82" s="306">
        <v>0</v>
      </c>
      <c r="BI82" s="306">
        <v>0</v>
      </c>
      <c r="BJ82" s="306">
        <v>0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>
        <v>0</v>
      </c>
      <c r="BT82" s="306">
        <v>0</v>
      </c>
      <c r="BU82" s="306">
        <v>0</v>
      </c>
      <c r="BV82" s="306">
        <v>0</v>
      </c>
      <c r="BW82" s="306">
        <v>0</v>
      </c>
      <c r="BX82" s="306">
        <v>0</v>
      </c>
      <c r="BY82" s="306">
        <v>0</v>
      </c>
      <c r="BZ82" s="306">
        <v>0</v>
      </c>
      <c r="CA82" s="306">
        <v>0</v>
      </c>
      <c r="CB82" s="306">
        <v>0</v>
      </c>
      <c r="CC82" s="306">
        <v>0</v>
      </c>
      <c r="CD82" s="306">
        <v>0</v>
      </c>
      <c r="CE82" s="306">
        <v>0</v>
      </c>
      <c r="CF82" s="306">
        <v>0</v>
      </c>
      <c r="CG82" s="306">
        <v>0</v>
      </c>
      <c r="CH82" s="306">
        <v>0</v>
      </c>
      <c r="CI82" s="306">
        <v>0</v>
      </c>
      <c r="CJ82" s="306">
        <v>0</v>
      </c>
      <c r="CK82" s="306">
        <v>0</v>
      </c>
      <c r="CL82" s="306">
        <v>0</v>
      </c>
      <c r="CM82" s="306">
        <v>0</v>
      </c>
      <c r="CN82" s="306">
        <v>0</v>
      </c>
      <c r="CO82" s="306">
        <v>0</v>
      </c>
      <c r="CP82" s="306">
        <v>0</v>
      </c>
      <c r="CQ82" s="306">
        <v>0</v>
      </c>
      <c r="CR82" s="306">
        <v>0</v>
      </c>
      <c r="CS82" s="306">
        <v>0</v>
      </c>
      <c r="CT82" s="306">
        <v>0</v>
      </c>
      <c r="CU82" s="306">
        <v>0</v>
      </c>
      <c r="CV82" s="306">
        <v>0</v>
      </c>
      <c r="CW82" s="306">
        <v>0</v>
      </c>
      <c r="CX82" s="306">
        <v>0</v>
      </c>
    </row>
    <row r="83" spans="3:102" x14ac:dyDescent="0.25">
      <c r="C83" s="305">
        <v>75</v>
      </c>
      <c r="D83" s="306">
        <v>66.260000000000005</v>
      </c>
      <c r="E83" s="306">
        <v>69.28</v>
      </c>
      <c r="F83" s="306">
        <v>72.25</v>
      </c>
      <c r="G83" s="306">
        <v>75.16</v>
      </c>
      <c r="H83" s="306">
        <v>78.03</v>
      </c>
      <c r="I83" s="306">
        <v>80.87</v>
      </c>
      <c r="J83" s="306">
        <v>83.7</v>
      </c>
      <c r="K83" s="306">
        <v>86.52</v>
      </c>
      <c r="L83" s="306">
        <v>89.28</v>
      </c>
      <c r="M83" s="306">
        <v>91.95</v>
      </c>
      <c r="N83" s="306">
        <v>94.47</v>
      </c>
      <c r="O83" s="306">
        <v>96.56</v>
      </c>
      <c r="P83" s="306">
        <v>98.26</v>
      </c>
      <c r="Q83" s="306">
        <v>99.62</v>
      </c>
      <c r="R83" s="306">
        <v>100.68</v>
      </c>
      <c r="S83" s="306">
        <v>101.49</v>
      </c>
      <c r="T83" s="306">
        <v>102.1</v>
      </c>
      <c r="U83" s="306">
        <v>102.55</v>
      </c>
      <c r="V83" s="306">
        <v>102.88</v>
      </c>
      <c r="W83" s="306">
        <v>103.12</v>
      </c>
      <c r="X83" s="306">
        <v>103.29</v>
      </c>
      <c r="Y83" s="306">
        <v>103.41</v>
      </c>
      <c r="Z83" s="306">
        <v>103.5</v>
      </c>
      <c r="AA83" s="306">
        <v>103.55</v>
      </c>
      <c r="AB83" s="306">
        <v>103.55</v>
      </c>
      <c r="AC83" s="306">
        <v>0</v>
      </c>
      <c r="AD83" s="306">
        <v>0</v>
      </c>
      <c r="AE83" s="306">
        <v>0</v>
      </c>
      <c r="AF83" s="306">
        <v>0</v>
      </c>
      <c r="AG83" s="306">
        <v>0</v>
      </c>
      <c r="AH83" s="306">
        <v>0</v>
      </c>
      <c r="AI83" s="306">
        <v>0</v>
      </c>
      <c r="AJ83" s="306">
        <v>0</v>
      </c>
      <c r="AK83" s="306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306">
        <v>0</v>
      </c>
      <c r="AU83" s="306">
        <v>0</v>
      </c>
      <c r="AV83" s="306">
        <v>0</v>
      </c>
      <c r="AW83" s="306">
        <v>0</v>
      </c>
      <c r="AX83" s="306">
        <v>0</v>
      </c>
      <c r="AY83" s="306">
        <v>0</v>
      </c>
      <c r="AZ83" s="306">
        <v>0</v>
      </c>
      <c r="BA83" s="306">
        <v>0</v>
      </c>
      <c r="BB83" s="306">
        <v>0</v>
      </c>
      <c r="BC83" s="306">
        <v>0</v>
      </c>
      <c r="BD83" s="306">
        <v>0</v>
      </c>
      <c r="BE83" s="306">
        <v>0</v>
      </c>
      <c r="BF83" s="306">
        <v>0</v>
      </c>
      <c r="BG83" s="306">
        <v>0</v>
      </c>
      <c r="BH83" s="306">
        <v>0</v>
      </c>
      <c r="BI83" s="306">
        <v>0</v>
      </c>
      <c r="BJ83" s="306">
        <v>0</v>
      </c>
      <c r="BK83" s="306">
        <v>0</v>
      </c>
      <c r="BL83" s="306">
        <v>0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>
        <v>0</v>
      </c>
      <c r="BT83" s="306">
        <v>0</v>
      </c>
      <c r="BU83" s="306">
        <v>0</v>
      </c>
      <c r="BV83" s="306">
        <v>0</v>
      </c>
      <c r="BW83" s="306">
        <v>0</v>
      </c>
      <c r="BX83" s="306">
        <v>0</v>
      </c>
      <c r="BY83" s="306">
        <v>0</v>
      </c>
      <c r="BZ83" s="306">
        <v>0</v>
      </c>
      <c r="CA83" s="306">
        <v>0</v>
      </c>
      <c r="CB83" s="306">
        <v>0</v>
      </c>
      <c r="CC83" s="306">
        <v>0</v>
      </c>
      <c r="CD83" s="306">
        <v>0</v>
      </c>
      <c r="CE83" s="306">
        <v>0</v>
      </c>
      <c r="CF83" s="306">
        <v>0</v>
      </c>
      <c r="CG83" s="306">
        <v>0</v>
      </c>
      <c r="CH83" s="306">
        <v>0</v>
      </c>
      <c r="CI83" s="306">
        <v>0</v>
      </c>
      <c r="CJ83" s="306">
        <v>0</v>
      </c>
      <c r="CK83" s="306">
        <v>0</v>
      </c>
      <c r="CL83" s="306">
        <v>0</v>
      </c>
      <c r="CM83" s="306">
        <v>0</v>
      </c>
      <c r="CN83" s="306">
        <v>0</v>
      </c>
      <c r="CO83" s="306">
        <v>0</v>
      </c>
      <c r="CP83" s="306">
        <v>0</v>
      </c>
      <c r="CQ83" s="306">
        <v>0</v>
      </c>
      <c r="CR83" s="306">
        <v>0</v>
      </c>
      <c r="CS83" s="306">
        <v>0</v>
      </c>
      <c r="CT83" s="306">
        <v>0</v>
      </c>
      <c r="CU83" s="306">
        <v>0</v>
      </c>
      <c r="CV83" s="306">
        <v>0</v>
      </c>
      <c r="CW83" s="306">
        <v>0</v>
      </c>
      <c r="CX83" s="306">
        <v>0</v>
      </c>
    </row>
    <row r="84" spans="3:102" x14ac:dyDescent="0.25">
      <c r="C84" s="305">
        <v>76</v>
      </c>
      <c r="D84" s="306">
        <v>72.62</v>
      </c>
      <c r="E84" s="306">
        <v>75.73</v>
      </c>
      <c r="F84" s="306">
        <v>78.790000000000006</v>
      </c>
      <c r="G84" s="306">
        <v>81.83</v>
      </c>
      <c r="H84" s="306">
        <v>84.87</v>
      </c>
      <c r="I84" s="306">
        <v>87.9</v>
      </c>
      <c r="J84" s="306">
        <v>90.94</v>
      </c>
      <c r="K84" s="306">
        <v>93.95</v>
      </c>
      <c r="L84" s="306">
        <v>96.85</v>
      </c>
      <c r="M84" s="306">
        <v>99.6</v>
      </c>
      <c r="N84" s="306">
        <v>102.14</v>
      </c>
      <c r="O84" s="306">
        <v>104.2</v>
      </c>
      <c r="P84" s="306">
        <v>105.84</v>
      </c>
      <c r="Q84" s="306">
        <v>107.13</v>
      </c>
      <c r="R84" s="306">
        <v>108.12</v>
      </c>
      <c r="S84" s="306">
        <v>108.86</v>
      </c>
      <c r="T84" s="306">
        <v>109.42</v>
      </c>
      <c r="U84" s="306">
        <v>109.82</v>
      </c>
      <c r="V84" s="306">
        <v>110.11</v>
      </c>
      <c r="W84" s="306">
        <v>110.32</v>
      </c>
      <c r="X84" s="306">
        <v>110.48</v>
      </c>
      <c r="Y84" s="306">
        <v>110.58</v>
      </c>
      <c r="Z84" s="306">
        <v>110.65</v>
      </c>
      <c r="AA84" s="306">
        <v>110.65</v>
      </c>
      <c r="AB84" s="306">
        <v>0</v>
      </c>
      <c r="AC84" s="306">
        <v>0</v>
      </c>
      <c r="AD84" s="306">
        <v>0</v>
      </c>
      <c r="AE84" s="306">
        <v>0</v>
      </c>
      <c r="AF84" s="306">
        <v>0</v>
      </c>
      <c r="AG84" s="306">
        <v>0</v>
      </c>
      <c r="AH84" s="306">
        <v>0</v>
      </c>
      <c r="AI84" s="306">
        <v>0</v>
      </c>
      <c r="AJ84" s="306">
        <v>0</v>
      </c>
      <c r="AK84" s="306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306">
        <v>0</v>
      </c>
      <c r="AU84" s="306">
        <v>0</v>
      </c>
      <c r="AV84" s="306">
        <v>0</v>
      </c>
      <c r="AW84" s="306">
        <v>0</v>
      </c>
      <c r="AX84" s="306">
        <v>0</v>
      </c>
      <c r="AY84" s="306">
        <v>0</v>
      </c>
      <c r="AZ84" s="306">
        <v>0</v>
      </c>
      <c r="BA84" s="306">
        <v>0</v>
      </c>
      <c r="BB84" s="306">
        <v>0</v>
      </c>
      <c r="BC84" s="306">
        <v>0</v>
      </c>
      <c r="BD84" s="306">
        <v>0</v>
      </c>
      <c r="BE84" s="306">
        <v>0</v>
      </c>
      <c r="BF84" s="306">
        <v>0</v>
      </c>
      <c r="BG84" s="306">
        <v>0</v>
      </c>
      <c r="BH84" s="306">
        <v>0</v>
      </c>
      <c r="BI84" s="306">
        <v>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>
        <v>0</v>
      </c>
      <c r="BT84" s="306">
        <v>0</v>
      </c>
      <c r="BU84" s="306">
        <v>0</v>
      </c>
      <c r="BV84" s="306">
        <v>0</v>
      </c>
      <c r="BW84" s="306">
        <v>0</v>
      </c>
      <c r="BX84" s="306">
        <v>0</v>
      </c>
      <c r="BY84" s="306">
        <v>0</v>
      </c>
      <c r="BZ84" s="306">
        <v>0</v>
      </c>
      <c r="CA84" s="306">
        <v>0</v>
      </c>
      <c r="CB84" s="306">
        <v>0</v>
      </c>
      <c r="CC84" s="306">
        <v>0</v>
      </c>
      <c r="CD84" s="306">
        <v>0</v>
      </c>
      <c r="CE84" s="306">
        <v>0</v>
      </c>
      <c r="CF84" s="306">
        <v>0</v>
      </c>
      <c r="CG84" s="306">
        <v>0</v>
      </c>
      <c r="CH84" s="306">
        <v>0</v>
      </c>
      <c r="CI84" s="306">
        <v>0</v>
      </c>
      <c r="CJ84" s="306">
        <v>0</v>
      </c>
      <c r="CK84" s="306">
        <v>0</v>
      </c>
      <c r="CL84" s="306">
        <v>0</v>
      </c>
      <c r="CM84" s="306">
        <v>0</v>
      </c>
      <c r="CN84" s="306">
        <v>0</v>
      </c>
      <c r="CO84" s="306">
        <v>0</v>
      </c>
      <c r="CP84" s="306">
        <v>0</v>
      </c>
      <c r="CQ84" s="306">
        <v>0</v>
      </c>
      <c r="CR84" s="306">
        <v>0</v>
      </c>
      <c r="CS84" s="306">
        <v>0</v>
      </c>
      <c r="CT84" s="306">
        <v>0</v>
      </c>
      <c r="CU84" s="306">
        <v>0</v>
      </c>
      <c r="CV84" s="306">
        <v>0</v>
      </c>
      <c r="CW84" s="306">
        <v>0</v>
      </c>
      <c r="CX84" s="306">
        <v>0</v>
      </c>
    </row>
    <row r="85" spans="3:102" x14ac:dyDescent="0.25">
      <c r="C85" s="305">
        <v>77</v>
      </c>
      <c r="D85" s="306">
        <v>79.19</v>
      </c>
      <c r="E85" s="306">
        <v>82.42</v>
      </c>
      <c r="F85" s="306">
        <v>85.65</v>
      </c>
      <c r="G85" s="306">
        <v>88.9</v>
      </c>
      <c r="H85" s="306">
        <v>92.17</v>
      </c>
      <c r="I85" s="306">
        <v>95.47</v>
      </c>
      <c r="J85" s="306">
        <v>98.74</v>
      </c>
      <c r="K85" s="306">
        <v>101.91</v>
      </c>
      <c r="L85" s="306">
        <v>104.92</v>
      </c>
      <c r="M85" s="306">
        <v>107.71</v>
      </c>
      <c r="N85" s="306">
        <v>110.22</v>
      </c>
      <c r="O85" s="306">
        <v>112.23</v>
      </c>
      <c r="P85" s="306">
        <v>113.8</v>
      </c>
      <c r="Q85" s="306">
        <v>115.01</v>
      </c>
      <c r="R85" s="306">
        <v>115.92</v>
      </c>
      <c r="S85" s="306">
        <v>116.6</v>
      </c>
      <c r="T85" s="306">
        <v>117.09</v>
      </c>
      <c r="U85" s="306">
        <v>117.45</v>
      </c>
      <c r="V85" s="306">
        <v>117.72</v>
      </c>
      <c r="W85" s="306">
        <v>117.92</v>
      </c>
      <c r="X85" s="306">
        <v>118.05</v>
      </c>
      <c r="Y85" s="306">
        <v>118.13</v>
      </c>
      <c r="Z85" s="306">
        <v>118.13</v>
      </c>
      <c r="AA85" s="306">
        <v>0</v>
      </c>
      <c r="AB85" s="306">
        <v>0</v>
      </c>
      <c r="AC85" s="306">
        <v>0</v>
      </c>
      <c r="AD85" s="306">
        <v>0</v>
      </c>
      <c r="AE85" s="306">
        <v>0</v>
      </c>
      <c r="AF85" s="306">
        <v>0</v>
      </c>
      <c r="AG85" s="306">
        <v>0</v>
      </c>
      <c r="AH85" s="306">
        <v>0</v>
      </c>
      <c r="AI85" s="306">
        <v>0</v>
      </c>
      <c r="AJ85" s="306">
        <v>0</v>
      </c>
      <c r="AK85" s="306">
        <v>0</v>
      </c>
      <c r="AL85" s="306">
        <v>0</v>
      </c>
      <c r="AM85" s="306">
        <v>0</v>
      </c>
      <c r="AN85" s="306">
        <v>0</v>
      </c>
      <c r="AO85" s="306">
        <v>0</v>
      </c>
      <c r="AP85" s="306">
        <v>0</v>
      </c>
      <c r="AQ85" s="306">
        <v>0</v>
      </c>
      <c r="AR85" s="306">
        <v>0</v>
      </c>
      <c r="AS85" s="306">
        <v>0</v>
      </c>
      <c r="AT85" s="306">
        <v>0</v>
      </c>
      <c r="AU85" s="306">
        <v>0</v>
      </c>
      <c r="AV85" s="306">
        <v>0</v>
      </c>
      <c r="AW85" s="306">
        <v>0</v>
      </c>
      <c r="AX85" s="306">
        <v>0</v>
      </c>
      <c r="AY85" s="306">
        <v>0</v>
      </c>
      <c r="AZ85" s="306">
        <v>0</v>
      </c>
      <c r="BA85" s="306">
        <v>0</v>
      </c>
      <c r="BB85" s="306">
        <v>0</v>
      </c>
      <c r="BC85" s="306">
        <v>0</v>
      </c>
      <c r="BD85" s="306">
        <v>0</v>
      </c>
      <c r="BE85" s="306">
        <v>0</v>
      </c>
      <c r="BF85" s="306">
        <v>0</v>
      </c>
      <c r="BG85" s="306">
        <v>0</v>
      </c>
      <c r="BH85" s="306">
        <v>0</v>
      </c>
      <c r="BI85" s="306">
        <v>0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>
        <v>0</v>
      </c>
      <c r="BT85" s="306">
        <v>0</v>
      </c>
      <c r="BU85" s="306">
        <v>0</v>
      </c>
      <c r="BV85" s="306">
        <v>0</v>
      </c>
      <c r="BW85" s="306">
        <v>0</v>
      </c>
      <c r="BX85" s="306">
        <v>0</v>
      </c>
      <c r="BY85" s="306">
        <v>0</v>
      </c>
      <c r="BZ85" s="306">
        <v>0</v>
      </c>
      <c r="CA85" s="306">
        <v>0</v>
      </c>
      <c r="CB85" s="306">
        <v>0</v>
      </c>
      <c r="CC85" s="306">
        <v>0</v>
      </c>
      <c r="CD85" s="306">
        <v>0</v>
      </c>
      <c r="CE85" s="306">
        <v>0</v>
      </c>
      <c r="CF85" s="306">
        <v>0</v>
      </c>
      <c r="CG85" s="306">
        <v>0</v>
      </c>
      <c r="CH85" s="306">
        <v>0</v>
      </c>
      <c r="CI85" s="306">
        <v>0</v>
      </c>
      <c r="CJ85" s="306">
        <v>0</v>
      </c>
      <c r="CK85" s="306">
        <v>0</v>
      </c>
      <c r="CL85" s="306">
        <v>0</v>
      </c>
      <c r="CM85" s="306">
        <v>0</v>
      </c>
      <c r="CN85" s="306">
        <v>0</v>
      </c>
      <c r="CO85" s="306">
        <v>0</v>
      </c>
      <c r="CP85" s="306">
        <v>0</v>
      </c>
      <c r="CQ85" s="306">
        <v>0</v>
      </c>
      <c r="CR85" s="306">
        <v>0</v>
      </c>
      <c r="CS85" s="306">
        <v>0</v>
      </c>
      <c r="CT85" s="306">
        <v>0</v>
      </c>
      <c r="CU85" s="306">
        <v>0</v>
      </c>
      <c r="CV85" s="306">
        <v>0</v>
      </c>
      <c r="CW85" s="306">
        <v>0</v>
      </c>
      <c r="CX85" s="306">
        <v>0</v>
      </c>
    </row>
    <row r="86" spans="3:102" x14ac:dyDescent="0.25">
      <c r="C86" s="305">
        <v>78</v>
      </c>
      <c r="D86" s="306">
        <v>86.04</v>
      </c>
      <c r="E86" s="306">
        <v>89.48</v>
      </c>
      <c r="F86" s="306">
        <v>92.97</v>
      </c>
      <c r="G86" s="306">
        <v>96.52</v>
      </c>
      <c r="H86" s="306">
        <v>100.11</v>
      </c>
      <c r="I86" s="306">
        <v>103.68</v>
      </c>
      <c r="J86" s="306">
        <v>107.17</v>
      </c>
      <c r="K86" s="306">
        <v>110.48</v>
      </c>
      <c r="L86" s="306">
        <v>113.54</v>
      </c>
      <c r="M86" s="306">
        <v>116.32</v>
      </c>
      <c r="N86" s="306">
        <v>118.78</v>
      </c>
      <c r="O86" s="306">
        <v>120.7</v>
      </c>
      <c r="P86" s="306">
        <v>122.18</v>
      </c>
      <c r="Q86" s="306">
        <v>123.31</v>
      </c>
      <c r="R86" s="306">
        <v>124.14</v>
      </c>
      <c r="S86" s="306">
        <v>124.76</v>
      </c>
      <c r="T86" s="306">
        <v>125.21</v>
      </c>
      <c r="U86" s="306">
        <v>125.54</v>
      </c>
      <c r="V86" s="306">
        <v>125.79</v>
      </c>
      <c r="W86" s="306">
        <v>125.97</v>
      </c>
      <c r="X86" s="306">
        <v>126.07</v>
      </c>
      <c r="Y86" s="306">
        <v>126.07</v>
      </c>
      <c r="Z86" s="306">
        <v>0</v>
      </c>
      <c r="AA86" s="306">
        <v>0</v>
      </c>
      <c r="AB86" s="306">
        <v>0</v>
      </c>
      <c r="AC86" s="306">
        <v>0</v>
      </c>
      <c r="AD86" s="306">
        <v>0</v>
      </c>
      <c r="AE86" s="306">
        <v>0</v>
      </c>
      <c r="AF86" s="306">
        <v>0</v>
      </c>
      <c r="AG86" s="306">
        <v>0</v>
      </c>
      <c r="AH86" s="306">
        <v>0</v>
      </c>
      <c r="AI86" s="306">
        <v>0</v>
      </c>
      <c r="AJ86" s="306">
        <v>0</v>
      </c>
      <c r="AK86" s="306">
        <v>0</v>
      </c>
      <c r="AL86" s="306">
        <v>0</v>
      </c>
      <c r="AM86" s="306">
        <v>0</v>
      </c>
      <c r="AN86" s="306">
        <v>0</v>
      </c>
      <c r="AO86" s="306">
        <v>0</v>
      </c>
      <c r="AP86" s="306">
        <v>0</v>
      </c>
      <c r="AQ86" s="306">
        <v>0</v>
      </c>
      <c r="AR86" s="306">
        <v>0</v>
      </c>
      <c r="AS86" s="306">
        <v>0</v>
      </c>
      <c r="AT86" s="306">
        <v>0</v>
      </c>
      <c r="AU86" s="306">
        <v>0</v>
      </c>
      <c r="AV86" s="306">
        <v>0</v>
      </c>
      <c r="AW86" s="306">
        <v>0</v>
      </c>
      <c r="AX86" s="306">
        <v>0</v>
      </c>
      <c r="AY86" s="306">
        <v>0</v>
      </c>
      <c r="AZ86" s="306">
        <v>0</v>
      </c>
      <c r="BA86" s="306">
        <v>0</v>
      </c>
      <c r="BB86" s="306">
        <v>0</v>
      </c>
      <c r="BC86" s="306">
        <v>0</v>
      </c>
      <c r="BD86" s="306">
        <v>0</v>
      </c>
      <c r="BE86" s="306">
        <v>0</v>
      </c>
      <c r="BF86" s="306">
        <v>0</v>
      </c>
      <c r="BG86" s="306">
        <v>0</v>
      </c>
      <c r="BH86" s="306">
        <v>0</v>
      </c>
      <c r="BI86" s="306">
        <v>0</v>
      </c>
      <c r="BJ86" s="306">
        <v>0</v>
      </c>
      <c r="BK86" s="306">
        <v>0</v>
      </c>
      <c r="BL86" s="306">
        <v>0</v>
      </c>
      <c r="BM86" s="306">
        <v>0</v>
      </c>
      <c r="BN86" s="306">
        <v>0</v>
      </c>
      <c r="BO86" s="306">
        <v>0</v>
      </c>
      <c r="BP86" s="306">
        <v>0</v>
      </c>
      <c r="BQ86" s="306">
        <v>0</v>
      </c>
      <c r="BR86" s="306">
        <v>0</v>
      </c>
      <c r="BS86" s="306">
        <v>0</v>
      </c>
      <c r="BT86" s="306">
        <v>0</v>
      </c>
      <c r="BU86" s="306">
        <v>0</v>
      </c>
      <c r="BV86" s="306">
        <v>0</v>
      </c>
      <c r="BW86" s="306">
        <v>0</v>
      </c>
      <c r="BX86" s="306">
        <v>0</v>
      </c>
      <c r="BY86" s="306">
        <v>0</v>
      </c>
      <c r="BZ86" s="306">
        <v>0</v>
      </c>
      <c r="CA86" s="306">
        <v>0</v>
      </c>
      <c r="CB86" s="306">
        <v>0</v>
      </c>
      <c r="CC86" s="306">
        <v>0</v>
      </c>
      <c r="CD86" s="306">
        <v>0</v>
      </c>
      <c r="CE86" s="306">
        <v>0</v>
      </c>
      <c r="CF86" s="306">
        <v>0</v>
      </c>
      <c r="CG86" s="306">
        <v>0</v>
      </c>
      <c r="CH86" s="306">
        <v>0</v>
      </c>
      <c r="CI86" s="306">
        <v>0</v>
      </c>
      <c r="CJ86" s="306">
        <v>0</v>
      </c>
      <c r="CK86" s="306">
        <v>0</v>
      </c>
      <c r="CL86" s="306">
        <v>0</v>
      </c>
      <c r="CM86" s="306">
        <v>0</v>
      </c>
      <c r="CN86" s="306">
        <v>0</v>
      </c>
      <c r="CO86" s="306">
        <v>0</v>
      </c>
      <c r="CP86" s="306">
        <v>0</v>
      </c>
      <c r="CQ86" s="306">
        <v>0</v>
      </c>
      <c r="CR86" s="306">
        <v>0</v>
      </c>
      <c r="CS86" s="306">
        <v>0</v>
      </c>
      <c r="CT86" s="306">
        <v>0</v>
      </c>
      <c r="CU86" s="306">
        <v>0</v>
      </c>
      <c r="CV86" s="306">
        <v>0</v>
      </c>
      <c r="CW86" s="306">
        <v>0</v>
      </c>
      <c r="CX86" s="306">
        <v>0</v>
      </c>
    </row>
    <row r="87" spans="3:102" x14ac:dyDescent="0.25">
      <c r="C87" s="305">
        <v>79</v>
      </c>
      <c r="D87" s="306">
        <v>93.37</v>
      </c>
      <c r="E87" s="306">
        <v>97.14</v>
      </c>
      <c r="F87" s="306">
        <v>100.99</v>
      </c>
      <c r="G87" s="306">
        <v>104.91</v>
      </c>
      <c r="H87" s="306">
        <v>108.83</v>
      </c>
      <c r="I87" s="306">
        <v>112.66</v>
      </c>
      <c r="J87" s="306">
        <v>116.3</v>
      </c>
      <c r="K87" s="306">
        <v>119.69</v>
      </c>
      <c r="L87" s="306">
        <v>122.75</v>
      </c>
      <c r="M87" s="306">
        <v>125.48</v>
      </c>
      <c r="N87" s="306">
        <v>127.85</v>
      </c>
      <c r="O87" s="306">
        <v>129.68</v>
      </c>
      <c r="P87" s="306">
        <v>131.06</v>
      </c>
      <c r="Q87" s="306">
        <v>132.1</v>
      </c>
      <c r="R87" s="306">
        <v>132.87</v>
      </c>
      <c r="S87" s="306">
        <v>133.44</v>
      </c>
      <c r="T87" s="306">
        <v>133.86000000000001</v>
      </c>
      <c r="U87" s="306">
        <v>134.16999999999999</v>
      </c>
      <c r="V87" s="306">
        <v>134.4</v>
      </c>
      <c r="W87" s="306">
        <v>134.53</v>
      </c>
      <c r="X87" s="306">
        <v>134.53</v>
      </c>
      <c r="Y87" s="306">
        <v>0</v>
      </c>
      <c r="Z87" s="306">
        <v>0</v>
      </c>
      <c r="AA87" s="306">
        <v>0</v>
      </c>
      <c r="AB87" s="306">
        <v>0</v>
      </c>
      <c r="AC87" s="306">
        <v>0</v>
      </c>
      <c r="AD87" s="306">
        <v>0</v>
      </c>
      <c r="AE87" s="306">
        <v>0</v>
      </c>
      <c r="AF87" s="306">
        <v>0</v>
      </c>
      <c r="AG87" s="306">
        <v>0</v>
      </c>
      <c r="AH87" s="306">
        <v>0</v>
      </c>
      <c r="AI87" s="306">
        <v>0</v>
      </c>
      <c r="AJ87" s="306">
        <v>0</v>
      </c>
      <c r="AK87" s="306">
        <v>0</v>
      </c>
      <c r="AL87" s="306">
        <v>0</v>
      </c>
      <c r="AM87" s="306">
        <v>0</v>
      </c>
      <c r="AN87" s="306">
        <v>0</v>
      </c>
      <c r="AO87" s="306">
        <v>0</v>
      </c>
      <c r="AP87" s="306">
        <v>0</v>
      </c>
      <c r="AQ87" s="306">
        <v>0</v>
      </c>
      <c r="AR87" s="306">
        <v>0</v>
      </c>
      <c r="AS87" s="306">
        <v>0</v>
      </c>
      <c r="AT87" s="306">
        <v>0</v>
      </c>
      <c r="AU87" s="306">
        <v>0</v>
      </c>
      <c r="AV87" s="306">
        <v>0</v>
      </c>
      <c r="AW87" s="306">
        <v>0</v>
      </c>
      <c r="AX87" s="306">
        <v>0</v>
      </c>
      <c r="AY87" s="306">
        <v>0</v>
      </c>
      <c r="AZ87" s="306">
        <v>0</v>
      </c>
      <c r="BA87" s="306">
        <v>0</v>
      </c>
      <c r="BB87" s="306">
        <v>0</v>
      </c>
      <c r="BC87" s="306">
        <v>0</v>
      </c>
      <c r="BD87" s="306">
        <v>0</v>
      </c>
      <c r="BE87" s="306">
        <v>0</v>
      </c>
      <c r="BF87" s="306">
        <v>0</v>
      </c>
      <c r="BG87" s="306">
        <v>0</v>
      </c>
      <c r="BH87" s="306">
        <v>0</v>
      </c>
      <c r="BI87" s="306">
        <v>0</v>
      </c>
      <c r="BJ87" s="306">
        <v>0</v>
      </c>
      <c r="BK87" s="306">
        <v>0</v>
      </c>
      <c r="BL87" s="306">
        <v>0</v>
      </c>
      <c r="BM87" s="306">
        <v>0</v>
      </c>
      <c r="BN87" s="306">
        <v>0</v>
      </c>
      <c r="BO87" s="306">
        <v>0</v>
      </c>
      <c r="BP87" s="306">
        <v>0</v>
      </c>
      <c r="BQ87" s="306">
        <v>0</v>
      </c>
      <c r="BR87" s="306">
        <v>0</v>
      </c>
      <c r="BS87" s="306">
        <v>0</v>
      </c>
      <c r="BT87" s="306">
        <v>0</v>
      </c>
      <c r="BU87" s="306">
        <v>0</v>
      </c>
      <c r="BV87" s="306">
        <v>0</v>
      </c>
      <c r="BW87" s="306">
        <v>0</v>
      </c>
      <c r="BX87" s="306">
        <v>0</v>
      </c>
      <c r="BY87" s="306">
        <v>0</v>
      </c>
      <c r="BZ87" s="306">
        <v>0</v>
      </c>
      <c r="CA87" s="306">
        <v>0</v>
      </c>
      <c r="CB87" s="306">
        <v>0</v>
      </c>
      <c r="CC87" s="306">
        <v>0</v>
      </c>
      <c r="CD87" s="306">
        <v>0</v>
      </c>
      <c r="CE87" s="306">
        <v>0</v>
      </c>
      <c r="CF87" s="306">
        <v>0</v>
      </c>
      <c r="CG87" s="306">
        <v>0</v>
      </c>
      <c r="CH87" s="306">
        <v>0</v>
      </c>
      <c r="CI87" s="306">
        <v>0</v>
      </c>
      <c r="CJ87" s="306">
        <v>0</v>
      </c>
      <c r="CK87" s="306">
        <v>0</v>
      </c>
      <c r="CL87" s="306">
        <v>0</v>
      </c>
      <c r="CM87" s="306">
        <v>0</v>
      </c>
      <c r="CN87" s="306">
        <v>0</v>
      </c>
      <c r="CO87" s="306">
        <v>0</v>
      </c>
      <c r="CP87" s="306">
        <v>0</v>
      </c>
      <c r="CQ87" s="306">
        <v>0</v>
      </c>
      <c r="CR87" s="306">
        <v>0</v>
      </c>
      <c r="CS87" s="306">
        <v>0</v>
      </c>
      <c r="CT87" s="306">
        <v>0</v>
      </c>
      <c r="CU87" s="306">
        <v>0</v>
      </c>
      <c r="CV87" s="306">
        <v>0</v>
      </c>
      <c r="CW87" s="306">
        <v>0</v>
      </c>
      <c r="CX87" s="306">
        <v>0</v>
      </c>
    </row>
    <row r="88" spans="3:102" x14ac:dyDescent="0.25">
      <c r="C88" s="305">
        <v>80</v>
      </c>
      <c r="D88" s="306">
        <v>101.43</v>
      </c>
      <c r="E88" s="306">
        <v>105.63</v>
      </c>
      <c r="F88" s="306">
        <v>109.92</v>
      </c>
      <c r="G88" s="306">
        <v>114.23</v>
      </c>
      <c r="H88" s="306">
        <v>118.44</v>
      </c>
      <c r="I88" s="306">
        <v>122.45</v>
      </c>
      <c r="J88" s="306">
        <v>126.18</v>
      </c>
      <c r="K88" s="306">
        <v>129.58000000000001</v>
      </c>
      <c r="L88" s="306">
        <v>132.6</v>
      </c>
      <c r="M88" s="306">
        <v>135.22999999999999</v>
      </c>
      <c r="N88" s="306">
        <v>137.5</v>
      </c>
      <c r="O88" s="306">
        <v>139.22</v>
      </c>
      <c r="P88" s="306">
        <v>140.51</v>
      </c>
      <c r="Q88" s="306">
        <v>141.47</v>
      </c>
      <c r="R88" s="306">
        <v>142.18</v>
      </c>
      <c r="S88" s="306">
        <v>142.72</v>
      </c>
      <c r="T88" s="306">
        <v>143.12</v>
      </c>
      <c r="U88" s="306">
        <v>143.41999999999999</v>
      </c>
      <c r="V88" s="306">
        <v>143.6</v>
      </c>
      <c r="W88" s="306">
        <v>143.6</v>
      </c>
      <c r="X88" s="306">
        <v>0</v>
      </c>
      <c r="Y88" s="306">
        <v>0</v>
      </c>
      <c r="Z88" s="306">
        <v>0</v>
      </c>
      <c r="AA88" s="306">
        <v>0</v>
      </c>
      <c r="AB88" s="306">
        <v>0</v>
      </c>
      <c r="AC88" s="306">
        <v>0</v>
      </c>
      <c r="AD88" s="306">
        <v>0</v>
      </c>
      <c r="AE88" s="306">
        <v>0</v>
      </c>
      <c r="AF88" s="306">
        <v>0</v>
      </c>
      <c r="AG88" s="306">
        <v>0</v>
      </c>
      <c r="AH88" s="306">
        <v>0</v>
      </c>
      <c r="AI88" s="306">
        <v>0</v>
      </c>
      <c r="AJ88" s="306">
        <v>0</v>
      </c>
      <c r="AK88" s="306">
        <v>0</v>
      </c>
      <c r="AL88" s="306">
        <v>0</v>
      </c>
      <c r="AM88" s="306">
        <v>0</v>
      </c>
      <c r="AN88" s="306">
        <v>0</v>
      </c>
      <c r="AO88" s="306">
        <v>0</v>
      </c>
      <c r="AP88" s="306">
        <v>0</v>
      </c>
      <c r="AQ88" s="306">
        <v>0</v>
      </c>
      <c r="AR88" s="306">
        <v>0</v>
      </c>
      <c r="AS88" s="306">
        <v>0</v>
      </c>
      <c r="AT88" s="306">
        <v>0</v>
      </c>
      <c r="AU88" s="306">
        <v>0</v>
      </c>
      <c r="AV88" s="306">
        <v>0</v>
      </c>
      <c r="AW88" s="306">
        <v>0</v>
      </c>
      <c r="AX88" s="306">
        <v>0</v>
      </c>
      <c r="AY88" s="306">
        <v>0</v>
      </c>
      <c r="AZ88" s="306">
        <v>0</v>
      </c>
      <c r="BA88" s="306">
        <v>0</v>
      </c>
      <c r="BB88" s="306">
        <v>0</v>
      </c>
      <c r="BC88" s="306">
        <v>0</v>
      </c>
      <c r="BD88" s="306">
        <v>0</v>
      </c>
      <c r="BE88" s="306">
        <v>0</v>
      </c>
      <c r="BF88" s="306">
        <v>0</v>
      </c>
      <c r="BG88" s="306">
        <v>0</v>
      </c>
      <c r="BH88" s="306">
        <v>0</v>
      </c>
      <c r="BI88" s="306">
        <v>0</v>
      </c>
      <c r="BJ88" s="306">
        <v>0</v>
      </c>
      <c r="BK88" s="306">
        <v>0</v>
      </c>
      <c r="BL88" s="306">
        <v>0</v>
      </c>
      <c r="BM88" s="306">
        <v>0</v>
      </c>
      <c r="BN88" s="306">
        <v>0</v>
      </c>
      <c r="BO88" s="306">
        <v>0</v>
      </c>
      <c r="BP88" s="306">
        <v>0</v>
      </c>
      <c r="BQ88" s="306">
        <v>0</v>
      </c>
      <c r="BR88" s="306">
        <v>0</v>
      </c>
      <c r="BS88" s="306">
        <v>0</v>
      </c>
      <c r="BT88" s="306">
        <v>0</v>
      </c>
      <c r="BU88" s="306">
        <v>0</v>
      </c>
      <c r="BV88" s="306">
        <v>0</v>
      </c>
      <c r="BW88" s="306">
        <v>0</v>
      </c>
      <c r="BX88" s="306">
        <v>0</v>
      </c>
      <c r="BY88" s="306">
        <v>0</v>
      </c>
      <c r="BZ88" s="306">
        <v>0</v>
      </c>
      <c r="CA88" s="306">
        <v>0</v>
      </c>
      <c r="CB88" s="306">
        <v>0</v>
      </c>
      <c r="CC88" s="306">
        <v>0</v>
      </c>
      <c r="CD88" s="306">
        <v>0</v>
      </c>
      <c r="CE88" s="306">
        <v>0</v>
      </c>
      <c r="CF88" s="306">
        <v>0</v>
      </c>
      <c r="CG88" s="306">
        <v>0</v>
      </c>
      <c r="CH88" s="306">
        <v>0</v>
      </c>
      <c r="CI88" s="306">
        <v>0</v>
      </c>
      <c r="CJ88" s="306">
        <v>0</v>
      </c>
      <c r="CK88" s="306">
        <v>0</v>
      </c>
      <c r="CL88" s="306">
        <v>0</v>
      </c>
      <c r="CM88" s="306">
        <v>0</v>
      </c>
      <c r="CN88" s="306">
        <v>0</v>
      </c>
      <c r="CO88" s="306">
        <v>0</v>
      </c>
      <c r="CP88" s="306">
        <v>0</v>
      </c>
      <c r="CQ88" s="306">
        <v>0</v>
      </c>
      <c r="CR88" s="306">
        <v>0</v>
      </c>
      <c r="CS88" s="306">
        <v>0</v>
      </c>
      <c r="CT88" s="306">
        <v>0</v>
      </c>
      <c r="CU88" s="306">
        <v>0</v>
      </c>
      <c r="CV88" s="306">
        <v>0</v>
      </c>
      <c r="CW88" s="306">
        <v>0</v>
      </c>
      <c r="CX88" s="306">
        <v>0</v>
      </c>
    </row>
    <row r="89" spans="3:102" x14ac:dyDescent="0.25">
      <c r="C89" s="305">
        <v>81</v>
      </c>
      <c r="D89" s="306">
        <v>110.45</v>
      </c>
      <c r="E89" s="306">
        <v>115.15</v>
      </c>
      <c r="F89" s="306">
        <v>119.88</v>
      </c>
      <c r="G89" s="306">
        <v>124.51</v>
      </c>
      <c r="H89" s="306">
        <v>128.93</v>
      </c>
      <c r="I89" s="306">
        <v>133.04</v>
      </c>
      <c r="J89" s="306">
        <v>136.79</v>
      </c>
      <c r="K89" s="306">
        <v>140.13999999999999</v>
      </c>
      <c r="L89" s="306">
        <v>143.07</v>
      </c>
      <c r="M89" s="306">
        <v>145.6</v>
      </c>
      <c r="N89" s="306">
        <v>147.74</v>
      </c>
      <c r="O89" s="306">
        <v>149.36000000000001</v>
      </c>
      <c r="P89" s="306">
        <v>150.57</v>
      </c>
      <c r="Q89" s="306">
        <v>151.47</v>
      </c>
      <c r="R89" s="306">
        <v>152.16</v>
      </c>
      <c r="S89" s="306">
        <v>152.68</v>
      </c>
      <c r="T89" s="306">
        <v>153.07</v>
      </c>
      <c r="U89" s="306">
        <v>153.30000000000001</v>
      </c>
      <c r="V89" s="306">
        <v>153.30000000000001</v>
      </c>
      <c r="W89" s="306">
        <v>0</v>
      </c>
      <c r="X89" s="306">
        <v>0</v>
      </c>
      <c r="Y89" s="306">
        <v>0</v>
      </c>
      <c r="Z89" s="306">
        <v>0</v>
      </c>
      <c r="AA89" s="306">
        <v>0</v>
      </c>
      <c r="AB89" s="306">
        <v>0</v>
      </c>
      <c r="AC89" s="306">
        <v>0</v>
      </c>
      <c r="AD89" s="306">
        <v>0</v>
      </c>
      <c r="AE89" s="306">
        <v>0</v>
      </c>
      <c r="AF89" s="306">
        <v>0</v>
      </c>
      <c r="AG89" s="306">
        <v>0</v>
      </c>
      <c r="AH89" s="306">
        <v>0</v>
      </c>
      <c r="AI89" s="306">
        <v>0</v>
      </c>
      <c r="AJ89" s="306">
        <v>0</v>
      </c>
      <c r="AK89" s="306">
        <v>0</v>
      </c>
      <c r="AL89" s="306">
        <v>0</v>
      </c>
      <c r="AM89" s="306">
        <v>0</v>
      </c>
      <c r="AN89" s="306">
        <v>0</v>
      </c>
      <c r="AO89" s="306">
        <v>0</v>
      </c>
      <c r="AP89" s="306">
        <v>0</v>
      </c>
      <c r="AQ89" s="306">
        <v>0</v>
      </c>
      <c r="AR89" s="306">
        <v>0</v>
      </c>
      <c r="AS89" s="306">
        <v>0</v>
      </c>
      <c r="AT89" s="306">
        <v>0</v>
      </c>
      <c r="AU89" s="306">
        <v>0</v>
      </c>
      <c r="AV89" s="306">
        <v>0</v>
      </c>
      <c r="AW89" s="306">
        <v>0</v>
      </c>
      <c r="AX89" s="306">
        <v>0</v>
      </c>
      <c r="AY89" s="306">
        <v>0</v>
      </c>
      <c r="AZ89" s="306">
        <v>0</v>
      </c>
      <c r="BA89" s="306">
        <v>0</v>
      </c>
      <c r="BB89" s="306">
        <v>0</v>
      </c>
      <c r="BC89" s="306">
        <v>0</v>
      </c>
      <c r="BD89" s="306">
        <v>0</v>
      </c>
      <c r="BE89" s="306">
        <v>0</v>
      </c>
      <c r="BF89" s="306">
        <v>0</v>
      </c>
      <c r="BG89" s="306">
        <v>0</v>
      </c>
      <c r="BH89" s="306">
        <v>0</v>
      </c>
      <c r="BI89" s="306">
        <v>0</v>
      </c>
      <c r="BJ89" s="306">
        <v>0</v>
      </c>
      <c r="BK89" s="306">
        <v>0</v>
      </c>
      <c r="BL89" s="306">
        <v>0</v>
      </c>
      <c r="BM89" s="306">
        <v>0</v>
      </c>
      <c r="BN89" s="306">
        <v>0</v>
      </c>
      <c r="BO89" s="306">
        <v>0</v>
      </c>
      <c r="BP89" s="306">
        <v>0</v>
      </c>
      <c r="BQ89" s="306">
        <v>0</v>
      </c>
      <c r="BR89" s="306">
        <v>0</v>
      </c>
      <c r="BS89" s="306">
        <v>0</v>
      </c>
      <c r="BT89" s="306">
        <v>0</v>
      </c>
      <c r="BU89" s="306">
        <v>0</v>
      </c>
      <c r="BV89" s="306">
        <v>0</v>
      </c>
      <c r="BW89" s="306">
        <v>0</v>
      </c>
      <c r="BX89" s="306">
        <v>0</v>
      </c>
      <c r="BY89" s="306">
        <v>0</v>
      </c>
      <c r="BZ89" s="306">
        <v>0</v>
      </c>
      <c r="CA89" s="306">
        <v>0</v>
      </c>
      <c r="CB89" s="306">
        <v>0</v>
      </c>
      <c r="CC89" s="306">
        <v>0</v>
      </c>
      <c r="CD89" s="306">
        <v>0</v>
      </c>
      <c r="CE89" s="306">
        <v>0</v>
      </c>
      <c r="CF89" s="306">
        <v>0</v>
      </c>
      <c r="CG89" s="306">
        <v>0</v>
      </c>
      <c r="CH89" s="306">
        <v>0</v>
      </c>
      <c r="CI89" s="306">
        <v>0</v>
      </c>
      <c r="CJ89" s="306">
        <v>0</v>
      </c>
      <c r="CK89" s="306">
        <v>0</v>
      </c>
      <c r="CL89" s="306">
        <v>0</v>
      </c>
      <c r="CM89" s="306">
        <v>0</v>
      </c>
      <c r="CN89" s="306">
        <v>0</v>
      </c>
      <c r="CO89" s="306">
        <v>0</v>
      </c>
      <c r="CP89" s="306">
        <v>0</v>
      </c>
      <c r="CQ89" s="306">
        <v>0</v>
      </c>
      <c r="CR89" s="306">
        <v>0</v>
      </c>
      <c r="CS89" s="306">
        <v>0</v>
      </c>
      <c r="CT89" s="306">
        <v>0</v>
      </c>
      <c r="CU89" s="306">
        <v>0</v>
      </c>
      <c r="CV89" s="306">
        <v>0</v>
      </c>
      <c r="CW89" s="306">
        <v>0</v>
      </c>
      <c r="CX89" s="306">
        <v>0</v>
      </c>
    </row>
    <row r="90" spans="3:102" x14ac:dyDescent="0.25">
      <c r="C90" s="305">
        <v>82</v>
      </c>
      <c r="D90" s="306">
        <v>120.61</v>
      </c>
      <c r="E90" s="306">
        <v>125.8</v>
      </c>
      <c r="F90" s="306">
        <v>130.87</v>
      </c>
      <c r="G90" s="306">
        <v>135.71</v>
      </c>
      <c r="H90" s="306">
        <v>140.22999999999999</v>
      </c>
      <c r="I90" s="306">
        <v>144.36000000000001</v>
      </c>
      <c r="J90" s="306">
        <v>148.06</v>
      </c>
      <c r="K90" s="306">
        <v>151.33000000000001</v>
      </c>
      <c r="L90" s="306">
        <v>154.15</v>
      </c>
      <c r="M90" s="306">
        <v>156.57</v>
      </c>
      <c r="N90" s="306">
        <v>158.59</v>
      </c>
      <c r="O90" s="306">
        <v>160.12</v>
      </c>
      <c r="P90" s="306">
        <v>161.28</v>
      </c>
      <c r="Q90" s="306">
        <v>162.16</v>
      </c>
      <c r="R90" s="306">
        <v>162.85</v>
      </c>
      <c r="S90" s="306">
        <v>163.35</v>
      </c>
      <c r="T90" s="306">
        <v>163.66</v>
      </c>
      <c r="U90" s="306">
        <v>163.66</v>
      </c>
      <c r="V90" s="306">
        <v>0</v>
      </c>
      <c r="W90" s="306">
        <v>0</v>
      </c>
      <c r="X90" s="306">
        <v>0</v>
      </c>
      <c r="Y90" s="306">
        <v>0</v>
      </c>
      <c r="Z90" s="306">
        <v>0</v>
      </c>
      <c r="AA90" s="306">
        <v>0</v>
      </c>
      <c r="AB90" s="306">
        <v>0</v>
      </c>
      <c r="AC90" s="306">
        <v>0</v>
      </c>
      <c r="AD90" s="306">
        <v>0</v>
      </c>
      <c r="AE90" s="306">
        <v>0</v>
      </c>
      <c r="AF90" s="306">
        <v>0</v>
      </c>
      <c r="AG90" s="306">
        <v>0</v>
      </c>
      <c r="AH90" s="306">
        <v>0</v>
      </c>
      <c r="AI90" s="306">
        <v>0</v>
      </c>
      <c r="AJ90" s="306">
        <v>0</v>
      </c>
      <c r="AK90" s="306">
        <v>0</v>
      </c>
      <c r="AL90" s="306">
        <v>0</v>
      </c>
      <c r="AM90" s="306">
        <v>0</v>
      </c>
      <c r="AN90" s="306">
        <v>0</v>
      </c>
      <c r="AO90" s="306">
        <v>0</v>
      </c>
      <c r="AP90" s="306">
        <v>0</v>
      </c>
      <c r="AQ90" s="306">
        <v>0</v>
      </c>
      <c r="AR90" s="306">
        <v>0</v>
      </c>
      <c r="AS90" s="306">
        <v>0</v>
      </c>
      <c r="AT90" s="306">
        <v>0</v>
      </c>
      <c r="AU90" s="306">
        <v>0</v>
      </c>
      <c r="AV90" s="306">
        <v>0</v>
      </c>
      <c r="AW90" s="306">
        <v>0</v>
      </c>
      <c r="AX90" s="306">
        <v>0</v>
      </c>
      <c r="AY90" s="306">
        <v>0</v>
      </c>
      <c r="AZ90" s="306">
        <v>0</v>
      </c>
      <c r="BA90" s="306">
        <v>0</v>
      </c>
      <c r="BB90" s="306">
        <v>0</v>
      </c>
      <c r="BC90" s="306">
        <v>0</v>
      </c>
      <c r="BD90" s="306">
        <v>0</v>
      </c>
      <c r="BE90" s="306">
        <v>0</v>
      </c>
      <c r="BF90" s="306">
        <v>0</v>
      </c>
      <c r="BG90" s="306">
        <v>0</v>
      </c>
      <c r="BH90" s="306">
        <v>0</v>
      </c>
      <c r="BI90" s="306">
        <v>0</v>
      </c>
      <c r="BJ90" s="306">
        <v>0</v>
      </c>
      <c r="BK90" s="306">
        <v>0</v>
      </c>
      <c r="BL90" s="306">
        <v>0</v>
      </c>
      <c r="BM90" s="306">
        <v>0</v>
      </c>
      <c r="BN90" s="306">
        <v>0</v>
      </c>
      <c r="BO90" s="306">
        <v>0</v>
      </c>
      <c r="BP90" s="306">
        <v>0</v>
      </c>
      <c r="BQ90" s="306">
        <v>0</v>
      </c>
      <c r="BR90" s="306">
        <v>0</v>
      </c>
      <c r="BS90" s="306">
        <v>0</v>
      </c>
      <c r="BT90" s="306">
        <v>0</v>
      </c>
      <c r="BU90" s="306">
        <v>0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  <c r="CM90" s="306">
        <v>0</v>
      </c>
      <c r="CN90" s="306">
        <v>0</v>
      </c>
      <c r="CO90" s="306">
        <v>0</v>
      </c>
      <c r="CP90" s="306">
        <v>0</v>
      </c>
      <c r="CQ90" s="306">
        <v>0</v>
      </c>
      <c r="CR90" s="306">
        <v>0</v>
      </c>
      <c r="CS90" s="306">
        <v>0</v>
      </c>
      <c r="CT90" s="306">
        <v>0</v>
      </c>
      <c r="CU90" s="306">
        <v>0</v>
      </c>
      <c r="CV90" s="306">
        <v>0</v>
      </c>
      <c r="CW90" s="306">
        <v>0</v>
      </c>
      <c r="CX90" s="306">
        <v>0</v>
      </c>
    </row>
    <row r="91" spans="3:102" x14ac:dyDescent="0.25">
      <c r="C91" s="305">
        <v>83</v>
      </c>
      <c r="D91" s="306">
        <v>131.88</v>
      </c>
      <c r="E91" s="306">
        <v>137.4</v>
      </c>
      <c r="F91" s="306">
        <v>142.69</v>
      </c>
      <c r="G91" s="306">
        <v>147.63</v>
      </c>
      <c r="H91" s="306">
        <v>152.16999999999999</v>
      </c>
      <c r="I91" s="306">
        <v>156.27000000000001</v>
      </c>
      <c r="J91" s="306">
        <v>159.88999999999999</v>
      </c>
      <c r="K91" s="306">
        <v>163.06</v>
      </c>
      <c r="L91" s="306">
        <v>165.77</v>
      </c>
      <c r="M91" s="306">
        <v>168.08</v>
      </c>
      <c r="N91" s="306">
        <v>170.02</v>
      </c>
      <c r="O91" s="306">
        <v>171.5</v>
      </c>
      <c r="P91" s="306">
        <v>172.66</v>
      </c>
      <c r="Q91" s="306">
        <v>173.55</v>
      </c>
      <c r="R91" s="306">
        <v>174.23</v>
      </c>
      <c r="S91" s="306">
        <v>174.65</v>
      </c>
      <c r="T91" s="306">
        <v>174.65</v>
      </c>
      <c r="U91" s="306">
        <v>0</v>
      </c>
      <c r="V91" s="306">
        <v>0</v>
      </c>
      <c r="W91" s="306">
        <v>0</v>
      </c>
      <c r="X91" s="306">
        <v>0</v>
      </c>
      <c r="Y91" s="306">
        <v>0</v>
      </c>
      <c r="Z91" s="306">
        <v>0</v>
      </c>
      <c r="AA91" s="306">
        <v>0</v>
      </c>
      <c r="AB91" s="306">
        <v>0</v>
      </c>
      <c r="AC91" s="306">
        <v>0</v>
      </c>
      <c r="AD91" s="306">
        <v>0</v>
      </c>
      <c r="AE91" s="306">
        <v>0</v>
      </c>
      <c r="AF91" s="306">
        <v>0</v>
      </c>
      <c r="AG91" s="306">
        <v>0</v>
      </c>
      <c r="AH91" s="306">
        <v>0</v>
      </c>
      <c r="AI91" s="306">
        <v>0</v>
      </c>
      <c r="AJ91" s="306">
        <v>0</v>
      </c>
      <c r="AK91" s="306">
        <v>0</v>
      </c>
      <c r="AL91" s="306">
        <v>0</v>
      </c>
      <c r="AM91" s="306">
        <v>0</v>
      </c>
      <c r="AN91" s="306">
        <v>0</v>
      </c>
      <c r="AO91" s="306">
        <v>0</v>
      </c>
      <c r="AP91" s="306">
        <v>0</v>
      </c>
      <c r="AQ91" s="306">
        <v>0</v>
      </c>
      <c r="AR91" s="306">
        <v>0</v>
      </c>
      <c r="AS91" s="306">
        <v>0</v>
      </c>
      <c r="AT91" s="306">
        <v>0</v>
      </c>
      <c r="AU91" s="306">
        <v>0</v>
      </c>
      <c r="AV91" s="306">
        <v>0</v>
      </c>
      <c r="AW91" s="306">
        <v>0</v>
      </c>
      <c r="AX91" s="306">
        <v>0</v>
      </c>
      <c r="AY91" s="306">
        <v>0</v>
      </c>
      <c r="AZ91" s="306">
        <v>0</v>
      </c>
      <c r="BA91" s="306">
        <v>0</v>
      </c>
      <c r="BB91" s="306">
        <v>0</v>
      </c>
      <c r="BC91" s="306">
        <v>0</v>
      </c>
      <c r="BD91" s="306">
        <v>0</v>
      </c>
      <c r="BE91" s="306">
        <v>0</v>
      </c>
      <c r="BF91" s="306">
        <v>0</v>
      </c>
      <c r="BG91" s="306">
        <v>0</v>
      </c>
      <c r="BH91" s="306">
        <v>0</v>
      </c>
      <c r="BI91" s="306">
        <v>0</v>
      </c>
      <c r="BJ91" s="306">
        <v>0</v>
      </c>
      <c r="BK91" s="306">
        <v>0</v>
      </c>
      <c r="BL91" s="306">
        <v>0</v>
      </c>
      <c r="BM91" s="306">
        <v>0</v>
      </c>
      <c r="BN91" s="306">
        <v>0</v>
      </c>
      <c r="BO91" s="306">
        <v>0</v>
      </c>
      <c r="BP91" s="306">
        <v>0</v>
      </c>
      <c r="BQ91" s="306">
        <v>0</v>
      </c>
      <c r="BR91" s="306">
        <v>0</v>
      </c>
      <c r="BS91" s="306">
        <v>0</v>
      </c>
      <c r="BT91" s="306">
        <v>0</v>
      </c>
      <c r="BU91" s="306">
        <v>0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  <c r="CM91" s="306">
        <v>0</v>
      </c>
      <c r="CN91" s="306">
        <v>0</v>
      </c>
      <c r="CO91" s="306">
        <v>0</v>
      </c>
      <c r="CP91" s="306">
        <v>0</v>
      </c>
      <c r="CQ91" s="306">
        <v>0</v>
      </c>
      <c r="CR91" s="306">
        <v>0</v>
      </c>
      <c r="CS91" s="306">
        <v>0</v>
      </c>
      <c r="CT91" s="306">
        <v>0</v>
      </c>
      <c r="CU91" s="306">
        <v>0</v>
      </c>
      <c r="CV91" s="306">
        <v>0</v>
      </c>
      <c r="CW91" s="306">
        <v>0</v>
      </c>
      <c r="CX91" s="306">
        <v>0</v>
      </c>
    </row>
    <row r="92" spans="3:102" x14ac:dyDescent="0.25">
      <c r="C92" s="305">
        <v>84</v>
      </c>
      <c r="D92" s="306">
        <v>143.97999999999999</v>
      </c>
      <c r="E92" s="306">
        <v>149.72</v>
      </c>
      <c r="F92" s="306">
        <v>155.11000000000001</v>
      </c>
      <c r="G92" s="306">
        <v>160.09</v>
      </c>
      <c r="H92" s="306">
        <v>164.6</v>
      </c>
      <c r="I92" s="306">
        <v>168.63</v>
      </c>
      <c r="J92" s="306">
        <v>172.17</v>
      </c>
      <c r="K92" s="306">
        <v>175.23</v>
      </c>
      <c r="L92" s="306">
        <v>177.86</v>
      </c>
      <c r="M92" s="306">
        <v>180.1</v>
      </c>
      <c r="N92" s="306">
        <v>182.02</v>
      </c>
      <c r="O92" s="306">
        <v>183.53</v>
      </c>
      <c r="P92" s="306">
        <v>184.72</v>
      </c>
      <c r="Q92" s="306">
        <v>185.63</v>
      </c>
      <c r="R92" s="306">
        <v>186.2</v>
      </c>
      <c r="S92" s="306">
        <v>186.2</v>
      </c>
      <c r="T92" s="306">
        <v>0</v>
      </c>
      <c r="U92" s="306">
        <v>0</v>
      </c>
      <c r="V92" s="306">
        <v>0</v>
      </c>
      <c r="W92" s="306">
        <v>0</v>
      </c>
      <c r="X92" s="306">
        <v>0</v>
      </c>
      <c r="Y92" s="306">
        <v>0</v>
      </c>
      <c r="Z92" s="306">
        <v>0</v>
      </c>
      <c r="AA92" s="306">
        <v>0</v>
      </c>
      <c r="AB92" s="306">
        <v>0</v>
      </c>
      <c r="AC92" s="306">
        <v>0</v>
      </c>
      <c r="AD92" s="306">
        <v>0</v>
      </c>
      <c r="AE92" s="306">
        <v>0</v>
      </c>
      <c r="AF92" s="306">
        <v>0</v>
      </c>
      <c r="AG92" s="306">
        <v>0</v>
      </c>
      <c r="AH92" s="306">
        <v>0</v>
      </c>
      <c r="AI92" s="306">
        <v>0</v>
      </c>
      <c r="AJ92" s="306">
        <v>0</v>
      </c>
      <c r="AK92" s="306">
        <v>0</v>
      </c>
      <c r="AL92" s="306">
        <v>0</v>
      </c>
      <c r="AM92" s="306">
        <v>0</v>
      </c>
      <c r="AN92" s="306">
        <v>0</v>
      </c>
      <c r="AO92" s="306">
        <v>0</v>
      </c>
      <c r="AP92" s="306">
        <v>0</v>
      </c>
      <c r="AQ92" s="306">
        <v>0</v>
      </c>
      <c r="AR92" s="306">
        <v>0</v>
      </c>
      <c r="AS92" s="306">
        <v>0</v>
      </c>
      <c r="AT92" s="306">
        <v>0</v>
      </c>
      <c r="AU92" s="306">
        <v>0</v>
      </c>
      <c r="AV92" s="306">
        <v>0</v>
      </c>
      <c r="AW92" s="306">
        <v>0</v>
      </c>
      <c r="AX92" s="306">
        <v>0</v>
      </c>
      <c r="AY92" s="306">
        <v>0</v>
      </c>
      <c r="AZ92" s="306">
        <v>0</v>
      </c>
      <c r="BA92" s="306">
        <v>0</v>
      </c>
      <c r="BB92" s="306">
        <v>0</v>
      </c>
      <c r="BC92" s="306">
        <v>0</v>
      </c>
      <c r="BD92" s="306">
        <v>0</v>
      </c>
      <c r="BE92" s="306">
        <v>0</v>
      </c>
      <c r="BF92" s="306">
        <v>0</v>
      </c>
      <c r="BG92" s="306">
        <v>0</v>
      </c>
      <c r="BH92" s="306">
        <v>0</v>
      </c>
      <c r="BI92" s="306">
        <v>0</v>
      </c>
      <c r="BJ92" s="306">
        <v>0</v>
      </c>
      <c r="BK92" s="306">
        <v>0</v>
      </c>
      <c r="BL92" s="306">
        <v>0</v>
      </c>
      <c r="BM92" s="306">
        <v>0</v>
      </c>
      <c r="BN92" s="306">
        <v>0</v>
      </c>
      <c r="BO92" s="306">
        <v>0</v>
      </c>
      <c r="BP92" s="306">
        <v>0</v>
      </c>
      <c r="BQ92" s="306">
        <v>0</v>
      </c>
      <c r="BR92" s="306">
        <v>0</v>
      </c>
      <c r="BS92" s="306">
        <v>0</v>
      </c>
      <c r="BT92" s="306">
        <v>0</v>
      </c>
      <c r="BU92" s="306">
        <v>0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0</v>
      </c>
      <c r="CL92" s="306">
        <v>0</v>
      </c>
      <c r="CM92" s="306">
        <v>0</v>
      </c>
      <c r="CN92" s="306">
        <v>0</v>
      </c>
      <c r="CO92" s="306">
        <v>0</v>
      </c>
      <c r="CP92" s="306">
        <v>0</v>
      </c>
      <c r="CQ92" s="306">
        <v>0</v>
      </c>
      <c r="CR92" s="306">
        <v>0</v>
      </c>
      <c r="CS92" s="306">
        <v>0</v>
      </c>
      <c r="CT92" s="306">
        <v>0</v>
      </c>
      <c r="CU92" s="306">
        <v>0</v>
      </c>
      <c r="CV92" s="306">
        <v>0</v>
      </c>
      <c r="CW92" s="306">
        <v>0</v>
      </c>
      <c r="CX92" s="306">
        <v>0</v>
      </c>
    </row>
    <row r="93" spans="3:102" x14ac:dyDescent="0.25">
      <c r="C93" s="305">
        <v>85</v>
      </c>
      <c r="D93" s="306">
        <v>156.65</v>
      </c>
      <c r="E93" s="306">
        <v>162.51</v>
      </c>
      <c r="F93" s="306">
        <v>167.95</v>
      </c>
      <c r="G93" s="306">
        <v>172.92</v>
      </c>
      <c r="H93" s="306">
        <v>177.39</v>
      </c>
      <c r="I93" s="306">
        <v>181.35</v>
      </c>
      <c r="J93" s="306">
        <v>184.82</v>
      </c>
      <c r="K93" s="306">
        <v>187.82</v>
      </c>
      <c r="L93" s="306">
        <v>190.41</v>
      </c>
      <c r="M93" s="306">
        <v>192.67</v>
      </c>
      <c r="N93" s="306">
        <v>194.67</v>
      </c>
      <c r="O93" s="306">
        <v>196.28</v>
      </c>
      <c r="P93" s="306">
        <v>197.51</v>
      </c>
      <c r="Q93" s="306">
        <v>198.3</v>
      </c>
      <c r="R93" s="306">
        <v>198.3</v>
      </c>
      <c r="S93" s="306">
        <v>0</v>
      </c>
      <c r="T93" s="306">
        <v>0</v>
      </c>
      <c r="U93" s="306">
        <v>0</v>
      </c>
      <c r="V93" s="306">
        <v>0</v>
      </c>
      <c r="W93" s="306">
        <v>0</v>
      </c>
      <c r="X93" s="306">
        <v>0</v>
      </c>
      <c r="Y93" s="306">
        <v>0</v>
      </c>
      <c r="Z93" s="306">
        <v>0</v>
      </c>
      <c r="AA93" s="306">
        <v>0</v>
      </c>
      <c r="AB93" s="306">
        <v>0</v>
      </c>
      <c r="AC93" s="306">
        <v>0</v>
      </c>
      <c r="AD93" s="306">
        <v>0</v>
      </c>
      <c r="AE93" s="306">
        <v>0</v>
      </c>
      <c r="AF93" s="306">
        <v>0</v>
      </c>
      <c r="AG93" s="306">
        <v>0</v>
      </c>
      <c r="AH93" s="306">
        <v>0</v>
      </c>
      <c r="AI93" s="306">
        <v>0</v>
      </c>
      <c r="AJ93" s="306">
        <v>0</v>
      </c>
      <c r="AK93" s="306">
        <v>0</v>
      </c>
      <c r="AL93" s="306">
        <v>0</v>
      </c>
      <c r="AM93" s="306">
        <v>0</v>
      </c>
      <c r="AN93" s="306">
        <v>0</v>
      </c>
      <c r="AO93" s="306">
        <v>0</v>
      </c>
      <c r="AP93" s="306">
        <v>0</v>
      </c>
      <c r="AQ93" s="306">
        <v>0</v>
      </c>
      <c r="AR93" s="306">
        <v>0</v>
      </c>
      <c r="AS93" s="306">
        <v>0</v>
      </c>
      <c r="AT93" s="306">
        <v>0</v>
      </c>
      <c r="AU93" s="306">
        <v>0</v>
      </c>
      <c r="AV93" s="306">
        <v>0</v>
      </c>
      <c r="AW93" s="306">
        <v>0</v>
      </c>
      <c r="AX93" s="306">
        <v>0</v>
      </c>
      <c r="AY93" s="306">
        <v>0</v>
      </c>
      <c r="AZ93" s="306">
        <v>0</v>
      </c>
      <c r="BA93" s="306">
        <v>0</v>
      </c>
      <c r="BB93" s="306">
        <v>0</v>
      </c>
      <c r="BC93" s="306">
        <v>0</v>
      </c>
      <c r="BD93" s="306">
        <v>0</v>
      </c>
      <c r="BE93" s="306">
        <v>0</v>
      </c>
      <c r="BF93" s="306">
        <v>0</v>
      </c>
      <c r="BG93" s="306">
        <v>0</v>
      </c>
      <c r="BH93" s="306">
        <v>0</v>
      </c>
      <c r="BI93" s="306">
        <v>0</v>
      </c>
      <c r="BJ93" s="306">
        <v>0</v>
      </c>
      <c r="BK93" s="306">
        <v>0</v>
      </c>
      <c r="BL93" s="306">
        <v>0</v>
      </c>
      <c r="BM93" s="306">
        <v>0</v>
      </c>
      <c r="BN93" s="306">
        <v>0</v>
      </c>
      <c r="BO93" s="306">
        <v>0</v>
      </c>
      <c r="BP93" s="306">
        <v>0</v>
      </c>
      <c r="BQ93" s="306">
        <v>0</v>
      </c>
      <c r="BR93" s="306">
        <v>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306">
        <v>0</v>
      </c>
      <c r="BY93" s="306">
        <v>0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  <c r="CM93" s="306">
        <v>0</v>
      </c>
      <c r="CN93" s="306">
        <v>0</v>
      </c>
      <c r="CO93" s="306">
        <v>0</v>
      </c>
      <c r="CP93" s="306">
        <v>0</v>
      </c>
      <c r="CQ93" s="306">
        <v>0</v>
      </c>
      <c r="CR93" s="306">
        <v>0</v>
      </c>
      <c r="CS93" s="306">
        <v>0</v>
      </c>
      <c r="CT93" s="306">
        <v>0</v>
      </c>
      <c r="CU93" s="306">
        <v>0</v>
      </c>
      <c r="CV93" s="306">
        <v>0</v>
      </c>
      <c r="CW93" s="306">
        <v>0</v>
      </c>
      <c r="CX93" s="306">
        <v>0</v>
      </c>
    </row>
    <row r="94" spans="3:102" x14ac:dyDescent="0.25">
      <c r="C94" s="305">
        <v>86</v>
      </c>
      <c r="D94" s="306">
        <v>169.68</v>
      </c>
      <c r="E94" s="306">
        <v>175.62</v>
      </c>
      <c r="F94" s="306">
        <v>181.09</v>
      </c>
      <c r="G94" s="306">
        <v>186.05</v>
      </c>
      <c r="H94" s="306">
        <v>190.49</v>
      </c>
      <c r="I94" s="306">
        <v>194.43</v>
      </c>
      <c r="J94" s="306">
        <v>197.87</v>
      </c>
      <c r="K94" s="306">
        <v>200.89</v>
      </c>
      <c r="L94" s="306">
        <v>203.56</v>
      </c>
      <c r="M94" s="306">
        <v>205.97</v>
      </c>
      <c r="N94" s="306">
        <v>208.16</v>
      </c>
      <c r="O94" s="306">
        <v>209.87</v>
      </c>
      <c r="P94" s="306">
        <v>210.98</v>
      </c>
      <c r="Q94" s="306">
        <v>210.98</v>
      </c>
      <c r="R94" s="306">
        <v>0</v>
      </c>
      <c r="S94" s="306">
        <v>0</v>
      </c>
      <c r="T94" s="306">
        <v>0</v>
      </c>
      <c r="U94" s="306">
        <v>0</v>
      </c>
      <c r="V94" s="306">
        <v>0</v>
      </c>
      <c r="W94" s="306">
        <v>0</v>
      </c>
      <c r="X94" s="306">
        <v>0</v>
      </c>
      <c r="Y94" s="306">
        <v>0</v>
      </c>
      <c r="Z94" s="306">
        <v>0</v>
      </c>
      <c r="AA94" s="306">
        <v>0</v>
      </c>
      <c r="AB94" s="306">
        <v>0</v>
      </c>
      <c r="AC94" s="306">
        <v>0</v>
      </c>
      <c r="AD94" s="306">
        <v>0</v>
      </c>
      <c r="AE94" s="306">
        <v>0</v>
      </c>
      <c r="AF94" s="306">
        <v>0</v>
      </c>
      <c r="AG94" s="306">
        <v>0</v>
      </c>
      <c r="AH94" s="306">
        <v>0</v>
      </c>
      <c r="AI94" s="306">
        <v>0</v>
      </c>
      <c r="AJ94" s="306">
        <v>0</v>
      </c>
      <c r="AK94" s="306">
        <v>0</v>
      </c>
      <c r="AL94" s="306">
        <v>0</v>
      </c>
      <c r="AM94" s="306">
        <v>0</v>
      </c>
      <c r="AN94" s="306">
        <v>0</v>
      </c>
      <c r="AO94" s="306">
        <v>0</v>
      </c>
      <c r="AP94" s="306">
        <v>0</v>
      </c>
      <c r="AQ94" s="306">
        <v>0</v>
      </c>
      <c r="AR94" s="306">
        <v>0</v>
      </c>
      <c r="AS94" s="306">
        <v>0</v>
      </c>
      <c r="AT94" s="306">
        <v>0</v>
      </c>
      <c r="AU94" s="306">
        <v>0</v>
      </c>
      <c r="AV94" s="306">
        <v>0</v>
      </c>
      <c r="AW94" s="306">
        <v>0</v>
      </c>
      <c r="AX94" s="306">
        <v>0</v>
      </c>
      <c r="AY94" s="306">
        <v>0</v>
      </c>
      <c r="AZ94" s="306">
        <v>0</v>
      </c>
      <c r="BA94" s="306">
        <v>0</v>
      </c>
      <c r="BB94" s="306">
        <v>0</v>
      </c>
      <c r="BC94" s="306">
        <v>0</v>
      </c>
      <c r="BD94" s="306">
        <v>0</v>
      </c>
      <c r="BE94" s="306">
        <v>0</v>
      </c>
      <c r="BF94" s="306">
        <v>0</v>
      </c>
      <c r="BG94" s="306">
        <v>0</v>
      </c>
      <c r="BH94" s="306">
        <v>0</v>
      </c>
      <c r="BI94" s="306">
        <v>0</v>
      </c>
      <c r="BJ94" s="306">
        <v>0</v>
      </c>
      <c r="BK94" s="306">
        <v>0</v>
      </c>
      <c r="BL94" s="306">
        <v>0</v>
      </c>
      <c r="BM94" s="306">
        <v>0</v>
      </c>
      <c r="BN94" s="306">
        <v>0</v>
      </c>
      <c r="BO94" s="306">
        <v>0</v>
      </c>
      <c r="BP94" s="306">
        <v>0</v>
      </c>
      <c r="BQ94" s="306">
        <v>0</v>
      </c>
      <c r="BR94" s="306">
        <v>0</v>
      </c>
      <c r="BS94" s="306">
        <v>0</v>
      </c>
      <c r="BT94" s="306">
        <v>0</v>
      </c>
      <c r="BU94" s="306">
        <v>0</v>
      </c>
      <c r="BV94" s="306">
        <v>0</v>
      </c>
      <c r="BW94" s="306">
        <v>0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  <c r="CM94" s="306">
        <v>0</v>
      </c>
      <c r="CN94" s="306">
        <v>0</v>
      </c>
      <c r="CO94" s="306">
        <v>0</v>
      </c>
      <c r="CP94" s="306">
        <v>0</v>
      </c>
      <c r="CQ94" s="306">
        <v>0</v>
      </c>
      <c r="CR94" s="306">
        <v>0</v>
      </c>
      <c r="CS94" s="306">
        <v>0</v>
      </c>
      <c r="CT94" s="306">
        <v>0</v>
      </c>
      <c r="CU94" s="306">
        <v>0</v>
      </c>
      <c r="CV94" s="306">
        <v>0</v>
      </c>
      <c r="CW94" s="306">
        <v>0</v>
      </c>
      <c r="CX94" s="306">
        <v>0</v>
      </c>
    </row>
    <row r="95" spans="3:102" x14ac:dyDescent="0.25">
      <c r="C95" s="305">
        <v>87</v>
      </c>
      <c r="D95" s="306">
        <v>183.01</v>
      </c>
      <c r="E95" s="306">
        <v>189.01</v>
      </c>
      <c r="F95" s="306">
        <v>194.51</v>
      </c>
      <c r="G95" s="306">
        <v>199.5</v>
      </c>
      <c r="H95" s="306">
        <v>203.97</v>
      </c>
      <c r="I95" s="306">
        <v>207.94</v>
      </c>
      <c r="J95" s="306">
        <v>211.47</v>
      </c>
      <c r="K95" s="306">
        <v>214.66</v>
      </c>
      <c r="L95" s="306">
        <v>217.59</v>
      </c>
      <c r="M95" s="306">
        <v>220.32</v>
      </c>
      <c r="N95" s="306">
        <v>222.72</v>
      </c>
      <c r="O95" s="306">
        <v>224.3</v>
      </c>
      <c r="P95" s="306">
        <v>224.3</v>
      </c>
      <c r="Q95" s="306">
        <v>0</v>
      </c>
      <c r="R95" s="306">
        <v>0</v>
      </c>
      <c r="S95" s="306">
        <v>0</v>
      </c>
      <c r="T95" s="306">
        <v>0</v>
      </c>
      <c r="U95" s="306">
        <v>0</v>
      </c>
      <c r="V95" s="306">
        <v>0</v>
      </c>
      <c r="W95" s="306">
        <v>0</v>
      </c>
      <c r="X95" s="306">
        <v>0</v>
      </c>
      <c r="Y95" s="306">
        <v>0</v>
      </c>
      <c r="Z95" s="306">
        <v>0</v>
      </c>
      <c r="AA95" s="306">
        <v>0</v>
      </c>
      <c r="AB95" s="306">
        <v>0</v>
      </c>
      <c r="AC95" s="306">
        <v>0</v>
      </c>
      <c r="AD95" s="306">
        <v>0</v>
      </c>
      <c r="AE95" s="306">
        <v>0</v>
      </c>
      <c r="AF95" s="306">
        <v>0</v>
      </c>
      <c r="AG95" s="306">
        <v>0</v>
      </c>
      <c r="AH95" s="306">
        <v>0</v>
      </c>
      <c r="AI95" s="306">
        <v>0</v>
      </c>
      <c r="AJ95" s="306">
        <v>0</v>
      </c>
      <c r="AK95" s="306">
        <v>0</v>
      </c>
      <c r="AL95" s="306">
        <v>0</v>
      </c>
      <c r="AM95" s="306">
        <v>0</v>
      </c>
      <c r="AN95" s="306">
        <v>0</v>
      </c>
      <c r="AO95" s="306">
        <v>0</v>
      </c>
      <c r="AP95" s="306">
        <v>0</v>
      </c>
      <c r="AQ95" s="306">
        <v>0</v>
      </c>
      <c r="AR95" s="306">
        <v>0</v>
      </c>
      <c r="AS95" s="306">
        <v>0</v>
      </c>
      <c r="AT95" s="306">
        <v>0</v>
      </c>
      <c r="AU95" s="306">
        <v>0</v>
      </c>
      <c r="AV95" s="306">
        <v>0</v>
      </c>
      <c r="AW95" s="306">
        <v>0</v>
      </c>
      <c r="AX95" s="306">
        <v>0</v>
      </c>
      <c r="AY95" s="306">
        <v>0</v>
      </c>
      <c r="AZ95" s="306">
        <v>0</v>
      </c>
      <c r="BA95" s="306">
        <v>0</v>
      </c>
      <c r="BB95" s="306">
        <v>0</v>
      </c>
      <c r="BC95" s="306">
        <v>0</v>
      </c>
      <c r="BD95" s="306">
        <v>0</v>
      </c>
      <c r="BE95" s="306">
        <v>0</v>
      </c>
      <c r="BF95" s="306">
        <v>0</v>
      </c>
      <c r="BG95" s="306">
        <v>0</v>
      </c>
      <c r="BH95" s="306">
        <v>0</v>
      </c>
      <c r="BI95" s="306">
        <v>0</v>
      </c>
      <c r="BJ95" s="306">
        <v>0</v>
      </c>
      <c r="BK95" s="306">
        <v>0</v>
      </c>
      <c r="BL95" s="306">
        <v>0</v>
      </c>
      <c r="BM95" s="306">
        <v>0</v>
      </c>
      <c r="BN95" s="306">
        <v>0</v>
      </c>
      <c r="BO95" s="306">
        <v>0</v>
      </c>
      <c r="BP95" s="306">
        <v>0</v>
      </c>
      <c r="BQ95" s="306">
        <v>0</v>
      </c>
      <c r="BR95" s="306">
        <v>0</v>
      </c>
      <c r="BS95" s="306">
        <v>0</v>
      </c>
      <c r="BT95" s="306">
        <v>0</v>
      </c>
      <c r="BU95" s="306">
        <v>0</v>
      </c>
      <c r="BV95" s="306">
        <v>0</v>
      </c>
      <c r="BW95" s="306">
        <v>0</v>
      </c>
      <c r="BX95" s="306">
        <v>0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  <c r="CM95" s="306">
        <v>0</v>
      </c>
      <c r="CN95" s="306">
        <v>0</v>
      </c>
      <c r="CO95" s="306">
        <v>0</v>
      </c>
      <c r="CP95" s="306">
        <v>0</v>
      </c>
      <c r="CQ95" s="306">
        <v>0</v>
      </c>
      <c r="CR95" s="306">
        <v>0</v>
      </c>
      <c r="CS95" s="306">
        <v>0</v>
      </c>
      <c r="CT95" s="306">
        <v>0</v>
      </c>
      <c r="CU95" s="306">
        <v>0</v>
      </c>
      <c r="CV95" s="306">
        <v>0</v>
      </c>
      <c r="CW95" s="306">
        <v>0</v>
      </c>
      <c r="CX95" s="306">
        <v>0</v>
      </c>
    </row>
    <row r="96" spans="3:102" x14ac:dyDescent="0.25">
      <c r="C96" s="305">
        <v>88</v>
      </c>
      <c r="D96" s="306">
        <v>196.6</v>
      </c>
      <c r="E96" s="306">
        <v>202.7</v>
      </c>
      <c r="F96" s="306">
        <v>208.3</v>
      </c>
      <c r="G96" s="306">
        <v>213.39</v>
      </c>
      <c r="H96" s="306">
        <v>217.98</v>
      </c>
      <c r="I96" s="306">
        <v>222.14</v>
      </c>
      <c r="J96" s="306">
        <v>225.98</v>
      </c>
      <c r="K96" s="306">
        <v>229.59</v>
      </c>
      <c r="L96" s="306">
        <v>233.02</v>
      </c>
      <c r="M96" s="306">
        <v>236.1</v>
      </c>
      <c r="N96" s="306">
        <v>238.38</v>
      </c>
      <c r="O96" s="306">
        <v>238.38</v>
      </c>
      <c r="P96" s="306">
        <v>0</v>
      </c>
      <c r="Q96" s="306">
        <v>0</v>
      </c>
      <c r="R96" s="306">
        <v>0</v>
      </c>
      <c r="S96" s="306">
        <v>0</v>
      </c>
      <c r="T96" s="306">
        <v>0</v>
      </c>
      <c r="U96" s="306">
        <v>0</v>
      </c>
      <c r="V96" s="306">
        <v>0</v>
      </c>
      <c r="W96" s="306">
        <v>0</v>
      </c>
      <c r="X96" s="306">
        <v>0</v>
      </c>
      <c r="Y96" s="306">
        <v>0</v>
      </c>
      <c r="Z96" s="306">
        <v>0</v>
      </c>
      <c r="AA96" s="306">
        <v>0</v>
      </c>
      <c r="AB96" s="306">
        <v>0</v>
      </c>
      <c r="AC96" s="306">
        <v>0</v>
      </c>
      <c r="AD96" s="306">
        <v>0</v>
      </c>
      <c r="AE96" s="306">
        <v>0</v>
      </c>
      <c r="AF96" s="306">
        <v>0</v>
      </c>
      <c r="AG96" s="306">
        <v>0</v>
      </c>
      <c r="AH96" s="306">
        <v>0</v>
      </c>
      <c r="AI96" s="306">
        <v>0</v>
      </c>
      <c r="AJ96" s="306">
        <v>0</v>
      </c>
      <c r="AK96" s="306">
        <v>0</v>
      </c>
      <c r="AL96" s="306">
        <v>0</v>
      </c>
      <c r="AM96" s="306">
        <v>0</v>
      </c>
      <c r="AN96" s="306">
        <v>0</v>
      </c>
      <c r="AO96" s="306">
        <v>0</v>
      </c>
      <c r="AP96" s="306">
        <v>0</v>
      </c>
      <c r="AQ96" s="306">
        <v>0</v>
      </c>
      <c r="AR96" s="306">
        <v>0</v>
      </c>
      <c r="AS96" s="306">
        <v>0</v>
      </c>
      <c r="AT96" s="306">
        <v>0</v>
      </c>
      <c r="AU96" s="306">
        <v>0</v>
      </c>
      <c r="AV96" s="306">
        <v>0</v>
      </c>
      <c r="AW96" s="306">
        <v>0</v>
      </c>
      <c r="AX96" s="306">
        <v>0</v>
      </c>
      <c r="AY96" s="306">
        <v>0</v>
      </c>
      <c r="AZ96" s="306">
        <v>0</v>
      </c>
      <c r="BA96" s="306">
        <v>0</v>
      </c>
      <c r="BB96" s="306">
        <v>0</v>
      </c>
      <c r="BC96" s="306">
        <v>0</v>
      </c>
      <c r="BD96" s="306">
        <v>0</v>
      </c>
      <c r="BE96" s="306">
        <v>0</v>
      </c>
      <c r="BF96" s="306">
        <v>0</v>
      </c>
      <c r="BG96" s="306">
        <v>0</v>
      </c>
      <c r="BH96" s="306">
        <v>0</v>
      </c>
      <c r="BI96" s="306">
        <v>0</v>
      </c>
      <c r="BJ96" s="306">
        <v>0</v>
      </c>
      <c r="BK96" s="306">
        <v>0</v>
      </c>
      <c r="BL96" s="306">
        <v>0</v>
      </c>
      <c r="BM96" s="306">
        <v>0</v>
      </c>
      <c r="BN96" s="306">
        <v>0</v>
      </c>
      <c r="BO96" s="306">
        <v>0</v>
      </c>
      <c r="BP96" s="306">
        <v>0</v>
      </c>
      <c r="BQ96" s="306">
        <v>0</v>
      </c>
      <c r="BR96" s="306">
        <v>0</v>
      </c>
      <c r="BS96" s="306">
        <v>0</v>
      </c>
      <c r="BT96" s="306">
        <v>0</v>
      </c>
      <c r="BU96" s="306">
        <v>0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  <c r="CM96" s="306">
        <v>0</v>
      </c>
      <c r="CN96" s="306">
        <v>0</v>
      </c>
      <c r="CO96" s="306">
        <v>0</v>
      </c>
      <c r="CP96" s="306">
        <v>0</v>
      </c>
      <c r="CQ96" s="306">
        <v>0</v>
      </c>
      <c r="CR96" s="306">
        <v>0</v>
      </c>
      <c r="CS96" s="306">
        <v>0</v>
      </c>
      <c r="CT96" s="306">
        <v>0</v>
      </c>
      <c r="CU96" s="306">
        <v>0</v>
      </c>
      <c r="CV96" s="306">
        <v>0</v>
      </c>
      <c r="CW96" s="306">
        <v>0</v>
      </c>
      <c r="CX96" s="306">
        <v>0</v>
      </c>
    </row>
    <row r="97" spans="3:102" x14ac:dyDescent="0.25">
      <c r="C97" s="305">
        <v>89</v>
      </c>
      <c r="D97" s="306">
        <v>210.56</v>
      </c>
      <c r="E97" s="306">
        <v>216.84</v>
      </c>
      <c r="F97" s="306">
        <v>222.64</v>
      </c>
      <c r="G97" s="306">
        <v>227.97</v>
      </c>
      <c r="H97" s="306">
        <v>232.89</v>
      </c>
      <c r="I97" s="306">
        <v>237.55</v>
      </c>
      <c r="J97" s="306">
        <v>242.05</v>
      </c>
      <c r="K97" s="306">
        <v>246.43</v>
      </c>
      <c r="L97" s="306">
        <v>250.45</v>
      </c>
      <c r="M97" s="306">
        <v>253.45</v>
      </c>
      <c r="N97" s="306">
        <v>253.45</v>
      </c>
      <c r="O97" s="306">
        <v>0</v>
      </c>
      <c r="P97" s="306">
        <v>0</v>
      </c>
      <c r="Q97" s="306">
        <v>0</v>
      </c>
      <c r="R97" s="306">
        <v>0</v>
      </c>
      <c r="S97" s="306">
        <v>0</v>
      </c>
      <c r="T97" s="306">
        <v>0</v>
      </c>
      <c r="U97" s="306">
        <v>0</v>
      </c>
      <c r="V97" s="306">
        <v>0</v>
      </c>
      <c r="W97" s="306">
        <v>0</v>
      </c>
      <c r="X97" s="306">
        <v>0</v>
      </c>
      <c r="Y97" s="306">
        <v>0</v>
      </c>
      <c r="Z97" s="306">
        <v>0</v>
      </c>
      <c r="AA97" s="306">
        <v>0</v>
      </c>
      <c r="AB97" s="306">
        <v>0</v>
      </c>
      <c r="AC97" s="306">
        <v>0</v>
      </c>
      <c r="AD97" s="306">
        <v>0</v>
      </c>
      <c r="AE97" s="306">
        <v>0</v>
      </c>
      <c r="AF97" s="306">
        <v>0</v>
      </c>
      <c r="AG97" s="306">
        <v>0</v>
      </c>
      <c r="AH97" s="306">
        <v>0</v>
      </c>
      <c r="AI97" s="306">
        <v>0</v>
      </c>
      <c r="AJ97" s="306">
        <v>0</v>
      </c>
      <c r="AK97" s="306">
        <v>0</v>
      </c>
      <c r="AL97" s="306">
        <v>0</v>
      </c>
      <c r="AM97" s="306">
        <v>0</v>
      </c>
      <c r="AN97" s="306">
        <v>0</v>
      </c>
      <c r="AO97" s="306">
        <v>0</v>
      </c>
      <c r="AP97" s="306">
        <v>0</v>
      </c>
      <c r="AQ97" s="306">
        <v>0</v>
      </c>
      <c r="AR97" s="306">
        <v>0</v>
      </c>
      <c r="AS97" s="306">
        <v>0</v>
      </c>
      <c r="AT97" s="306">
        <v>0</v>
      </c>
      <c r="AU97" s="306">
        <v>0</v>
      </c>
      <c r="AV97" s="306">
        <v>0</v>
      </c>
      <c r="AW97" s="306">
        <v>0</v>
      </c>
      <c r="AX97" s="306">
        <v>0</v>
      </c>
      <c r="AY97" s="306">
        <v>0</v>
      </c>
      <c r="AZ97" s="306">
        <v>0</v>
      </c>
      <c r="BA97" s="306">
        <v>0</v>
      </c>
      <c r="BB97" s="306">
        <v>0</v>
      </c>
      <c r="BC97" s="306">
        <v>0</v>
      </c>
      <c r="BD97" s="306">
        <v>0</v>
      </c>
      <c r="BE97" s="306">
        <v>0</v>
      </c>
      <c r="BF97" s="306">
        <v>0</v>
      </c>
      <c r="BG97" s="306">
        <v>0</v>
      </c>
      <c r="BH97" s="306">
        <v>0</v>
      </c>
      <c r="BI97" s="306">
        <v>0</v>
      </c>
      <c r="BJ97" s="306">
        <v>0</v>
      </c>
      <c r="BK97" s="306">
        <v>0</v>
      </c>
      <c r="BL97" s="306">
        <v>0</v>
      </c>
      <c r="BM97" s="306">
        <v>0</v>
      </c>
      <c r="BN97" s="306">
        <v>0</v>
      </c>
      <c r="BO97" s="306">
        <v>0</v>
      </c>
      <c r="BP97" s="306">
        <v>0</v>
      </c>
      <c r="BQ97" s="306">
        <v>0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306">
        <v>0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  <c r="CM97" s="306">
        <v>0</v>
      </c>
      <c r="CN97" s="306">
        <v>0</v>
      </c>
      <c r="CO97" s="306">
        <v>0</v>
      </c>
      <c r="CP97" s="306">
        <v>0</v>
      </c>
      <c r="CQ97" s="306">
        <v>0</v>
      </c>
      <c r="CR97" s="306">
        <v>0</v>
      </c>
      <c r="CS97" s="306">
        <v>0</v>
      </c>
      <c r="CT97" s="306">
        <v>0</v>
      </c>
      <c r="CU97" s="306">
        <v>0</v>
      </c>
      <c r="CV97" s="306">
        <v>0</v>
      </c>
      <c r="CW97" s="306">
        <v>0</v>
      </c>
      <c r="CX97" s="306">
        <v>0</v>
      </c>
    </row>
    <row r="98" spans="3:102" x14ac:dyDescent="0.25">
      <c r="C98" s="305">
        <v>90</v>
      </c>
      <c r="D98" s="306">
        <v>225.08</v>
      </c>
      <c r="E98" s="306">
        <v>231.7</v>
      </c>
      <c r="F98" s="306">
        <v>237.89</v>
      </c>
      <c r="G98" s="306">
        <v>243.76</v>
      </c>
      <c r="H98" s="306">
        <v>249.47</v>
      </c>
      <c r="I98" s="306">
        <v>255.15</v>
      </c>
      <c r="J98" s="306">
        <v>260.8</v>
      </c>
      <c r="K98" s="306">
        <v>266.12</v>
      </c>
      <c r="L98" s="306">
        <v>270.16000000000003</v>
      </c>
      <c r="M98" s="306">
        <v>270.16000000000003</v>
      </c>
      <c r="N98" s="306">
        <v>0</v>
      </c>
      <c r="O98" s="306">
        <v>0</v>
      </c>
      <c r="P98" s="306">
        <v>0</v>
      </c>
      <c r="Q98" s="306">
        <v>0</v>
      </c>
      <c r="R98" s="306">
        <v>0</v>
      </c>
      <c r="S98" s="306">
        <v>0</v>
      </c>
      <c r="T98" s="306">
        <v>0</v>
      </c>
      <c r="U98" s="306">
        <v>0</v>
      </c>
      <c r="V98" s="306">
        <v>0</v>
      </c>
      <c r="W98" s="306">
        <v>0</v>
      </c>
      <c r="X98" s="306">
        <v>0</v>
      </c>
      <c r="Y98" s="306">
        <v>0</v>
      </c>
      <c r="Z98" s="306">
        <v>0</v>
      </c>
      <c r="AA98" s="306">
        <v>0</v>
      </c>
      <c r="AB98" s="306">
        <v>0</v>
      </c>
      <c r="AC98" s="306">
        <v>0</v>
      </c>
      <c r="AD98" s="306">
        <v>0</v>
      </c>
      <c r="AE98" s="306">
        <v>0</v>
      </c>
      <c r="AF98" s="306">
        <v>0</v>
      </c>
      <c r="AG98" s="306">
        <v>0</v>
      </c>
      <c r="AH98" s="306">
        <v>0</v>
      </c>
      <c r="AI98" s="306">
        <v>0</v>
      </c>
      <c r="AJ98" s="306">
        <v>0</v>
      </c>
      <c r="AK98" s="306">
        <v>0</v>
      </c>
      <c r="AL98" s="306">
        <v>0</v>
      </c>
      <c r="AM98" s="306">
        <v>0</v>
      </c>
      <c r="AN98" s="306">
        <v>0</v>
      </c>
      <c r="AO98" s="306">
        <v>0</v>
      </c>
      <c r="AP98" s="306">
        <v>0</v>
      </c>
      <c r="AQ98" s="306">
        <v>0</v>
      </c>
      <c r="AR98" s="306">
        <v>0</v>
      </c>
      <c r="AS98" s="306">
        <v>0</v>
      </c>
      <c r="AT98" s="306">
        <v>0</v>
      </c>
      <c r="AU98" s="306">
        <v>0</v>
      </c>
      <c r="AV98" s="306">
        <v>0</v>
      </c>
      <c r="AW98" s="306">
        <v>0</v>
      </c>
      <c r="AX98" s="306">
        <v>0</v>
      </c>
      <c r="AY98" s="306">
        <v>0</v>
      </c>
      <c r="AZ98" s="306">
        <v>0</v>
      </c>
      <c r="BA98" s="306">
        <v>0</v>
      </c>
      <c r="BB98" s="306">
        <v>0</v>
      </c>
      <c r="BC98" s="306">
        <v>0</v>
      </c>
      <c r="BD98" s="306">
        <v>0</v>
      </c>
      <c r="BE98" s="306">
        <v>0</v>
      </c>
      <c r="BF98" s="306">
        <v>0</v>
      </c>
      <c r="BG98" s="306">
        <v>0</v>
      </c>
      <c r="BH98" s="306">
        <v>0</v>
      </c>
      <c r="BI98" s="306">
        <v>0</v>
      </c>
      <c r="BJ98" s="306">
        <v>0</v>
      </c>
      <c r="BK98" s="306">
        <v>0</v>
      </c>
      <c r="BL98" s="306">
        <v>0</v>
      </c>
      <c r="BM98" s="306">
        <v>0</v>
      </c>
      <c r="BN98" s="306">
        <v>0</v>
      </c>
      <c r="BO98" s="306">
        <v>0</v>
      </c>
      <c r="BP98" s="306">
        <v>0</v>
      </c>
      <c r="BQ98" s="306">
        <v>0</v>
      </c>
      <c r="BR98" s="306">
        <v>0</v>
      </c>
      <c r="BS98" s="306">
        <v>0</v>
      </c>
      <c r="BT98" s="306">
        <v>0</v>
      </c>
      <c r="BU98" s="306">
        <v>0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0</v>
      </c>
      <c r="CL98" s="306">
        <v>0</v>
      </c>
      <c r="CM98" s="306">
        <v>0</v>
      </c>
      <c r="CN98" s="306">
        <v>0</v>
      </c>
      <c r="CO98" s="306">
        <v>0</v>
      </c>
      <c r="CP98" s="306">
        <v>0</v>
      </c>
      <c r="CQ98" s="306">
        <v>0</v>
      </c>
      <c r="CR98" s="306">
        <v>0</v>
      </c>
      <c r="CS98" s="306">
        <v>0</v>
      </c>
      <c r="CT98" s="306">
        <v>0</v>
      </c>
      <c r="CU98" s="306">
        <v>0</v>
      </c>
      <c r="CV98" s="306">
        <v>0</v>
      </c>
      <c r="CW98" s="306">
        <v>0</v>
      </c>
      <c r="CX98" s="306">
        <v>0</v>
      </c>
    </row>
    <row r="99" spans="3:102" x14ac:dyDescent="0.25">
      <c r="C99" s="305">
        <v>91</v>
      </c>
      <c r="D99" s="306">
        <v>240.53</v>
      </c>
      <c r="E99" s="306">
        <v>247.75</v>
      </c>
      <c r="F99" s="306">
        <v>254.79</v>
      </c>
      <c r="G99" s="306">
        <v>261.86</v>
      </c>
      <c r="H99" s="306">
        <v>269.12</v>
      </c>
      <c r="I99" s="306">
        <v>276.56</v>
      </c>
      <c r="J99" s="306">
        <v>283.72000000000003</v>
      </c>
      <c r="K99" s="306">
        <v>289.25</v>
      </c>
      <c r="L99" s="306">
        <v>289.25</v>
      </c>
      <c r="M99" s="306">
        <v>0</v>
      </c>
      <c r="N99" s="306">
        <v>0</v>
      </c>
      <c r="O99" s="306">
        <v>0</v>
      </c>
      <c r="P99" s="306">
        <v>0</v>
      </c>
      <c r="Q99" s="306">
        <v>0</v>
      </c>
      <c r="R99" s="306">
        <v>0</v>
      </c>
      <c r="S99" s="306">
        <v>0</v>
      </c>
      <c r="T99" s="306">
        <v>0</v>
      </c>
      <c r="U99" s="306">
        <v>0</v>
      </c>
      <c r="V99" s="306">
        <v>0</v>
      </c>
      <c r="W99" s="306">
        <v>0</v>
      </c>
      <c r="X99" s="306">
        <v>0</v>
      </c>
      <c r="Y99" s="306">
        <v>0</v>
      </c>
      <c r="Z99" s="306">
        <v>0</v>
      </c>
      <c r="AA99" s="306">
        <v>0</v>
      </c>
      <c r="AB99" s="306">
        <v>0</v>
      </c>
      <c r="AC99" s="306">
        <v>0</v>
      </c>
      <c r="AD99" s="306">
        <v>0</v>
      </c>
      <c r="AE99" s="306">
        <v>0</v>
      </c>
      <c r="AF99" s="306">
        <v>0</v>
      </c>
      <c r="AG99" s="306">
        <v>0</v>
      </c>
      <c r="AH99" s="306">
        <v>0</v>
      </c>
      <c r="AI99" s="306">
        <v>0</v>
      </c>
      <c r="AJ99" s="306">
        <v>0</v>
      </c>
      <c r="AK99" s="306">
        <v>0</v>
      </c>
      <c r="AL99" s="306">
        <v>0</v>
      </c>
      <c r="AM99" s="306">
        <v>0</v>
      </c>
      <c r="AN99" s="306">
        <v>0</v>
      </c>
      <c r="AO99" s="306">
        <v>0</v>
      </c>
      <c r="AP99" s="306">
        <v>0</v>
      </c>
      <c r="AQ99" s="306">
        <v>0</v>
      </c>
      <c r="AR99" s="306">
        <v>0</v>
      </c>
      <c r="AS99" s="306">
        <v>0</v>
      </c>
      <c r="AT99" s="306">
        <v>0</v>
      </c>
      <c r="AU99" s="306">
        <v>0</v>
      </c>
      <c r="AV99" s="306">
        <v>0</v>
      </c>
      <c r="AW99" s="306">
        <v>0</v>
      </c>
      <c r="AX99" s="306">
        <v>0</v>
      </c>
      <c r="AY99" s="306">
        <v>0</v>
      </c>
      <c r="AZ99" s="306">
        <v>0</v>
      </c>
      <c r="BA99" s="306">
        <v>0</v>
      </c>
      <c r="BB99" s="306">
        <v>0</v>
      </c>
      <c r="BC99" s="306">
        <v>0</v>
      </c>
      <c r="BD99" s="306">
        <v>0</v>
      </c>
      <c r="BE99" s="306">
        <v>0</v>
      </c>
      <c r="BF99" s="306">
        <v>0</v>
      </c>
      <c r="BG99" s="306">
        <v>0</v>
      </c>
      <c r="BH99" s="306">
        <v>0</v>
      </c>
      <c r="BI99" s="306">
        <v>0</v>
      </c>
      <c r="BJ99" s="306">
        <v>0</v>
      </c>
      <c r="BK99" s="306">
        <v>0</v>
      </c>
      <c r="BL99" s="306">
        <v>0</v>
      </c>
      <c r="BM99" s="306">
        <v>0</v>
      </c>
      <c r="BN99" s="306">
        <v>0</v>
      </c>
      <c r="BO99" s="306">
        <v>0</v>
      </c>
      <c r="BP99" s="306">
        <v>0</v>
      </c>
      <c r="BQ99" s="306">
        <v>0</v>
      </c>
      <c r="BR99" s="306">
        <v>0</v>
      </c>
      <c r="BS99" s="306">
        <v>0</v>
      </c>
      <c r="BT99" s="306">
        <v>0</v>
      </c>
      <c r="BU99" s="306">
        <v>0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0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  <c r="CM99" s="306">
        <v>0</v>
      </c>
      <c r="CN99" s="306">
        <v>0</v>
      </c>
      <c r="CO99" s="306">
        <v>0</v>
      </c>
      <c r="CP99" s="306">
        <v>0</v>
      </c>
      <c r="CQ99" s="306">
        <v>0</v>
      </c>
      <c r="CR99" s="306">
        <v>0</v>
      </c>
      <c r="CS99" s="306">
        <v>0</v>
      </c>
      <c r="CT99" s="306">
        <v>0</v>
      </c>
      <c r="CU99" s="306">
        <v>0</v>
      </c>
      <c r="CV99" s="306">
        <v>0</v>
      </c>
      <c r="CW99" s="306">
        <v>0</v>
      </c>
      <c r="CX99" s="306">
        <v>0</v>
      </c>
    </row>
    <row r="100" spans="3:102" x14ac:dyDescent="0.25">
      <c r="C100" s="305">
        <v>92</v>
      </c>
      <c r="D100" s="306">
        <v>257.58999999999997</v>
      </c>
      <c r="E100" s="306">
        <v>266.11</v>
      </c>
      <c r="F100" s="306">
        <v>274.97000000000003</v>
      </c>
      <c r="G100" s="306">
        <v>284.39</v>
      </c>
      <c r="H100" s="306">
        <v>294.33</v>
      </c>
      <c r="I100" s="306">
        <v>304.14999999999998</v>
      </c>
      <c r="J100" s="306">
        <v>311.89</v>
      </c>
      <c r="K100" s="306">
        <v>311.89</v>
      </c>
      <c r="L100" s="306">
        <v>0</v>
      </c>
      <c r="M100" s="306">
        <v>0</v>
      </c>
      <c r="N100" s="306">
        <v>0</v>
      </c>
      <c r="O100" s="306">
        <v>0</v>
      </c>
      <c r="P100" s="306">
        <v>0</v>
      </c>
      <c r="Q100" s="306">
        <v>0</v>
      </c>
      <c r="R100" s="306">
        <v>0</v>
      </c>
      <c r="S100" s="306">
        <v>0</v>
      </c>
      <c r="T100" s="306">
        <v>0</v>
      </c>
      <c r="U100" s="306">
        <v>0</v>
      </c>
      <c r="V100" s="306">
        <v>0</v>
      </c>
      <c r="W100" s="306">
        <v>0</v>
      </c>
      <c r="X100" s="306">
        <v>0</v>
      </c>
      <c r="Y100" s="306">
        <v>0</v>
      </c>
      <c r="Z100" s="306">
        <v>0</v>
      </c>
      <c r="AA100" s="306">
        <v>0</v>
      </c>
      <c r="AB100" s="306">
        <v>0</v>
      </c>
      <c r="AC100" s="306">
        <v>0</v>
      </c>
      <c r="AD100" s="306">
        <v>0</v>
      </c>
      <c r="AE100" s="306">
        <v>0</v>
      </c>
      <c r="AF100" s="306">
        <v>0</v>
      </c>
      <c r="AG100" s="306">
        <v>0</v>
      </c>
      <c r="AH100" s="306">
        <v>0</v>
      </c>
      <c r="AI100" s="306">
        <v>0</v>
      </c>
      <c r="AJ100" s="306">
        <v>0</v>
      </c>
      <c r="AK100" s="306">
        <v>0</v>
      </c>
      <c r="AL100" s="306">
        <v>0</v>
      </c>
      <c r="AM100" s="306">
        <v>0</v>
      </c>
      <c r="AN100" s="306">
        <v>0</v>
      </c>
      <c r="AO100" s="306">
        <v>0</v>
      </c>
      <c r="AP100" s="306">
        <v>0</v>
      </c>
      <c r="AQ100" s="306">
        <v>0</v>
      </c>
      <c r="AR100" s="306">
        <v>0</v>
      </c>
      <c r="AS100" s="306">
        <v>0</v>
      </c>
      <c r="AT100" s="306">
        <v>0</v>
      </c>
      <c r="AU100" s="306">
        <v>0</v>
      </c>
      <c r="AV100" s="306">
        <v>0</v>
      </c>
      <c r="AW100" s="306">
        <v>0</v>
      </c>
      <c r="AX100" s="306">
        <v>0</v>
      </c>
      <c r="AY100" s="306">
        <v>0</v>
      </c>
      <c r="AZ100" s="306">
        <v>0</v>
      </c>
      <c r="BA100" s="306">
        <v>0</v>
      </c>
      <c r="BB100" s="306">
        <v>0</v>
      </c>
      <c r="BC100" s="306">
        <v>0</v>
      </c>
      <c r="BD100" s="306">
        <v>0</v>
      </c>
      <c r="BE100" s="306">
        <v>0</v>
      </c>
      <c r="BF100" s="306">
        <v>0</v>
      </c>
      <c r="BG100" s="306">
        <v>0</v>
      </c>
      <c r="BH100" s="306">
        <v>0</v>
      </c>
      <c r="BI100" s="306">
        <v>0</v>
      </c>
      <c r="BJ100" s="306">
        <v>0</v>
      </c>
      <c r="BK100" s="306">
        <v>0</v>
      </c>
      <c r="BL100" s="306">
        <v>0</v>
      </c>
      <c r="BM100" s="306">
        <v>0</v>
      </c>
      <c r="BN100" s="306">
        <v>0</v>
      </c>
      <c r="BO100" s="306">
        <v>0</v>
      </c>
      <c r="BP100" s="306">
        <v>0</v>
      </c>
      <c r="BQ100" s="306">
        <v>0</v>
      </c>
      <c r="BR100" s="306">
        <v>0</v>
      </c>
      <c r="BS100" s="306">
        <v>0</v>
      </c>
      <c r="BT100" s="306">
        <v>0</v>
      </c>
      <c r="BU100" s="306">
        <v>0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0</v>
      </c>
      <c r="CK100" s="306">
        <v>0</v>
      </c>
      <c r="CL100" s="306">
        <v>0</v>
      </c>
      <c r="CM100" s="306">
        <v>0</v>
      </c>
      <c r="CN100" s="306">
        <v>0</v>
      </c>
      <c r="CO100" s="306">
        <v>0</v>
      </c>
      <c r="CP100" s="306">
        <v>0</v>
      </c>
      <c r="CQ100" s="306">
        <v>0</v>
      </c>
      <c r="CR100" s="306">
        <v>0</v>
      </c>
      <c r="CS100" s="306">
        <v>0</v>
      </c>
      <c r="CT100" s="306">
        <v>0</v>
      </c>
      <c r="CU100" s="306">
        <v>0</v>
      </c>
      <c r="CV100" s="306">
        <v>0</v>
      </c>
      <c r="CW100" s="306">
        <v>0</v>
      </c>
      <c r="CX100" s="306">
        <v>0</v>
      </c>
    </row>
    <row r="101" spans="3:102" x14ac:dyDescent="0.25">
      <c r="C101" s="305">
        <v>93</v>
      </c>
      <c r="D101" s="306">
        <v>277.99</v>
      </c>
      <c r="E101" s="306">
        <v>289.26</v>
      </c>
      <c r="F101" s="306">
        <v>301.64999999999998</v>
      </c>
      <c r="G101" s="306">
        <v>315.18</v>
      </c>
      <c r="H101" s="306">
        <v>328.9</v>
      </c>
      <c r="I101" s="306">
        <v>339.96</v>
      </c>
      <c r="J101" s="306">
        <v>339.96</v>
      </c>
      <c r="K101" s="306">
        <v>0</v>
      </c>
      <c r="L101" s="306">
        <v>0</v>
      </c>
      <c r="M101" s="306">
        <v>0</v>
      </c>
      <c r="N101" s="306">
        <v>0</v>
      </c>
      <c r="O101" s="306">
        <v>0</v>
      </c>
      <c r="P101" s="306">
        <v>0</v>
      </c>
      <c r="Q101" s="306">
        <v>0</v>
      </c>
      <c r="R101" s="306">
        <v>0</v>
      </c>
      <c r="S101" s="306">
        <v>0</v>
      </c>
      <c r="T101" s="306">
        <v>0</v>
      </c>
      <c r="U101" s="306">
        <v>0</v>
      </c>
      <c r="V101" s="306">
        <v>0</v>
      </c>
      <c r="W101" s="306">
        <v>0</v>
      </c>
      <c r="X101" s="306">
        <v>0</v>
      </c>
      <c r="Y101" s="306">
        <v>0</v>
      </c>
      <c r="Z101" s="306">
        <v>0</v>
      </c>
      <c r="AA101" s="306">
        <v>0</v>
      </c>
      <c r="AB101" s="306">
        <v>0</v>
      </c>
      <c r="AC101" s="306">
        <v>0</v>
      </c>
      <c r="AD101" s="306">
        <v>0</v>
      </c>
      <c r="AE101" s="306">
        <v>0</v>
      </c>
      <c r="AF101" s="306">
        <v>0</v>
      </c>
      <c r="AG101" s="306">
        <v>0</v>
      </c>
      <c r="AH101" s="306">
        <v>0</v>
      </c>
      <c r="AI101" s="306">
        <v>0</v>
      </c>
      <c r="AJ101" s="306">
        <v>0</v>
      </c>
      <c r="AK101" s="306">
        <v>0</v>
      </c>
      <c r="AL101" s="306">
        <v>0</v>
      </c>
      <c r="AM101" s="306">
        <v>0</v>
      </c>
      <c r="AN101" s="306">
        <v>0</v>
      </c>
      <c r="AO101" s="306">
        <v>0</v>
      </c>
      <c r="AP101" s="306">
        <v>0</v>
      </c>
      <c r="AQ101" s="306">
        <v>0</v>
      </c>
      <c r="AR101" s="306">
        <v>0</v>
      </c>
      <c r="AS101" s="306">
        <v>0</v>
      </c>
      <c r="AT101" s="306">
        <v>0</v>
      </c>
      <c r="AU101" s="306">
        <v>0</v>
      </c>
      <c r="AV101" s="306">
        <v>0</v>
      </c>
      <c r="AW101" s="306">
        <v>0</v>
      </c>
      <c r="AX101" s="306">
        <v>0</v>
      </c>
      <c r="AY101" s="306">
        <v>0</v>
      </c>
      <c r="AZ101" s="306">
        <v>0</v>
      </c>
      <c r="BA101" s="306">
        <v>0</v>
      </c>
      <c r="BB101" s="306">
        <v>0</v>
      </c>
      <c r="BC101" s="306">
        <v>0</v>
      </c>
      <c r="BD101" s="306">
        <v>0</v>
      </c>
      <c r="BE101" s="306">
        <v>0</v>
      </c>
      <c r="BF101" s="306">
        <v>0</v>
      </c>
      <c r="BG101" s="306">
        <v>0</v>
      </c>
      <c r="BH101" s="306">
        <v>0</v>
      </c>
      <c r="BI101" s="306">
        <v>0</v>
      </c>
      <c r="BJ101" s="306">
        <v>0</v>
      </c>
      <c r="BK101" s="306">
        <v>0</v>
      </c>
      <c r="BL101" s="306">
        <v>0</v>
      </c>
      <c r="BM101" s="306">
        <v>0</v>
      </c>
      <c r="BN101" s="306">
        <v>0</v>
      </c>
      <c r="BO101" s="306">
        <v>0</v>
      </c>
      <c r="BP101" s="306">
        <v>0</v>
      </c>
      <c r="BQ101" s="306">
        <v>0</v>
      </c>
      <c r="BR101" s="306">
        <v>0</v>
      </c>
      <c r="BS101" s="306">
        <v>0</v>
      </c>
      <c r="BT101" s="306">
        <v>0</v>
      </c>
      <c r="BU101" s="306">
        <v>0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0</v>
      </c>
      <c r="CJ101" s="306">
        <v>0</v>
      </c>
      <c r="CK101" s="306">
        <v>0</v>
      </c>
      <c r="CL101" s="306">
        <v>0</v>
      </c>
      <c r="CM101" s="306">
        <v>0</v>
      </c>
      <c r="CN101" s="306">
        <v>0</v>
      </c>
      <c r="CO101" s="306">
        <v>0</v>
      </c>
      <c r="CP101" s="306">
        <v>0</v>
      </c>
      <c r="CQ101" s="306">
        <v>0</v>
      </c>
      <c r="CR101" s="306">
        <v>0</v>
      </c>
      <c r="CS101" s="306">
        <v>0</v>
      </c>
      <c r="CT101" s="306">
        <v>0</v>
      </c>
      <c r="CU101" s="306">
        <v>0</v>
      </c>
      <c r="CV101" s="306">
        <v>0</v>
      </c>
      <c r="CW101" s="306">
        <v>0</v>
      </c>
      <c r="CX101" s="306">
        <v>0</v>
      </c>
    </row>
    <row r="102" spans="3:102" x14ac:dyDescent="0.25">
      <c r="C102" s="305">
        <v>94</v>
      </c>
      <c r="D102" s="306">
        <v>305.42</v>
      </c>
      <c r="E102" s="306">
        <v>321.98</v>
      </c>
      <c r="F102" s="306">
        <v>340.69</v>
      </c>
      <c r="G102" s="306">
        <v>360.27</v>
      </c>
      <c r="H102" s="306">
        <v>376.5</v>
      </c>
      <c r="I102" s="306">
        <v>376.5</v>
      </c>
      <c r="J102" s="306">
        <v>0</v>
      </c>
      <c r="K102" s="306">
        <v>0</v>
      </c>
      <c r="L102" s="306">
        <v>0</v>
      </c>
      <c r="M102" s="306">
        <v>0</v>
      </c>
      <c r="N102" s="306">
        <v>0</v>
      </c>
      <c r="O102" s="306">
        <v>0</v>
      </c>
      <c r="P102" s="306">
        <v>0</v>
      </c>
      <c r="Q102" s="306">
        <v>0</v>
      </c>
      <c r="R102" s="306">
        <v>0</v>
      </c>
      <c r="S102" s="306">
        <v>0</v>
      </c>
      <c r="T102" s="306">
        <v>0</v>
      </c>
      <c r="U102" s="306">
        <v>0</v>
      </c>
      <c r="V102" s="306">
        <v>0</v>
      </c>
      <c r="W102" s="306">
        <v>0</v>
      </c>
      <c r="X102" s="306">
        <v>0</v>
      </c>
      <c r="Y102" s="306">
        <v>0</v>
      </c>
      <c r="Z102" s="306">
        <v>0</v>
      </c>
      <c r="AA102" s="306">
        <v>0</v>
      </c>
      <c r="AB102" s="306">
        <v>0</v>
      </c>
      <c r="AC102" s="306">
        <v>0</v>
      </c>
      <c r="AD102" s="306">
        <v>0</v>
      </c>
      <c r="AE102" s="306">
        <v>0</v>
      </c>
      <c r="AF102" s="306">
        <v>0</v>
      </c>
      <c r="AG102" s="306">
        <v>0</v>
      </c>
      <c r="AH102" s="306">
        <v>0</v>
      </c>
      <c r="AI102" s="306">
        <v>0</v>
      </c>
      <c r="AJ102" s="306">
        <v>0</v>
      </c>
      <c r="AK102" s="306">
        <v>0</v>
      </c>
      <c r="AL102" s="306">
        <v>0</v>
      </c>
      <c r="AM102" s="306">
        <v>0</v>
      </c>
      <c r="AN102" s="306">
        <v>0</v>
      </c>
      <c r="AO102" s="306">
        <v>0</v>
      </c>
      <c r="AP102" s="306">
        <v>0</v>
      </c>
      <c r="AQ102" s="306">
        <v>0</v>
      </c>
      <c r="AR102" s="306">
        <v>0</v>
      </c>
      <c r="AS102" s="306">
        <v>0</v>
      </c>
      <c r="AT102" s="306">
        <v>0</v>
      </c>
      <c r="AU102" s="306">
        <v>0</v>
      </c>
      <c r="AV102" s="306">
        <v>0</v>
      </c>
      <c r="AW102" s="306">
        <v>0</v>
      </c>
      <c r="AX102" s="306">
        <v>0</v>
      </c>
      <c r="AY102" s="306">
        <v>0</v>
      </c>
      <c r="AZ102" s="306">
        <v>0</v>
      </c>
      <c r="BA102" s="306">
        <v>0</v>
      </c>
      <c r="BB102" s="306">
        <v>0</v>
      </c>
      <c r="BC102" s="306">
        <v>0</v>
      </c>
      <c r="BD102" s="306">
        <v>0</v>
      </c>
      <c r="BE102" s="306">
        <v>0</v>
      </c>
      <c r="BF102" s="306">
        <v>0</v>
      </c>
      <c r="BG102" s="306">
        <v>0</v>
      </c>
      <c r="BH102" s="306">
        <v>0</v>
      </c>
      <c r="BI102" s="306">
        <v>0</v>
      </c>
      <c r="BJ102" s="306">
        <v>0</v>
      </c>
      <c r="BK102" s="306">
        <v>0</v>
      </c>
      <c r="BL102" s="306">
        <v>0</v>
      </c>
      <c r="BM102" s="306">
        <v>0</v>
      </c>
      <c r="BN102" s="306">
        <v>0</v>
      </c>
      <c r="BO102" s="306">
        <v>0</v>
      </c>
      <c r="BP102" s="306">
        <v>0</v>
      </c>
      <c r="BQ102" s="306">
        <v>0</v>
      </c>
      <c r="BR102" s="306">
        <v>0</v>
      </c>
      <c r="BS102" s="306">
        <v>0</v>
      </c>
      <c r="BT102" s="306">
        <v>0</v>
      </c>
      <c r="BU102" s="306">
        <v>0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0</v>
      </c>
      <c r="CI102" s="306">
        <v>0</v>
      </c>
      <c r="CJ102" s="306">
        <v>0</v>
      </c>
      <c r="CK102" s="306">
        <v>0</v>
      </c>
      <c r="CL102" s="306">
        <v>0</v>
      </c>
      <c r="CM102" s="306">
        <v>0</v>
      </c>
      <c r="CN102" s="306">
        <v>0</v>
      </c>
      <c r="CO102" s="306">
        <v>0</v>
      </c>
      <c r="CP102" s="306">
        <v>0</v>
      </c>
      <c r="CQ102" s="306">
        <v>0</v>
      </c>
      <c r="CR102" s="306">
        <v>0</v>
      </c>
      <c r="CS102" s="306">
        <v>0</v>
      </c>
      <c r="CT102" s="306">
        <v>0</v>
      </c>
      <c r="CU102" s="306">
        <v>0</v>
      </c>
      <c r="CV102" s="306">
        <v>0</v>
      </c>
      <c r="CW102" s="306">
        <v>0</v>
      </c>
      <c r="CX102" s="306">
        <v>0</v>
      </c>
    </row>
    <row r="103" spans="3:102" x14ac:dyDescent="0.25">
      <c r="C103" s="305">
        <v>95</v>
      </c>
      <c r="D103" s="306">
        <v>346.7</v>
      </c>
      <c r="E103" s="306">
        <v>373.01</v>
      </c>
      <c r="F103" s="306">
        <v>401.56</v>
      </c>
      <c r="G103" s="306">
        <v>426.05</v>
      </c>
      <c r="H103" s="306">
        <v>426.05</v>
      </c>
      <c r="I103" s="306">
        <v>0</v>
      </c>
      <c r="J103" s="306">
        <v>0</v>
      </c>
      <c r="K103" s="306">
        <v>0</v>
      </c>
      <c r="L103" s="306">
        <v>0</v>
      </c>
      <c r="M103" s="306">
        <v>0</v>
      </c>
      <c r="N103" s="306">
        <v>0</v>
      </c>
      <c r="O103" s="306">
        <v>0</v>
      </c>
      <c r="P103" s="306">
        <v>0</v>
      </c>
      <c r="Q103" s="306">
        <v>0</v>
      </c>
      <c r="R103" s="306">
        <v>0</v>
      </c>
      <c r="S103" s="306">
        <v>0</v>
      </c>
      <c r="T103" s="306">
        <v>0</v>
      </c>
      <c r="U103" s="306">
        <v>0</v>
      </c>
      <c r="V103" s="306">
        <v>0</v>
      </c>
      <c r="W103" s="306">
        <v>0</v>
      </c>
      <c r="X103" s="306">
        <v>0</v>
      </c>
      <c r="Y103" s="306">
        <v>0</v>
      </c>
      <c r="Z103" s="306">
        <v>0</v>
      </c>
      <c r="AA103" s="306">
        <v>0</v>
      </c>
      <c r="AB103" s="306">
        <v>0</v>
      </c>
      <c r="AC103" s="306">
        <v>0</v>
      </c>
      <c r="AD103" s="306">
        <v>0</v>
      </c>
      <c r="AE103" s="306">
        <v>0</v>
      </c>
      <c r="AF103" s="306">
        <v>0</v>
      </c>
      <c r="AG103" s="306">
        <v>0</v>
      </c>
      <c r="AH103" s="306">
        <v>0</v>
      </c>
      <c r="AI103" s="306">
        <v>0</v>
      </c>
      <c r="AJ103" s="306">
        <v>0</v>
      </c>
      <c r="AK103" s="306">
        <v>0</v>
      </c>
      <c r="AL103" s="306">
        <v>0</v>
      </c>
      <c r="AM103" s="306">
        <v>0</v>
      </c>
      <c r="AN103" s="306">
        <v>0</v>
      </c>
      <c r="AO103" s="306">
        <v>0</v>
      </c>
      <c r="AP103" s="306">
        <v>0</v>
      </c>
      <c r="AQ103" s="306">
        <v>0</v>
      </c>
      <c r="AR103" s="306">
        <v>0</v>
      </c>
      <c r="AS103" s="306">
        <v>0</v>
      </c>
      <c r="AT103" s="306">
        <v>0</v>
      </c>
      <c r="AU103" s="306">
        <v>0</v>
      </c>
      <c r="AV103" s="306">
        <v>0</v>
      </c>
      <c r="AW103" s="306">
        <v>0</v>
      </c>
      <c r="AX103" s="306">
        <v>0</v>
      </c>
      <c r="AY103" s="306">
        <v>0</v>
      </c>
      <c r="AZ103" s="306">
        <v>0</v>
      </c>
      <c r="BA103" s="306">
        <v>0</v>
      </c>
      <c r="BB103" s="306">
        <v>0</v>
      </c>
      <c r="BC103" s="306">
        <v>0</v>
      </c>
      <c r="BD103" s="306">
        <v>0</v>
      </c>
      <c r="BE103" s="306">
        <v>0</v>
      </c>
      <c r="BF103" s="306">
        <v>0</v>
      </c>
      <c r="BG103" s="306">
        <v>0</v>
      </c>
      <c r="BH103" s="306">
        <v>0</v>
      </c>
      <c r="BI103" s="306">
        <v>0</v>
      </c>
      <c r="BJ103" s="306">
        <v>0</v>
      </c>
      <c r="BK103" s="306">
        <v>0</v>
      </c>
      <c r="BL103" s="306">
        <v>0</v>
      </c>
      <c r="BM103" s="306">
        <v>0</v>
      </c>
      <c r="BN103" s="306">
        <v>0</v>
      </c>
      <c r="BO103" s="306">
        <v>0</v>
      </c>
      <c r="BP103" s="306">
        <v>0</v>
      </c>
      <c r="BQ103" s="306">
        <v>0</v>
      </c>
      <c r="BR103" s="306">
        <v>0</v>
      </c>
      <c r="BS103" s="306">
        <v>0</v>
      </c>
      <c r="BT103" s="306">
        <v>0</v>
      </c>
      <c r="BU103" s="306">
        <v>0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0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  <c r="CM103" s="306">
        <v>0</v>
      </c>
      <c r="CN103" s="306">
        <v>0</v>
      </c>
      <c r="CO103" s="306">
        <v>0</v>
      </c>
      <c r="CP103" s="306">
        <v>0</v>
      </c>
      <c r="CQ103" s="306">
        <v>0</v>
      </c>
      <c r="CR103" s="306">
        <v>0</v>
      </c>
      <c r="CS103" s="306">
        <v>0</v>
      </c>
      <c r="CT103" s="306">
        <v>0</v>
      </c>
      <c r="CU103" s="306">
        <v>0</v>
      </c>
      <c r="CV103" s="306">
        <v>0</v>
      </c>
      <c r="CW103" s="306">
        <v>0</v>
      </c>
      <c r="CX103" s="306">
        <v>0</v>
      </c>
    </row>
    <row r="104" spans="3:102" x14ac:dyDescent="0.25">
      <c r="C104" s="305">
        <v>96</v>
      </c>
      <c r="D104" s="306">
        <v>414.81</v>
      </c>
      <c r="E104" s="306">
        <v>457.37</v>
      </c>
      <c r="F104" s="306">
        <v>495.63</v>
      </c>
      <c r="G104" s="306">
        <v>495.63</v>
      </c>
      <c r="H104" s="306">
        <v>0</v>
      </c>
      <c r="I104" s="306">
        <v>0</v>
      </c>
      <c r="J104" s="306">
        <v>0</v>
      </c>
      <c r="K104" s="306">
        <v>0</v>
      </c>
      <c r="L104" s="306">
        <v>0</v>
      </c>
      <c r="M104" s="306">
        <v>0</v>
      </c>
      <c r="N104" s="306">
        <v>0</v>
      </c>
      <c r="O104" s="306">
        <v>0</v>
      </c>
      <c r="P104" s="306">
        <v>0</v>
      </c>
      <c r="Q104" s="306">
        <v>0</v>
      </c>
      <c r="R104" s="306">
        <v>0</v>
      </c>
      <c r="S104" s="306">
        <v>0</v>
      </c>
      <c r="T104" s="306">
        <v>0</v>
      </c>
      <c r="U104" s="306">
        <v>0</v>
      </c>
      <c r="V104" s="306">
        <v>0</v>
      </c>
      <c r="W104" s="306">
        <v>0</v>
      </c>
      <c r="X104" s="306">
        <v>0</v>
      </c>
      <c r="Y104" s="306">
        <v>0</v>
      </c>
      <c r="Z104" s="306">
        <v>0</v>
      </c>
      <c r="AA104" s="306">
        <v>0</v>
      </c>
      <c r="AB104" s="306">
        <v>0</v>
      </c>
      <c r="AC104" s="306">
        <v>0</v>
      </c>
      <c r="AD104" s="306">
        <v>0</v>
      </c>
      <c r="AE104" s="306">
        <v>0</v>
      </c>
      <c r="AF104" s="306">
        <v>0</v>
      </c>
      <c r="AG104" s="306">
        <v>0</v>
      </c>
      <c r="AH104" s="306">
        <v>0</v>
      </c>
      <c r="AI104" s="306">
        <v>0</v>
      </c>
      <c r="AJ104" s="306">
        <v>0</v>
      </c>
      <c r="AK104" s="306">
        <v>0</v>
      </c>
      <c r="AL104" s="306">
        <v>0</v>
      </c>
      <c r="AM104" s="306">
        <v>0</v>
      </c>
      <c r="AN104" s="306">
        <v>0</v>
      </c>
      <c r="AO104" s="306">
        <v>0</v>
      </c>
      <c r="AP104" s="306">
        <v>0</v>
      </c>
      <c r="AQ104" s="306">
        <v>0</v>
      </c>
      <c r="AR104" s="306">
        <v>0</v>
      </c>
      <c r="AS104" s="306">
        <v>0</v>
      </c>
      <c r="AT104" s="306">
        <v>0</v>
      </c>
      <c r="AU104" s="306">
        <v>0</v>
      </c>
      <c r="AV104" s="306">
        <v>0</v>
      </c>
      <c r="AW104" s="306">
        <v>0</v>
      </c>
      <c r="AX104" s="306">
        <v>0</v>
      </c>
      <c r="AY104" s="306">
        <v>0</v>
      </c>
      <c r="AZ104" s="306">
        <v>0</v>
      </c>
      <c r="BA104" s="306">
        <v>0</v>
      </c>
      <c r="BB104" s="306">
        <v>0</v>
      </c>
      <c r="BC104" s="306">
        <v>0</v>
      </c>
      <c r="BD104" s="306">
        <v>0</v>
      </c>
      <c r="BE104" s="306">
        <v>0</v>
      </c>
      <c r="BF104" s="306">
        <v>0</v>
      </c>
      <c r="BG104" s="306">
        <v>0</v>
      </c>
      <c r="BH104" s="306">
        <v>0</v>
      </c>
      <c r="BI104" s="306">
        <v>0</v>
      </c>
      <c r="BJ104" s="306">
        <v>0</v>
      </c>
      <c r="BK104" s="306">
        <v>0</v>
      </c>
      <c r="BL104" s="306">
        <v>0</v>
      </c>
      <c r="BM104" s="306">
        <v>0</v>
      </c>
      <c r="BN104" s="306">
        <v>0</v>
      </c>
      <c r="BO104" s="306">
        <v>0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306">
        <v>0</v>
      </c>
      <c r="BY104" s="306">
        <v>0</v>
      </c>
      <c r="BZ104" s="306">
        <v>0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  <c r="CM104" s="306">
        <v>0</v>
      </c>
      <c r="CN104" s="306">
        <v>0</v>
      </c>
      <c r="CO104" s="306">
        <v>0</v>
      </c>
      <c r="CP104" s="306">
        <v>0</v>
      </c>
      <c r="CQ104" s="306">
        <v>0</v>
      </c>
      <c r="CR104" s="306">
        <v>0</v>
      </c>
      <c r="CS104" s="306">
        <v>0</v>
      </c>
      <c r="CT104" s="306">
        <v>0</v>
      </c>
      <c r="CU104" s="306">
        <v>0</v>
      </c>
      <c r="CV104" s="306">
        <v>0</v>
      </c>
      <c r="CW104" s="306">
        <v>0</v>
      </c>
      <c r="CX104" s="306">
        <v>0</v>
      </c>
    </row>
    <row r="105" spans="3:102" x14ac:dyDescent="0.25">
      <c r="C105" s="305">
        <v>97</v>
      </c>
      <c r="D105" s="306">
        <v>533.05999999999995</v>
      </c>
      <c r="E105" s="306">
        <v>595.07000000000005</v>
      </c>
      <c r="F105" s="306">
        <v>595.07000000000005</v>
      </c>
      <c r="G105" s="306">
        <v>0</v>
      </c>
      <c r="H105" s="306">
        <v>0</v>
      </c>
      <c r="I105" s="306">
        <v>0</v>
      </c>
      <c r="J105" s="306">
        <v>0</v>
      </c>
      <c r="K105" s="306">
        <v>0</v>
      </c>
      <c r="L105" s="306">
        <v>0</v>
      </c>
      <c r="M105" s="306">
        <v>0</v>
      </c>
      <c r="N105" s="306">
        <v>0</v>
      </c>
      <c r="O105" s="306">
        <v>0</v>
      </c>
      <c r="P105" s="306">
        <v>0</v>
      </c>
      <c r="Q105" s="306">
        <v>0</v>
      </c>
      <c r="R105" s="306">
        <v>0</v>
      </c>
      <c r="S105" s="306">
        <v>0</v>
      </c>
      <c r="T105" s="306">
        <v>0</v>
      </c>
      <c r="U105" s="306">
        <v>0</v>
      </c>
      <c r="V105" s="306">
        <v>0</v>
      </c>
      <c r="W105" s="306">
        <v>0</v>
      </c>
      <c r="X105" s="306">
        <v>0</v>
      </c>
      <c r="Y105" s="306">
        <v>0</v>
      </c>
      <c r="Z105" s="306">
        <v>0</v>
      </c>
      <c r="AA105" s="306">
        <v>0</v>
      </c>
      <c r="AB105" s="306">
        <v>0</v>
      </c>
      <c r="AC105" s="306">
        <v>0</v>
      </c>
      <c r="AD105" s="306">
        <v>0</v>
      </c>
      <c r="AE105" s="306">
        <v>0</v>
      </c>
      <c r="AF105" s="306">
        <v>0</v>
      </c>
      <c r="AG105" s="306">
        <v>0</v>
      </c>
      <c r="AH105" s="306">
        <v>0</v>
      </c>
      <c r="AI105" s="306">
        <v>0</v>
      </c>
      <c r="AJ105" s="306">
        <v>0</v>
      </c>
      <c r="AK105" s="306">
        <v>0</v>
      </c>
      <c r="AL105" s="306">
        <v>0</v>
      </c>
      <c r="AM105" s="306">
        <v>0</v>
      </c>
      <c r="AN105" s="306">
        <v>0</v>
      </c>
      <c r="AO105" s="306">
        <v>0</v>
      </c>
      <c r="AP105" s="306">
        <v>0</v>
      </c>
      <c r="AQ105" s="306">
        <v>0</v>
      </c>
      <c r="AR105" s="306">
        <v>0</v>
      </c>
      <c r="AS105" s="306">
        <v>0</v>
      </c>
      <c r="AT105" s="306">
        <v>0</v>
      </c>
      <c r="AU105" s="306">
        <v>0</v>
      </c>
      <c r="AV105" s="306">
        <v>0</v>
      </c>
      <c r="AW105" s="306">
        <v>0</v>
      </c>
      <c r="AX105" s="306">
        <v>0</v>
      </c>
      <c r="AY105" s="306">
        <v>0</v>
      </c>
      <c r="AZ105" s="306">
        <v>0</v>
      </c>
      <c r="BA105" s="306">
        <v>0</v>
      </c>
      <c r="BB105" s="306">
        <v>0</v>
      </c>
      <c r="BC105" s="306">
        <v>0</v>
      </c>
      <c r="BD105" s="306">
        <v>0</v>
      </c>
      <c r="BE105" s="306">
        <v>0</v>
      </c>
      <c r="BF105" s="306">
        <v>0</v>
      </c>
      <c r="BG105" s="306">
        <v>0</v>
      </c>
      <c r="BH105" s="306">
        <v>0</v>
      </c>
      <c r="BI105" s="306">
        <v>0</v>
      </c>
      <c r="BJ105" s="306">
        <v>0</v>
      </c>
      <c r="BK105" s="306">
        <v>0</v>
      </c>
      <c r="BL105" s="306">
        <v>0</v>
      </c>
      <c r="BM105" s="306">
        <v>0</v>
      </c>
      <c r="BN105" s="306">
        <v>0</v>
      </c>
      <c r="BO105" s="306">
        <v>0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  <c r="CM105" s="306">
        <v>0</v>
      </c>
      <c r="CN105" s="306">
        <v>0</v>
      </c>
      <c r="CO105" s="306">
        <v>0</v>
      </c>
      <c r="CP105" s="306">
        <v>0</v>
      </c>
      <c r="CQ105" s="306">
        <v>0</v>
      </c>
      <c r="CR105" s="306">
        <v>0</v>
      </c>
      <c r="CS105" s="306">
        <v>0</v>
      </c>
      <c r="CT105" s="306">
        <v>0</v>
      </c>
      <c r="CU105" s="306">
        <v>0</v>
      </c>
      <c r="CV105" s="306">
        <v>0</v>
      </c>
      <c r="CW105" s="306">
        <v>0</v>
      </c>
      <c r="CX105" s="306">
        <v>0</v>
      </c>
    </row>
    <row r="106" spans="3:102" x14ac:dyDescent="0.25">
      <c r="C106" s="305">
        <v>98</v>
      </c>
      <c r="D106" s="306">
        <v>734.22</v>
      </c>
      <c r="E106" s="306">
        <v>734.22</v>
      </c>
      <c r="F106" s="306">
        <v>0</v>
      </c>
      <c r="G106" s="306">
        <v>0</v>
      </c>
      <c r="H106" s="306">
        <v>0</v>
      </c>
      <c r="I106" s="306">
        <v>0</v>
      </c>
      <c r="J106" s="306">
        <v>0</v>
      </c>
      <c r="K106" s="306">
        <v>0</v>
      </c>
      <c r="L106" s="306">
        <v>0</v>
      </c>
      <c r="M106" s="306">
        <v>0</v>
      </c>
      <c r="N106" s="306">
        <v>0</v>
      </c>
      <c r="O106" s="306">
        <v>0</v>
      </c>
      <c r="P106" s="306">
        <v>0</v>
      </c>
      <c r="Q106" s="306">
        <v>0</v>
      </c>
      <c r="R106" s="306">
        <v>0</v>
      </c>
      <c r="S106" s="306">
        <v>0</v>
      </c>
      <c r="T106" s="306">
        <v>0</v>
      </c>
      <c r="U106" s="306">
        <v>0</v>
      </c>
      <c r="V106" s="306">
        <v>0</v>
      </c>
      <c r="W106" s="306">
        <v>0</v>
      </c>
      <c r="X106" s="306">
        <v>0</v>
      </c>
      <c r="Y106" s="306">
        <v>0</v>
      </c>
      <c r="Z106" s="306">
        <v>0</v>
      </c>
      <c r="AA106" s="306">
        <v>0</v>
      </c>
      <c r="AB106" s="306">
        <v>0</v>
      </c>
      <c r="AC106" s="306">
        <v>0</v>
      </c>
      <c r="AD106" s="306">
        <v>0</v>
      </c>
      <c r="AE106" s="306">
        <v>0</v>
      </c>
      <c r="AF106" s="306">
        <v>0</v>
      </c>
      <c r="AG106" s="306">
        <v>0</v>
      </c>
      <c r="AH106" s="306">
        <v>0</v>
      </c>
      <c r="AI106" s="306">
        <v>0</v>
      </c>
      <c r="AJ106" s="306">
        <v>0</v>
      </c>
      <c r="AK106" s="306">
        <v>0</v>
      </c>
      <c r="AL106" s="306">
        <v>0</v>
      </c>
      <c r="AM106" s="306">
        <v>0</v>
      </c>
      <c r="AN106" s="306">
        <v>0</v>
      </c>
      <c r="AO106" s="306">
        <v>0</v>
      </c>
      <c r="AP106" s="306">
        <v>0</v>
      </c>
      <c r="AQ106" s="306">
        <v>0</v>
      </c>
      <c r="AR106" s="306">
        <v>0</v>
      </c>
      <c r="AS106" s="306">
        <v>0</v>
      </c>
      <c r="AT106" s="306">
        <v>0</v>
      </c>
      <c r="AU106" s="306">
        <v>0</v>
      </c>
      <c r="AV106" s="306">
        <v>0</v>
      </c>
      <c r="AW106" s="306">
        <v>0</v>
      </c>
      <c r="AX106" s="306">
        <v>0</v>
      </c>
      <c r="AY106" s="306">
        <v>0</v>
      </c>
      <c r="AZ106" s="306">
        <v>0</v>
      </c>
      <c r="BA106" s="306">
        <v>0</v>
      </c>
      <c r="BB106" s="306">
        <v>0</v>
      </c>
      <c r="BC106" s="306">
        <v>0</v>
      </c>
      <c r="BD106" s="306">
        <v>0</v>
      </c>
      <c r="BE106" s="306">
        <v>0</v>
      </c>
      <c r="BF106" s="306">
        <v>0</v>
      </c>
      <c r="BG106" s="306">
        <v>0</v>
      </c>
      <c r="BH106" s="306">
        <v>0</v>
      </c>
      <c r="BI106" s="306">
        <v>0</v>
      </c>
      <c r="BJ106" s="306">
        <v>0</v>
      </c>
      <c r="BK106" s="306">
        <v>0</v>
      </c>
      <c r="BL106" s="306">
        <v>0</v>
      </c>
      <c r="BM106" s="306">
        <v>0</v>
      </c>
      <c r="BN106" s="306">
        <v>0</v>
      </c>
      <c r="BO106" s="306">
        <v>0</v>
      </c>
      <c r="BP106" s="306">
        <v>0</v>
      </c>
      <c r="BQ106" s="306">
        <v>0</v>
      </c>
      <c r="BR106" s="306">
        <v>0</v>
      </c>
      <c r="BS106" s="306">
        <v>0</v>
      </c>
      <c r="BT106" s="306">
        <v>0</v>
      </c>
      <c r="BU106" s="306">
        <v>0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0</v>
      </c>
      <c r="CM106" s="306">
        <v>0</v>
      </c>
      <c r="CN106" s="306">
        <v>0</v>
      </c>
      <c r="CO106" s="306">
        <v>0</v>
      </c>
      <c r="CP106" s="306">
        <v>0</v>
      </c>
      <c r="CQ106" s="306">
        <v>0</v>
      </c>
      <c r="CR106" s="306">
        <v>0</v>
      </c>
      <c r="CS106" s="306">
        <v>0</v>
      </c>
      <c r="CT106" s="306">
        <v>0</v>
      </c>
      <c r="CU106" s="306">
        <v>0</v>
      </c>
      <c r="CV106" s="306">
        <v>0</v>
      </c>
      <c r="CW106" s="306">
        <v>0</v>
      </c>
      <c r="CX106" s="306">
        <v>0</v>
      </c>
    </row>
    <row r="107" spans="3:102" x14ac:dyDescent="0.25">
      <c r="C107" s="305">
        <v>99</v>
      </c>
      <c r="D107" s="306" t="e">
        <f>#DIV/0!</f>
        <v>#DIV/0!</v>
      </c>
      <c r="E107" s="306">
        <v>0</v>
      </c>
      <c r="F107" s="306">
        <v>0</v>
      </c>
      <c r="G107" s="306">
        <v>0</v>
      </c>
      <c r="H107" s="306">
        <v>0</v>
      </c>
      <c r="I107" s="306">
        <v>0</v>
      </c>
      <c r="J107" s="306">
        <v>0</v>
      </c>
      <c r="K107" s="306">
        <v>0</v>
      </c>
      <c r="L107" s="306">
        <v>0</v>
      </c>
      <c r="M107" s="306">
        <v>0</v>
      </c>
      <c r="N107" s="306">
        <v>0</v>
      </c>
      <c r="O107" s="306">
        <v>0</v>
      </c>
      <c r="P107" s="306">
        <v>0</v>
      </c>
      <c r="Q107" s="306">
        <v>0</v>
      </c>
      <c r="R107" s="306">
        <v>0</v>
      </c>
      <c r="S107" s="306">
        <v>0</v>
      </c>
      <c r="T107" s="306">
        <v>0</v>
      </c>
      <c r="U107" s="306">
        <v>0</v>
      </c>
      <c r="V107" s="306">
        <v>0</v>
      </c>
      <c r="W107" s="306">
        <v>0</v>
      </c>
      <c r="X107" s="306">
        <v>0</v>
      </c>
      <c r="Y107" s="306">
        <v>0</v>
      </c>
      <c r="Z107" s="306">
        <v>0</v>
      </c>
      <c r="AA107" s="306">
        <v>0</v>
      </c>
      <c r="AB107" s="306">
        <v>0</v>
      </c>
      <c r="AC107" s="306">
        <v>0</v>
      </c>
      <c r="AD107" s="306">
        <v>0</v>
      </c>
      <c r="AE107" s="306">
        <v>0</v>
      </c>
      <c r="AF107" s="306">
        <v>0</v>
      </c>
      <c r="AG107" s="306">
        <v>0</v>
      </c>
      <c r="AH107" s="306">
        <v>0</v>
      </c>
      <c r="AI107" s="306">
        <v>0</v>
      </c>
      <c r="AJ107" s="306">
        <v>0</v>
      </c>
      <c r="AK107" s="306">
        <v>0</v>
      </c>
      <c r="AL107" s="306">
        <v>0</v>
      </c>
      <c r="AM107" s="306">
        <v>0</v>
      </c>
      <c r="AN107" s="306">
        <v>0</v>
      </c>
      <c r="AO107" s="306">
        <v>0</v>
      </c>
      <c r="AP107" s="306">
        <v>0</v>
      </c>
      <c r="AQ107" s="306">
        <v>0</v>
      </c>
      <c r="AR107" s="306">
        <v>0</v>
      </c>
      <c r="AS107" s="306">
        <v>0</v>
      </c>
      <c r="AT107" s="306">
        <v>0</v>
      </c>
      <c r="AU107" s="306">
        <v>0</v>
      </c>
      <c r="AV107" s="306">
        <v>0</v>
      </c>
      <c r="AW107" s="306">
        <v>0</v>
      </c>
      <c r="AX107" s="306">
        <v>0</v>
      </c>
      <c r="AY107" s="306">
        <v>0</v>
      </c>
      <c r="AZ107" s="306">
        <v>0</v>
      </c>
      <c r="BA107" s="306">
        <v>0</v>
      </c>
      <c r="BB107" s="306">
        <v>0</v>
      </c>
      <c r="BC107" s="306">
        <v>0</v>
      </c>
      <c r="BD107" s="306">
        <v>0</v>
      </c>
      <c r="BE107" s="306">
        <v>0</v>
      </c>
      <c r="BF107" s="306">
        <v>0</v>
      </c>
      <c r="BG107" s="306">
        <v>0</v>
      </c>
      <c r="BH107" s="306">
        <v>0</v>
      </c>
      <c r="BI107" s="306">
        <v>0</v>
      </c>
      <c r="BJ107" s="306">
        <v>0</v>
      </c>
      <c r="BK107" s="306">
        <v>0</v>
      </c>
      <c r="BL107" s="306">
        <v>0</v>
      </c>
      <c r="BM107" s="306">
        <v>0</v>
      </c>
      <c r="BN107" s="306">
        <v>0</v>
      </c>
      <c r="BO107" s="306">
        <v>0</v>
      </c>
      <c r="BP107" s="306">
        <v>0</v>
      </c>
      <c r="BQ107" s="306">
        <v>0</v>
      </c>
      <c r="BR107" s="306">
        <v>0</v>
      </c>
      <c r="BS107" s="306">
        <v>0</v>
      </c>
      <c r="BT107" s="306">
        <v>0</v>
      </c>
      <c r="BU107" s="306">
        <v>0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  <c r="CM107" s="306">
        <v>0</v>
      </c>
      <c r="CN107" s="306">
        <v>0</v>
      </c>
      <c r="CO107" s="306">
        <v>0</v>
      </c>
      <c r="CP107" s="306">
        <v>0</v>
      </c>
      <c r="CQ107" s="306">
        <v>0</v>
      </c>
      <c r="CR107" s="306">
        <v>0</v>
      </c>
      <c r="CS107" s="306">
        <v>0</v>
      </c>
      <c r="CT107" s="306">
        <v>0</v>
      </c>
      <c r="CU107" s="306">
        <v>0</v>
      </c>
      <c r="CV107" s="306">
        <v>0</v>
      </c>
      <c r="CW107" s="306">
        <v>0</v>
      </c>
      <c r="CX107" s="306">
        <v>0</v>
      </c>
    </row>
    <row r="118" spans="3:102" x14ac:dyDescent="0.25">
      <c r="C118" s="300" t="s">
        <v>442</v>
      </c>
      <c r="D118" s="301" t="s">
        <v>441</v>
      </c>
      <c r="E118" s="302"/>
      <c r="F118" s="302"/>
      <c r="G118" s="302"/>
      <c r="H118" s="302"/>
      <c r="I118" s="302"/>
      <c r="J118" s="302"/>
      <c r="K118" s="302"/>
      <c r="L118" s="302"/>
      <c r="M118" s="302"/>
      <c r="N118" s="302"/>
      <c r="O118" s="302"/>
      <c r="P118" s="302"/>
      <c r="Q118" s="302"/>
      <c r="R118" s="302"/>
      <c r="S118" s="302"/>
      <c r="T118" s="302"/>
      <c r="U118" s="302"/>
      <c r="V118" s="302"/>
      <c r="W118" s="302"/>
      <c r="X118" s="302"/>
      <c r="Y118" s="302"/>
      <c r="Z118" s="302"/>
      <c r="AA118" s="302"/>
      <c r="AB118" s="302"/>
      <c r="AC118" s="302"/>
      <c r="AD118" s="302"/>
      <c r="AE118" s="302"/>
      <c r="AF118" s="302"/>
      <c r="AG118" s="302"/>
      <c r="AH118" s="302"/>
      <c r="AI118" s="302"/>
      <c r="AJ118" s="302"/>
      <c r="AK118" s="302"/>
      <c r="AL118" s="302"/>
      <c r="AM118" s="302"/>
      <c r="AN118" s="302"/>
      <c r="AO118" s="302"/>
      <c r="AP118" s="302"/>
      <c r="AQ118" s="302"/>
      <c r="AR118" s="302"/>
      <c r="AS118" s="302"/>
      <c r="AT118" s="302"/>
      <c r="AU118" s="302"/>
      <c r="AV118" s="302"/>
      <c r="AW118" s="302"/>
      <c r="AX118" s="302"/>
      <c r="AY118" s="302"/>
      <c r="AZ118" s="302"/>
      <c r="BA118" s="302"/>
      <c r="BB118" s="302"/>
      <c r="BC118" s="302"/>
      <c r="BD118" s="302"/>
      <c r="BE118" s="302"/>
      <c r="BF118" s="302"/>
      <c r="BG118" s="302"/>
      <c r="BH118" s="302"/>
      <c r="BI118" s="302"/>
      <c r="BJ118" s="302"/>
      <c r="BK118" s="302"/>
      <c r="BL118" s="302"/>
      <c r="BM118" s="302"/>
      <c r="BN118" s="302"/>
      <c r="BO118" s="302"/>
      <c r="BP118" s="302"/>
      <c r="BQ118" s="302"/>
      <c r="BR118" s="302"/>
      <c r="BS118" s="302"/>
      <c r="BT118" s="302"/>
      <c r="BU118" s="302"/>
      <c r="BV118" s="302"/>
      <c r="BW118" s="302"/>
      <c r="BX118" s="302"/>
      <c r="BY118" s="302"/>
      <c r="BZ118" s="302"/>
      <c r="CA118" s="302"/>
      <c r="CB118" s="302"/>
      <c r="CC118" s="302"/>
      <c r="CD118" s="302"/>
      <c r="CE118" s="302"/>
      <c r="CF118" s="302"/>
      <c r="CG118" s="302"/>
      <c r="CH118" s="302"/>
      <c r="CI118" s="302"/>
      <c r="CJ118" s="302"/>
      <c r="CK118" s="302"/>
      <c r="CL118" s="302"/>
      <c r="CM118" s="302"/>
      <c r="CN118" s="302"/>
      <c r="CO118" s="302"/>
      <c r="CP118" s="302"/>
      <c r="CQ118" s="302"/>
      <c r="CR118" s="302"/>
      <c r="CS118" s="302"/>
      <c r="CT118" s="302"/>
      <c r="CU118" s="302"/>
      <c r="CV118" s="302"/>
      <c r="CW118" s="302"/>
      <c r="CX118" s="302"/>
    </row>
    <row r="119" spans="3:102" x14ac:dyDescent="0.25">
      <c r="C119" s="303" t="s">
        <v>20</v>
      </c>
      <c r="D119" s="304">
        <v>1</v>
      </c>
      <c r="E119" s="304">
        <v>2</v>
      </c>
      <c r="F119" s="304">
        <v>3</v>
      </c>
      <c r="G119" s="304">
        <v>4</v>
      </c>
      <c r="H119" s="304">
        <v>5</v>
      </c>
      <c r="I119" s="304">
        <v>6</v>
      </c>
      <c r="J119" s="304">
        <v>7</v>
      </c>
      <c r="K119" s="304">
        <v>8</v>
      </c>
      <c r="L119" s="304">
        <v>9</v>
      </c>
      <c r="M119" s="304">
        <v>10</v>
      </c>
      <c r="N119" s="304">
        <v>11</v>
      </c>
      <c r="O119" s="304">
        <v>12</v>
      </c>
      <c r="P119" s="304">
        <v>13</v>
      </c>
      <c r="Q119" s="304">
        <v>14</v>
      </c>
      <c r="R119" s="304">
        <v>15</v>
      </c>
      <c r="S119" s="304">
        <v>16</v>
      </c>
      <c r="T119" s="304">
        <v>17</v>
      </c>
      <c r="U119" s="304">
        <v>18</v>
      </c>
      <c r="V119" s="304">
        <v>19</v>
      </c>
      <c r="W119" s="304">
        <v>20</v>
      </c>
      <c r="X119" s="304">
        <v>21</v>
      </c>
      <c r="Y119" s="304">
        <v>22</v>
      </c>
      <c r="Z119" s="304">
        <v>23</v>
      </c>
      <c r="AA119" s="304">
        <v>24</v>
      </c>
      <c r="AB119" s="304">
        <v>25</v>
      </c>
      <c r="AC119" s="304">
        <v>26</v>
      </c>
      <c r="AD119" s="304">
        <v>27</v>
      </c>
      <c r="AE119" s="304">
        <v>28</v>
      </c>
      <c r="AF119" s="304">
        <v>29</v>
      </c>
      <c r="AG119" s="304">
        <v>30</v>
      </c>
      <c r="AH119" s="304">
        <v>31</v>
      </c>
      <c r="AI119" s="304">
        <v>32</v>
      </c>
      <c r="AJ119" s="304">
        <v>33</v>
      </c>
      <c r="AK119" s="304">
        <v>34</v>
      </c>
      <c r="AL119" s="304">
        <v>35</v>
      </c>
      <c r="AM119" s="304">
        <v>36</v>
      </c>
      <c r="AN119" s="304">
        <v>37</v>
      </c>
      <c r="AO119" s="304">
        <v>38</v>
      </c>
      <c r="AP119" s="304">
        <v>39</v>
      </c>
      <c r="AQ119" s="304">
        <v>40</v>
      </c>
      <c r="AR119" s="304">
        <v>41</v>
      </c>
      <c r="AS119" s="304">
        <v>42</v>
      </c>
      <c r="AT119" s="304">
        <v>43</v>
      </c>
      <c r="AU119" s="304">
        <v>44</v>
      </c>
      <c r="AV119" s="304">
        <v>45</v>
      </c>
      <c r="AW119" s="304">
        <v>46</v>
      </c>
      <c r="AX119" s="304">
        <v>47</v>
      </c>
      <c r="AY119" s="304">
        <v>48</v>
      </c>
      <c r="AZ119" s="304">
        <v>49</v>
      </c>
      <c r="BA119" s="304">
        <v>50</v>
      </c>
      <c r="BB119" s="304">
        <v>51</v>
      </c>
      <c r="BC119" s="304">
        <v>52</v>
      </c>
      <c r="BD119" s="304">
        <v>53</v>
      </c>
      <c r="BE119" s="304">
        <v>54</v>
      </c>
      <c r="BF119" s="304">
        <v>55</v>
      </c>
      <c r="BG119" s="304">
        <v>56</v>
      </c>
      <c r="BH119" s="304">
        <v>57</v>
      </c>
      <c r="BI119" s="304">
        <v>58</v>
      </c>
      <c r="BJ119" s="304">
        <v>59</v>
      </c>
      <c r="BK119" s="304">
        <v>60</v>
      </c>
      <c r="BL119" s="304">
        <v>61</v>
      </c>
      <c r="BM119" s="304">
        <v>62</v>
      </c>
      <c r="BN119" s="304">
        <v>63</v>
      </c>
      <c r="BO119" s="304">
        <v>64</v>
      </c>
      <c r="BP119" s="304">
        <v>65</v>
      </c>
      <c r="BQ119" s="304">
        <v>66</v>
      </c>
      <c r="BR119" s="304">
        <v>67</v>
      </c>
      <c r="BS119" s="304">
        <v>68</v>
      </c>
      <c r="BT119" s="304">
        <v>69</v>
      </c>
      <c r="BU119" s="304">
        <v>70</v>
      </c>
      <c r="BV119" s="304">
        <v>71</v>
      </c>
      <c r="BW119" s="304">
        <v>72</v>
      </c>
      <c r="BX119" s="304">
        <v>73</v>
      </c>
      <c r="BY119" s="304">
        <v>74</v>
      </c>
      <c r="BZ119" s="304">
        <v>75</v>
      </c>
      <c r="CA119" s="304">
        <v>76</v>
      </c>
      <c r="CB119" s="304">
        <v>77</v>
      </c>
      <c r="CC119" s="304">
        <v>78</v>
      </c>
      <c r="CD119" s="304">
        <v>79</v>
      </c>
      <c r="CE119" s="304">
        <v>80</v>
      </c>
      <c r="CF119" s="304">
        <v>81</v>
      </c>
      <c r="CG119" s="304">
        <v>82</v>
      </c>
      <c r="CH119" s="304">
        <v>83</v>
      </c>
      <c r="CI119" s="304">
        <v>84</v>
      </c>
      <c r="CJ119" s="304">
        <v>85</v>
      </c>
      <c r="CK119" s="304">
        <v>86</v>
      </c>
      <c r="CL119" s="304">
        <v>87</v>
      </c>
      <c r="CM119" s="304">
        <v>88</v>
      </c>
      <c r="CN119" s="304">
        <v>89</v>
      </c>
      <c r="CO119" s="304">
        <v>90</v>
      </c>
      <c r="CP119" s="304">
        <v>91</v>
      </c>
      <c r="CQ119" s="304">
        <v>92</v>
      </c>
      <c r="CR119" s="304">
        <v>93</v>
      </c>
      <c r="CS119" s="304">
        <v>94</v>
      </c>
      <c r="CT119" s="304">
        <v>95</v>
      </c>
      <c r="CU119" s="304">
        <v>96</v>
      </c>
      <c r="CV119" s="304">
        <v>97</v>
      </c>
      <c r="CW119" s="304">
        <v>98</v>
      </c>
      <c r="CX119" s="304">
        <v>99</v>
      </c>
    </row>
    <row r="120" spans="3:102" x14ac:dyDescent="0.25">
      <c r="C120" s="305">
        <v>0</v>
      </c>
      <c r="D120" s="306">
        <v>1.85</v>
      </c>
      <c r="E120" s="306">
        <v>1.35</v>
      </c>
      <c r="F120" s="306">
        <v>1.17</v>
      </c>
      <c r="G120" s="306">
        <v>1.07</v>
      </c>
      <c r="H120" s="306">
        <v>1.01</v>
      </c>
      <c r="I120" s="306">
        <v>0.97</v>
      </c>
      <c r="J120" s="306">
        <v>0.94</v>
      </c>
      <c r="K120" s="306">
        <v>0.91</v>
      </c>
      <c r="L120" s="306">
        <v>0.89</v>
      </c>
      <c r="M120" s="306">
        <v>0.87</v>
      </c>
      <c r="N120" s="306">
        <v>0.86</v>
      </c>
      <c r="O120" s="306">
        <v>0.85</v>
      </c>
      <c r="P120" s="306">
        <v>0.84</v>
      </c>
      <c r="Q120" s="306">
        <v>0.84</v>
      </c>
      <c r="R120" s="306">
        <v>0.83</v>
      </c>
      <c r="S120" s="306">
        <v>0.83</v>
      </c>
      <c r="T120" s="306">
        <v>0.84</v>
      </c>
      <c r="U120" s="306">
        <v>0.84</v>
      </c>
      <c r="V120" s="306">
        <v>0.84</v>
      </c>
      <c r="W120" s="306">
        <v>0.84</v>
      </c>
      <c r="X120" s="306">
        <v>0.85</v>
      </c>
      <c r="Y120" s="306">
        <v>0.85</v>
      </c>
      <c r="Z120" s="306">
        <v>0.85</v>
      </c>
      <c r="AA120" s="306">
        <v>0.86</v>
      </c>
      <c r="AB120" s="306">
        <v>0.86</v>
      </c>
      <c r="AC120" s="306">
        <v>0.86</v>
      </c>
      <c r="AD120" s="306">
        <v>0.86</v>
      </c>
      <c r="AE120" s="306">
        <v>0.86</v>
      </c>
      <c r="AF120" s="306">
        <v>0.87</v>
      </c>
      <c r="AG120" s="306">
        <v>0.87</v>
      </c>
      <c r="AH120" s="306">
        <v>0.87</v>
      </c>
      <c r="AI120" s="306">
        <v>0.87</v>
      </c>
      <c r="AJ120" s="306">
        <v>0.87</v>
      </c>
      <c r="AK120" s="306">
        <v>0.87</v>
      </c>
      <c r="AL120" s="306">
        <v>0.87</v>
      </c>
      <c r="AM120" s="306">
        <v>0.88</v>
      </c>
      <c r="AN120" s="306">
        <v>0.88</v>
      </c>
      <c r="AO120" s="306">
        <v>0.88</v>
      </c>
      <c r="AP120" s="306">
        <v>0.88</v>
      </c>
      <c r="AQ120" s="306">
        <v>0.88</v>
      </c>
      <c r="AR120" s="306">
        <v>0.88</v>
      </c>
      <c r="AS120" s="306">
        <v>0.88</v>
      </c>
      <c r="AT120" s="306">
        <v>0.89</v>
      </c>
      <c r="AU120" s="306">
        <v>0.89</v>
      </c>
      <c r="AV120" s="306">
        <v>0.89</v>
      </c>
      <c r="AW120" s="306">
        <v>0.89</v>
      </c>
      <c r="AX120" s="306">
        <v>0.89</v>
      </c>
      <c r="AY120" s="306">
        <v>0.89</v>
      </c>
      <c r="AZ120" s="306">
        <v>0.89</v>
      </c>
      <c r="BA120" s="306">
        <v>0.89</v>
      </c>
      <c r="BB120" s="306">
        <v>0.89</v>
      </c>
      <c r="BC120" s="306">
        <v>0.89</v>
      </c>
      <c r="BD120" s="306">
        <v>0.9</v>
      </c>
      <c r="BE120" s="306">
        <v>0.9</v>
      </c>
      <c r="BF120" s="306">
        <v>0.9</v>
      </c>
      <c r="BG120" s="306">
        <v>0.9</v>
      </c>
      <c r="BH120" s="306">
        <v>0.9</v>
      </c>
      <c r="BI120" s="306">
        <v>0.9</v>
      </c>
      <c r="BJ120" s="306">
        <v>0.9</v>
      </c>
      <c r="BK120" s="306">
        <v>0.9</v>
      </c>
      <c r="BL120" s="306">
        <v>0.9</v>
      </c>
      <c r="BM120" s="306">
        <v>0.9</v>
      </c>
      <c r="BN120" s="306">
        <v>0.9</v>
      </c>
      <c r="BO120" s="306">
        <v>0.9</v>
      </c>
      <c r="BP120" s="306">
        <v>0.9</v>
      </c>
      <c r="BQ120" s="306">
        <v>0.9</v>
      </c>
      <c r="BR120" s="306">
        <v>0.9</v>
      </c>
      <c r="BS120" s="306">
        <v>0.9</v>
      </c>
      <c r="BT120" s="306">
        <v>0.9</v>
      </c>
      <c r="BU120" s="306">
        <v>0.9</v>
      </c>
      <c r="BV120" s="306">
        <v>0.9</v>
      </c>
      <c r="BW120" s="306">
        <v>0.9</v>
      </c>
      <c r="BX120" s="306">
        <v>0.9</v>
      </c>
      <c r="BY120" s="306">
        <v>0.9</v>
      </c>
      <c r="BZ120" s="306">
        <v>0.9</v>
      </c>
      <c r="CA120" s="306">
        <v>0.9</v>
      </c>
      <c r="CB120" s="306">
        <v>0.91</v>
      </c>
      <c r="CC120" s="306">
        <v>0.91</v>
      </c>
      <c r="CD120" s="306">
        <v>0.91</v>
      </c>
      <c r="CE120" s="306">
        <v>0.91</v>
      </c>
      <c r="CF120" s="306">
        <v>0.91</v>
      </c>
      <c r="CG120" s="306">
        <v>0.91</v>
      </c>
      <c r="CH120" s="306">
        <v>0.91</v>
      </c>
      <c r="CI120" s="306">
        <v>0.91</v>
      </c>
      <c r="CJ120" s="306">
        <v>0.91</v>
      </c>
      <c r="CK120" s="306">
        <v>0.91</v>
      </c>
      <c r="CL120" s="306">
        <v>0.91</v>
      </c>
      <c r="CM120" s="306">
        <v>0.91</v>
      </c>
      <c r="CN120" s="306">
        <v>0.91</v>
      </c>
      <c r="CO120" s="306">
        <v>0.91</v>
      </c>
      <c r="CP120" s="306">
        <v>0.91</v>
      </c>
      <c r="CQ120" s="306">
        <v>0.91</v>
      </c>
      <c r="CR120" s="306">
        <v>0.91</v>
      </c>
      <c r="CS120" s="306">
        <v>0.91</v>
      </c>
      <c r="CT120" s="306">
        <v>0.91</v>
      </c>
      <c r="CU120" s="306">
        <v>0.91</v>
      </c>
      <c r="CV120" s="306">
        <v>0.91</v>
      </c>
      <c r="CW120" s="306">
        <v>0.91</v>
      </c>
      <c r="CX120" s="306">
        <v>0.91</v>
      </c>
    </row>
    <row r="121" spans="3:102" x14ac:dyDescent="0.25">
      <c r="C121" s="305">
        <v>1</v>
      </c>
      <c r="D121" s="306">
        <v>0.83</v>
      </c>
      <c r="E121" s="306">
        <v>0.81</v>
      </c>
      <c r="F121" s="306">
        <v>0.8</v>
      </c>
      <c r="G121" s="306">
        <v>0.79</v>
      </c>
      <c r="H121" s="306">
        <v>0.78</v>
      </c>
      <c r="I121" s="306">
        <v>0.77</v>
      </c>
      <c r="J121" s="306">
        <v>0.76</v>
      </c>
      <c r="K121" s="306">
        <v>0.75</v>
      </c>
      <c r="L121" s="306">
        <v>0.74</v>
      </c>
      <c r="M121" s="306">
        <v>0.74</v>
      </c>
      <c r="N121" s="306">
        <v>0.73</v>
      </c>
      <c r="O121" s="306">
        <v>0.73</v>
      </c>
      <c r="P121" s="306">
        <v>0.73</v>
      </c>
      <c r="Q121" s="306">
        <v>0.74</v>
      </c>
      <c r="R121" s="306">
        <v>0.74</v>
      </c>
      <c r="S121" s="306">
        <v>0.75</v>
      </c>
      <c r="T121" s="306">
        <v>0.75</v>
      </c>
      <c r="U121" s="306">
        <v>0.76</v>
      </c>
      <c r="V121" s="306">
        <v>0.76</v>
      </c>
      <c r="W121" s="306">
        <v>0.77</v>
      </c>
      <c r="X121" s="306">
        <v>0.77</v>
      </c>
      <c r="Y121" s="306">
        <v>0.78</v>
      </c>
      <c r="Z121" s="306">
        <v>0.78</v>
      </c>
      <c r="AA121" s="306">
        <v>0.78</v>
      </c>
      <c r="AB121" s="306">
        <v>0.79</v>
      </c>
      <c r="AC121" s="306">
        <v>0.79</v>
      </c>
      <c r="AD121" s="306">
        <v>0.79</v>
      </c>
      <c r="AE121" s="306">
        <v>0.79</v>
      </c>
      <c r="AF121" s="306">
        <v>0.8</v>
      </c>
      <c r="AG121" s="306">
        <v>0.8</v>
      </c>
      <c r="AH121" s="306">
        <v>0.8</v>
      </c>
      <c r="AI121" s="306">
        <v>0.8</v>
      </c>
      <c r="AJ121" s="306">
        <v>0.8</v>
      </c>
      <c r="AK121" s="306">
        <v>0.81</v>
      </c>
      <c r="AL121" s="306">
        <v>0.81</v>
      </c>
      <c r="AM121" s="306">
        <v>0.81</v>
      </c>
      <c r="AN121" s="306">
        <v>0.81</v>
      </c>
      <c r="AO121" s="306">
        <v>0.81</v>
      </c>
      <c r="AP121" s="306">
        <v>0.81</v>
      </c>
      <c r="AQ121" s="306">
        <v>0.82</v>
      </c>
      <c r="AR121" s="306">
        <v>0.82</v>
      </c>
      <c r="AS121" s="306">
        <v>0.82</v>
      </c>
      <c r="AT121" s="306">
        <v>0.82</v>
      </c>
      <c r="AU121" s="306">
        <v>0.82</v>
      </c>
      <c r="AV121" s="306">
        <v>0.82</v>
      </c>
      <c r="AW121" s="306">
        <v>0.82</v>
      </c>
      <c r="AX121" s="306">
        <v>0.83</v>
      </c>
      <c r="AY121" s="306">
        <v>0.83</v>
      </c>
      <c r="AZ121" s="306">
        <v>0.83</v>
      </c>
      <c r="BA121" s="306">
        <v>0.83</v>
      </c>
      <c r="BB121" s="306">
        <v>0.83</v>
      </c>
      <c r="BC121" s="306">
        <v>0.83</v>
      </c>
      <c r="BD121" s="306">
        <v>0.83</v>
      </c>
      <c r="BE121" s="306">
        <v>0.83</v>
      </c>
      <c r="BF121" s="306">
        <v>0.83</v>
      </c>
      <c r="BG121" s="306">
        <v>0.83</v>
      </c>
      <c r="BH121" s="306">
        <v>0.83</v>
      </c>
      <c r="BI121" s="306">
        <v>0.84</v>
      </c>
      <c r="BJ121" s="306">
        <v>0.84</v>
      </c>
      <c r="BK121" s="306">
        <v>0.84</v>
      </c>
      <c r="BL121" s="306">
        <v>0.84</v>
      </c>
      <c r="BM121" s="306">
        <v>0.84</v>
      </c>
      <c r="BN121" s="306">
        <v>0.84</v>
      </c>
      <c r="BO121" s="306">
        <v>0.84</v>
      </c>
      <c r="BP121" s="306">
        <v>0.84</v>
      </c>
      <c r="BQ121" s="306">
        <v>0.84</v>
      </c>
      <c r="BR121" s="306">
        <v>0.84</v>
      </c>
      <c r="BS121" s="306">
        <v>0.84</v>
      </c>
      <c r="BT121" s="306">
        <v>0.84</v>
      </c>
      <c r="BU121" s="306">
        <v>0.84</v>
      </c>
      <c r="BV121" s="306">
        <v>0.84</v>
      </c>
      <c r="BW121" s="306">
        <v>0.84</v>
      </c>
      <c r="BX121" s="306">
        <v>0.84</v>
      </c>
      <c r="BY121" s="306">
        <v>0.84</v>
      </c>
      <c r="BZ121" s="306">
        <v>0.84</v>
      </c>
      <c r="CA121" s="306">
        <v>0.84</v>
      </c>
      <c r="CB121" s="306">
        <v>0.84</v>
      </c>
      <c r="CC121" s="306">
        <v>0.84</v>
      </c>
      <c r="CD121" s="306">
        <v>0.84</v>
      </c>
      <c r="CE121" s="306">
        <v>0.84</v>
      </c>
      <c r="CF121" s="306">
        <v>0.84</v>
      </c>
      <c r="CG121" s="306">
        <v>0.84</v>
      </c>
      <c r="CH121" s="306">
        <v>0.84</v>
      </c>
      <c r="CI121" s="306">
        <v>0.84</v>
      </c>
      <c r="CJ121" s="306">
        <v>0.84</v>
      </c>
      <c r="CK121" s="306">
        <v>0.84</v>
      </c>
      <c r="CL121" s="306">
        <v>0.84</v>
      </c>
      <c r="CM121" s="306">
        <v>0.84</v>
      </c>
      <c r="CN121" s="306">
        <v>0.84</v>
      </c>
      <c r="CO121" s="306">
        <v>0.84</v>
      </c>
      <c r="CP121" s="306">
        <v>0.84</v>
      </c>
      <c r="CQ121" s="306">
        <v>0.84</v>
      </c>
      <c r="CR121" s="306">
        <v>0.84</v>
      </c>
      <c r="CS121" s="306">
        <v>0.84</v>
      </c>
      <c r="CT121" s="306">
        <v>0.84</v>
      </c>
      <c r="CU121" s="306">
        <v>0.84</v>
      </c>
      <c r="CV121" s="306">
        <v>0.84</v>
      </c>
      <c r="CW121" s="306">
        <v>0.84</v>
      </c>
      <c r="CX121" s="306">
        <v>0.84</v>
      </c>
    </row>
    <row r="122" spans="3:102" x14ac:dyDescent="0.25">
      <c r="C122" s="305">
        <v>2</v>
      </c>
      <c r="D122" s="306">
        <v>0.79</v>
      </c>
      <c r="E122" s="306">
        <v>0.78</v>
      </c>
      <c r="F122" s="306">
        <v>0.77</v>
      </c>
      <c r="G122" s="306">
        <v>0.76</v>
      </c>
      <c r="H122" s="306">
        <v>0.76</v>
      </c>
      <c r="I122" s="306">
        <v>0.75</v>
      </c>
      <c r="J122" s="306">
        <v>0.74</v>
      </c>
      <c r="K122" s="306">
        <v>0.73</v>
      </c>
      <c r="L122" s="306">
        <v>0.73</v>
      </c>
      <c r="M122" s="306">
        <v>0.72</v>
      </c>
      <c r="N122" s="306">
        <v>0.72</v>
      </c>
      <c r="O122" s="306">
        <v>0.73</v>
      </c>
      <c r="P122" s="306">
        <v>0.73</v>
      </c>
      <c r="Q122" s="306">
        <v>0.74</v>
      </c>
      <c r="R122" s="306">
        <v>0.74</v>
      </c>
      <c r="S122" s="306">
        <v>0.75</v>
      </c>
      <c r="T122" s="306">
        <v>0.75</v>
      </c>
      <c r="U122" s="306">
        <v>0.76</v>
      </c>
      <c r="V122" s="306">
        <v>0.77</v>
      </c>
      <c r="W122" s="306">
        <v>0.77</v>
      </c>
      <c r="X122" s="306">
        <v>0.78</v>
      </c>
      <c r="Y122" s="306">
        <v>0.78</v>
      </c>
      <c r="Z122" s="306">
        <v>0.78</v>
      </c>
      <c r="AA122" s="306">
        <v>0.79</v>
      </c>
      <c r="AB122" s="306">
        <v>0.79</v>
      </c>
      <c r="AC122" s="306">
        <v>0.79</v>
      </c>
      <c r="AD122" s="306">
        <v>0.8</v>
      </c>
      <c r="AE122" s="306">
        <v>0.8</v>
      </c>
      <c r="AF122" s="306">
        <v>0.8</v>
      </c>
      <c r="AG122" s="306">
        <v>0.8</v>
      </c>
      <c r="AH122" s="306">
        <v>0.81</v>
      </c>
      <c r="AI122" s="306">
        <v>0.81</v>
      </c>
      <c r="AJ122" s="306">
        <v>0.81</v>
      </c>
      <c r="AK122" s="306">
        <v>0.81</v>
      </c>
      <c r="AL122" s="306">
        <v>0.81</v>
      </c>
      <c r="AM122" s="306">
        <v>0.82</v>
      </c>
      <c r="AN122" s="306">
        <v>0.82</v>
      </c>
      <c r="AO122" s="306">
        <v>0.82</v>
      </c>
      <c r="AP122" s="306">
        <v>0.82</v>
      </c>
      <c r="AQ122" s="306">
        <v>0.82</v>
      </c>
      <c r="AR122" s="306">
        <v>0.82</v>
      </c>
      <c r="AS122" s="306">
        <v>0.83</v>
      </c>
      <c r="AT122" s="306">
        <v>0.83</v>
      </c>
      <c r="AU122" s="306">
        <v>0.83</v>
      </c>
      <c r="AV122" s="306">
        <v>0.83</v>
      </c>
      <c r="AW122" s="306">
        <v>0.83</v>
      </c>
      <c r="AX122" s="306">
        <v>0.83</v>
      </c>
      <c r="AY122" s="306">
        <v>0.83</v>
      </c>
      <c r="AZ122" s="306">
        <v>0.84</v>
      </c>
      <c r="BA122" s="306">
        <v>0.84</v>
      </c>
      <c r="BB122" s="306">
        <v>0.84</v>
      </c>
      <c r="BC122" s="306">
        <v>0.84</v>
      </c>
      <c r="BD122" s="306">
        <v>0.84</v>
      </c>
      <c r="BE122" s="306">
        <v>0.84</v>
      </c>
      <c r="BF122" s="306">
        <v>0.84</v>
      </c>
      <c r="BG122" s="306">
        <v>0.84</v>
      </c>
      <c r="BH122" s="306">
        <v>0.84</v>
      </c>
      <c r="BI122" s="306">
        <v>0.84</v>
      </c>
      <c r="BJ122" s="306">
        <v>0.84</v>
      </c>
      <c r="BK122" s="306">
        <v>0.85</v>
      </c>
      <c r="BL122" s="306">
        <v>0.85</v>
      </c>
      <c r="BM122" s="306">
        <v>0.85</v>
      </c>
      <c r="BN122" s="306">
        <v>0.85</v>
      </c>
      <c r="BO122" s="306">
        <v>0.85</v>
      </c>
      <c r="BP122" s="306">
        <v>0.85</v>
      </c>
      <c r="BQ122" s="306">
        <v>0.85</v>
      </c>
      <c r="BR122" s="306">
        <v>0.85</v>
      </c>
      <c r="BS122" s="306">
        <v>0.85</v>
      </c>
      <c r="BT122" s="306">
        <v>0.85</v>
      </c>
      <c r="BU122" s="306">
        <v>0.85</v>
      </c>
      <c r="BV122" s="306">
        <v>0.85</v>
      </c>
      <c r="BW122" s="306">
        <v>0.85</v>
      </c>
      <c r="BX122" s="306">
        <v>0.85</v>
      </c>
      <c r="BY122" s="306">
        <v>0.85</v>
      </c>
      <c r="BZ122" s="306">
        <v>0.85</v>
      </c>
      <c r="CA122" s="306">
        <v>0.85</v>
      </c>
      <c r="CB122" s="306">
        <v>0.85</v>
      </c>
      <c r="CC122" s="306">
        <v>0.85</v>
      </c>
      <c r="CD122" s="306">
        <v>0.85</v>
      </c>
      <c r="CE122" s="306">
        <v>0.85</v>
      </c>
      <c r="CF122" s="306">
        <v>0.85</v>
      </c>
      <c r="CG122" s="306">
        <v>0.85</v>
      </c>
      <c r="CH122" s="306">
        <v>0.85</v>
      </c>
      <c r="CI122" s="306">
        <v>0.85</v>
      </c>
      <c r="CJ122" s="306">
        <v>0.85</v>
      </c>
      <c r="CK122" s="306">
        <v>0.85</v>
      </c>
      <c r="CL122" s="306">
        <v>0.85</v>
      </c>
      <c r="CM122" s="306">
        <v>0.85</v>
      </c>
      <c r="CN122" s="306">
        <v>0.85</v>
      </c>
      <c r="CO122" s="306">
        <v>0.85</v>
      </c>
      <c r="CP122" s="306">
        <v>0.85</v>
      </c>
      <c r="CQ122" s="306">
        <v>0.85</v>
      </c>
      <c r="CR122" s="306">
        <v>0.85</v>
      </c>
      <c r="CS122" s="306">
        <v>0.85</v>
      </c>
      <c r="CT122" s="306">
        <v>0.85</v>
      </c>
      <c r="CU122" s="306">
        <v>0.85</v>
      </c>
      <c r="CV122" s="306">
        <v>0.85</v>
      </c>
      <c r="CW122" s="306">
        <v>0.85</v>
      </c>
      <c r="CX122" s="306">
        <v>0</v>
      </c>
    </row>
    <row r="123" spans="3:102" x14ac:dyDescent="0.25">
      <c r="C123" s="305">
        <v>3</v>
      </c>
      <c r="D123" s="306">
        <v>0.77</v>
      </c>
      <c r="E123" s="306">
        <v>0.76</v>
      </c>
      <c r="F123" s="306">
        <v>0.76</v>
      </c>
      <c r="G123" s="306">
        <v>0.75</v>
      </c>
      <c r="H123" s="306">
        <v>0.74</v>
      </c>
      <c r="I123" s="306">
        <v>0.73</v>
      </c>
      <c r="J123" s="306">
        <v>0.72</v>
      </c>
      <c r="K123" s="306">
        <v>0.72</v>
      </c>
      <c r="L123" s="306">
        <v>0.72</v>
      </c>
      <c r="M123" s="306">
        <v>0.72</v>
      </c>
      <c r="N123" s="306">
        <v>0.72</v>
      </c>
      <c r="O123" s="306">
        <v>0.72</v>
      </c>
      <c r="P123" s="306">
        <v>0.73</v>
      </c>
      <c r="Q123" s="306">
        <v>0.74</v>
      </c>
      <c r="R123" s="306">
        <v>0.75</v>
      </c>
      <c r="S123" s="306">
        <v>0.75</v>
      </c>
      <c r="T123" s="306">
        <v>0.76</v>
      </c>
      <c r="U123" s="306">
        <v>0.77</v>
      </c>
      <c r="V123" s="306">
        <v>0.77</v>
      </c>
      <c r="W123" s="306">
        <v>0.78</v>
      </c>
      <c r="X123" s="306">
        <v>0.78</v>
      </c>
      <c r="Y123" s="306">
        <v>0.79</v>
      </c>
      <c r="Z123" s="306">
        <v>0.79</v>
      </c>
      <c r="AA123" s="306">
        <v>0.79</v>
      </c>
      <c r="AB123" s="306">
        <v>0.8</v>
      </c>
      <c r="AC123" s="306">
        <v>0.8</v>
      </c>
      <c r="AD123" s="306">
        <v>0.8</v>
      </c>
      <c r="AE123" s="306">
        <v>0.81</v>
      </c>
      <c r="AF123" s="306">
        <v>0.81</v>
      </c>
      <c r="AG123" s="306">
        <v>0.81</v>
      </c>
      <c r="AH123" s="306">
        <v>0.82</v>
      </c>
      <c r="AI123" s="306">
        <v>0.82</v>
      </c>
      <c r="AJ123" s="306">
        <v>0.82</v>
      </c>
      <c r="AK123" s="306">
        <v>0.82</v>
      </c>
      <c r="AL123" s="306">
        <v>0.82</v>
      </c>
      <c r="AM123" s="306">
        <v>0.83</v>
      </c>
      <c r="AN123" s="306">
        <v>0.83</v>
      </c>
      <c r="AO123" s="306">
        <v>0.83</v>
      </c>
      <c r="AP123" s="306">
        <v>0.83</v>
      </c>
      <c r="AQ123" s="306">
        <v>0.83</v>
      </c>
      <c r="AR123" s="306">
        <v>0.84</v>
      </c>
      <c r="AS123" s="306">
        <v>0.84</v>
      </c>
      <c r="AT123" s="306">
        <v>0.84</v>
      </c>
      <c r="AU123" s="306">
        <v>0.84</v>
      </c>
      <c r="AV123" s="306">
        <v>0.84</v>
      </c>
      <c r="AW123" s="306">
        <v>0.85</v>
      </c>
      <c r="AX123" s="306">
        <v>0.85</v>
      </c>
      <c r="AY123" s="306">
        <v>0.85</v>
      </c>
      <c r="AZ123" s="306">
        <v>0.85</v>
      </c>
      <c r="BA123" s="306">
        <v>0.85</v>
      </c>
      <c r="BB123" s="306">
        <v>0.85</v>
      </c>
      <c r="BC123" s="306">
        <v>0.85</v>
      </c>
      <c r="BD123" s="306">
        <v>0.85</v>
      </c>
      <c r="BE123" s="306">
        <v>0.85</v>
      </c>
      <c r="BF123" s="306">
        <v>0.86</v>
      </c>
      <c r="BG123" s="306">
        <v>0.86</v>
      </c>
      <c r="BH123" s="306">
        <v>0.86</v>
      </c>
      <c r="BI123" s="306">
        <v>0.86</v>
      </c>
      <c r="BJ123" s="306">
        <v>0.86</v>
      </c>
      <c r="BK123" s="306">
        <v>0.86</v>
      </c>
      <c r="BL123" s="306">
        <v>0.86</v>
      </c>
      <c r="BM123" s="306">
        <v>0.86</v>
      </c>
      <c r="BN123" s="306">
        <v>0.86</v>
      </c>
      <c r="BO123" s="306">
        <v>0.86</v>
      </c>
      <c r="BP123" s="306">
        <v>0.86</v>
      </c>
      <c r="BQ123" s="306">
        <v>0.86</v>
      </c>
      <c r="BR123" s="306">
        <v>0.86</v>
      </c>
      <c r="BS123" s="306">
        <v>0.86</v>
      </c>
      <c r="BT123" s="306">
        <v>0.86</v>
      </c>
      <c r="BU123" s="306">
        <v>0.86</v>
      </c>
      <c r="BV123" s="306">
        <v>0.86</v>
      </c>
      <c r="BW123" s="306">
        <v>0.86</v>
      </c>
      <c r="BX123" s="306">
        <v>0.86</v>
      </c>
      <c r="BY123" s="306">
        <v>0.86</v>
      </c>
      <c r="BZ123" s="306">
        <v>0.86</v>
      </c>
      <c r="CA123" s="306">
        <v>0.87</v>
      </c>
      <c r="CB123" s="306">
        <v>0.87</v>
      </c>
      <c r="CC123" s="306">
        <v>0.87</v>
      </c>
      <c r="CD123" s="306">
        <v>0.87</v>
      </c>
      <c r="CE123" s="306">
        <v>0.87</v>
      </c>
      <c r="CF123" s="306">
        <v>0.87</v>
      </c>
      <c r="CG123" s="306">
        <v>0.87</v>
      </c>
      <c r="CH123" s="306">
        <v>0.87</v>
      </c>
      <c r="CI123" s="306">
        <v>0.87</v>
      </c>
      <c r="CJ123" s="306">
        <v>0.87</v>
      </c>
      <c r="CK123" s="306">
        <v>0.87</v>
      </c>
      <c r="CL123" s="306">
        <v>0.87</v>
      </c>
      <c r="CM123" s="306">
        <v>0.87</v>
      </c>
      <c r="CN123" s="306">
        <v>0.87</v>
      </c>
      <c r="CO123" s="306">
        <v>0.87</v>
      </c>
      <c r="CP123" s="306">
        <v>0.87</v>
      </c>
      <c r="CQ123" s="306">
        <v>0.87</v>
      </c>
      <c r="CR123" s="306">
        <v>0.87</v>
      </c>
      <c r="CS123" s="306">
        <v>0.87</v>
      </c>
      <c r="CT123" s="306">
        <v>0.87</v>
      </c>
      <c r="CU123" s="306">
        <v>0.87</v>
      </c>
      <c r="CV123" s="306">
        <v>0.87</v>
      </c>
      <c r="CW123" s="306">
        <v>0</v>
      </c>
      <c r="CX123" s="306">
        <v>0</v>
      </c>
    </row>
    <row r="124" spans="3:102" x14ac:dyDescent="0.25">
      <c r="C124" s="305">
        <v>4</v>
      </c>
      <c r="D124" s="306">
        <v>0.76</v>
      </c>
      <c r="E124" s="306">
        <v>0.75</v>
      </c>
      <c r="F124" s="306">
        <v>0.74</v>
      </c>
      <c r="G124" s="306">
        <v>0.73</v>
      </c>
      <c r="H124" s="306">
        <v>0.72</v>
      </c>
      <c r="I124" s="306">
        <v>0.72</v>
      </c>
      <c r="J124" s="306">
        <v>0.71</v>
      </c>
      <c r="K124" s="306">
        <v>0.71</v>
      </c>
      <c r="L124" s="306">
        <v>0.71</v>
      </c>
      <c r="M124" s="306">
        <v>0.71</v>
      </c>
      <c r="N124" s="306">
        <v>0.72</v>
      </c>
      <c r="O124" s="306">
        <v>0.73</v>
      </c>
      <c r="P124" s="306">
        <v>0.74</v>
      </c>
      <c r="Q124" s="306">
        <v>0.75</v>
      </c>
      <c r="R124" s="306">
        <v>0.76</v>
      </c>
      <c r="S124" s="306">
        <v>0.76</v>
      </c>
      <c r="T124" s="306">
        <v>0.77</v>
      </c>
      <c r="U124" s="306">
        <v>0.78</v>
      </c>
      <c r="V124" s="306">
        <v>0.78</v>
      </c>
      <c r="W124" s="306">
        <v>0.79</v>
      </c>
      <c r="X124" s="306">
        <v>0.79</v>
      </c>
      <c r="Y124" s="306">
        <v>0.8</v>
      </c>
      <c r="Z124" s="306">
        <v>0.8</v>
      </c>
      <c r="AA124" s="306">
        <v>0.81</v>
      </c>
      <c r="AB124" s="306">
        <v>0.81</v>
      </c>
      <c r="AC124" s="306">
        <v>0.81</v>
      </c>
      <c r="AD124" s="306">
        <v>0.82</v>
      </c>
      <c r="AE124" s="306">
        <v>0.82</v>
      </c>
      <c r="AF124" s="306">
        <v>0.82</v>
      </c>
      <c r="AG124" s="306">
        <v>0.83</v>
      </c>
      <c r="AH124" s="306">
        <v>0.83</v>
      </c>
      <c r="AI124" s="306">
        <v>0.83</v>
      </c>
      <c r="AJ124" s="306">
        <v>0.83</v>
      </c>
      <c r="AK124" s="306">
        <v>0.84</v>
      </c>
      <c r="AL124" s="306">
        <v>0.84</v>
      </c>
      <c r="AM124" s="306">
        <v>0.84</v>
      </c>
      <c r="AN124" s="306">
        <v>0.84</v>
      </c>
      <c r="AO124" s="306">
        <v>0.85</v>
      </c>
      <c r="AP124" s="306">
        <v>0.85</v>
      </c>
      <c r="AQ124" s="306">
        <v>0.85</v>
      </c>
      <c r="AR124" s="306">
        <v>0.85</v>
      </c>
      <c r="AS124" s="306">
        <v>0.85</v>
      </c>
      <c r="AT124" s="306">
        <v>0.86</v>
      </c>
      <c r="AU124" s="306">
        <v>0.86</v>
      </c>
      <c r="AV124" s="306">
        <v>0.86</v>
      </c>
      <c r="AW124" s="306">
        <v>0.86</v>
      </c>
      <c r="AX124" s="306">
        <v>0.86</v>
      </c>
      <c r="AY124" s="306">
        <v>0.86</v>
      </c>
      <c r="AZ124" s="306">
        <v>0.87</v>
      </c>
      <c r="BA124" s="306">
        <v>0.87</v>
      </c>
      <c r="BB124" s="306">
        <v>0.87</v>
      </c>
      <c r="BC124" s="306">
        <v>0.87</v>
      </c>
      <c r="BD124" s="306">
        <v>0.87</v>
      </c>
      <c r="BE124" s="306">
        <v>0.87</v>
      </c>
      <c r="BF124" s="306">
        <v>0.87</v>
      </c>
      <c r="BG124" s="306">
        <v>0.87</v>
      </c>
      <c r="BH124" s="306">
        <v>0.87</v>
      </c>
      <c r="BI124" s="306">
        <v>0.87</v>
      </c>
      <c r="BJ124" s="306">
        <v>0.88</v>
      </c>
      <c r="BK124" s="306">
        <v>0.88</v>
      </c>
      <c r="BL124" s="306">
        <v>0.88</v>
      </c>
      <c r="BM124" s="306">
        <v>0.88</v>
      </c>
      <c r="BN124" s="306">
        <v>0.88</v>
      </c>
      <c r="BO124" s="306">
        <v>0.88</v>
      </c>
      <c r="BP124" s="306">
        <v>0.88</v>
      </c>
      <c r="BQ124" s="306">
        <v>0.88</v>
      </c>
      <c r="BR124" s="306">
        <v>0.88</v>
      </c>
      <c r="BS124" s="306">
        <v>0.88</v>
      </c>
      <c r="BT124" s="306">
        <v>0.88</v>
      </c>
      <c r="BU124" s="306">
        <v>0.88</v>
      </c>
      <c r="BV124" s="306">
        <v>0.88</v>
      </c>
      <c r="BW124" s="306">
        <v>0.88</v>
      </c>
      <c r="BX124" s="306">
        <v>0.88</v>
      </c>
      <c r="BY124" s="306">
        <v>0.88</v>
      </c>
      <c r="BZ124" s="306">
        <v>0.88</v>
      </c>
      <c r="CA124" s="306">
        <v>0.88</v>
      </c>
      <c r="CB124" s="306">
        <v>0.88</v>
      </c>
      <c r="CC124" s="306">
        <v>0.88</v>
      </c>
      <c r="CD124" s="306">
        <v>0.88</v>
      </c>
      <c r="CE124" s="306">
        <v>0.88</v>
      </c>
      <c r="CF124" s="306">
        <v>0.88</v>
      </c>
      <c r="CG124" s="306">
        <v>0.88</v>
      </c>
      <c r="CH124" s="306">
        <v>0.88</v>
      </c>
      <c r="CI124" s="306">
        <v>0.88</v>
      </c>
      <c r="CJ124" s="306">
        <v>0.88</v>
      </c>
      <c r="CK124" s="306">
        <v>0.88</v>
      </c>
      <c r="CL124" s="306">
        <v>0.88</v>
      </c>
      <c r="CM124" s="306">
        <v>0.88</v>
      </c>
      <c r="CN124" s="306">
        <v>0.88</v>
      </c>
      <c r="CO124" s="306">
        <v>0.88</v>
      </c>
      <c r="CP124" s="306">
        <v>0.88</v>
      </c>
      <c r="CQ124" s="306">
        <v>0.88</v>
      </c>
      <c r="CR124" s="306">
        <v>0.88</v>
      </c>
      <c r="CS124" s="306">
        <v>0.88</v>
      </c>
      <c r="CT124" s="306">
        <v>0.88</v>
      </c>
      <c r="CU124" s="306">
        <v>0.88</v>
      </c>
      <c r="CV124" s="306">
        <v>0</v>
      </c>
      <c r="CW124" s="306">
        <v>0</v>
      </c>
      <c r="CX124" s="306">
        <v>0</v>
      </c>
    </row>
    <row r="125" spans="3:102" x14ac:dyDescent="0.25">
      <c r="C125" s="305">
        <v>5</v>
      </c>
      <c r="D125" s="306">
        <v>0.74</v>
      </c>
      <c r="E125" s="306">
        <v>0.73</v>
      </c>
      <c r="F125" s="306">
        <v>0.72</v>
      </c>
      <c r="G125" s="306">
        <v>0.71</v>
      </c>
      <c r="H125" s="306">
        <v>0.71</v>
      </c>
      <c r="I125" s="306">
        <v>0.7</v>
      </c>
      <c r="J125" s="306">
        <v>0.7</v>
      </c>
      <c r="K125" s="306">
        <v>0.7</v>
      </c>
      <c r="L125" s="306">
        <v>0.71</v>
      </c>
      <c r="M125" s="306">
        <v>0.72</v>
      </c>
      <c r="N125" s="306">
        <v>0.73</v>
      </c>
      <c r="O125" s="306">
        <v>0.74</v>
      </c>
      <c r="P125" s="306">
        <v>0.75</v>
      </c>
      <c r="Q125" s="306">
        <v>0.76</v>
      </c>
      <c r="R125" s="306">
        <v>0.77</v>
      </c>
      <c r="S125" s="306">
        <v>0.78</v>
      </c>
      <c r="T125" s="306">
        <v>0.79</v>
      </c>
      <c r="U125" s="306">
        <v>0.79</v>
      </c>
      <c r="V125" s="306">
        <v>0.8</v>
      </c>
      <c r="W125" s="306">
        <v>0.8</v>
      </c>
      <c r="X125" s="306">
        <v>0.81</v>
      </c>
      <c r="Y125" s="306">
        <v>0.81</v>
      </c>
      <c r="Z125" s="306">
        <v>0.82</v>
      </c>
      <c r="AA125" s="306">
        <v>0.82</v>
      </c>
      <c r="AB125" s="306">
        <v>0.83</v>
      </c>
      <c r="AC125" s="306">
        <v>0.83</v>
      </c>
      <c r="AD125" s="306">
        <v>0.83</v>
      </c>
      <c r="AE125" s="306">
        <v>0.84</v>
      </c>
      <c r="AF125" s="306">
        <v>0.84</v>
      </c>
      <c r="AG125" s="306">
        <v>0.84</v>
      </c>
      <c r="AH125" s="306">
        <v>0.84</v>
      </c>
      <c r="AI125" s="306">
        <v>0.85</v>
      </c>
      <c r="AJ125" s="306">
        <v>0.85</v>
      </c>
      <c r="AK125" s="306">
        <v>0.85</v>
      </c>
      <c r="AL125" s="306">
        <v>0.86</v>
      </c>
      <c r="AM125" s="306">
        <v>0.86</v>
      </c>
      <c r="AN125" s="306">
        <v>0.86</v>
      </c>
      <c r="AO125" s="306">
        <v>0.86</v>
      </c>
      <c r="AP125" s="306">
        <v>0.87</v>
      </c>
      <c r="AQ125" s="306">
        <v>0.87</v>
      </c>
      <c r="AR125" s="306">
        <v>0.87</v>
      </c>
      <c r="AS125" s="306">
        <v>0.87</v>
      </c>
      <c r="AT125" s="306">
        <v>0.88</v>
      </c>
      <c r="AU125" s="306">
        <v>0.88</v>
      </c>
      <c r="AV125" s="306">
        <v>0.88</v>
      </c>
      <c r="AW125" s="306">
        <v>0.88</v>
      </c>
      <c r="AX125" s="306">
        <v>0.88</v>
      </c>
      <c r="AY125" s="306">
        <v>0.88</v>
      </c>
      <c r="AZ125" s="306">
        <v>0.89</v>
      </c>
      <c r="BA125" s="306">
        <v>0.89</v>
      </c>
      <c r="BB125" s="306">
        <v>0.89</v>
      </c>
      <c r="BC125" s="306">
        <v>0.89</v>
      </c>
      <c r="BD125" s="306">
        <v>0.89</v>
      </c>
      <c r="BE125" s="306">
        <v>0.89</v>
      </c>
      <c r="BF125" s="306">
        <v>0.89</v>
      </c>
      <c r="BG125" s="306">
        <v>0.89</v>
      </c>
      <c r="BH125" s="306">
        <v>0.89</v>
      </c>
      <c r="BI125" s="306">
        <v>0.9</v>
      </c>
      <c r="BJ125" s="306">
        <v>0.9</v>
      </c>
      <c r="BK125" s="306">
        <v>0.9</v>
      </c>
      <c r="BL125" s="306">
        <v>0.9</v>
      </c>
      <c r="BM125" s="306">
        <v>0.9</v>
      </c>
      <c r="BN125" s="306">
        <v>0.9</v>
      </c>
      <c r="BO125" s="306">
        <v>0.9</v>
      </c>
      <c r="BP125" s="306">
        <v>0.9</v>
      </c>
      <c r="BQ125" s="306">
        <v>0.9</v>
      </c>
      <c r="BR125" s="306">
        <v>0.9</v>
      </c>
      <c r="BS125" s="306">
        <v>0.9</v>
      </c>
      <c r="BT125" s="306">
        <v>0.9</v>
      </c>
      <c r="BU125" s="306">
        <v>0.9</v>
      </c>
      <c r="BV125" s="306">
        <v>0.9</v>
      </c>
      <c r="BW125" s="306">
        <v>0.9</v>
      </c>
      <c r="BX125" s="306">
        <v>0.9</v>
      </c>
      <c r="BY125" s="306">
        <v>0.9</v>
      </c>
      <c r="BZ125" s="306">
        <v>0.9</v>
      </c>
      <c r="CA125" s="306">
        <v>0.9</v>
      </c>
      <c r="CB125" s="306">
        <v>0.9</v>
      </c>
      <c r="CC125" s="306">
        <v>0.9</v>
      </c>
      <c r="CD125" s="306">
        <v>0.9</v>
      </c>
      <c r="CE125" s="306">
        <v>0.91</v>
      </c>
      <c r="CF125" s="306">
        <v>0.91</v>
      </c>
      <c r="CG125" s="306">
        <v>0.91</v>
      </c>
      <c r="CH125" s="306">
        <v>0.91</v>
      </c>
      <c r="CI125" s="306">
        <v>0.91</v>
      </c>
      <c r="CJ125" s="306">
        <v>0.91</v>
      </c>
      <c r="CK125" s="306">
        <v>0.91</v>
      </c>
      <c r="CL125" s="306">
        <v>0.91</v>
      </c>
      <c r="CM125" s="306">
        <v>0.91</v>
      </c>
      <c r="CN125" s="306">
        <v>0.91</v>
      </c>
      <c r="CO125" s="306">
        <v>0.91</v>
      </c>
      <c r="CP125" s="306">
        <v>0.91</v>
      </c>
      <c r="CQ125" s="306">
        <v>0.91</v>
      </c>
      <c r="CR125" s="306">
        <v>0.91</v>
      </c>
      <c r="CS125" s="306">
        <v>0.91</v>
      </c>
      <c r="CT125" s="306">
        <v>0.91</v>
      </c>
      <c r="CU125" s="306">
        <v>0</v>
      </c>
      <c r="CV125" s="306">
        <v>0</v>
      </c>
      <c r="CW125" s="306">
        <v>0</v>
      </c>
      <c r="CX125" s="306">
        <v>0</v>
      </c>
    </row>
    <row r="126" spans="3:102" x14ac:dyDescent="0.25">
      <c r="C126" s="305">
        <v>6</v>
      </c>
      <c r="D126" s="306">
        <v>0.72</v>
      </c>
      <c r="E126" s="306">
        <v>0.71</v>
      </c>
      <c r="F126" s="306">
        <v>0.7</v>
      </c>
      <c r="G126" s="306">
        <v>0.7</v>
      </c>
      <c r="H126" s="306">
        <v>0.69</v>
      </c>
      <c r="I126" s="306">
        <v>0.69</v>
      </c>
      <c r="J126" s="306">
        <v>0.7</v>
      </c>
      <c r="K126" s="306">
        <v>0.7</v>
      </c>
      <c r="L126" s="306">
        <v>0.71</v>
      </c>
      <c r="M126" s="306">
        <v>0.73</v>
      </c>
      <c r="N126" s="306">
        <v>0.74</v>
      </c>
      <c r="O126" s="306">
        <v>0.75</v>
      </c>
      <c r="P126" s="306">
        <v>0.76</v>
      </c>
      <c r="Q126" s="306">
        <v>0.78</v>
      </c>
      <c r="R126" s="306">
        <v>0.79</v>
      </c>
      <c r="S126" s="306">
        <v>0.79</v>
      </c>
      <c r="T126" s="306">
        <v>0.8</v>
      </c>
      <c r="U126" s="306">
        <v>0.81</v>
      </c>
      <c r="V126" s="306">
        <v>0.82</v>
      </c>
      <c r="W126" s="306">
        <v>0.82</v>
      </c>
      <c r="X126" s="306">
        <v>0.83</v>
      </c>
      <c r="Y126" s="306">
        <v>0.83</v>
      </c>
      <c r="Z126" s="306">
        <v>0.84</v>
      </c>
      <c r="AA126" s="306">
        <v>0.84</v>
      </c>
      <c r="AB126" s="306">
        <v>0.84</v>
      </c>
      <c r="AC126" s="306">
        <v>0.85</v>
      </c>
      <c r="AD126" s="306">
        <v>0.85</v>
      </c>
      <c r="AE126" s="306">
        <v>0.85</v>
      </c>
      <c r="AF126" s="306">
        <v>0.86</v>
      </c>
      <c r="AG126" s="306">
        <v>0.86</v>
      </c>
      <c r="AH126" s="306">
        <v>0.86</v>
      </c>
      <c r="AI126" s="306">
        <v>0.87</v>
      </c>
      <c r="AJ126" s="306">
        <v>0.87</v>
      </c>
      <c r="AK126" s="306">
        <v>0.87</v>
      </c>
      <c r="AL126" s="306">
        <v>0.88</v>
      </c>
      <c r="AM126" s="306">
        <v>0.88</v>
      </c>
      <c r="AN126" s="306">
        <v>0.88</v>
      </c>
      <c r="AO126" s="306">
        <v>0.89</v>
      </c>
      <c r="AP126" s="306">
        <v>0.89</v>
      </c>
      <c r="AQ126" s="306">
        <v>0.89</v>
      </c>
      <c r="AR126" s="306">
        <v>0.89</v>
      </c>
      <c r="AS126" s="306">
        <v>0.9</v>
      </c>
      <c r="AT126" s="306">
        <v>0.9</v>
      </c>
      <c r="AU126" s="306">
        <v>0.9</v>
      </c>
      <c r="AV126" s="306">
        <v>0.9</v>
      </c>
      <c r="AW126" s="306">
        <v>0.9</v>
      </c>
      <c r="AX126" s="306">
        <v>0.91</v>
      </c>
      <c r="AY126" s="306">
        <v>0.91</v>
      </c>
      <c r="AZ126" s="306">
        <v>0.91</v>
      </c>
      <c r="BA126" s="306">
        <v>0.91</v>
      </c>
      <c r="BB126" s="306">
        <v>0.91</v>
      </c>
      <c r="BC126" s="306">
        <v>0.91</v>
      </c>
      <c r="BD126" s="306">
        <v>0.92</v>
      </c>
      <c r="BE126" s="306">
        <v>0.92</v>
      </c>
      <c r="BF126" s="306">
        <v>0.92</v>
      </c>
      <c r="BG126" s="306">
        <v>0.92</v>
      </c>
      <c r="BH126" s="306">
        <v>0.92</v>
      </c>
      <c r="BI126" s="306">
        <v>0.92</v>
      </c>
      <c r="BJ126" s="306">
        <v>0.92</v>
      </c>
      <c r="BK126" s="306">
        <v>0.92</v>
      </c>
      <c r="BL126" s="306">
        <v>0.92</v>
      </c>
      <c r="BM126" s="306">
        <v>0.92</v>
      </c>
      <c r="BN126" s="306">
        <v>0.92</v>
      </c>
      <c r="BO126" s="306">
        <v>0.92</v>
      </c>
      <c r="BP126" s="306">
        <v>0.92</v>
      </c>
      <c r="BQ126" s="306">
        <v>0.93</v>
      </c>
      <c r="BR126" s="306">
        <v>0.93</v>
      </c>
      <c r="BS126" s="306">
        <v>0.93</v>
      </c>
      <c r="BT126" s="306">
        <v>0.93</v>
      </c>
      <c r="BU126" s="306">
        <v>0.93</v>
      </c>
      <c r="BV126" s="306">
        <v>0.93</v>
      </c>
      <c r="BW126" s="306">
        <v>0.93</v>
      </c>
      <c r="BX126" s="306">
        <v>0.93</v>
      </c>
      <c r="BY126" s="306">
        <v>0.93</v>
      </c>
      <c r="BZ126" s="306">
        <v>0.93</v>
      </c>
      <c r="CA126" s="306">
        <v>0.93</v>
      </c>
      <c r="CB126" s="306">
        <v>0.93</v>
      </c>
      <c r="CC126" s="306">
        <v>0.93</v>
      </c>
      <c r="CD126" s="306">
        <v>0.93</v>
      </c>
      <c r="CE126" s="306">
        <v>0.93</v>
      </c>
      <c r="CF126" s="306">
        <v>0.93</v>
      </c>
      <c r="CG126" s="306">
        <v>0.93</v>
      </c>
      <c r="CH126" s="306">
        <v>0.93</v>
      </c>
      <c r="CI126" s="306">
        <v>0.93</v>
      </c>
      <c r="CJ126" s="306">
        <v>0.93</v>
      </c>
      <c r="CK126" s="306">
        <v>0.93</v>
      </c>
      <c r="CL126" s="306">
        <v>0.93</v>
      </c>
      <c r="CM126" s="306">
        <v>0.93</v>
      </c>
      <c r="CN126" s="306">
        <v>0.93</v>
      </c>
      <c r="CO126" s="306">
        <v>0.93</v>
      </c>
      <c r="CP126" s="306">
        <v>0.93</v>
      </c>
      <c r="CQ126" s="306">
        <v>0.93</v>
      </c>
      <c r="CR126" s="306">
        <v>0.93</v>
      </c>
      <c r="CS126" s="306">
        <v>0.93</v>
      </c>
      <c r="CT126" s="306">
        <v>0</v>
      </c>
      <c r="CU126" s="306">
        <v>0</v>
      </c>
      <c r="CV126" s="306">
        <v>0</v>
      </c>
      <c r="CW126" s="306">
        <v>0</v>
      </c>
      <c r="CX126" s="306">
        <v>0</v>
      </c>
    </row>
    <row r="127" spans="3:102" x14ac:dyDescent="0.25">
      <c r="C127" s="305">
        <v>7</v>
      </c>
      <c r="D127" s="306">
        <v>0.7</v>
      </c>
      <c r="E127" s="306">
        <v>0.69</v>
      </c>
      <c r="F127" s="306">
        <v>0.69</v>
      </c>
      <c r="G127" s="306">
        <v>0.69</v>
      </c>
      <c r="H127" s="306">
        <v>0.69</v>
      </c>
      <c r="I127" s="306">
        <v>0.69</v>
      </c>
      <c r="J127" s="306">
        <v>0.7</v>
      </c>
      <c r="K127" s="306">
        <v>0.71</v>
      </c>
      <c r="L127" s="306">
        <v>0.73</v>
      </c>
      <c r="M127" s="306">
        <v>0.74</v>
      </c>
      <c r="N127" s="306">
        <v>0.76</v>
      </c>
      <c r="O127" s="306">
        <v>0.77</v>
      </c>
      <c r="P127" s="306">
        <v>0.79</v>
      </c>
      <c r="Q127" s="306">
        <v>0.8</v>
      </c>
      <c r="R127" s="306">
        <v>0.81</v>
      </c>
      <c r="S127" s="306">
        <v>0.81</v>
      </c>
      <c r="T127" s="306">
        <v>0.82</v>
      </c>
      <c r="U127" s="306">
        <v>0.83</v>
      </c>
      <c r="V127" s="306">
        <v>0.84</v>
      </c>
      <c r="W127" s="306">
        <v>0.84</v>
      </c>
      <c r="X127" s="306">
        <v>0.85</v>
      </c>
      <c r="Y127" s="306">
        <v>0.85</v>
      </c>
      <c r="Z127" s="306">
        <v>0.86</v>
      </c>
      <c r="AA127" s="306">
        <v>0.86</v>
      </c>
      <c r="AB127" s="306">
        <v>0.87</v>
      </c>
      <c r="AC127" s="306">
        <v>0.87</v>
      </c>
      <c r="AD127" s="306">
        <v>0.87</v>
      </c>
      <c r="AE127" s="306">
        <v>0.88</v>
      </c>
      <c r="AF127" s="306">
        <v>0.88</v>
      </c>
      <c r="AG127" s="306">
        <v>0.88</v>
      </c>
      <c r="AH127" s="306">
        <v>0.89</v>
      </c>
      <c r="AI127" s="306">
        <v>0.89</v>
      </c>
      <c r="AJ127" s="306">
        <v>0.9</v>
      </c>
      <c r="AK127" s="306">
        <v>0.9</v>
      </c>
      <c r="AL127" s="306">
        <v>0.9</v>
      </c>
      <c r="AM127" s="306">
        <v>0.91</v>
      </c>
      <c r="AN127" s="306">
        <v>0.91</v>
      </c>
      <c r="AO127" s="306">
        <v>0.91</v>
      </c>
      <c r="AP127" s="306">
        <v>0.92</v>
      </c>
      <c r="AQ127" s="306">
        <v>0.92</v>
      </c>
      <c r="AR127" s="306">
        <v>0.92</v>
      </c>
      <c r="AS127" s="306">
        <v>0.92</v>
      </c>
      <c r="AT127" s="306">
        <v>0.93</v>
      </c>
      <c r="AU127" s="306">
        <v>0.93</v>
      </c>
      <c r="AV127" s="306">
        <v>0.93</v>
      </c>
      <c r="AW127" s="306">
        <v>0.93</v>
      </c>
      <c r="AX127" s="306">
        <v>0.93</v>
      </c>
      <c r="AY127" s="306">
        <v>0.94</v>
      </c>
      <c r="AZ127" s="306">
        <v>0.94</v>
      </c>
      <c r="BA127" s="306">
        <v>0.94</v>
      </c>
      <c r="BB127" s="306">
        <v>0.94</v>
      </c>
      <c r="BC127" s="306">
        <v>0.94</v>
      </c>
      <c r="BD127" s="306">
        <v>0.94</v>
      </c>
      <c r="BE127" s="306">
        <v>0.94</v>
      </c>
      <c r="BF127" s="306">
        <v>0.95</v>
      </c>
      <c r="BG127" s="306">
        <v>0.95</v>
      </c>
      <c r="BH127" s="306">
        <v>0.95</v>
      </c>
      <c r="BI127" s="306">
        <v>0.95</v>
      </c>
      <c r="BJ127" s="306">
        <v>0.95</v>
      </c>
      <c r="BK127" s="306">
        <v>0.95</v>
      </c>
      <c r="BL127" s="306">
        <v>0.95</v>
      </c>
      <c r="BM127" s="306">
        <v>0.95</v>
      </c>
      <c r="BN127" s="306">
        <v>0.95</v>
      </c>
      <c r="BO127" s="306">
        <v>0.95</v>
      </c>
      <c r="BP127" s="306">
        <v>0.95</v>
      </c>
      <c r="BQ127" s="306">
        <v>0.95</v>
      </c>
      <c r="BR127" s="306">
        <v>0.96</v>
      </c>
      <c r="BS127" s="306">
        <v>0.96</v>
      </c>
      <c r="BT127" s="306">
        <v>0.96</v>
      </c>
      <c r="BU127" s="306">
        <v>0.96</v>
      </c>
      <c r="BV127" s="306">
        <v>0.96</v>
      </c>
      <c r="BW127" s="306">
        <v>0.96</v>
      </c>
      <c r="BX127" s="306">
        <v>0.96</v>
      </c>
      <c r="BY127" s="306">
        <v>0.96</v>
      </c>
      <c r="BZ127" s="306">
        <v>0.96</v>
      </c>
      <c r="CA127" s="306">
        <v>0.96</v>
      </c>
      <c r="CB127" s="306">
        <v>0.96</v>
      </c>
      <c r="CC127" s="306">
        <v>0.96</v>
      </c>
      <c r="CD127" s="306">
        <v>0.96</v>
      </c>
      <c r="CE127" s="306">
        <v>0.96</v>
      </c>
      <c r="CF127" s="306">
        <v>0.96</v>
      </c>
      <c r="CG127" s="306">
        <v>0.96</v>
      </c>
      <c r="CH127" s="306">
        <v>0.96</v>
      </c>
      <c r="CI127" s="306">
        <v>0.96</v>
      </c>
      <c r="CJ127" s="306">
        <v>0.96</v>
      </c>
      <c r="CK127" s="306">
        <v>0.96</v>
      </c>
      <c r="CL127" s="306">
        <v>0.96</v>
      </c>
      <c r="CM127" s="306">
        <v>0.96</v>
      </c>
      <c r="CN127" s="306">
        <v>0.96</v>
      </c>
      <c r="CO127" s="306">
        <v>0.96</v>
      </c>
      <c r="CP127" s="306">
        <v>0.96</v>
      </c>
      <c r="CQ127" s="306">
        <v>0.96</v>
      </c>
      <c r="CR127" s="306">
        <v>0.96</v>
      </c>
      <c r="CS127" s="306">
        <v>0</v>
      </c>
      <c r="CT127" s="306">
        <v>0</v>
      </c>
      <c r="CU127" s="306">
        <v>0</v>
      </c>
      <c r="CV127" s="306">
        <v>0</v>
      </c>
      <c r="CW127" s="306">
        <v>0</v>
      </c>
      <c r="CX127" s="306">
        <v>0</v>
      </c>
    </row>
    <row r="128" spans="3:102" x14ac:dyDescent="0.25">
      <c r="C128" s="305">
        <v>8</v>
      </c>
      <c r="D128" s="306">
        <v>0.69</v>
      </c>
      <c r="E128" s="306">
        <v>0.68</v>
      </c>
      <c r="F128" s="306">
        <v>0.68</v>
      </c>
      <c r="G128" s="306">
        <v>0.68</v>
      </c>
      <c r="H128" s="306">
        <v>0.69</v>
      </c>
      <c r="I128" s="306">
        <v>0.7</v>
      </c>
      <c r="J128" s="306">
        <v>0.71</v>
      </c>
      <c r="K128" s="306">
        <v>0.73</v>
      </c>
      <c r="L128" s="306">
        <v>0.75</v>
      </c>
      <c r="M128" s="306">
        <v>0.76</v>
      </c>
      <c r="N128" s="306">
        <v>0.78</v>
      </c>
      <c r="O128" s="306">
        <v>0.8</v>
      </c>
      <c r="P128" s="306">
        <v>0.81</v>
      </c>
      <c r="Q128" s="306">
        <v>0.82</v>
      </c>
      <c r="R128" s="306">
        <v>0.83</v>
      </c>
      <c r="S128" s="306">
        <v>0.84</v>
      </c>
      <c r="T128" s="306">
        <v>0.85</v>
      </c>
      <c r="U128" s="306">
        <v>0.85</v>
      </c>
      <c r="V128" s="306">
        <v>0.86</v>
      </c>
      <c r="W128" s="306">
        <v>0.87</v>
      </c>
      <c r="X128" s="306">
        <v>0.87</v>
      </c>
      <c r="Y128" s="306">
        <v>0.88</v>
      </c>
      <c r="Z128" s="306">
        <v>0.88</v>
      </c>
      <c r="AA128" s="306">
        <v>0.89</v>
      </c>
      <c r="AB128" s="306">
        <v>0.89</v>
      </c>
      <c r="AC128" s="306">
        <v>0.9</v>
      </c>
      <c r="AD128" s="306">
        <v>0.9</v>
      </c>
      <c r="AE128" s="306">
        <v>0.9</v>
      </c>
      <c r="AF128" s="306">
        <v>0.91</v>
      </c>
      <c r="AG128" s="306">
        <v>0.91</v>
      </c>
      <c r="AH128" s="306">
        <v>0.92</v>
      </c>
      <c r="AI128" s="306">
        <v>0.92</v>
      </c>
      <c r="AJ128" s="306">
        <v>0.92</v>
      </c>
      <c r="AK128" s="306">
        <v>0.93</v>
      </c>
      <c r="AL128" s="306">
        <v>0.93</v>
      </c>
      <c r="AM128" s="306">
        <v>0.94</v>
      </c>
      <c r="AN128" s="306">
        <v>0.94</v>
      </c>
      <c r="AO128" s="306">
        <v>0.94</v>
      </c>
      <c r="AP128" s="306">
        <v>0.95</v>
      </c>
      <c r="AQ128" s="306">
        <v>0.95</v>
      </c>
      <c r="AR128" s="306">
        <v>0.95</v>
      </c>
      <c r="AS128" s="306">
        <v>0.95</v>
      </c>
      <c r="AT128" s="306">
        <v>0.96</v>
      </c>
      <c r="AU128" s="306">
        <v>0.96</v>
      </c>
      <c r="AV128" s="306">
        <v>0.96</v>
      </c>
      <c r="AW128" s="306">
        <v>0.96</v>
      </c>
      <c r="AX128" s="306">
        <v>0.97</v>
      </c>
      <c r="AY128" s="306">
        <v>0.97</v>
      </c>
      <c r="AZ128" s="306">
        <v>0.97</v>
      </c>
      <c r="BA128" s="306">
        <v>0.97</v>
      </c>
      <c r="BB128" s="306">
        <v>0.97</v>
      </c>
      <c r="BC128" s="306">
        <v>0.97</v>
      </c>
      <c r="BD128" s="306">
        <v>0.98</v>
      </c>
      <c r="BE128" s="306">
        <v>0.98</v>
      </c>
      <c r="BF128" s="306">
        <v>0.98</v>
      </c>
      <c r="BG128" s="306">
        <v>0.98</v>
      </c>
      <c r="BH128" s="306">
        <v>0.98</v>
      </c>
      <c r="BI128" s="306">
        <v>0.98</v>
      </c>
      <c r="BJ128" s="306">
        <v>0.98</v>
      </c>
      <c r="BK128" s="306">
        <v>0.98</v>
      </c>
      <c r="BL128" s="306">
        <v>0.98</v>
      </c>
      <c r="BM128" s="306">
        <v>0.99</v>
      </c>
      <c r="BN128" s="306">
        <v>0.99</v>
      </c>
      <c r="BO128" s="306">
        <v>0.99</v>
      </c>
      <c r="BP128" s="306">
        <v>0.99</v>
      </c>
      <c r="BQ128" s="306">
        <v>0.99</v>
      </c>
      <c r="BR128" s="306">
        <v>0.99</v>
      </c>
      <c r="BS128" s="306">
        <v>0.99</v>
      </c>
      <c r="BT128" s="306">
        <v>0.99</v>
      </c>
      <c r="BU128" s="306">
        <v>0.99</v>
      </c>
      <c r="BV128" s="306">
        <v>0.99</v>
      </c>
      <c r="BW128" s="306">
        <v>0.99</v>
      </c>
      <c r="BX128" s="306">
        <v>0.99</v>
      </c>
      <c r="BY128" s="306">
        <v>0.99</v>
      </c>
      <c r="BZ128" s="306">
        <v>0.99</v>
      </c>
      <c r="CA128" s="306">
        <v>0.99</v>
      </c>
      <c r="CB128" s="306">
        <v>0.99</v>
      </c>
      <c r="CC128" s="306">
        <v>0.99</v>
      </c>
      <c r="CD128" s="306">
        <v>0.99</v>
      </c>
      <c r="CE128" s="306">
        <v>0.99</v>
      </c>
      <c r="CF128" s="306">
        <v>0.99</v>
      </c>
      <c r="CG128" s="306">
        <v>0.99</v>
      </c>
      <c r="CH128" s="306">
        <v>0.99</v>
      </c>
      <c r="CI128" s="306">
        <v>0.99</v>
      </c>
      <c r="CJ128" s="306">
        <v>0.99</v>
      </c>
      <c r="CK128" s="306">
        <v>0.99</v>
      </c>
      <c r="CL128" s="306">
        <v>0.99</v>
      </c>
      <c r="CM128" s="306">
        <v>0.99</v>
      </c>
      <c r="CN128" s="306">
        <v>0.99</v>
      </c>
      <c r="CO128" s="306">
        <v>0.99</v>
      </c>
      <c r="CP128" s="306">
        <v>0.99</v>
      </c>
      <c r="CQ128" s="306">
        <v>0.99</v>
      </c>
      <c r="CR128" s="306">
        <v>0</v>
      </c>
      <c r="CS128" s="306">
        <v>0</v>
      </c>
      <c r="CT128" s="306">
        <v>0</v>
      </c>
      <c r="CU128" s="306">
        <v>0</v>
      </c>
      <c r="CV128" s="306">
        <v>0</v>
      </c>
      <c r="CW128" s="306">
        <v>0</v>
      </c>
      <c r="CX128" s="306">
        <v>0</v>
      </c>
    </row>
    <row r="129" spans="3:102" x14ac:dyDescent="0.25">
      <c r="C129" s="305">
        <v>9</v>
      </c>
      <c r="D129" s="306">
        <v>0.68</v>
      </c>
      <c r="E129" s="306">
        <v>0.68</v>
      </c>
      <c r="F129" s="306">
        <v>0.68</v>
      </c>
      <c r="G129" s="306">
        <v>0.69</v>
      </c>
      <c r="H129" s="306">
        <v>0.7</v>
      </c>
      <c r="I129" s="306">
        <v>0.72</v>
      </c>
      <c r="J129" s="306">
        <v>0.74</v>
      </c>
      <c r="K129" s="306">
        <v>0.76</v>
      </c>
      <c r="L129" s="306">
        <v>0.77</v>
      </c>
      <c r="M129" s="306">
        <v>0.79</v>
      </c>
      <c r="N129" s="306">
        <v>0.81</v>
      </c>
      <c r="O129" s="306">
        <v>0.82</v>
      </c>
      <c r="P129" s="306">
        <v>0.84</v>
      </c>
      <c r="Q129" s="306">
        <v>0.85</v>
      </c>
      <c r="R129" s="306">
        <v>0.86</v>
      </c>
      <c r="S129" s="306">
        <v>0.87</v>
      </c>
      <c r="T129" s="306">
        <v>0.87</v>
      </c>
      <c r="U129" s="306">
        <v>0.88</v>
      </c>
      <c r="V129" s="306">
        <v>0.89</v>
      </c>
      <c r="W129" s="306">
        <v>0.89</v>
      </c>
      <c r="X129" s="306">
        <v>0.9</v>
      </c>
      <c r="Y129" s="306">
        <v>0.9</v>
      </c>
      <c r="Z129" s="306">
        <v>0.91</v>
      </c>
      <c r="AA129" s="306">
        <v>0.92</v>
      </c>
      <c r="AB129" s="306">
        <v>0.92</v>
      </c>
      <c r="AC129" s="306">
        <v>0.92</v>
      </c>
      <c r="AD129" s="306">
        <v>0.93</v>
      </c>
      <c r="AE129" s="306">
        <v>0.93</v>
      </c>
      <c r="AF129" s="306">
        <v>0.94</v>
      </c>
      <c r="AG129" s="306">
        <v>0.94</v>
      </c>
      <c r="AH129" s="306">
        <v>0.95</v>
      </c>
      <c r="AI129" s="306">
        <v>0.95</v>
      </c>
      <c r="AJ129" s="306">
        <v>0.96</v>
      </c>
      <c r="AK129" s="306">
        <v>0.96</v>
      </c>
      <c r="AL129" s="306">
        <v>0.96</v>
      </c>
      <c r="AM129" s="306">
        <v>0.97</v>
      </c>
      <c r="AN129" s="306">
        <v>0.97</v>
      </c>
      <c r="AO129" s="306">
        <v>0.98</v>
      </c>
      <c r="AP129" s="306">
        <v>0.98</v>
      </c>
      <c r="AQ129" s="306">
        <v>0.98</v>
      </c>
      <c r="AR129" s="306">
        <v>0.99</v>
      </c>
      <c r="AS129" s="306">
        <v>0.99</v>
      </c>
      <c r="AT129" s="306">
        <v>0.99</v>
      </c>
      <c r="AU129" s="306">
        <v>0.99</v>
      </c>
      <c r="AV129" s="306">
        <v>1</v>
      </c>
      <c r="AW129" s="306">
        <v>1</v>
      </c>
      <c r="AX129" s="306">
        <v>1</v>
      </c>
      <c r="AY129" s="306">
        <v>1</v>
      </c>
      <c r="AZ129" s="306">
        <v>1.01</v>
      </c>
      <c r="BA129" s="306">
        <v>1.01</v>
      </c>
      <c r="BB129" s="306">
        <v>1.01</v>
      </c>
      <c r="BC129" s="306">
        <v>1.01</v>
      </c>
      <c r="BD129" s="306">
        <v>1.01</v>
      </c>
      <c r="BE129" s="306">
        <v>1.01</v>
      </c>
      <c r="BF129" s="306">
        <v>1.01</v>
      </c>
      <c r="BG129" s="306">
        <v>1.02</v>
      </c>
      <c r="BH129" s="306">
        <v>1.02</v>
      </c>
      <c r="BI129" s="306">
        <v>1.02</v>
      </c>
      <c r="BJ129" s="306">
        <v>1.02</v>
      </c>
      <c r="BK129" s="306">
        <v>1.02</v>
      </c>
      <c r="BL129" s="306">
        <v>1.02</v>
      </c>
      <c r="BM129" s="306">
        <v>1.02</v>
      </c>
      <c r="BN129" s="306">
        <v>1.02</v>
      </c>
      <c r="BO129" s="306">
        <v>1.02</v>
      </c>
      <c r="BP129" s="306">
        <v>1.02</v>
      </c>
      <c r="BQ129" s="306">
        <v>1.03</v>
      </c>
      <c r="BR129" s="306">
        <v>1.03</v>
      </c>
      <c r="BS129" s="306">
        <v>1.03</v>
      </c>
      <c r="BT129" s="306">
        <v>1.03</v>
      </c>
      <c r="BU129" s="306">
        <v>1.03</v>
      </c>
      <c r="BV129" s="306">
        <v>1.03</v>
      </c>
      <c r="BW129" s="306">
        <v>1.03</v>
      </c>
      <c r="BX129" s="306">
        <v>1.03</v>
      </c>
      <c r="BY129" s="306">
        <v>1.03</v>
      </c>
      <c r="BZ129" s="306">
        <v>1.03</v>
      </c>
      <c r="CA129" s="306">
        <v>1.03</v>
      </c>
      <c r="CB129" s="306">
        <v>1.03</v>
      </c>
      <c r="CC129" s="306">
        <v>1.03</v>
      </c>
      <c r="CD129" s="306">
        <v>1.03</v>
      </c>
      <c r="CE129" s="306">
        <v>1.03</v>
      </c>
      <c r="CF129" s="306">
        <v>1.03</v>
      </c>
      <c r="CG129" s="306">
        <v>1.03</v>
      </c>
      <c r="CH129" s="306">
        <v>1.03</v>
      </c>
      <c r="CI129" s="306">
        <v>1.03</v>
      </c>
      <c r="CJ129" s="306">
        <v>1.03</v>
      </c>
      <c r="CK129" s="306">
        <v>1.03</v>
      </c>
      <c r="CL129" s="306">
        <v>1.03</v>
      </c>
      <c r="CM129" s="306">
        <v>1.03</v>
      </c>
      <c r="CN129" s="306">
        <v>1.03</v>
      </c>
      <c r="CO129" s="306">
        <v>1.03</v>
      </c>
      <c r="CP129" s="306">
        <v>1.03</v>
      </c>
      <c r="CQ129" s="306">
        <v>0</v>
      </c>
      <c r="CR129" s="306">
        <v>0</v>
      </c>
      <c r="CS129" s="306">
        <v>0</v>
      </c>
      <c r="CT129" s="306">
        <v>0</v>
      </c>
      <c r="CU129" s="306">
        <v>0</v>
      </c>
      <c r="CV129" s="306">
        <v>0</v>
      </c>
      <c r="CW129" s="306">
        <v>0</v>
      </c>
      <c r="CX129" s="306">
        <v>0</v>
      </c>
    </row>
    <row r="130" spans="3:102" x14ac:dyDescent="0.25">
      <c r="C130" s="305">
        <v>10</v>
      </c>
      <c r="D130" s="306">
        <v>0.67</v>
      </c>
      <c r="E130" s="306">
        <v>0.68</v>
      </c>
      <c r="F130" s="306">
        <v>0.69</v>
      </c>
      <c r="G130" s="306">
        <v>0.71</v>
      </c>
      <c r="H130" s="306">
        <v>0.73</v>
      </c>
      <c r="I130" s="306">
        <v>0.75</v>
      </c>
      <c r="J130" s="306">
        <v>0.77</v>
      </c>
      <c r="K130" s="306">
        <v>0.79</v>
      </c>
      <c r="L130" s="306">
        <v>0.81</v>
      </c>
      <c r="M130" s="306">
        <v>0.83</v>
      </c>
      <c r="N130" s="306">
        <v>0.84</v>
      </c>
      <c r="O130" s="306">
        <v>0.86</v>
      </c>
      <c r="P130" s="306">
        <v>0.87</v>
      </c>
      <c r="Q130" s="306">
        <v>0.88</v>
      </c>
      <c r="R130" s="306">
        <v>0.89</v>
      </c>
      <c r="S130" s="306">
        <v>0.9</v>
      </c>
      <c r="T130" s="306">
        <v>0.9</v>
      </c>
      <c r="U130" s="306">
        <v>0.91</v>
      </c>
      <c r="V130" s="306">
        <v>0.92</v>
      </c>
      <c r="W130" s="306">
        <v>0.92</v>
      </c>
      <c r="X130" s="306">
        <v>0.93</v>
      </c>
      <c r="Y130" s="306">
        <v>0.94</v>
      </c>
      <c r="Z130" s="306">
        <v>0.94</v>
      </c>
      <c r="AA130" s="306">
        <v>0.95</v>
      </c>
      <c r="AB130" s="306">
        <v>0.95</v>
      </c>
      <c r="AC130" s="306">
        <v>0.96</v>
      </c>
      <c r="AD130" s="306">
        <v>0.96</v>
      </c>
      <c r="AE130" s="306">
        <v>0.97</v>
      </c>
      <c r="AF130" s="306">
        <v>0.97</v>
      </c>
      <c r="AG130" s="306">
        <v>0.98</v>
      </c>
      <c r="AH130" s="306">
        <v>0.98</v>
      </c>
      <c r="AI130" s="306">
        <v>0.99</v>
      </c>
      <c r="AJ130" s="306">
        <v>0.99</v>
      </c>
      <c r="AK130" s="306">
        <v>1</v>
      </c>
      <c r="AL130" s="306">
        <v>1</v>
      </c>
      <c r="AM130" s="306">
        <v>1.01</v>
      </c>
      <c r="AN130" s="306">
        <v>1.01</v>
      </c>
      <c r="AO130" s="306">
        <v>1.01</v>
      </c>
      <c r="AP130" s="306">
        <v>1.02</v>
      </c>
      <c r="AQ130" s="306">
        <v>1.02</v>
      </c>
      <c r="AR130" s="306">
        <v>1.02</v>
      </c>
      <c r="AS130" s="306">
        <v>1.03</v>
      </c>
      <c r="AT130" s="306">
        <v>1.03</v>
      </c>
      <c r="AU130" s="306">
        <v>1.03</v>
      </c>
      <c r="AV130" s="306">
        <v>1.04</v>
      </c>
      <c r="AW130" s="306">
        <v>1.04</v>
      </c>
      <c r="AX130" s="306">
        <v>1.04</v>
      </c>
      <c r="AY130" s="306">
        <v>1.04</v>
      </c>
      <c r="AZ130" s="306">
        <v>1.05</v>
      </c>
      <c r="BA130" s="306">
        <v>1.05</v>
      </c>
      <c r="BB130" s="306">
        <v>1.05</v>
      </c>
      <c r="BC130" s="306">
        <v>1.05</v>
      </c>
      <c r="BD130" s="306">
        <v>1.05</v>
      </c>
      <c r="BE130" s="306">
        <v>1.05</v>
      </c>
      <c r="BF130" s="306">
        <v>1.06</v>
      </c>
      <c r="BG130" s="306">
        <v>1.06</v>
      </c>
      <c r="BH130" s="306">
        <v>1.06</v>
      </c>
      <c r="BI130" s="306">
        <v>1.06</v>
      </c>
      <c r="BJ130" s="306">
        <v>1.06</v>
      </c>
      <c r="BK130" s="306">
        <v>1.06</v>
      </c>
      <c r="BL130" s="306">
        <v>1.06</v>
      </c>
      <c r="BM130" s="306">
        <v>1.06</v>
      </c>
      <c r="BN130" s="306">
        <v>1.06</v>
      </c>
      <c r="BO130" s="306">
        <v>1.07</v>
      </c>
      <c r="BP130" s="306">
        <v>1.07</v>
      </c>
      <c r="BQ130" s="306">
        <v>1.07</v>
      </c>
      <c r="BR130" s="306">
        <v>1.07</v>
      </c>
      <c r="BS130" s="306">
        <v>1.07</v>
      </c>
      <c r="BT130" s="306">
        <v>1.07</v>
      </c>
      <c r="BU130" s="306">
        <v>1.07</v>
      </c>
      <c r="BV130" s="306">
        <v>1.07</v>
      </c>
      <c r="BW130" s="306">
        <v>1.07</v>
      </c>
      <c r="BX130" s="306">
        <v>1.07</v>
      </c>
      <c r="BY130" s="306">
        <v>1.07</v>
      </c>
      <c r="BZ130" s="306">
        <v>1.07</v>
      </c>
      <c r="CA130" s="306">
        <v>1.07</v>
      </c>
      <c r="CB130" s="306">
        <v>1.07</v>
      </c>
      <c r="CC130" s="306">
        <v>1.07</v>
      </c>
      <c r="CD130" s="306">
        <v>1.07</v>
      </c>
      <c r="CE130" s="306">
        <v>1.07</v>
      </c>
      <c r="CF130" s="306">
        <v>1.07</v>
      </c>
      <c r="CG130" s="306">
        <v>1.07</v>
      </c>
      <c r="CH130" s="306">
        <v>1.07</v>
      </c>
      <c r="CI130" s="306">
        <v>1.07</v>
      </c>
      <c r="CJ130" s="306">
        <v>1.07</v>
      </c>
      <c r="CK130" s="306">
        <v>1.07</v>
      </c>
      <c r="CL130" s="306">
        <v>1.07</v>
      </c>
      <c r="CM130" s="306">
        <v>1.07</v>
      </c>
      <c r="CN130" s="306">
        <v>1.07</v>
      </c>
      <c r="CO130" s="306">
        <v>1.07</v>
      </c>
      <c r="CP130" s="306">
        <v>0</v>
      </c>
      <c r="CQ130" s="306">
        <v>0</v>
      </c>
      <c r="CR130" s="306">
        <v>0</v>
      </c>
      <c r="CS130" s="306">
        <v>0</v>
      </c>
      <c r="CT130" s="306">
        <v>0</v>
      </c>
      <c r="CU130" s="306">
        <v>0</v>
      </c>
      <c r="CV130" s="306">
        <v>0</v>
      </c>
      <c r="CW130" s="306">
        <v>0</v>
      </c>
      <c r="CX130" s="306">
        <v>0</v>
      </c>
    </row>
    <row r="131" spans="3:102" x14ac:dyDescent="0.25">
      <c r="C131" s="305">
        <v>11</v>
      </c>
      <c r="D131" s="306">
        <v>0.69</v>
      </c>
      <c r="E131" s="306">
        <v>0.7</v>
      </c>
      <c r="F131" s="306">
        <v>0.72</v>
      </c>
      <c r="G131" s="306">
        <v>0.74</v>
      </c>
      <c r="H131" s="306">
        <v>0.76</v>
      </c>
      <c r="I131" s="306">
        <v>0.79</v>
      </c>
      <c r="J131" s="306">
        <v>0.81</v>
      </c>
      <c r="K131" s="306">
        <v>0.83</v>
      </c>
      <c r="L131" s="306">
        <v>0.85</v>
      </c>
      <c r="M131" s="306">
        <v>0.86</v>
      </c>
      <c r="N131" s="306">
        <v>0.88</v>
      </c>
      <c r="O131" s="306">
        <v>0.89</v>
      </c>
      <c r="P131" s="306">
        <v>0.9</v>
      </c>
      <c r="Q131" s="306">
        <v>0.91</v>
      </c>
      <c r="R131" s="306">
        <v>0.92</v>
      </c>
      <c r="S131" s="306">
        <v>0.93</v>
      </c>
      <c r="T131" s="306">
        <v>0.94</v>
      </c>
      <c r="U131" s="306">
        <v>0.94</v>
      </c>
      <c r="V131" s="306">
        <v>0.95</v>
      </c>
      <c r="W131" s="306">
        <v>0.96</v>
      </c>
      <c r="X131" s="306">
        <v>0.96</v>
      </c>
      <c r="Y131" s="306">
        <v>0.97</v>
      </c>
      <c r="Z131" s="306">
        <v>0.98</v>
      </c>
      <c r="AA131" s="306">
        <v>0.98</v>
      </c>
      <c r="AB131" s="306">
        <v>0.99</v>
      </c>
      <c r="AC131" s="306">
        <v>0.99</v>
      </c>
      <c r="AD131" s="306">
        <v>1</v>
      </c>
      <c r="AE131" s="306">
        <v>1</v>
      </c>
      <c r="AF131" s="306">
        <v>1.01</v>
      </c>
      <c r="AG131" s="306">
        <v>1.02</v>
      </c>
      <c r="AH131" s="306">
        <v>1.02</v>
      </c>
      <c r="AI131" s="306">
        <v>1.03</v>
      </c>
      <c r="AJ131" s="306">
        <v>1.03</v>
      </c>
      <c r="AK131" s="306">
        <v>1.04</v>
      </c>
      <c r="AL131" s="306">
        <v>1.04</v>
      </c>
      <c r="AM131" s="306">
        <v>1.05</v>
      </c>
      <c r="AN131" s="306">
        <v>1.05</v>
      </c>
      <c r="AO131" s="306">
        <v>1.06</v>
      </c>
      <c r="AP131" s="306">
        <v>1.06</v>
      </c>
      <c r="AQ131" s="306">
        <v>1.06</v>
      </c>
      <c r="AR131" s="306">
        <v>1.07</v>
      </c>
      <c r="AS131" s="306">
        <v>1.07</v>
      </c>
      <c r="AT131" s="306">
        <v>1.07</v>
      </c>
      <c r="AU131" s="306">
        <v>1.08</v>
      </c>
      <c r="AV131" s="306">
        <v>1.08</v>
      </c>
      <c r="AW131" s="306">
        <v>1.08</v>
      </c>
      <c r="AX131" s="306">
        <v>1.0900000000000001</v>
      </c>
      <c r="AY131" s="306">
        <v>1.0900000000000001</v>
      </c>
      <c r="AZ131" s="306">
        <v>1.0900000000000001</v>
      </c>
      <c r="BA131" s="306">
        <v>1.0900000000000001</v>
      </c>
      <c r="BB131" s="306">
        <v>1.0900000000000001</v>
      </c>
      <c r="BC131" s="306">
        <v>1.1000000000000001</v>
      </c>
      <c r="BD131" s="306">
        <v>1.1000000000000001</v>
      </c>
      <c r="BE131" s="306">
        <v>1.1000000000000001</v>
      </c>
      <c r="BF131" s="306">
        <v>1.1000000000000001</v>
      </c>
      <c r="BG131" s="306">
        <v>1.1000000000000001</v>
      </c>
      <c r="BH131" s="306">
        <v>1.1000000000000001</v>
      </c>
      <c r="BI131" s="306">
        <v>1.1000000000000001</v>
      </c>
      <c r="BJ131" s="306">
        <v>1.1100000000000001</v>
      </c>
      <c r="BK131" s="306">
        <v>1.1100000000000001</v>
      </c>
      <c r="BL131" s="306">
        <v>1.1100000000000001</v>
      </c>
      <c r="BM131" s="306">
        <v>1.1100000000000001</v>
      </c>
      <c r="BN131" s="306">
        <v>1.1100000000000001</v>
      </c>
      <c r="BO131" s="306">
        <v>1.1100000000000001</v>
      </c>
      <c r="BP131" s="306">
        <v>1.1100000000000001</v>
      </c>
      <c r="BQ131" s="306">
        <v>1.1100000000000001</v>
      </c>
      <c r="BR131" s="306">
        <v>1.1100000000000001</v>
      </c>
      <c r="BS131" s="306">
        <v>1.1100000000000001</v>
      </c>
      <c r="BT131" s="306">
        <v>1.1100000000000001</v>
      </c>
      <c r="BU131" s="306">
        <v>1.1200000000000001</v>
      </c>
      <c r="BV131" s="306">
        <v>1.1200000000000001</v>
      </c>
      <c r="BW131" s="306">
        <v>1.1200000000000001</v>
      </c>
      <c r="BX131" s="306">
        <v>1.1200000000000001</v>
      </c>
      <c r="BY131" s="306">
        <v>1.1200000000000001</v>
      </c>
      <c r="BZ131" s="306">
        <v>1.1200000000000001</v>
      </c>
      <c r="CA131" s="306">
        <v>1.1200000000000001</v>
      </c>
      <c r="CB131" s="306">
        <v>1.1200000000000001</v>
      </c>
      <c r="CC131" s="306">
        <v>1.1200000000000001</v>
      </c>
      <c r="CD131" s="306">
        <v>1.1200000000000001</v>
      </c>
      <c r="CE131" s="306">
        <v>1.1200000000000001</v>
      </c>
      <c r="CF131" s="306">
        <v>1.1200000000000001</v>
      </c>
      <c r="CG131" s="306">
        <v>1.1200000000000001</v>
      </c>
      <c r="CH131" s="306">
        <v>1.1200000000000001</v>
      </c>
      <c r="CI131" s="306">
        <v>1.1200000000000001</v>
      </c>
      <c r="CJ131" s="306">
        <v>1.1200000000000001</v>
      </c>
      <c r="CK131" s="306">
        <v>1.1200000000000001</v>
      </c>
      <c r="CL131" s="306">
        <v>1.1200000000000001</v>
      </c>
      <c r="CM131" s="306">
        <v>1.1200000000000001</v>
      </c>
      <c r="CN131" s="306">
        <v>1.1200000000000001</v>
      </c>
      <c r="CO131" s="306">
        <v>0</v>
      </c>
      <c r="CP131" s="306">
        <v>0</v>
      </c>
      <c r="CQ131" s="306">
        <v>0</v>
      </c>
      <c r="CR131" s="306">
        <v>0</v>
      </c>
      <c r="CS131" s="306">
        <v>0</v>
      </c>
      <c r="CT131" s="306">
        <v>0</v>
      </c>
      <c r="CU131" s="306">
        <v>0</v>
      </c>
      <c r="CV131" s="306">
        <v>0</v>
      </c>
      <c r="CW131" s="306">
        <v>0</v>
      </c>
      <c r="CX131" s="306">
        <v>0</v>
      </c>
    </row>
    <row r="132" spans="3:102" x14ac:dyDescent="0.25">
      <c r="C132" s="305">
        <v>12</v>
      </c>
      <c r="D132" s="306">
        <v>0.72</v>
      </c>
      <c r="E132" s="306">
        <v>0.74</v>
      </c>
      <c r="F132" s="306">
        <v>0.76</v>
      </c>
      <c r="G132" s="306">
        <v>0.78</v>
      </c>
      <c r="H132" s="306">
        <v>0.81</v>
      </c>
      <c r="I132" s="306">
        <v>0.83</v>
      </c>
      <c r="J132" s="306">
        <v>0.85</v>
      </c>
      <c r="K132" s="306">
        <v>0.87</v>
      </c>
      <c r="L132" s="306">
        <v>0.88</v>
      </c>
      <c r="M132" s="306">
        <v>0.9</v>
      </c>
      <c r="N132" s="306">
        <v>0.91</v>
      </c>
      <c r="O132" s="306">
        <v>0.93</v>
      </c>
      <c r="P132" s="306">
        <v>0.94</v>
      </c>
      <c r="Q132" s="306">
        <v>0.95</v>
      </c>
      <c r="R132" s="306">
        <v>0.96</v>
      </c>
      <c r="S132" s="306">
        <v>0.96</v>
      </c>
      <c r="T132" s="306">
        <v>0.97</v>
      </c>
      <c r="U132" s="306">
        <v>0.98</v>
      </c>
      <c r="V132" s="306">
        <v>0.99</v>
      </c>
      <c r="W132" s="306">
        <v>0.99</v>
      </c>
      <c r="X132" s="306">
        <v>1</v>
      </c>
      <c r="Y132" s="306">
        <v>1.01</v>
      </c>
      <c r="Z132" s="306">
        <v>1.01</v>
      </c>
      <c r="AA132" s="306">
        <v>1.02</v>
      </c>
      <c r="AB132" s="306">
        <v>1.02</v>
      </c>
      <c r="AC132" s="306">
        <v>1.03</v>
      </c>
      <c r="AD132" s="306">
        <v>1.04</v>
      </c>
      <c r="AE132" s="306">
        <v>1.04</v>
      </c>
      <c r="AF132" s="306">
        <v>1.05</v>
      </c>
      <c r="AG132" s="306">
        <v>1.06</v>
      </c>
      <c r="AH132" s="306">
        <v>1.06</v>
      </c>
      <c r="AI132" s="306">
        <v>1.07</v>
      </c>
      <c r="AJ132" s="306">
        <v>1.07</v>
      </c>
      <c r="AK132" s="306">
        <v>1.08</v>
      </c>
      <c r="AL132" s="306">
        <v>1.0900000000000001</v>
      </c>
      <c r="AM132" s="306">
        <v>1.0900000000000001</v>
      </c>
      <c r="AN132" s="306">
        <v>1.1000000000000001</v>
      </c>
      <c r="AO132" s="306">
        <v>1.1000000000000001</v>
      </c>
      <c r="AP132" s="306">
        <v>1.1000000000000001</v>
      </c>
      <c r="AQ132" s="306">
        <v>1.1100000000000001</v>
      </c>
      <c r="AR132" s="306">
        <v>1.1100000000000001</v>
      </c>
      <c r="AS132" s="306">
        <v>1.1200000000000001</v>
      </c>
      <c r="AT132" s="306">
        <v>1.1200000000000001</v>
      </c>
      <c r="AU132" s="306">
        <v>1.1200000000000001</v>
      </c>
      <c r="AV132" s="306">
        <v>1.1299999999999999</v>
      </c>
      <c r="AW132" s="306">
        <v>1.1299999999999999</v>
      </c>
      <c r="AX132" s="306">
        <v>1.1299999999999999</v>
      </c>
      <c r="AY132" s="306">
        <v>1.1299999999999999</v>
      </c>
      <c r="AZ132" s="306">
        <v>1.1399999999999999</v>
      </c>
      <c r="BA132" s="306">
        <v>1.1399999999999999</v>
      </c>
      <c r="BB132" s="306">
        <v>1.1399999999999999</v>
      </c>
      <c r="BC132" s="306">
        <v>1.1399999999999999</v>
      </c>
      <c r="BD132" s="306">
        <v>1.1399999999999999</v>
      </c>
      <c r="BE132" s="306">
        <v>1.1499999999999999</v>
      </c>
      <c r="BF132" s="306">
        <v>1.1499999999999999</v>
      </c>
      <c r="BG132" s="306">
        <v>1.1499999999999999</v>
      </c>
      <c r="BH132" s="306">
        <v>1.1499999999999999</v>
      </c>
      <c r="BI132" s="306">
        <v>1.1499999999999999</v>
      </c>
      <c r="BJ132" s="306">
        <v>1.1499999999999999</v>
      </c>
      <c r="BK132" s="306">
        <v>1.1499999999999999</v>
      </c>
      <c r="BL132" s="306">
        <v>1.1599999999999999</v>
      </c>
      <c r="BM132" s="306">
        <v>1.1599999999999999</v>
      </c>
      <c r="BN132" s="306">
        <v>1.1599999999999999</v>
      </c>
      <c r="BO132" s="306">
        <v>1.1599999999999999</v>
      </c>
      <c r="BP132" s="306">
        <v>1.1599999999999999</v>
      </c>
      <c r="BQ132" s="306">
        <v>1.1599999999999999</v>
      </c>
      <c r="BR132" s="306">
        <v>1.1599999999999999</v>
      </c>
      <c r="BS132" s="306">
        <v>1.1599999999999999</v>
      </c>
      <c r="BT132" s="306">
        <v>1.1599999999999999</v>
      </c>
      <c r="BU132" s="306">
        <v>1.1599999999999999</v>
      </c>
      <c r="BV132" s="306">
        <v>1.1599999999999999</v>
      </c>
      <c r="BW132" s="306">
        <v>1.1599999999999999</v>
      </c>
      <c r="BX132" s="306">
        <v>1.17</v>
      </c>
      <c r="BY132" s="306">
        <v>1.17</v>
      </c>
      <c r="BZ132" s="306">
        <v>1.17</v>
      </c>
      <c r="CA132" s="306">
        <v>1.17</v>
      </c>
      <c r="CB132" s="306">
        <v>1.17</v>
      </c>
      <c r="CC132" s="306">
        <v>1.17</v>
      </c>
      <c r="CD132" s="306">
        <v>1.17</v>
      </c>
      <c r="CE132" s="306">
        <v>1.17</v>
      </c>
      <c r="CF132" s="306">
        <v>1.17</v>
      </c>
      <c r="CG132" s="306">
        <v>1.17</v>
      </c>
      <c r="CH132" s="306">
        <v>1.17</v>
      </c>
      <c r="CI132" s="306">
        <v>1.17</v>
      </c>
      <c r="CJ132" s="306">
        <v>1.17</v>
      </c>
      <c r="CK132" s="306">
        <v>1.17</v>
      </c>
      <c r="CL132" s="306">
        <v>1.17</v>
      </c>
      <c r="CM132" s="306">
        <v>1.17</v>
      </c>
      <c r="CN132" s="306">
        <v>0</v>
      </c>
      <c r="CO132" s="306">
        <v>0</v>
      </c>
      <c r="CP132" s="306">
        <v>0</v>
      </c>
      <c r="CQ132" s="306">
        <v>0</v>
      </c>
      <c r="CR132" s="306">
        <v>0</v>
      </c>
      <c r="CS132" s="306">
        <v>0</v>
      </c>
      <c r="CT132" s="306">
        <v>0</v>
      </c>
      <c r="CU132" s="306">
        <v>0</v>
      </c>
      <c r="CV132" s="306">
        <v>0</v>
      </c>
      <c r="CW132" s="306">
        <v>0</v>
      </c>
      <c r="CX132" s="306">
        <v>0</v>
      </c>
    </row>
    <row r="133" spans="3:102" x14ac:dyDescent="0.25">
      <c r="C133" s="305">
        <v>13</v>
      </c>
      <c r="D133" s="306">
        <v>0.76</v>
      </c>
      <c r="E133" s="306">
        <v>0.78</v>
      </c>
      <c r="F133" s="306">
        <v>0.81</v>
      </c>
      <c r="G133" s="306">
        <v>0.83</v>
      </c>
      <c r="H133" s="306">
        <v>0.85</v>
      </c>
      <c r="I133" s="306">
        <v>0.87</v>
      </c>
      <c r="J133" s="306">
        <v>0.89</v>
      </c>
      <c r="K133" s="306">
        <v>0.91</v>
      </c>
      <c r="L133" s="306">
        <v>0.92</v>
      </c>
      <c r="M133" s="306">
        <v>0.94</v>
      </c>
      <c r="N133" s="306">
        <v>0.95</v>
      </c>
      <c r="O133" s="306">
        <v>0.96</v>
      </c>
      <c r="P133" s="306">
        <v>0.97</v>
      </c>
      <c r="Q133" s="306">
        <v>0.98</v>
      </c>
      <c r="R133" s="306">
        <v>0.99</v>
      </c>
      <c r="S133" s="306">
        <v>1</v>
      </c>
      <c r="T133" s="306">
        <v>1.01</v>
      </c>
      <c r="U133" s="306">
        <v>1.01</v>
      </c>
      <c r="V133" s="306">
        <v>1.02</v>
      </c>
      <c r="W133" s="306">
        <v>1.03</v>
      </c>
      <c r="X133" s="306">
        <v>1.04</v>
      </c>
      <c r="Y133" s="306">
        <v>1.04</v>
      </c>
      <c r="Z133" s="306">
        <v>1.05</v>
      </c>
      <c r="AA133" s="306">
        <v>1.06</v>
      </c>
      <c r="AB133" s="306">
        <v>1.06</v>
      </c>
      <c r="AC133" s="306">
        <v>1.07</v>
      </c>
      <c r="AD133" s="306">
        <v>1.08</v>
      </c>
      <c r="AE133" s="306">
        <v>1.08</v>
      </c>
      <c r="AF133" s="306">
        <v>1.0900000000000001</v>
      </c>
      <c r="AG133" s="306">
        <v>1.1000000000000001</v>
      </c>
      <c r="AH133" s="306">
        <v>1.1100000000000001</v>
      </c>
      <c r="AI133" s="306">
        <v>1.1100000000000001</v>
      </c>
      <c r="AJ133" s="306">
        <v>1.1200000000000001</v>
      </c>
      <c r="AK133" s="306">
        <v>1.1299999999999999</v>
      </c>
      <c r="AL133" s="306">
        <v>1.1299999999999999</v>
      </c>
      <c r="AM133" s="306">
        <v>1.1399999999999999</v>
      </c>
      <c r="AN133" s="306">
        <v>1.1399999999999999</v>
      </c>
      <c r="AO133" s="306">
        <v>1.1499999999999999</v>
      </c>
      <c r="AP133" s="306">
        <v>1.1499999999999999</v>
      </c>
      <c r="AQ133" s="306">
        <v>1.1599999999999999</v>
      </c>
      <c r="AR133" s="306">
        <v>1.1599999999999999</v>
      </c>
      <c r="AS133" s="306">
        <v>1.1599999999999999</v>
      </c>
      <c r="AT133" s="306">
        <v>1.17</v>
      </c>
      <c r="AU133" s="306">
        <v>1.17</v>
      </c>
      <c r="AV133" s="306">
        <v>1.17</v>
      </c>
      <c r="AW133" s="306">
        <v>1.18</v>
      </c>
      <c r="AX133" s="306">
        <v>1.18</v>
      </c>
      <c r="AY133" s="306">
        <v>1.18</v>
      </c>
      <c r="AZ133" s="306">
        <v>1.19</v>
      </c>
      <c r="BA133" s="306">
        <v>1.19</v>
      </c>
      <c r="BB133" s="306">
        <v>1.19</v>
      </c>
      <c r="BC133" s="306">
        <v>1.19</v>
      </c>
      <c r="BD133" s="306">
        <v>1.19</v>
      </c>
      <c r="BE133" s="306">
        <v>1.2</v>
      </c>
      <c r="BF133" s="306">
        <v>1.2</v>
      </c>
      <c r="BG133" s="306">
        <v>1.2</v>
      </c>
      <c r="BH133" s="306">
        <v>1.2</v>
      </c>
      <c r="BI133" s="306">
        <v>1.2</v>
      </c>
      <c r="BJ133" s="306">
        <v>1.2</v>
      </c>
      <c r="BK133" s="306">
        <v>1.2</v>
      </c>
      <c r="BL133" s="306">
        <v>1.21</v>
      </c>
      <c r="BM133" s="306">
        <v>1.21</v>
      </c>
      <c r="BN133" s="306">
        <v>1.21</v>
      </c>
      <c r="BO133" s="306">
        <v>1.21</v>
      </c>
      <c r="BP133" s="306">
        <v>1.21</v>
      </c>
      <c r="BQ133" s="306">
        <v>1.21</v>
      </c>
      <c r="BR133" s="306">
        <v>1.21</v>
      </c>
      <c r="BS133" s="306">
        <v>1.21</v>
      </c>
      <c r="BT133" s="306">
        <v>1.21</v>
      </c>
      <c r="BU133" s="306">
        <v>1.21</v>
      </c>
      <c r="BV133" s="306">
        <v>1.22</v>
      </c>
      <c r="BW133" s="306">
        <v>1.22</v>
      </c>
      <c r="BX133" s="306">
        <v>1.22</v>
      </c>
      <c r="BY133" s="306">
        <v>1.22</v>
      </c>
      <c r="BZ133" s="306">
        <v>1.22</v>
      </c>
      <c r="CA133" s="306">
        <v>1.22</v>
      </c>
      <c r="CB133" s="306">
        <v>1.22</v>
      </c>
      <c r="CC133" s="306">
        <v>1.22</v>
      </c>
      <c r="CD133" s="306">
        <v>1.22</v>
      </c>
      <c r="CE133" s="306">
        <v>1.22</v>
      </c>
      <c r="CF133" s="306">
        <v>1.22</v>
      </c>
      <c r="CG133" s="306">
        <v>1.22</v>
      </c>
      <c r="CH133" s="306">
        <v>1.22</v>
      </c>
      <c r="CI133" s="306">
        <v>1.22</v>
      </c>
      <c r="CJ133" s="306">
        <v>1.22</v>
      </c>
      <c r="CK133" s="306">
        <v>1.22</v>
      </c>
      <c r="CL133" s="306">
        <v>1.22</v>
      </c>
      <c r="CM133" s="306">
        <v>0</v>
      </c>
      <c r="CN133" s="306">
        <v>0</v>
      </c>
      <c r="CO133" s="306">
        <v>0</v>
      </c>
      <c r="CP133" s="306">
        <v>0</v>
      </c>
      <c r="CQ133" s="306">
        <v>0</v>
      </c>
      <c r="CR133" s="306">
        <v>0</v>
      </c>
      <c r="CS133" s="306">
        <v>0</v>
      </c>
      <c r="CT133" s="306">
        <v>0</v>
      </c>
      <c r="CU133" s="306">
        <v>0</v>
      </c>
      <c r="CV133" s="306">
        <v>0</v>
      </c>
      <c r="CW133" s="306">
        <v>0</v>
      </c>
      <c r="CX133" s="306">
        <v>0</v>
      </c>
    </row>
    <row r="134" spans="3:102" x14ac:dyDescent="0.25">
      <c r="C134" s="305">
        <v>14</v>
      </c>
      <c r="D134" s="306">
        <v>0.81</v>
      </c>
      <c r="E134" s="306">
        <v>0.83</v>
      </c>
      <c r="F134" s="306">
        <v>0.86</v>
      </c>
      <c r="G134" s="306">
        <v>0.88</v>
      </c>
      <c r="H134" s="306">
        <v>0.9</v>
      </c>
      <c r="I134" s="306">
        <v>0.92</v>
      </c>
      <c r="J134" s="306">
        <v>0.93</v>
      </c>
      <c r="K134" s="306">
        <v>0.95</v>
      </c>
      <c r="L134" s="306">
        <v>0.96</v>
      </c>
      <c r="M134" s="306">
        <v>0.97</v>
      </c>
      <c r="N134" s="306">
        <v>0.99</v>
      </c>
      <c r="O134" s="306">
        <v>1</v>
      </c>
      <c r="P134" s="306">
        <v>1.01</v>
      </c>
      <c r="Q134" s="306">
        <v>1.02</v>
      </c>
      <c r="R134" s="306">
        <v>1.02</v>
      </c>
      <c r="S134" s="306">
        <v>1.03</v>
      </c>
      <c r="T134" s="306">
        <v>1.04</v>
      </c>
      <c r="U134" s="306">
        <v>1.05</v>
      </c>
      <c r="V134" s="306">
        <v>1.06</v>
      </c>
      <c r="W134" s="306">
        <v>1.06</v>
      </c>
      <c r="X134" s="306">
        <v>1.07</v>
      </c>
      <c r="Y134" s="306">
        <v>1.08</v>
      </c>
      <c r="Z134" s="306">
        <v>1.0900000000000001</v>
      </c>
      <c r="AA134" s="306">
        <v>1.0900000000000001</v>
      </c>
      <c r="AB134" s="306">
        <v>1.1000000000000001</v>
      </c>
      <c r="AC134" s="306">
        <v>1.1100000000000001</v>
      </c>
      <c r="AD134" s="306">
        <v>1.1200000000000001</v>
      </c>
      <c r="AE134" s="306">
        <v>1.1299999999999999</v>
      </c>
      <c r="AF134" s="306">
        <v>1.1399999999999999</v>
      </c>
      <c r="AG134" s="306">
        <v>1.1399999999999999</v>
      </c>
      <c r="AH134" s="306">
        <v>1.1499999999999999</v>
      </c>
      <c r="AI134" s="306">
        <v>1.1599999999999999</v>
      </c>
      <c r="AJ134" s="306">
        <v>1.1599999999999999</v>
      </c>
      <c r="AK134" s="306">
        <v>1.17</v>
      </c>
      <c r="AL134" s="306">
        <v>1.18</v>
      </c>
      <c r="AM134" s="306">
        <v>1.18</v>
      </c>
      <c r="AN134" s="306">
        <v>1.19</v>
      </c>
      <c r="AO134" s="306">
        <v>1.19</v>
      </c>
      <c r="AP134" s="306">
        <v>1.2</v>
      </c>
      <c r="AQ134" s="306">
        <v>1.2</v>
      </c>
      <c r="AR134" s="306">
        <v>1.21</v>
      </c>
      <c r="AS134" s="306">
        <v>1.21</v>
      </c>
      <c r="AT134" s="306">
        <v>1.22</v>
      </c>
      <c r="AU134" s="306">
        <v>1.22</v>
      </c>
      <c r="AV134" s="306">
        <v>1.22</v>
      </c>
      <c r="AW134" s="306">
        <v>1.23</v>
      </c>
      <c r="AX134" s="306">
        <v>1.23</v>
      </c>
      <c r="AY134" s="306">
        <v>1.23</v>
      </c>
      <c r="AZ134" s="306">
        <v>1.24</v>
      </c>
      <c r="BA134" s="306">
        <v>1.24</v>
      </c>
      <c r="BB134" s="306">
        <v>1.24</v>
      </c>
      <c r="BC134" s="306">
        <v>1.24</v>
      </c>
      <c r="BD134" s="306">
        <v>1.25</v>
      </c>
      <c r="BE134" s="306">
        <v>1.25</v>
      </c>
      <c r="BF134" s="306">
        <v>1.25</v>
      </c>
      <c r="BG134" s="306">
        <v>1.25</v>
      </c>
      <c r="BH134" s="306">
        <v>1.25</v>
      </c>
      <c r="BI134" s="306">
        <v>1.25</v>
      </c>
      <c r="BJ134" s="306">
        <v>1.26</v>
      </c>
      <c r="BK134" s="306">
        <v>1.26</v>
      </c>
      <c r="BL134" s="306">
        <v>1.26</v>
      </c>
      <c r="BM134" s="306">
        <v>1.26</v>
      </c>
      <c r="BN134" s="306">
        <v>1.26</v>
      </c>
      <c r="BO134" s="306">
        <v>1.26</v>
      </c>
      <c r="BP134" s="306">
        <v>1.26</v>
      </c>
      <c r="BQ134" s="306">
        <v>1.26</v>
      </c>
      <c r="BR134" s="306">
        <v>1.26</v>
      </c>
      <c r="BS134" s="306">
        <v>1.27</v>
      </c>
      <c r="BT134" s="306">
        <v>1.27</v>
      </c>
      <c r="BU134" s="306">
        <v>1.27</v>
      </c>
      <c r="BV134" s="306">
        <v>1.27</v>
      </c>
      <c r="BW134" s="306">
        <v>1.27</v>
      </c>
      <c r="BX134" s="306">
        <v>1.27</v>
      </c>
      <c r="BY134" s="306">
        <v>1.27</v>
      </c>
      <c r="BZ134" s="306">
        <v>1.27</v>
      </c>
      <c r="CA134" s="306">
        <v>1.27</v>
      </c>
      <c r="CB134" s="306">
        <v>1.27</v>
      </c>
      <c r="CC134" s="306">
        <v>1.27</v>
      </c>
      <c r="CD134" s="306">
        <v>1.27</v>
      </c>
      <c r="CE134" s="306">
        <v>1.27</v>
      </c>
      <c r="CF134" s="306">
        <v>1.27</v>
      </c>
      <c r="CG134" s="306">
        <v>1.27</v>
      </c>
      <c r="CH134" s="306">
        <v>1.27</v>
      </c>
      <c r="CI134" s="306">
        <v>1.27</v>
      </c>
      <c r="CJ134" s="306">
        <v>1.27</v>
      </c>
      <c r="CK134" s="306">
        <v>1.27</v>
      </c>
      <c r="CL134" s="306">
        <v>0</v>
      </c>
      <c r="CM134" s="306">
        <v>0</v>
      </c>
      <c r="CN134" s="306">
        <v>0</v>
      </c>
      <c r="CO134" s="306">
        <v>0</v>
      </c>
      <c r="CP134" s="306">
        <v>0</v>
      </c>
      <c r="CQ134" s="306">
        <v>0</v>
      </c>
      <c r="CR134" s="306">
        <v>0</v>
      </c>
      <c r="CS134" s="306">
        <v>0</v>
      </c>
      <c r="CT134" s="306">
        <v>0</v>
      </c>
      <c r="CU134" s="306">
        <v>0</v>
      </c>
      <c r="CV134" s="306">
        <v>0</v>
      </c>
      <c r="CW134" s="306">
        <v>0</v>
      </c>
      <c r="CX134" s="306">
        <v>0</v>
      </c>
    </row>
    <row r="135" spans="3:102" x14ac:dyDescent="0.25">
      <c r="C135" s="305">
        <v>15</v>
      </c>
      <c r="D135" s="306">
        <v>0.86</v>
      </c>
      <c r="E135" s="306">
        <v>0.88</v>
      </c>
      <c r="F135" s="306">
        <v>0.9</v>
      </c>
      <c r="G135" s="306">
        <v>0.92</v>
      </c>
      <c r="H135" s="306">
        <v>0.94</v>
      </c>
      <c r="I135" s="306">
        <v>0.96</v>
      </c>
      <c r="J135" s="306">
        <v>0.97</v>
      </c>
      <c r="K135" s="306">
        <v>0.98</v>
      </c>
      <c r="L135" s="306">
        <v>0.99</v>
      </c>
      <c r="M135" s="306">
        <v>1.01</v>
      </c>
      <c r="N135" s="306">
        <v>1.02</v>
      </c>
      <c r="O135" s="306">
        <v>1.03</v>
      </c>
      <c r="P135" s="306">
        <v>1.04</v>
      </c>
      <c r="Q135" s="306">
        <v>1.05</v>
      </c>
      <c r="R135" s="306">
        <v>1.06</v>
      </c>
      <c r="S135" s="306">
        <v>1.07</v>
      </c>
      <c r="T135" s="306">
        <v>1.08</v>
      </c>
      <c r="U135" s="306">
        <v>1.08</v>
      </c>
      <c r="V135" s="306">
        <v>1.0900000000000001</v>
      </c>
      <c r="W135" s="306">
        <v>1.1000000000000001</v>
      </c>
      <c r="X135" s="306">
        <v>1.1100000000000001</v>
      </c>
      <c r="Y135" s="306">
        <v>1.1200000000000001</v>
      </c>
      <c r="Z135" s="306">
        <v>1.1299999999999999</v>
      </c>
      <c r="AA135" s="306">
        <v>1.1299999999999999</v>
      </c>
      <c r="AB135" s="306">
        <v>1.1399999999999999</v>
      </c>
      <c r="AC135" s="306">
        <v>1.1499999999999999</v>
      </c>
      <c r="AD135" s="306">
        <v>1.1599999999999999</v>
      </c>
      <c r="AE135" s="306">
        <v>1.17</v>
      </c>
      <c r="AF135" s="306">
        <v>1.18</v>
      </c>
      <c r="AG135" s="306">
        <v>1.19</v>
      </c>
      <c r="AH135" s="306">
        <v>1.2</v>
      </c>
      <c r="AI135" s="306">
        <v>1.2</v>
      </c>
      <c r="AJ135" s="306">
        <v>1.21</v>
      </c>
      <c r="AK135" s="306">
        <v>1.22</v>
      </c>
      <c r="AL135" s="306">
        <v>1.23</v>
      </c>
      <c r="AM135" s="306">
        <v>1.23</v>
      </c>
      <c r="AN135" s="306">
        <v>1.24</v>
      </c>
      <c r="AO135" s="306">
        <v>1.24</v>
      </c>
      <c r="AP135" s="306">
        <v>1.25</v>
      </c>
      <c r="AQ135" s="306">
        <v>1.25</v>
      </c>
      <c r="AR135" s="306">
        <v>1.26</v>
      </c>
      <c r="AS135" s="306">
        <v>1.26</v>
      </c>
      <c r="AT135" s="306">
        <v>1.27</v>
      </c>
      <c r="AU135" s="306">
        <v>1.27</v>
      </c>
      <c r="AV135" s="306">
        <v>1.28</v>
      </c>
      <c r="AW135" s="306">
        <v>1.28</v>
      </c>
      <c r="AX135" s="306">
        <v>1.28</v>
      </c>
      <c r="AY135" s="306">
        <v>1.28</v>
      </c>
      <c r="AZ135" s="306">
        <v>1.29</v>
      </c>
      <c r="BA135" s="306">
        <v>1.29</v>
      </c>
      <c r="BB135" s="306">
        <v>1.29</v>
      </c>
      <c r="BC135" s="306">
        <v>1.3</v>
      </c>
      <c r="BD135" s="306">
        <v>1.3</v>
      </c>
      <c r="BE135" s="306">
        <v>1.3</v>
      </c>
      <c r="BF135" s="306">
        <v>1.3</v>
      </c>
      <c r="BG135" s="306">
        <v>1.3</v>
      </c>
      <c r="BH135" s="306">
        <v>1.31</v>
      </c>
      <c r="BI135" s="306">
        <v>1.31</v>
      </c>
      <c r="BJ135" s="306">
        <v>1.31</v>
      </c>
      <c r="BK135" s="306">
        <v>1.31</v>
      </c>
      <c r="BL135" s="306">
        <v>1.31</v>
      </c>
      <c r="BM135" s="306">
        <v>1.31</v>
      </c>
      <c r="BN135" s="306">
        <v>1.32</v>
      </c>
      <c r="BO135" s="306">
        <v>1.32</v>
      </c>
      <c r="BP135" s="306">
        <v>1.32</v>
      </c>
      <c r="BQ135" s="306">
        <v>1.32</v>
      </c>
      <c r="BR135" s="306">
        <v>1.32</v>
      </c>
      <c r="BS135" s="306">
        <v>1.32</v>
      </c>
      <c r="BT135" s="306">
        <v>1.32</v>
      </c>
      <c r="BU135" s="306">
        <v>1.32</v>
      </c>
      <c r="BV135" s="306">
        <v>1.32</v>
      </c>
      <c r="BW135" s="306">
        <v>1.32</v>
      </c>
      <c r="BX135" s="306">
        <v>1.32</v>
      </c>
      <c r="BY135" s="306">
        <v>1.32</v>
      </c>
      <c r="BZ135" s="306">
        <v>1.32</v>
      </c>
      <c r="CA135" s="306">
        <v>1.32</v>
      </c>
      <c r="CB135" s="306">
        <v>1.32</v>
      </c>
      <c r="CC135" s="306">
        <v>1.32</v>
      </c>
      <c r="CD135" s="306">
        <v>1.32</v>
      </c>
      <c r="CE135" s="306">
        <v>1.32</v>
      </c>
      <c r="CF135" s="306">
        <v>1.32</v>
      </c>
      <c r="CG135" s="306">
        <v>1.32</v>
      </c>
      <c r="CH135" s="306">
        <v>1.32</v>
      </c>
      <c r="CI135" s="306">
        <v>1.32</v>
      </c>
      <c r="CJ135" s="306">
        <v>1.32</v>
      </c>
      <c r="CK135" s="306">
        <v>0</v>
      </c>
      <c r="CL135" s="306">
        <v>0</v>
      </c>
      <c r="CM135" s="306">
        <v>0</v>
      </c>
      <c r="CN135" s="306">
        <v>0</v>
      </c>
      <c r="CO135" s="306">
        <v>0</v>
      </c>
      <c r="CP135" s="306">
        <v>0</v>
      </c>
      <c r="CQ135" s="306">
        <v>0</v>
      </c>
      <c r="CR135" s="306">
        <v>0</v>
      </c>
      <c r="CS135" s="306">
        <v>0</v>
      </c>
      <c r="CT135" s="306">
        <v>0</v>
      </c>
      <c r="CU135" s="306">
        <v>0</v>
      </c>
      <c r="CV135" s="306">
        <v>0</v>
      </c>
      <c r="CW135" s="306">
        <v>0</v>
      </c>
      <c r="CX135" s="306">
        <v>0</v>
      </c>
    </row>
    <row r="136" spans="3:102" x14ac:dyDescent="0.25">
      <c r="C136" s="305">
        <v>16</v>
      </c>
      <c r="D136" s="306">
        <v>0.91</v>
      </c>
      <c r="E136" s="306">
        <v>0.93</v>
      </c>
      <c r="F136" s="306">
        <v>0.95</v>
      </c>
      <c r="G136" s="306">
        <v>0.96</v>
      </c>
      <c r="H136" s="306">
        <v>0.98</v>
      </c>
      <c r="I136" s="306">
        <v>0.99</v>
      </c>
      <c r="J136" s="306">
        <v>1</v>
      </c>
      <c r="K136" s="306">
        <v>1.01</v>
      </c>
      <c r="L136" s="306">
        <v>1.03</v>
      </c>
      <c r="M136" s="306">
        <v>1.04</v>
      </c>
      <c r="N136" s="306">
        <v>1.05</v>
      </c>
      <c r="O136" s="306">
        <v>1.06</v>
      </c>
      <c r="P136" s="306">
        <v>1.07</v>
      </c>
      <c r="Q136" s="306">
        <v>1.08</v>
      </c>
      <c r="R136" s="306">
        <v>1.0900000000000001</v>
      </c>
      <c r="S136" s="306">
        <v>1.1000000000000001</v>
      </c>
      <c r="T136" s="306">
        <v>1.1100000000000001</v>
      </c>
      <c r="U136" s="306">
        <v>1.1200000000000001</v>
      </c>
      <c r="V136" s="306">
        <v>1.1299999999999999</v>
      </c>
      <c r="W136" s="306">
        <v>1.1399999999999999</v>
      </c>
      <c r="X136" s="306">
        <v>1.1499999999999999</v>
      </c>
      <c r="Y136" s="306">
        <v>1.1499999999999999</v>
      </c>
      <c r="Z136" s="306">
        <v>1.1599999999999999</v>
      </c>
      <c r="AA136" s="306">
        <v>1.18</v>
      </c>
      <c r="AB136" s="306">
        <v>1.19</v>
      </c>
      <c r="AC136" s="306">
        <v>1.2</v>
      </c>
      <c r="AD136" s="306">
        <v>1.21</v>
      </c>
      <c r="AE136" s="306">
        <v>1.22</v>
      </c>
      <c r="AF136" s="306">
        <v>1.23</v>
      </c>
      <c r="AG136" s="306">
        <v>1.24</v>
      </c>
      <c r="AH136" s="306">
        <v>1.24</v>
      </c>
      <c r="AI136" s="306">
        <v>1.25</v>
      </c>
      <c r="AJ136" s="306">
        <v>1.26</v>
      </c>
      <c r="AK136" s="306">
        <v>1.27</v>
      </c>
      <c r="AL136" s="306">
        <v>1.28</v>
      </c>
      <c r="AM136" s="306">
        <v>1.28</v>
      </c>
      <c r="AN136" s="306">
        <v>1.29</v>
      </c>
      <c r="AO136" s="306">
        <v>1.29</v>
      </c>
      <c r="AP136" s="306">
        <v>1.3</v>
      </c>
      <c r="AQ136" s="306">
        <v>1.31</v>
      </c>
      <c r="AR136" s="306">
        <v>1.31</v>
      </c>
      <c r="AS136" s="306">
        <v>1.32</v>
      </c>
      <c r="AT136" s="306">
        <v>1.32</v>
      </c>
      <c r="AU136" s="306">
        <v>1.32</v>
      </c>
      <c r="AV136" s="306">
        <v>1.33</v>
      </c>
      <c r="AW136" s="306">
        <v>1.33</v>
      </c>
      <c r="AX136" s="306">
        <v>1.34</v>
      </c>
      <c r="AY136" s="306">
        <v>1.34</v>
      </c>
      <c r="AZ136" s="306">
        <v>1.34</v>
      </c>
      <c r="BA136" s="306">
        <v>1.34</v>
      </c>
      <c r="BB136" s="306">
        <v>1.35</v>
      </c>
      <c r="BC136" s="306">
        <v>1.35</v>
      </c>
      <c r="BD136" s="306">
        <v>1.35</v>
      </c>
      <c r="BE136" s="306">
        <v>1.36</v>
      </c>
      <c r="BF136" s="306">
        <v>1.36</v>
      </c>
      <c r="BG136" s="306">
        <v>1.36</v>
      </c>
      <c r="BH136" s="306">
        <v>1.36</v>
      </c>
      <c r="BI136" s="306">
        <v>1.36</v>
      </c>
      <c r="BJ136" s="306">
        <v>1.36</v>
      </c>
      <c r="BK136" s="306">
        <v>1.37</v>
      </c>
      <c r="BL136" s="306">
        <v>1.37</v>
      </c>
      <c r="BM136" s="306">
        <v>1.37</v>
      </c>
      <c r="BN136" s="306">
        <v>1.37</v>
      </c>
      <c r="BO136" s="306">
        <v>1.37</v>
      </c>
      <c r="BP136" s="306">
        <v>1.37</v>
      </c>
      <c r="BQ136" s="306">
        <v>1.37</v>
      </c>
      <c r="BR136" s="306">
        <v>1.38</v>
      </c>
      <c r="BS136" s="306">
        <v>1.38</v>
      </c>
      <c r="BT136" s="306">
        <v>1.38</v>
      </c>
      <c r="BU136" s="306">
        <v>1.38</v>
      </c>
      <c r="BV136" s="306">
        <v>1.38</v>
      </c>
      <c r="BW136" s="306">
        <v>1.38</v>
      </c>
      <c r="BX136" s="306">
        <v>1.38</v>
      </c>
      <c r="BY136" s="306">
        <v>1.38</v>
      </c>
      <c r="BZ136" s="306">
        <v>1.38</v>
      </c>
      <c r="CA136" s="306">
        <v>1.38</v>
      </c>
      <c r="CB136" s="306">
        <v>1.38</v>
      </c>
      <c r="CC136" s="306">
        <v>1.38</v>
      </c>
      <c r="CD136" s="306">
        <v>1.38</v>
      </c>
      <c r="CE136" s="306">
        <v>1.38</v>
      </c>
      <c r="CF136" s="306">
        <v>1.38</v>
      </c>
      <c r="CG136" s="306">
        <v>1.38</v>
      </c>
      <c r="CH136" s="306">
        <v>1.38</v>
      </c>
      <c r="CI136" s="306">
        <v>1.38</v>
      </c>
      <c r="CJ136" s="306">
        <v>0</v>
      </c>
      <c r="CK136" s="306">
        <v>0</v>
      </c>
      <c r="CL136" s="306">
        <v>0</v>
      </c>
      <c r="CM136" s="306">
        <v>0</v>
      </c>
      <c r="CN136" s="306">
        <v>0</v>
      </c>
      <c r="CO136" s="306">
        <v>0</v>
      </c>
      <c r="CP136" s="306">
        <v>0</v>
      </c>
      <c r="CQ136" s="306">
        <v>0</v>
      </c>
      <c r="CR136" s="306">
        <v>0</v>
      </c>
      <c r="CS136" s="306">
        <v>0</v>
      </c>
      <c r="CT136" s="306">
        <v>0</v>
      </c>
      <c r="CU136" s="306">
        <v>0</v>
      </c>
      <c r="CV136" s="306">
        <v>0</v>
      </c>
      <c r="CW136" s="306">
        <v>0</v>
      </c>
      <c r="CX136" s="306">
        <v>0</v>
      </c>
    </row>
    <row r="137" spans="3:102" x14ac:dyDescent="0.25">
      <c r="C137" s="305">
        <v>17</v>
      </c>
      <c r="D137" s="306">
        <v>0.95</v>
      </c>
      <c r="E137" s="306">
        <v>0.97</v>
      </c>
      <c r="F137" s="306">
        <v>0.98</v>
      </c>
      <c r="G137" s="306">
        <v>1</v>
      </c>
      <c r="H137" s="306">
        <v>1.01</v>
      </c>
      <c r="I137" s="306">
        <v>1.02</v>
      </c>
      <c r="J137" s="306">
        <v>1.03</v>
      </c>
      <c r="K137" s="306">
        <v>1.04</v>
      </c>
      <c r="L137" s="306">
        <v>1.05</v>
      </c>
      <c r="M137" s="306">
        <v>1.06</v>
      </c>
      <c r="N137" s="306">
        <v>1.08</v>
      </c>
      <c r="O137" s="306">
        <v>1.0900000000000001</v>
      </c>
      <c r="P137" s="306">
        <v>1.1000000000000001</v>
      </c>
      <c r="Q137" s="306">
        <v>1.1100000000000001</v>
      </c>
      <c r="R137" s="306">
        <v>1.1200000000000001</v>
      </c>
      <c r="S137" s="306">
        <v>1.1299999999999999</v>
      </c>
      <c r="T137" s="306">
        <v>1.1399999999999999</v>
      </c>
      <c r="U137" s="306">
        <v>1.1499999999999999</v>
      </c>
      <c r="V137" s="306">
        <v>1.1599999999999999</v>
      </c>
      <c r="W137" s="306">
        <v>1.17</v>
      </c>
      <c r="X137" s="306">
        <v>1.18</v>
      </c>
      <c r="Y137" s="306">
        <v>1.19</v>
      </c>
      <c r="Z137" s="306">
        <v>1.21</v>
      </c>
      <c r="AA137" s="306">
        <v>1.22</v>
      </c>
      <c r="AB137" s="306">
        <v>1.23</v>
      </c>
      <c r="AC137" s="306">
        <v>1.24</v>
      </c>
      <c r="AD137" s="306">
        <v>1.25</v>
      </c>
      <c r="AE137" s="306">
        <v>1.26</v>
      </c>
      <c r="AF137" s="306">
        <v>1.27</v>
      </c>
      <c r="AG137" s="306">
        <v>1.28</v>
      </c>
      <c r="AH137" s="306">
        <v>1.29</v>
      </c>
      <c r="AI137" s="306">
        <v>1.3</v>
      </c>
      <c r="AJ137" s="306">
        <v>1.31</v>
      </c>
      <c r="AK137" s="306">
        <v>1.32</v>
      </c>
      <c r="AL137" s="306">
        <v>1.33</v>
      </c>
      <c r="AM137" s="306">
        <v>1.33</v>
      </c>
      <c r="AN137" s="306">
        <v>1.34</v>
      </c>
      <c r="AO137" s="306">
        <v>1.35</v>
      </c>
      <c r="AP137" s="306">
        <v>1.35</v>
      </c>
      <c r="AQ137" s="306">
        <v>1.36</v>
      </c>
      <c r="AR137" s="306">
        <v>1.37</v>
      </c>
      <c r="AS137" s="306">
        <v>1.37</v>
      </c>
      <c r="AT137" s="306">
        <v>1.38</v>
      </c>
      <c r="AU137" s="306">
        <v>1.38</v>
      </c>
      <c r="AV137" s="306">
        <v>1.38</v>
      </c>
      <c r="AW137" s="306">
        <v>1.39</v>
      </c>
      <c r="AX137" s="306">
        <v>1.39</v>
      </c>
      <c r="AY137" s="306">
        <v>1.39</v>
      </c>
      <c r="AZ137" s="306">
        <v>1.4</v>
      </c>
      <c r="BA137" s="306">
        <v>1.4</v>
      </c>
      <c r="BB137" s="306">
        <v>1.4</v>
      </c>
      <c r="BC137" s="306">
        <v>1.41</v>
      </c>
      <c r="BD137" s="306">
        <v>1.41</v>
      </c>
      <c r="BE137" s="306">
        <v>1.41</v>
      </c>
      <c r="BF137" s="306">
        <v>1.41</v>
      </c>
      <c r="BG137" s="306">
        <v>1.42</v>
      </c>
      <c r="BH137" s="306">
        <v>1.42</v>
      </c>
      <c r="BI137" s="306">
        <v>1.42</v>
      </c>
      <c r="BJ137" s="306">
        <v>1.42</v>
      </c>
      <c r="BK137" s="306">
        <v>1.43</v>
      </c>
      <c r="BL137" s="306">
        <v>1.43</v>
      </c>
      <c r="BM137" s="306">
        <v>1.43</v>
      </c>
      <c r="BN137" s="306">
        <v>1.43</v>
      </c>
      <c r="BO137" s="306">
        <v>1.43</v>
      </c>
      <c r="BP137" s="306">
        <v>1.43</v>
      </c>
      <c r="BQ137" s="306">
        <v>1.43</v>
      </c>
      <c r="BR137" s="306">
        <v>1.43</v>
      </c>
      <c r="BS137" s="306">
        <v>1.44</v>
      </c>
      <c r="BT137" s="306">
        <v>1.44</v>
      </c>
      <c r="BU137" s="306">
        <v>1.44</v>
      </c>
      <c r="BV137" s="306">
        <v>1.44</v>
      </c>
      <c r="BW137" s="306">
        <v>1.44</v>
      </c>
      <c r="BX137" s="306">
        <v>1.44</v>
      </c>
      <c r="BY137" s="306">
        <v>1.44</v>
      </c>
      <c r="BZ137" s="306">
        <v>1.44</v>
      </c>
      <c r="CA137" s="306">
        <v>1.44</v>
      </c>
      <c r="CB137" s="306">
        <v>1.44</v>
      </c>
      <c r="CC137" s="306">
        <v>1.44</v>
      </c>
      <c r="CD137" s="306">
        <v>1.44</v>
      </c>
      <c r="CE137" s="306">
        <v>1.44</v>
      </c>
      <c r="CF137" s="306">
        <v>1.44</v>
      </c>
      <c r="CG137" s="306">
        <v>1.44</v>
      </c>
      <c r="CH137" s="306">
        <v>1.44</v>
      </c>
      <c r="CI137" s="306">
        <v>0</v>
      </c>
      <c r="CJ137" s="306">
        <v>0</v>
      </c>
      <c r="CK137" s="306">
        <v>0</v>
      </c>
      <c r="CL137" s="306">
        <v>0</v>
      </c>
      <c r="CM137" s="306">
        <v>0</v>
      </c>
      <c r="CN137" s="306">
        <v>0</v>
      </c>
      <c r="CO137" s="306">
        <v>0</v>
      </c>
      <c r="CP137" s="306">
        <v>0</v>
      </c>
      <c r="CQ137" s="306">
        <v>0</v>
      </c>
      <c r="CR137" s="306">
        <v>0</v>
      </c>
      <c r="CS137" s="306">
        <v>0</v>
      </c>
      <c r="CT137" s="306">
        <v>0</v>
      </c>
      <c r="CU137" s="306">
        <v>0</v>
      </c>
      <c r="CV137" s="306">
        <v>0</v>
      </c>
      <c r="CW137" s="306">
        <v>0</v>
      </c>
      <c r="CX137" s="306">
        <v>0</v>
      </c>
    </row>
    <row r="138" spans="3:102" x14ac:dyDescent="0.25">
      <c r="C138" s="305">
        <v>18</v>
      </c>
      <c r="D138" s="306">
        <v>0.99</v>
      </c>
      <c r="E138" s="306">
        <v>1</v>
      </c>
      <c r="F138" s="306">
        <v>1.01</v>
      </c>
      <c r="G138" s="306">
        <v>1.03</v>
      </c>
      <c r="H138" s="306">
        <v>1.04</v>
      </c>
      <c r="I138" s="306">
        <v>1.05</v>
      </c>
      <c r="J138" s="306">
        <v>1.06</v>
      </c>
      <c r="K138" s="306">
        <v>1.07</v>
      </c>
      <c r="L138" s="306">
        <v>1.08</v>
      </c>
      <c r="M138" s="306">
        <v>1.0900000000000001</v>
      </c>
      <c r="N138" s="306">
        <v>1.1100000000000001</v>
      </c>
      <c r="O138" s="306">
        <v>1.1200000000000001</v>
      </c>
      <c r="P138" s="306">
        <v>1.1299999999999999</v>
      </c>
      <c r="Q138" s="306">
        <v>1.1399999999999999</v>
      </c>
      <c r="R138" s="306">
        <v>1.1499999999999999</v>
      </c>
      <c r="S138" s="306">
        <v>1.1599999999999999</v>
      </c>
      <c r="T138" s="306">
        <v>1.18</v>
      </c>
      <c r="U138" s="306">
        <v>1.19</v>
      </c>
      <c r="V138" s="306">
        <v>1.2</v>
      </c>
      <c r="W138" s="306">
        <v>1.21</v>
      </c>
      <c r="X138" s="306">
        <v>1.22</v>
      </c>
      <c r="Y138" s="306">
        <v>1.24</v>
      </c>
      <c r="Z138" s="306">
        <v>1.25</v>
      </c>
      <c r="AA138" s="306">
        <v>1.26</v>
      </c>
      <c r="AB138" s="306">
        <v>1.28</v>
      </c>
      <c r="AC138" s="306">
        <v>1.29</v>
      </c>
      <c r="AD138" s="306">
        <v>1.3</v>
      </c>
      <c r="AE138" s="306">
        <v>1.31</v>
      </c>
      <c r="AF138" s="306">
        <v>1.32</v>
      </c>
      <c r="AG138" s="306">
        <v>1.34</v>
      </c>
      <c r="AH138" s="306">
        <v>1.35</v>
      </c>
      <c r="AI138" s="306">
        <v>1.36</v>
      </c>
      <c r="AJ138" s="306">
        <v>1.36</v>
      </c>
      <c r="AK138" s="306">
        <v>1.37</v>
      </c>
      <c r="AL138" s="306">
        <v>1.38</v>
      </c>
      <c r="AM138" s="306">
        <v>1.39</v>
      </c>
      <c r="AN138" s="306">
        <v>1.4</v>
      </c>
      <c r="AO138" s="306">
        <v>1.4</v>
      </c>
      <c r="AP138" s="306">
        <v>1.41</v>
      </c>
      <c r="AQ138" s="306">
        <v>1.42</v>
      </c>
      <c r="AR138" s="306">
        <v>1.42</v>
      </c>
      <c r="AS138" s="306">
        <v>1.43</v>
      </c>
      <c r="AT138" s="306">
        <v>1.43</v>
      </c>
      <c r="AU138" s="306">
        <v>1.44</v>
      </c>
      <c r="AV138" s="306">
        <v>1.44</v>
      </c>
      <c r="AW138" s="306">
        <v>1.45</v>
      </c>
      <c r="AX138" s="306">
        <v>1.45</v>
      </c>
      <c r="AY138" s="306">
        <v>1.45</v>
      </c>
      <c r="AZ138" s="306">
        <v>1.46</v>
      </c>
      <c r="BA138" s="306">
        <v>1.46</v>
      </c>
      <c r="BB138" s="306">
        <v>1.47</v>
      </c>
      <c r="BC138" s="306">
        <v>1.47</v>
      </c>
      <c r="BD138" s="306">
        <v>1.47</v>
      </c>
      <c r="BE138" s="306">
        <v>1.47</v>
      </c>
      <c r="BF138" s="306">
        <v>1.48</v>
      </c>
      <c r="BG138" s="306">
        <v>1.48</v>
      </c>
      <c r="BH138" s="306">
        <v>1.48</v>
      </c>
      <c r="BI138" s="306">
        <v>1.48</v>
      </c>
      <c r="BJ138" s="306">
        <v>1.49</v>
      </c>
      <c r="BK138" s="306">
        <v>1.49</v>
      </c>
      <c r="BL138" s="306">
        <v>1.49</v>
      </c>
      <c r="BM138" s="306">
        <v>1.49</v>
      </c>
      <c r="BN138" s="306">
        <v>1.49</v>
      </c>
      <c r="BO138" s="306">
        <v>1.49</v>
      </c>
      <c r="BP138" s="306">
        <v>1.5</v>
      </c>
      <c r="BQ138" s="306">
        <v>1.5</v>
      </c>
      <c r="BR138" s="306">
        <v>1.5</v>
      </c>
      <c r="BS138" s="306">
        <v>1.5</v>
      </c>
      <c r="BT138" s="306">
        <v>1.5</v>
      </c>
      <c r="BU138" s="306">
        <v>1.5</v>
      </c>
      <c r="BV138" s="306">
        <v>1.5</v>
      </c>
      <c r="BW138" s="306">
        <v>1.5</v>
      </c>
      <c r="BX138" s="306">
        <v>1.5</v>
      </c>
      <c r="BY138" s="306">
        <v>1.5</v>
      </c>
      <c r="BZ138" s="306">
        <v>1.5</v>
      </c>
      <c r="CA138" s="306">
        <v>1.5</v>
      </c>
      <c r="CB138" s="306">
        <v>1.5</v>
      </c>
      <c r="CC138" s="306">
        <v>1.5</v>
      </c>
      <c r="CD138" s="306">
        <v>1.5</v>
      </c>
      <c r="CE138" s="306">
        <v>1.5</v>
      </c>
      <c r="CF138" s="306">
        <v>1.5</v>
      </c>
      <c r="CG138" s="306">
        <v>1.5</v>
      </c>
      <c r="CH138" s="306">
        <v>0</v>
      </c>
      <c r="CI138" s="306">
        <v>0</v>
      </c>
      <c r="CJ138" s="306">
        <v>0</v>
      </c>
      <c r="CK138" s="306">
        <v>0</v>
      </c>
      <c r="CL138" s="306">
        <v>0</v>
      </c>
      <c r="CM138" s="306">
        <v>0</v>
      </c>
      <c r="CN138" s="306">
        <v>0</v>
      </c>
      <c r="CO138" s="306">
        <v>0</v>
      </c>
      <c r="CP138" s="306">
        <v>0</v>
      </c>
      <c r="CQ138" s="306">
        <v>0</v>
      </c>
      <c r="CR138" s="306">
        <v>0</v>
      </c>
      <c r="CS138" s="306">
        <v>0</v>
      </c>
      <c r="CT138" s="306">
        <v>0</v>
      </c>
      <c r="CU138" s="306">
        <v>0</v>
      </c>
      <c r="CV138" s="306">
        <v>0</v>
      </c>
      <c r="CW138" s="306">
        <v>0</v>
      </c>
      <c r="CX138" s="306">
        <v>0</v>
      </c>
    </row>
    <row r="139" spans="3:102" x14ac:dyDescent="0.25">
      <c r="C139" s="305">
        <v>19</v>
      </c>
      <c r="D139" s="306">
        <v>1.01</v>
      </c>
      <c r="E139" s="306">
        <v>1.03</v>
      </c>
      <c r="F139" s="306">
        <v>1.04</v>
      </c>
      <c r="G139" s="306">
        <v>1.05</v>
      </c>
      <c r="H139" s="306">
        <v>1.06</v>
      </c>
      <c r="I139" s="306">
        <v>1.07</v>
      </c>
      <c r="J139" s="306">
        <v>1.08</v>
      </c>
      <c r="K139" s="306">
        <v>1.0900000000000001</v>
      </c>
      <c r="L139" s="306">
        <v>1.1100000000000001</v>
      </c>
      <c r="M139" s="306">
        <v>1.1200000000000001</v>
      </c>
      <c r="N139" s="306">
        <v>1.1299999999999999</v>
      </c>
      <c r="O139" s="306">
        <v>1.1499999999999999</v>
      </c>
      <c r="P139" s="306">
        <v>1.1599999999999999</v>
      </c>
      <c r="Q139" s="306">
        <v>1.17</v>
      </c>
      <c r="R139" s="306">
        <v>1.19</v>
      </c>
      <c r="S139" s="306">
        <v>1.2</v>
      </c>
      <c r="T139" s="306">
        <v>1.21</v>
      </c>
      <c r="U139" s="306">
        <v>1.22</v>
      </c>
      <c r="V139" s="306">
        <v>1.24</v>
      </c>
      <c r="W139" s="306">
        <v>1.25</v>
      </c>
      <c r="X139" s="306">
        <v>1.27</v>
      </c>
      <c r="Y139" s="306">
        <v>1.28</v>
      </c>
      <c r="Z139" s="306">
        <v>1.3</v>
      </c>
      <c r="AA139" s="306">
        <v>1.31</v>
      </c>
      <c r="AB139" s="306">
        <v>1.33</v>
      </c>
      <c r="AC139" s="306">
        <v>1.34</v>
      </c>
      <c r="AD139" s="306">
        <v>1.35</v>
      </c>
      <c r="AE139" s="306">
        <v>1.37</v>
      </c>
      <c r="AF139" s="306">
        <v>1.38</v>
      </c>
      <c r="AG139" s="306">
        <v>1.39</v>
      </c>
      <c r="AH139" s="306">
        <v>1.4</v>
      </c>
      <c r="AI139" s="306">
        <v>1.41</v>
      </c>
      <c r="AJ139" s="306">
        <v>1.42</v>
      </c>
      <c r="AK139" s="306">
        <v>1.43</v>
      </c>
      <c r="AL139" s="306">
        <v>1.44</v>
      </c>
      <c r="AM139" s="306">
        <v>1.45</v>
      </c>
      <c r="AN139" s="306">
        <v>1.46</v>
      </c>
      <c r="AO139" s="306">
        <v>1.46</v>
      </c>
      <c r="AP139" s="306">
        <v>1.47</v>
      </c>
      <c r="AQ139" s="306">
        <v>1.48</v>
      </c>
      <c r="AR139" s="306">
        <v>1.48</v>
      </c>
      <c r="AS139" s="306">
        <v>1.49</v>
      </c>
      <c r="AT139" s="306">
        <v>1.5</v>
      </c>
      <c r="AU139" s="306">
        <v>1.5</v>
      </c>
      <c r="AV139" s="306">
        <v>1.51</v>
      </c>
      <c r="AW139" s="306">
        <v>1.51</v>
      </c>
      <c r="AX139" s="306">
        <v>1.51</v>
      </c>
      <c r="AY139" s="306">
        <v>1.52</v>
      </c>
      <c r="AZ139" s="306">
        <v>1.52</v>
      </c>
      <c r="BA139" s="306">
        <v>1.53</v>
      </c>
      <c r="BB139" s="306">
        <v>1.53</v>
      </c>
      <c r="BC139" s="306">
        <v>1.53</v>
      </c>
      <c r="BD139" s="306">
        <v>1.54</v>
      </c>
      <c r="BE139" s="306">
        <v>1.54</v>
      </c>
      <c r="BF139" s="306">
        <v>1.54</v>
      </c>
      <c r="BG139" s="306">
        <v>1.54</v>
      </c>
      <c r="BH139" s="306">
        <v>1.55</v>
      </c>
      <c r="BI139" s="306">
        <v>1.55</v>
      </c>
      <c r="BJ139" s="306">
        <v>1.55</v>
      </c>
      <c r="BK139" s="306">
        <v>1.55</v>
      </c>
      <c r="BL139" s="306">
        <v>1.56</v>
      </c>
      <c r="BM139" s="306">
        <v>1.56</v>
      </c>
      <c r="BN139" s="306">
        <v>1.56</v>
      </c>
      <c r="BO139" s="306">
        <v>1.56</v>
      </c>
      <c r="BP139" s="306">
        <v>1.56</v>
      </c>
      <c r="BQ139" s="306">
        <v>1.56</v>
      </c>
      <c r="BR139" s="306">
        <v>1.56</v>
      </c>
      <c r="BS139" s="306">
        <v>1.56</v>
      </c>
      <c r="BT139" s="306">
        <v>1.57</v>
      </c>
      <c r="BU139" s="306">
        <v>1.57</v>
      </c>
      <c r="BV139" s="306">
        <v>1.57</v>
      </c>
      <c r="BW139" s="306">
        <v>1.57</v>
      </c>
      <c r="BX139" s="306">
        <v>1.57</v>
      </c>
      <c r="BY139" s="306">
        <v>1.57</v>
      </c>
      <c r="BZ139" s="306">
        <v>1.57</v>
      </c>
      <c r="CA139" s="306">
        <v>1.57</v>
      </c>
      <c r="CB139" s="306">
        <v>1.57</v>
      </c>
      <c r="CC139" s="306">
        <v>1.57</v>
      </c>
      <c r="CD139" s="306">
        <v>1.57</v>
      </c>
      <c r="CE139" s="306">
        <v>1.57</v>
      </c>
      <c r="CF139" s="306">
        <v>1.57</v>
      </c>
      <c r="CG139" s="306">
        <v>0</v>
      </c>
      <c r="CH139" s="306">
        <v>0</v>
      </c>
      <c r="CI139" s="306">
        <v>0</v>
      </c>
      <c r="CJ139" s="306">
        <v>0</v>
      </c>
      <c r="CK139" s="306">
        <v>0</v>
      </c>
      <c r="CL139" s="306">
        <v>0</v>
      </c>
      <c r="CM139" s="306">
        <v>0</v>
      </c>
      <c r="CN139" s="306">
        <v>0</v>
      </c>
      <c r="CO139" s="306">
        <v>0</v>
      </c>
      <c r="CP139" s="306">
        <v>0</v>
      </c>
      <c r="CQ139" s="306">
        <v>0</v>
      </c>
      <c r="CR139" s="306">
        <v>0</v>
      </c>
      <c r="CS139" s="306">
        <v>0</v>
      </c>
      <c r="CT139" s="306">
        <v>0</v>
      </c>
      <c r="CU139" s="306">
        <v>0</v>
      </c>
      <c r="CV139" s="306">
        <v>0</v>
      </c>
      <c r="CW139" s="306">
        <v>0</v>
      </c>
      <c r="CX139" s="306">
        <v>0</v>
      </c>
    </row>
    <row r="140" spans="3:102" x14ac:dyDescent="0.25">
      <c r="C140" s="305">
        <v>20</v>
      </c>
      <c r="D140" s="306">
        <v>1.04</v>
      </c>
      <c r="E140" s="306">
        <v>1.05</v>
      </c>
      <c r="F140" s="306">
        <v>1.06</v>
      </c>
      <c r="G140" s="306">
        <v>1.07</v>
      </c>
      <c r="H140" s="306">
        <v>1.08</v>
      </c>
      <c r="I140" s="306">
        <v>1.1000000000000001</v>
      </c>
      <c r="J140" s="306">
        <v>1.1100000000000001</v>
      </c>
      <c r="K140" s="306">
        <v>1.1200000000000001</v>
      </c>
      <c r="L140" s="306">
        <v>1.1299999999999999</v>
      </c>
      <c r="M140" s="306">
        <v>1.1499999999999999</v>
      </c>
      <c r="N140" s="306">
        <v>1.1599999999999999</v>
      </c>
      <c r="O140" s="306">
        <v>1.18</v>
      </c>
      <c r="P140" s="306">
        <v>1.19</v>
      </c>
      <c r="Q140" s="306">
        <v>1.21</v>
      </c>
      <c r="R140" s="306">
        <v>1.22</v>
      </c>
      <c r="S140" s="306">
        <v>1.23</v>
      </c>
      <c r="T140" s="306">
        <v>1.25</v>
      </c>
      <c r="U140" s="306">
        <v>1.26</v>
      </c>
      <c r="V140" s="306">
        <v>1.28</v>
      </c>
      <c r="W140" s="306">
        <v>1.3</v>
      </c>
      <c r="X140" s="306">
        <v>1.31</v>
      </c>
      <c r="Y140" s="306">
        <v>1.33</v>
      </c>
      <c r="Z140" s="306">
        <v>1.35</v>
      </c>
      <c r="AA140" s="306">
        <v>1.36</v>
      </c>
      <c r="AB140" s="306">
        <v>1.38</v>
      </c>
      <c r="AC140" s="306">
        <v>1.4</v>
      </c>
      <c r="AD140" s="306">
        <v>1.41</v>
      </c>
      <c r="AE140" s="306">
        <v>1.42</v>
      </c>
      <c r="AF140" s="306">
        <v>1.44</v>
      </c>
      <c r="AG140" s="306">
        <v>1.45</v>
      </c>
      <c r="AH140" s="306">
        <v>1.46</v>
      </c>
      <c r="AI140" s="306">
        <v>1.47</v>
      </c>
      <c r="AJ140" s="306">
        <v>1.48</v>
      </c>
      <c r="AK140" s="306">
        <v>1.49</v>
      </c>
      <c r="AL140" s="306">
        <v>1.5</v>
      </c>
      <c r="AM140" s="306">
        <v>1.51</v>
      </c>
      <c r="AN140" s="306">
        <v>1.52</v>
      </c>
      <c r="AO140" s="306">
        <v>1.53</v>
      </c>
      <c r="AP140" s="306">
        <v>1.54</v>
      </c>
      <c r="AQ140" s="306">
        <v>1.54</v>
      </c>
      <c r="AR140" s="306">
        <v>1.55</v>
      </c>
      <c r="AS140" s="306">
        <v>1.56</v>
      </c>
      <c r="AT140" s="306">
        <v>1.56</v>
      </c>
      <c r="AU140" s="306">
        <v>1.57</v>
      </c>
      <c r="AV140" s="306">
        <v>1.57</v>
      </c>
      <c r="AW140" s="306">
        <v>1.58</v>
      </c>
      <c r="AX140" s="306">
        <v>1.58</v>
      </c>
      <c r="AY140" s="306">
        <v>1.59</v>
      </c>
      <c r="AZ140" s="306">
        <v>1.59</v>
      </c>
      <c r="BA140" s="306">
        <v>1.6</v>
      </c>
      <c r="BB140" s="306">
        <v>1.6</v>
      </c>
      <c r="BC140" s="306">
        <v>1.6</v>
      </c>
      <c r="BD140" s="306">
        <v>1.61</v>
      </c>
      <c r="BE140" s="306">
        <v>1.61</v>
      </c>
      <c r="BF140" s="306">
        <v>1.61</v>
      </c>
      <c r="BG140" s="306">
        <v>1.62</v>
      </c>
      <c r="BH140" s="306">
        <v>1.62</v>
      </c>
      <c r="BI140" s="306">
        <v>1.62</v>
      </c>
      <c r="BJ140" s="306">
        <v>1.62</v>
      </c>
      <c r="BK140" s="306">
        <v>1.63</v>
      </c>
      <c r="BL140" s="306">
        <v>1.63</v>
      </c>
      <c r="BM140" s="306">
        <v>1.63</v>
      </c>
      <c r="BN140" s="306">
        <v>1.63</v>
      </c>
      <c r="BO140" s="306">
        <v>1.63</v>
      </c>
      <c r="BP140" s="306">
        <v>1.63</v>
      </c>
      <c r="BQ140" s="306">
        <v>1.64</v>
      </c>
      <c r="BR140" s="306">
        <v>1.64</v>
      </c>
      <c r="BS140" s="306">
        <v>1.64</v>
      </c>
      <c r="BT140" s="306">
        <v>1.64</v>
      </c>
      <c r="BU140" s="306">
        <v>1.64</v>
      </c>
      <c r="BV140" s="306">
        <v>1.64</v>
      </c>
      <c r="BW140" s="306">
        <v>1.64</v>
      </c>
      <c r="BX140" s="306">
        <v>1.64</v>
      </c>
      <c r="BY140" s="306">
        <v>1.64</v>
      </c>
      <c r="BZ140" s="306">
        <v>1.64</v>
      </c>
      <c r="CA140" s="306">
        <v>1.64</v>
      </c>
      <c r="CB140" s="306">
        <v>1.64</v>
      </c>
      <c r="CC140" s="306">
        <v>1.64</v>
      </c>
      <c r="CD140" s="306">
        <v>1.64</v>
      </c>
      <c r="CE140" s="306">
        <v>1.64</v>
      </c>
      <c r="CF140" s="306">
        <v>0</v>
      </c>
      <c r="CG140" s="306">
        <v>0</v>
      </c>
      <c r="CH140" s="306">
        <v>0</v>
      </c>
      <c r="CI140" s="306">
        <v>0</v>
      </c>
      <c r="CJ140" s="306">
        <v>0</v>
      </c>
      <c r="CK140" s="306">
        <v>0</v>
      </c>
      <c r="CL140" s="306">
        <v>0</v>
      </c>
      <c r="CM140" s="306">
        <v>0</v>
      </c>
      <c r="CN140" s="306">
        <v>0</v>
      </c>
      <c r="CO140" s="306">
        <v>0</v>
      </c>
      <c r="CP140" s="306">
        <v>0</v>
      </c>
      <c r="CQ140" s="306">
        <v>0</v>
      </c>
      <c r="CR140" s="306">
        <v>0</v>
      </c>
      <c r="CS140" s="306">
        <v>0</v>
      </c>
      <c r="CT140" s="306">
        <v>0</v>
      </c>
      <c r="CU140" s="306">
        <v>0</v>
      </c>
      <c r="CV140" s="306">
        <v>0</v>
      </c>
      <c r="CW140" s="306">
        <v>0</v>
      </c>
      <c r="CX140" s="306">
        <v>0</v>
      </c>
    </row>
    <row r="141" spans="3:102" x14ac:dyDescent="0.25">
      <c r="C141" s="305">
        <v>21</v>
      </c>
      <c r="D141" s="306">
        <v>1.06</v>
      </c>
      <c r="E141" s="306">
        <v>1.07</v>
      </c>
      <c r="F141" s="306">
        <v>1.08</v>
      </c>
      <c r="G141" s="306">
        <v>1.1000000000000001</v>
      </c>
      <c r="H141" s="306">
        <v>1.1100000000000001</v>
      </c>
      <c r="I141" s="306">
        <v>1.1200000000000001</v>
      </c>
      <c r="J141" s="306">
        <v>1.1299999999999999</v>
      </c>
      <c r="K141" s="306">
        <v>1.1499999999999999</v>
      </c>
      <c r="L141" s="306">
        <v>1.1599999999999999</v>
      </c>
      <c r="M141" s="306">
        <v>1.18</v>
      </c>
      <c r="N141" s="306">
        <v>1.19</v>
      </c>
      <c r="O141" s="306">
        <v>1.21</v>
      </c>
      <c r="P141" s="306">
        <v>1.23</v>
      </c>
      <c r="Q141" s="306">
        <v>1.24</v>
      </c>
      <c r="R141" s="306">
        <v>1.26</v>
      </c>
      <c r="S141" s="306">
        <v>1.28</v>
      </c>
      <c r="T141" s="306">
        <v>1.29</v>
      </c>
      <c r="U141" s="306">
        <v>1.31</v>
      </c>
      <c r="V141" s="306">
        <v>1.33</v>
      </c>
      <c r="W141" s="306">
        <v>1.35</v>
      </c>
      <c r="X141" s="306">
        <v>1.37</v>
      </c>
      <c r="Y141" s="306">
        <v>1.39</v>
      </c>
      <c r="Z141" s="306">
        <v>1.41</v>
      </c>
      <c r="AA141" s="306">
        <v>1.42</v>
      </c>
      <c r="AB141" s="306">
        <v>1.44</v>
      </c>
      <c r="AC141" s="306">
        <v>1.46</v>
      </c>
      <c r="AD141" s="306">
        <v>1.47</v>
      </c>
      <c r="AE141" s="306">
        <v>1.49</v>
      </c>
      <c r="AF141" s="306">
        <v>1.5</v>
      </c>
      <c r="AG141" s="306">
        <v>1.52</v>
      </c>
      <c r="AH141" s="306">
        <v>1.53</v>
      </c>
      <c r="AI141" s="306">
        <v>1.54</v>
      </c>
      <c r="AJ141" s="306">
        <v>1.55</v>
      </c>
      <c r="AK141" s="306">
        <v>1.56</v>
      </c>
      <c r="AL141" s="306">
        <v>1.57</v>
      </c>
      <c r="AM141" s="306">
        <v>1.58</v>
      </c>
      <c r="AN141" s="306">
        <v>1.59</v>
      </c>
      <c r="AO141" s="306">
        <v>1.6</v>
      </c>
      <c r="AP141" s="306">
        <v>1.61</v>
      </c>
      <c r="AQ141" s="306">
        <v>1.62</v>
      </c>
      <c r="AR141" s="306">
        <v>1.62</v>
      </c>
      <c r="AS141" s="306">
        <v>1.63</v>
      </c>
      <c r="AT141" s="306">
        <v>1.64</v>
      </c>
      <c r="AU141" s="306">
        <v>1.64</v>
      </c>
      <c r="AV141" s="306">
        <v>1.65</v>
      </c>
      <c r="AW141" s="306">
        <v>1.65</v>
      </c>
      <c r="AX141" s="306">
        <v>1.66</v>
      </c>
      <c r="AY141" s="306">
        <v>1.66</v>
      </c>
      <c r="AZ141" s="306">
        <v>1.67</v>
      </c>
      <c r="BA141" s="306">
        <v>1.67</v>
      </c>
      <c r="BB141" s="306">
        <v>1.68</v>
      </c>
      <c r="BC141" s="306">
        <v>1.68</v>
      </c>
      <c r="BD141" s="306">
        <v>1.68</v>
      </c>
      <c r="BE141" s="306">
        <v>1.69</v>
      </c>
      <c r="BF141" s="306">
        <v>1.69</v>
      </c>
      <c r="BG141" s="306">
        <v>1.69</v>
      </c>
      <c r="BH141" s="306">
        <v>1.7</v>
      </c>
      <c r="BI141" s="306">
        <v>1.7</v>
      </c>
      <c r="BJ141" s="306">
        <v>1.7</v>
      </c>
      <c r="BK141" s="306">
        <v>1.7</v>
      </c>
      <c r="BL141" s="306">
        <v>1.71</v>
      </c>
      <c r="BM141" s="306">
        <v>1.71</v>
      </c>
      <c r="BN141" s="306">
        <v>1.71</v>
      </c>
      <c r="BO141" s="306">
        <v>1.71</v>
      </c>
      <c r="BP141" s="306">
        <v>1.71</v>
      </c>
      <c r="BQ141" s="306">
        <v>1.71</v>
      </c>
      <c r="BR141" s="306">
        <v>1.72</v>
      </c>
      <c r="BS141" s="306">
        <v>1.72</v>
      </c>
      <c r="BT141" s="306">
        <v>1.72</v>
      </c>
      <c r="BU141" s="306">
        <v>1.72</v>
      </c>
      <c r="BV141" s="306">
        <v>1.72</v>
      </c>
      <c r="BW141" s="306">
        <v>1.72</v>
      </c>
      <c r="BX141" s="306">
        <v>1.72</v>
      </c>
      <c r="BY141" s="306">
        <v>1.72</v>
      </c>
      <c r="BZ141" s="306">
        <v>1.72</v>
      </c>
      <c r="CA141" s="306">
        <v>1.72</v>
      </c>
      <c r="CB141" s="306">
        <v>1.72</v>
      </c>
      <c r="CC141" s="306">
        <v>1.72</v>
      </c>
      <c r="CD141" s="306">
        <v>1.72</v>
      </c>
      <c r="CE141" s="306">
        <v>0</v>
      </c>
      <c r="CF141" s="306">
        <v>0</v>
      </c>
      <c r="CG141" s="306">
        <v>0</v>
      </c>
      <c r="CH141" s="306">
        <v>0</v>
      </c>
      <c r="CI141" s="306">
        <v>0</v>
      </c>
      <c r="CJ141" s="306">
        <v>0</v>
      </c>
      <c r="CK141" s="306">
        <v>0</v>
      </c>
      <c r="CL141" s="306">
        <v>0</v>
      </c>
      <c r="CM141" s="306">
        <v>0</v>
      </c>
      <c r="CN141" s="306">
        <v>0</v>
      </c>
      <c r="CO141" s="306">
        <v>0</v>
      </c>
      <c r="CP141" s="306">
        <v>0</v>
      </c>
      <c r="CQ141" s="306">
        <v>0</v>
      </c>
      <c r="CR141" s="306">
        <v>0</v>
      </c>
      <c r="CS141" s="306">
        <v>0</v>
      </c>
      <c r="CT141" s="306">
        <v>0</v>
      </c>
      <c r="CU141" s="306">
        <v>0</v>
      </c>
      <c r="CV141" s="306">
        <v>0</v>
      </c>
      <c r="CW141" s="306">
        <v>0</v>
      </c>
      <c r="CX141" s="306">
        <v>0</v>
      </c>
    </row>
    <row r="142" spans="3:102" x14ac:dyDescent="0.25">
      <c r="C142" s="305">
        <v>22</v>
      </c>
      <c r="D142" s="306">
        <v>1.08</v>
      </c>
      <c r="E142" s="306">
        <v>1.0900000000000001</v>
      </c>
      <c r="F142" s="306">
        <v>1.1100000000000001</v>
      </c>
      <c r="G142" s="306">
        <v>1.1200000000000001</v>
      </c>
      <c r="H142" s="306">
        <v>1.1299999999999999</v>
      </c>
      <c r="I142" s="306">
        <v>1.1399999999999999</v>
      </c>
      <c r="J142" s="306">
        <v>1.1599999999999999</v>
      </c>
      <c r="K142" s="306">
        <v>1.17</v>
      </c>
      <c r="L142" s="306">
        <v>1.19</v>
      </c>
      <c r="M142" s="306">
        <v>1.21</v>
      </c>
      <c r="N142" s="306">
        <v>1.23</v>
      </c>
      <c r="O142" s="306">
        <v>1.25</v>
      </c>
      <c r="P142" s="306">
        <v>1.26</v>
      </c>
      <c r="Q142" s="306">
        <v>1.28</v>
      </c>
      <c r="R142" s="306">
        <v>1.3</v>
      </c>
      <c r="S142" s="306">
        <v>1.32</v>
      </c>
      <c r="T142" s="306">
        <v>1.34</v>
      </c>
      <c r="U142" s="306">
        <v>1.36</v>
      </c>
      <c r="V142" s="306">
        <v>1.38</v>
      </c>
      <c r="W142" s="306">
        <v>1.41</v>
      </c>
      <c r="X142" s="306">
        <v>1.43</v>
      </c>
      <c r="Y142" s="306">
        <v>1.45</v>
      </c>
      <c r="Z142" s="306">
        <v>1.47</v>
      </c>
      <c r="AA142" s="306">
        <v>1.49</v>
      </c>
      <c r="AB142" s="306">
        <v>1.51</v>
      </c>
      <c r="AC142" s="306">
        <v>1.52</v>
      </c>
      <c r="AD142" s="306">
        <v>1.54</v>
      </c>
      <c r="AE142" s="306">
        <v>1.56</v>
      </c>
      <c r="AF142" s="306">
        <v>1.57</v>
      </c>
      <c r="AG142" s="306">
        <v>1.59</v>
      </c>
      <c r="AH142" s="306">
        <v>1.6</v>
      </c>
      <c r="AI142" s="306">
        <v>1.62</v>
      </c>
      <c r="AJ142" s="306">
        <v>1.63</v>
      </c>
      <c r="AK142" s="306">
        <v>1.64</v>
      </c>
      <c r="AL142" s="306">
        <v>1.65</v>
      </c>
      <c r="AM142" s="306">
        <v>1.66</v>
      </c>
      <c r="AN142" s="306">
        <v>1.67</v>
      </c>
      <c r="AO142" s="306">
        <v>1.68</v>
      </c>
      <c r="AP142" s="306">
        <v>1.69</v>
      </c>
      <c r="AQ142" s="306">
        <v>1.7</v>
      </c>
      <c r="AR142" s="306">
        <v>1.7</v>
      </c>
      <c r="AS142" s="306">
        <v>1.71</v>
      </c>
      <c r="AT142" s="306">
        <v>1.72</v>
      </c>
      <c r="AU142" s="306">
        <v>1.72</v>
      </c>
      <c r="AV142" s="306">
        <v>1.73</v>
      </c>
      <c r="AW142" s="306">
        <v>1.74</v>
      </c>
      <c r="AX142" s="306">
        <v>1.74</v>
      </c>
      <c r="AY142" s="306">
        <v>1.75</v>
      </c>
      <c r="AZ142" s="306">
        <v>1.75</v>
      </c>
      <c r="BA142" s="306">
        <v>1.76</v>
      </c>
      <c r="BB142" s="306">
        <v>1.76</v>
      </c>
      <c r="BC142" s="306">
        <v>1.76</v>
      </c>
      <c r="BD142" s="306">
        <v>1.77</v>
      </c>
      <c r="BE142" s="306">
        <v>1.77</v>
      </c>
      <c r="BF142" s="306">
        <v>1.78</v>
      </c>
      <c r="BG142" s="306">
        <v>1.78</v>
      </c>
      <c r="BH142" s="306">
        <v>1.78</v>
      </c>
      <c r="BI142" s="306">
        <v>1.79</v>
      </c>
      <c r="BJ142" s="306">
        <v>1.79</v>
      </c>
      <c r="BK142" s="306">
        <v>1.79</v>
      </c>
      <c r="BL142" s="306">
        <v>1.79</v>
      </c>
      <c r="BM142" s="306">
        <v>1.79</v>
      </c>
      <c r="BN142" s="306">
        <v>1.8</v>
      </c>
      <c r="BO142" s="306">
        <v>1.8</v>
      </c>
      <c r="BP142" s="306">
        <v>1.8</v>
      </c>
      <c r="BQ142" s="306">
        <v>1.8</v>
      </c>
      <c r="BR142" s="306">
        <v>1.8</v>
      </c>
      <c r="BS142" s="306">
        <v>1.8</v>
      </c>
      <c r="BT142" s="306">
        <v>1.8</v>
      </c>
      <c r="BU142" s="306">
        <v>1.8</v>
      </c>
      <c r="BV142" s="306">
        <v>1.8</v>
      </c>
      <c r="BW142" s="306">
        <v>1.8</v>
      </c>
      <c r="BX142" s="306">
        <v>1.8</v>
      </c>
      <c r="BY142" s="306">
        <v>1.8</v>
      </c>
      <c r="BZ142" s="306">
        <v>1.8</v>
      </c>
      <c r="CA142" s="306">
        <v>1.8</v>
      </c>
      <c r="CB142" s="306">
        <v>1.8</v>
      </c>
      <c r="CC142" s="306">
        <v>1.8</v>
      </c>
      <c r="CD142" s="306">
        <v>0</v>
      </c>
      <c r="CE142" s="306">
        <v>0</v>
      </c>
      <c r="CF142" s="306">
        <v>0</v>
      </c>
      <c r="CG142" s="306">
        <v>0</v>
      </c>
      <c r="CH142" s="306">
        <v>0</v>
      </c>
      <c r="CI142" s="306">
        <v>0</v>
      </c>
      <c r="CJ142" s="306">
        <v>0</v>
      </c>
      <c r="CK142" s="306">
        <v>0</v>
      </c>
      <c r="CL142" s="306">
        <v>0</v>
      </c>
      <c r="CM142" s="306">
        <v>0</v>
      </c>
      <c r="CN142" s="306">
        <v>0</v>
      </c>
      <c r="CO142" s="306">
        <v>0</v>
      </c>
      <c r="CP142" s="306">
        <v>0</v>
      </c>
      <c r="CQ142" s="306">
        <v>0</v>
      </c>
      <c r="CR142" s="306">
        <v>0</v>
      </c>
      <c r="CS142" s="306">
        <v>0</v>
      </c>
      <c r="CT142" s="306">
        <v>0</v>
      </c>
      <c r="CU142" s="306">
        <v>0</v>
      </c>
      <c r="CV142" s="306">
        <v>0</v>
      </c>
      <c r="CW142" s="306">
        <v>0</v>
      </c>
      <c r="CX142" s="306">
        <v>0</v>
      </c>
    </row>
    <row r="143" spans="3:102" x14ac:dyDescent="0.25">
      <c r="C143" s="305">
        <v>23</v>
      </c>
      <c r="D143" s="306">
        <v>1.1000000000000001</v>
      </c>
      <c r="E143" s="306">
        <v>1.1200000000000001</v>
      </c>
      <c r="F143" s="306">
        <v>1.1299999999999999</v>
      </c>
      <c r="G143" s="306">
        <v>1.1399999999999999</v>
      </c>
      <c r="H143" s="306">
        <v>1.1599999999999999</v>
      </c>
      <c r="I143" s="306">
        <v>1.17</v>
      </c>
      <c r="J143" s="306">
        <v>1.19</v>
      </c>
      <c r="K143" s="306">
        <v>1.21</v>
      </c>
      <c r="L143" s="306">
        <v>1.23</v>
      </c>
      <c r="M143" s="306">
        <v>1.25</v>
      </c>
      <c r="N143" s="306">
        <v>1.27</v>
      </c>
      <c r="O143" s="306">
        <v>1.29</v>
      </c>
      <c r="P143" s="306">
        <v>1.31</v>
      </c>
      <c r="Q143" s="306">
        <v>1.33</v>
      </c>
      <c r="R143" s="306">
        <v>1.35</v>
      </c>
      <c r="S143" s="306">
        <v>1.37</v>
      </c>
      <c r="T143" s="306">
        <v>1.4</v>
      </c>
      <c r="U143" s="306">
        <v>1.42</v>
      </c>
      <c r="V143" s="306">
        <v>1.45</v>
      </c>
      <c r="W143" s="306">
        <v>1.47</v>
      </c>
      <c r="X143" s="306">
        <v>1.5</v>
      </c>
      <c r="Y143" s="306">
        <v>1.52</v>
      </c>
      <c r="Z143" s="306">
        <v>1.54</v>
      </c>
      <c r="AA143" s="306">
        <v>1.56</v>
      </c>
      <c r="AB143" s="306">
        <v>1.58</v>
      </c>
      <c r="AC143" s="306">
        <v>1.6</v>
      </c>
      <c r="AD143" s="306">
        <v>1.62</v>
      </c>
      <c r="AE143" s="306">
        <v>1.64</v>
      </c>
      <c r="AF143" s="306">
        <v>1.65</v>
      </c>
      <c r="AG143" s="306">
        <v>1.67</v>
      </c>
      <c r="AH143" s="306">
        <v>1.68</v>
      </c>
      <c r="AI143" s="306">
        <v>1.7</v>
      </c>
      <c r="AJ143" s="306">
        <v>1.71</v>
      </c>
      <c r="AK143" s="306">
        <v>1.72</v>
      </c>
      <c r="AL143" s="306">
        <v>1.74</v>
      </c>
      <c r="AM143" s="306">
        <v>1.75</v>
      </c>
      <c r="AN143" s="306">
        <v>1.76</v>
      </c>
      <c r="AO143" s="306">
        <v>1.77</v>
      </c>
      <c r="AP143" s="306">
        <v>1.77</v>
      </c>
      <c r="AQ143" s="306">
        <v>1.78</v>
      </c>
      <c r="AR143" s="306">
        <v>1.79</v>
      </c>
      <c r="AS143" s="306">
        <v>1.8</v>
      </c>
      <c r="AT143" s="306">
        <v>1.81</v>
      </c>
      <c r="AU143" s="306">
        <v>1.81</v>
      </c>
      <c r="AV143" s="306">
        <v>1.82</v>
      </c>
      <c r="AW143" s="306">
        <v>1.83</v>
      </c>
      <c r="AX143" s="306">
        <v>1.83</v>
      </c>
      <c r="AY143" s="306">
        <v>1.84</v>
      </c>
      <c r="AZ143" s="306">
        <v>1.84</v>
      </c>
      <c r="BA143" s="306">
        <v>1.85</v>
      </c>
      <c r="BB143" s="306">
        <v>1.85</v>
      </c>
      <c r="BC143" s="306">
        <v>1.86</v>
      </c>
      <c r="BD143" s="306">
        <v>1.86</v>
      </c>
      <c r="BE143" s="306">
        <v>1.87</v>
      </c>
      <c r="BF143" s="306">
        <v>1.87</v>
      </c>
      <c r="BG143" s="306">
        <v>1.87</v>
      </c>
      <c r="BH143" s="306">
        <v>1.88</v>
      </c>
      <c r="BI143" s="306">
        <v>1.88</v>
      </c>
      <c r="BJ143" s="306">
        <v>1.88</v>
      </c>
      <c r="BK143" s="306">
        <v>1.89</v>
      </c>
      <c r="BL143" s="306">
        <v>1.89</v>
      </c>
      <c r="BM143" s="306">
        <v>1.89</v>
      </c>
      <c r="BN143" s="306">
        <v>1.89</v>
      </c>
      <c r="BO143" s="306">
        <v>1.89</v>
      </c>
      <c r="BP143" s="306">
        <v>1.89</v>
      </c>
      <c r="BQ143" s="306">
        <v>1.9</v>
      </c>
      <c r="BR143" s="306">
        <v>1.9</v>
      </c>
      <c r="BS143" s="306">
        <v>1.9</v>
      </c>
      <c r="BT143" s="306">
        <v>1.9</v>
      </c>
      <c r="BU143" s="306">
        <v>1.9</v>
      </c>
      <c r="BV143" s="306">
        <v>1.9</v>
      </c>
      <c r="BW143" s="306">
        <v>1.9</v>
      </c>
      <c r="BX143" s="306">
        <v>1.9</v>
      </c>
      <c r="BY143" s="306">
        <v>1.9</v>
      </c>
      <c r="BZ143" s="306">
        <v>1.9</v>
      </c>
      <c r="CA143" s="306">
        <v>1.9</v>
      </c>
      <c r="CB143" s="306">
        <v>1.9</v>
      </c>
      <c r="CC143" s="306">
        <v>0</v>
      </c>
      <c r="CD143" s="306">
        <v>0</v>
      </c>
      <c r="CE143" s="306">
        <v>0</v>
      </c>
      <c r="CF143" s="306">
        <v>0</v>
      </c>
      <c r="CG143" s="306">
        <v>0</v>
      </c>
      <c r="CH143" s="306">
        <v>0</v>
      </c>
      <c r="CI143" s="306">
        <v>0</v>
      </c>
      <c r="CJ143" s="306">
        <v>0</v>
      </c>
      <c r="CK143" s="306">
        <v>0</v>
      </c>
      <c r="CL143" s="306">
        <v>0</v>
      </c>
      <c r="CM143" s="306">
        <v>0</v>
      </c>
      <c r="CN143" s="306">
        <v>0</v>
      </c>
      <c r="CO143" s="306">
        <v>0</v>
      </c>
      <c r="CP143" s="306">
        <v>0</v>
      </c>
      <c r="CQ143" s="306">
        <v>0</v>
      </c>
      <c r="CR143" s="306">
        <v>0</v>
      </c>
      <c r="CS143" s="306">
        <v>0</v>
      </c>
      <c r="CT143" s="306">
        <v>0</v>
      </c>
      <c r="CU143" s="306">
        <v>0</v>
      </c>
      <c r="CV143" s="306">
        <v>0</v>
      </c>
      <c r="CW143" s="306">
        <v>0</v>
      </c>
      <c r="CX143" s="306">
        <v>0</v>
      </c>
    </row>
    <row r="144" spans="3:102" x14ac:dyDescent="0.25">
      <c r="C144" s="305">
        <v>24</v>
      </c>
      <c r="D144" s="306">
        <v>1.1299999999999999</v>
      </c>
      <c r="E144" s="306">
        <v>1.1399999999999999</v>
      </c>
      <c r="F144" s="306">
        <v>1.1599999999999999</v>
      </c>
      <c r="G144" s="306">
        <v>1.17</v>
      </c>
      <c r="H144" s="306">
        <v>1.19</v>
      </c>
      <c r="I144" s="306">
        <v>1.21</v>
      </c>
      <c r="J144" s="306">
        <v>1.22</v>
      </c>
      <c r="K144" s="306">
        <v>1.24</v>
      </c>
      <c r="L144" s="306">
        <v>1.26</v>
      </c>
      <c r="M144" s="306">
        <v>1.29</v>
      </c>
      <c r="N144" s="306">
        <v>1.31</v>
      </c>
      <c r="O144" s="306">
        <v>1.33</v>
      </c>
      <c r="P144" s="306">
        <v>1.36</v>
      </c>
      <c r="Q144" s="306">
        <v>1.38</v>
      </c>
      <c r="R144" s="306">
        <v>1.41</v>
      </c>
      <c r="S144" s="306">
        <v>1.44</v>
      </c>
      <c r="T144" s="306">
        <v>1.46</v>
      </c>
      <c r="U144" s="306">
        <v>1.49</v>
      </c>
      <c r="V144" s="306">
        <v>1.52</v>
      </c>
      <c r="W144" s="306">
        <v>1.55</v>
      </c>
      <c r="X144" s="306">
        <v>1.57</v>
      </c>
      <c r="Y144" s="306">
        <v>1.6</v>
      </c>
      <c r="Z144" s="306">
        <v>1.62</v>
      </c>
      <c r="AA144" s="306">
        <v>1.64</v>
      </c>
      <c r="AB144" s="306">
        <v>1.66</v>
      </c>
      <c r="AC144" s="306">
        <v>1.68</v>
      </c>
      <c r="AD144" s="306">
        <v>1.7</v>
      </c>
      <c r="AE144" s="306">
        <v>1.72</v>
      </c>
      <c r="AF144" s="306">
        <v>1.74</v>
      </c>
      <c r="AG144" s="306">
        <v>1.76</v>
      </c>
      <c r="AH144" s="306">
        <v>1.77</v>
      </c>
      <c r="AI144" s="306">
        <v>1.79</v>
      </c>
      <c r="AJ144" s="306">
        <v>1.8</v>
      </c>
      <c r="AK144" s="306">
        <v>1.82</v>
      </c>
      <c r="AL144" s="306">
        <v>1.83</v>
      </c>
      <c r="AM144" s="306">
        <v>1.84</v>
      </c>
      <c r="AN144" s="306">
        <v>1.85</v>
      </c>
      <c r="AO144" s="306">
        <v>1.86</v>
      </c>
      <c r="AP144" s="306">
        <v>1.87</v>
      </c>
      <c r="AQ144" s="306">
        <v>1.88</v>
      </c>
      <c r="AR144" s="306">
        <v>1.89</v>
      </c>
      <c r="AS144" s="306">
        <v>1.9</v>
      </c>
      <c r="AT144" s="306">
        <v>1.91</v>
      </c>
      <c r="AU144" s="306">
        <v>1.91</v>
      </c>
      <c r="AV144" s="306">
        <v>1.92</v>
      </c>
      <c r="AW144" s="306">
        <v>1.93</v>
      </c>
      <c r="AX144" s="306">
        <v>1.93</v>
      </c>
      <c r="AY144" s="306">
        <v>1.94</v>
      </c>
      <c r="AZ144" s="306">
        <v>1.95</v>
      </c>
      <c r="BA144" s="306">
        <v>1.95</v>
      </c>
      <c r="BB144" s="306">
        <v>1.96</v>
      </c>
      <c r="BC144" s="306">
        <v>1.96</v>
      </c>
      <c r="BD144" s="306">
        <v>1.97</v>
      </c>
      <c r="BE144" s="306">
        <v>1.97</v>
      </c>
      <c r="BF144" s="306">
        <v>1.98</v>
      </c>
      <c r="BG144" s="306">
        <v>1.98</v>
      </c>
      <c r="BH144" s="306">
        <v>1.98</v>
      </c>
      <c r="BI144" s="306">
        <v>1.99</v>
      </c>
      <c r="BJ144" s="306">
        <v>1.99</v>
      </c>
      <c r="BK144" s="306">
        <v>1.99</v>
      </c>
      <c r="BL144" s="306">
        <v>1.99</v>
      </c>
      <c r="BM144" s="306">
        <v>2</v>
      </c>
      <c r="BN144" s="306">
        <v>2</v>
      </c>
      <c r="BO144" s="306">
        <v>2</v>
      </c>
      <c r="BP144" s="306">
        <v>2</v>
      </c>
      <c r="BQ144" s="306">
        <v>2</v>
      </c>
      <c r="BR144" s="306">
        <v>2</v>
      </c>
      <c r="BS144" s="306">
        <v>2</v>
      </c>
      <c r="BT144" s="306">
        <v>2</v>
      </c>
      <c r="BU144" s="306">
        <v>2</v>
      </c>
      <c r="BV144" s="306">
        <v>2</v>
      </c>
      <c r="BW144" s="306">
        <v>2</v>
      </c>
      <c r="BX144" s="306">
        <v>2</v>
      </c>
      <c r="BY144" s="306">
        <v>2</v>
      </c>
      <c r="BZ144" s="306">
        <v>2</v>
      </c>
      <c r="CA144" s="306">
        <v>2</v>
      </c>
      <c r="CB144" s="306">
        <v>0</v>
      </c>
      <c r="CC144" s="306">
        <v>0</v>
      </c>
      <c r="CD144" s="306">
        <v>0</v>
      </c>
      <c r="CE144" s="306">
        <v>0</v>
      </c>
      <c r="CF144" s="306">
        <v>0</v>
      </c>
      <c r="CG144" s="306">
        <v>0</v>
      </c>
      <c r="CH144" s="306">
        <v>0</v>
      </c>
      <c r="CI144" s="306">
        <v>0</v>
      </c>
      <c r="CJ144" s="306">
        <v>0</v>
      </c>
      <c r="CK144" s="306">
        <v>0</v>
      </c>
      <c r="CL144" s="306">
        <v>0</v>
      </c>
      <c r="CM144" s="306">
        <v>0</v>
      </c>
      <c r="CN144" s="306">
        <v>0</v>
      </c>
      <c r="CO144" s="306">
        <v>0</v>
      </c>
      <c r="CP144" s="306">
        <v>0</v>
      </c>
      <c r="CQ144" s="306">
        <v>0</v>
      </c>
      <c r="CR144" s="306">
        <v>0</v>
      </c>
      <c r="CS144" s="306">
        <v>0</v>
      </c>
      <c r="CT144" s="306">
        <v>0</v>
      </c>
      <c r="CU144" s="306">
        <v>0</v>
      </c>
      <c r="CV144" s="306">
        <v>0</v>
      </c>
      <c r="CW144" s="306">
        <v>0</v>
      </c>
      <c r="CX144" s="306">
        <v>0</v>
      </c>
    </row>
    <row r="145" spans="3:102" x14ac:dyDescent="0.25">
      <c r="C145" s="305">
        <v>25</v>
      </c>
      <c r="D145" s="306">
        <v>1.1499999999999999</v>
      </c>
      <c r="E145" s="306">
        <v>1.17</v>
      </c>
      <c r="F145" s="306">
        <v>1.18</v>
      </c>
      <c r="G145" s="306">
        <v>1.2</v>
      </c>
      <c r="H145" s="306">
        <v>1.22</v>
      </c>
      <c r="I145" s="306">
        <v>1.24</v>
      </c>
      <c r="J145" s="306">
        <v>1.26</v>
      </c>
      <c r="K145" s="306">
        <v>1.28</v>
      </c>
      <c r="L145" s="306">
        <v>1.31</v>
      </c>
      <c r="M145" s="306">
        <v>1.33</v>
      </c>
      <c r="N145" s="306">
        <v>1.36</v>
      </c>
      <c r="O145" s="306">
        <v>1.38</v>
      </c>
      <c r="P145" s="306">
        <v>1.41</v>
      </c>
      <c r="Q145" s="306">
        <v>1.44</v>
      </c>
      <c r="R145" s="306">
        <v>1.47</v>
      </c>
      <c r="S145" s="306">
        <v>1.51</v>
      </c>
      <c r="T145" s="306">
        <v>1.54</v>
      </c>
      <c r="U145" s="306">
        <v>1.57</v>
      </c>
      <c r="V145" s="306">
        <v>1.6</v>
      </c>
      <c r="W145" s="306">
        <v>1.63</v>
      </c>
      <c r="X145" s="306">
        <v>1.66</v>
      </c>
      <c r="Y145" s="306">
        <v>1.68</v>
      </c>
      <c r="Z145" s="306">
        <v>1.71</v>
      </c>
      <c r="AA145" s="306">
        <v>1.73</v>
      </c>
      <c r="AB145" s="306">
        <v>1.76</v>
      </c>
      <c r="AC145" s="306">
        <v>1.78</v>
      </c>
      <c r="AD145" s="306">
        <v>1.8</v>
      </c>
      <c r="AE145" s="306">
        <v>1.82</v>
      </c>
      <c r="AF145" s="306">
        <v>1.84</v>
      </c>
      <c r="AG145" s="306">
        <v>1.86</v>
      </c>
      <c r="AH145" s="306">
        <v>1.87</v>
      </c>
      <c r="AI145" s="306">
        <v>1.89</v>
      </c>
      <c r="AJ145" s="306">
        <v>1.91</v>
      </c>
      <c r="AK145" s="306">
        <v>1.92</v>
      </c>
      <c r="AL145" s="306">
        <v>1.93</v>
      </c>
      <c r="AM145" s="306">
        <v>1.94</v>
      </c>
      <c r="AN145" s="306">
        <v>1.96</v>
      </c>
      <c r="AO145" s="306">
        <v>1.97</v>
      </c>
      <c r="AP145" s="306">
        <v>1.98</v>
      </c>
      <c r="AQ145" s="306">
        <v>1.99</v>
      </c>
      <c r="AR145" s="306">
        <v>2</v>
      </c>
      <c r="AS145" s="306">
        <v>2.0099999999999998</v>
      </c>
      <c r="AT145" s="306">
        <v>2.02</v>
      </c>
      <c r="AU145" s="306">
        <v>2.02</v>
      </c>
      <c r="AV145" s="306">
        <v>2.0299999999999998</v>
      </c>
      <c r="AW145" s="306">
        <v>2.04</v>
      </c>
      <c r="AX145" s="306">
        <v>2.0499999999999998</v>
      </c>
      <c r="AY145" s="306">
        <v>2.0499999999999998</v>
      </c>
      <c r="AZ145" s="306">
        <v>2.06</v>
      </c>
      <c r="BA145" s="306">
        <v>2.06</v>
      </c>
      <c r="BB145" s="306">
        <v>2.0699999999999998</v>
      </c>
      <c r="BC145" s="306">
        <v>2.08</v>
      </c>
      <c r="BD145" s="306">
        <v>2.08</v>
      </c>
      <c r="BE145" s="306">
        <v>2.09</v>
      </c>
      <c r="BF145" s="306">
        <v>2.09</v>
      </c>
      <c r="BG145" s="306">
        <v>2.09</v>
      </c>
      <c r="BH145" s="306">
        <v>2.1</v>
      </c>
      <c r="BI145" s="306">
        <v>2.1</v>
      </c>
      <c r="BJ145" s="306">
        <v>2.1</v>
      </c>
      <c r="BK145" s="306">
        <v>2.11</v>
      </c>
      <c r="BL145" s="306">
        <v>2.11</v>
      </c>
      <c r="BM145" s="306">
        <v>2.11</v>
      </c>
      <c r="BN145" s="306">
        <v>2.11</v>
      </c>
      <c r="BO145" s="306">
        <v>2.11</v>
      </c>
      <c r="BP145" s="306">
        <v>2.11</v>
      </c>
      <c r="BQ145" s="306">
        <v>2.12</v>
      </c>
      <c r="BR145" s="306">
        <v>2.12</v>
      </c>
      <c r="BS145" s="306">
        <v>2.12</v>
      </c>
      <c r="BT145" s="306">
        <v>2.12</v>
      </c>
      <c r="BU145" s="306">
        <v>2.12</v>
      </c>
      <c r="BV145" s="306">
        <v>2.12</v>
      </c>
      <c r="BW145" s="306">
        <v>2.12</v>
      </c>
      <c r="BX145" s="306">
        <v>2.12</v>
      </c>
      <c r="BY145" s="306">
        <v>2.12</v>
      </c>
      <c r="BZ145" s="306">
        <v>2.12</v>
      </c>
      <c r="CA145" s="306">
        <v>0</v>
      </c>
      <c r="CB145" s="306">
        <v>0</v>
      </c>
      <c r="CC145" s="306">
        <v>0</v>
      </c>
      <c r="CD145" s="306">
        <v>0</v>
      </c>
      <c r="CE145" s="306">
        <v>0</v>
      </c>
      <c r="CF145" s="306">
        <v>0</v>
      </c>
      <c r="CG145" s="306">
        <v>0</v>
      </c>
      <c r="CH145" s="306">
        <v>0</v>
      </c>
      <c r="CI145" s="306">
        <v>0</v>
      </c>
      <c r="CJ145" s="306">
        <v>0</v>
      </c>
      <c r="CK145" s="306">
        <v>0</v>
      </c>
      <c r="CL145" s="306">
        <v>0</v>
      </c>
      <c r="CM145" s="306">
        <v>0</v>
      </c>
      <c r="CN145" s="306">
        <v>0</v>
      </c>
      <c r="CO145" s="306">
        <v>0</v>
      </c>
      <c r="CP145" s="306">
        <v>0</v>
      </c>
      <c r="CQ145" s="306">
        <v>0</v>
      </c>
      <c r="CR145" s="306">
        <v>0</v>
      </c>
      <c r="CS145" s="306">
        <v>0</v>
      </c>
      <c r="CT145" s="306">
        <v>0</v>
      </c>
      <c r="CU145" s="306">
        <v>0</v>
      </c>
      <c r="CV145" s="306">
        <v>0</v>
      </c>
      <c r="CW145" s="306">
        <v>0</v>
      </c>
      <c r="CX145" s="306">
        <v>0</v>
      </c>
    </row>
    <row r="146" spans="3:102" x14ac:dyDescent="0.25">
      <c r="C146" s="305">
        <v>26</v>
      </c>
      <c r="D146" s="306">
        <v>1.18</v>
      </c>
      <c r="E146" s="306">
        <v>1.2</v>
      </c>
      <c r="F146" s="306">
        <v>1.22</v>
      </c>
      <c r="G146" s="306">
        <v>1.24</v>
      </c>
      <c r="H146" s="306">
        <v>1.26</v>
      </c>
      <c r="I146" s="306">
        <v>1.28</v>
      </c>
      <c r="J146" s="306">
        <v>1.3</v>
      </c>
      <c r="K146" s="306">
        <v>1.33</v>
      </c>
      <c r="L146" s="306">
        <v>1.35</v>
      </c>
      <c r="M146" s="306">
        <v>1.38</v>
      </c>
      <c r="N146" s="306">
        <v>1.41</v>
      </c>
      <c r="O146" s="306">
        <v>1.45</v>
      </c>
      <c r="P146" s="306">
        <v>1.48</v>
      </c>
      <c r="Q146" s="306">
        <v>1.51</v>
      </c>
      <c r="R146" s="306">
        <v>1.55</v>
      </c>
      <c r="S146" s="306">
        <v>1.59</v>
      </c>
      <c r="T146" s="306">
        <v>1.62</v>
      </c>
      <c r="U146" s="306">
        <v>1.66</v>
      </c>
      <c r="V146" s="306">
        <v>1.69</v>
      </c>
      <c r="W146" s="306">
        <v>1.72</v>
      </c>
      <c r="X146" s="306">
        <v>1.75</v>
      </c>
      <c r="Y146" s="306">
        <v>1.78</v>
      </c>
      <c r="Z146" s="306">
        <v>1.81</v>
      </c>
      <c r="AA146" s="306">
        <v>1.83</v>
      </c>
      <c r="AB146" s="306">
        <v>1.86</v>
      </c>
      <c r="AC146" s="306">
        <v>1.88</v>
      </c>
      <c r="AD146" s="306">
        <v>1.9</v>
      </c>
      <c r="AE146" s="306">
        <v>1.93</v>
      </c>
      <c r="AF146" s="306">
        <v>1.95</v>
      </c>
      <c r="AG146" s="306">
        <v>1.97</v>
      </c>
      <c r="AH146" s="306">
        <v>1.99</v>
      </c>
      <c r="AI146" s="306">
        <v>2</v>
      </c>
      <c r="AJ146" s="306">
        <v>2.02</v>
      </c>
      <c r="AK146" s="306">
        <v>2.0299999999999998</v>
      </c>
      <c r="AL146" s="306">
        <v>2.0499999999999998</v>
      </c>
      <c r="AM146" s="306">
        <v>2.06</v>
      </c>
      <c r="AN146" s="306">
        <v>2.0699999999999998</v>
      </c>
      <c r="AO146" s="306">
        <v>2.08</v>
      </c>
      <c r="AP146" s="306">
        <v>2.1</v>
      </c>
      <c r="AQ146" s="306">
        <v>2.11</v>
      </c>
      <c r="AR146" s="306">
        <v>2.12</v>
      </c>
      <c r="AS146" s="306">
        <v>2.13</v>
      </c>
      <c r="AT146" s="306">
        <v>2.14</v>
      </c>
      <c r="AU146" s="306">
        <v>2.15</v>
      </c>
      <c r="AV146" s="306">
        <v>2.15</v>
      </c>
      <c r="AW146" s="306">
        <v>2.16</v>
      </c>
      <c r="AX146" s="306">
        <v>2.17</v>
      </c>
      <c r="AY146" s="306">
        <v>2.1800000000000002</v>
      </c>
      <c r="AZ146" s="306">
        <v>2.1800000000000002</v>
      </c>
      <c r="BA146" s="306">
        <v>2.19</v>
      </c>
      <c r="BB146" s="306">
        <v>2.2000000000000002</v>
      </c>
      <c r="BC146" s="306">
        <v>2.2000000000000002</v>
      </c>
      <c r="BD146" s="306">
        <v>2.21</v>
      </c>
      <c r="BE146" s="306">
        <v>2.21</v>
      </c>
      <c r="BF146" s="306">
        <v>2.2200000000000002</v>
      </c>
      <c r="BG146" s="306">
        <v>2.2200000000000002</v>
      </c>
      <c r="BH146" s="306">
        <v>2.2200000000000002</v>
      </c>
      <c r="BI146" s="306">
        <v>2.23</v>
      </c>
      <c r="BJ146" s="306">
        <v>2.23</v>
      </c>
      <c r="BK146" s="306">
        <v>2.23</v>
      </c>
      <c r="BL146" s="306">
        <v>2.2400000000000002</v>
      </c>
      <c r="BM146" s="306">
        <v>2.2400000000000002</v>
      </c>
      <c r="BN146" s="306">
        <v>2.2400000000000002</v>
      </c>
      <c r="BO146" s="306">
        <v>2.2400000000000002</v>
      </c>
      <c r="BP146" s="306">
        <v>2.2400000000000002</v>
      </c>
      <c r="BQ146" s="306">
        <v>2.2400000000000002</v>
      </c>
      <c r="BR146" s="306">
        <v>2.2400000000000002</v>
      </c>
      <c r="BS146" s="306">
        <v>2.2400000000000002</v>
      </c>
      <c r="BT146" s="306">
        <v>2.2400000000000002</v>
      </c>
      <c r="BU146" s="306">
        <v>2.2400000000000002</v>
      </c>
      <c r="BV146" s="306">
        <v>2.2400000000000002</v>
      </c>
      <c r="BW146" s="306">
        <v>2.2400000000000002</v>
      </c>
      <c r="BX146" s="306">
        <v>2.2400000000000002</v>
      </c>
      <c r="BY146" s="306">
        <v>2.2400000000000002</v>
      </c>
      <c r="BZ146" s="306">
        <v>0</v>
      </c>
      <c r="CA146" s="306">
        <v>0</v>
      </c>
      <c r="CB146" s="306">
        <v>0</v>
      </c>
      <c r="CC146" s="306">
        <v>0</v>
      </c>
      <c r="CD146" s="306">
        <v>0</v>
      </c>
      <c r="CE146" s="306">
        <v>0</v>
      </c>
      <c r="CF146" s="306">
        <v>0</v>
      </c>
      <c r="CG146" s="306">
        <v>0</v>
      </c>
      <c r="CH146" s="306">
        <v>0</v>
      </c>
      <c r="CI146" s="306">
        <v>0</v>
      </c>
      <c r="CJ146" s="306">
        <v>0</v>
      </c>
      <c r="CK146" s="306">
        <v>0</v>
      </c>
      <c r="CL146" s="306">
        <v>0</v>
      </c>
      <c r="CM146" s="306">
        <v>0</v>
      </c>
      <c r="CN146" s="306">
        <v>0</v>
      </c>
      <c r="CO146" s="306">
        <v>0</v>
      </c>
      <c r="CP146" s="306">
        <v>0</v>
      </c>
      <c r="CQ146" s="306">
        <v>0</v>
      </c>
      <c r="CR146" s="306">
        <v>0</v>
      </c>
      <c r="CS146" s="306">
        <v>0</v>
      </c>
      <c r="CT146" s="306">
        <v>0</v>
      </c>
      <c r="CU146" s="306">
        <v>0</v>
      </c>
      <c r="CV146" s="306">
        <v>0</v>
      </c>
      <c r="CW146" s="306">
        <v>0</v>
      </c>
      <c r="CX146" s="306">
        <v>0</v>
      </c>
    </row>
    <row r="147" spans="3:102" x14ac:dyDescent="0.25">
      <c r="C147" s="305">
        <v>27</v>
      </c>
      <c r="D147" s="306">
        <v>1.22</v>
      </c>
      <c r="E147" s="306">
        <v>1.24</v>
      </c>
      <c r="F147" s="306">
        <v>1.26</v>
      </c>
      <c r="G147" s="306">
        <v>1.28</v>
      </c>
      <c r="H147" s="306">
        <v>1.3</v>
      </c>
      <c r="I147" s="306">
        <v>1.33</v>
      </c>
      <c r="J147" s="306">
        <v>1.35</v>
      </c>
      <c r="K147" s="306">
        <v>1.38</v>
      </c>
      <c r="L147" s="306">
        <v>1.41</v>
      </c>
      <c r="M147" s="306">
        <v>1.44</v>
      </c>
      <c r="N147" s="306">
        <v>1.48</v>
      </c>
      <c r="O147" s="306">
        <v>1.52</v>
      </c>
      <c r="P147" s="306">
        <v>1.56</v>
      </c>
      <c r="Q147" s="306">
        <v>1.6</v>
      </c>
      <c r="R147" s="306">
        <v>1.64</v>
      </c>
      <c r="S147" s="306">
        <v>1.68</v>
      </c>
      <c r="T147" s="306">
        <v>1.72</v>
      </c>
      <c r="U147" s="306">
        <v>1.75</v>
      </c>
      <c r="V147" s="306">
        <v>1.79</v>
      </c>
      <c r="W147" s="306">
        <v>1.82</v>
      </c>
      <c r="X147" s="306">
        <v>1.86</v>
      </c>
      <c r="Y147" s="306">
        <v>1.89</v>
      </c>
      <c r="Z147" s="306">
        <v>1.92</v>
      </c>
      <c r="AA147" s="306">
        <v>1.94</v>
      </c>
      <c r="AB147" s="306">
        <v>1.97</v>
      </c>
      <c r="AC147" s="306">
        <v>2</v>
      </c>
      <c r="AD147" s="306">
        <v>2.02</v>
      </c>
      <c r="AE147" s="306">
        <v>2.0499999999999998</v>
      </c>
      <c r="AF147" s="306">
        <v>2.0699999999999998</v>
      </c>
      <c r="AG147" s="306">
        <v>2.09</v>
      </c>
      <c r="AH147" s="306">
        <v>2.11</v>
      </c>
      <c r="AI147" s="306">
        <v>2.13</v>
      </c>
      <c r="AJ147" s="306">
        <v>2.14</v>
      </c>
      <c r="AK147" s="306">
        <v>2.16</v>
      </c>
      <c r="AL147" s="306">
        <v>2.17</v>
      </c>
      <c r="AM147" s="306">
        <v>2.19</v>
      </c>
      <c r="AN147" s="306">
        <v>2.2000000000000002</v>
      </c>
      <c r="AO147" s="306">
        <v>2.21</v>
      </c>
      <c r="AP147" s="306">
        <v>2.23</v>
      </c>
      <c r="AQ147" s="306">
        <v>2.2400000000000002</v>
      </c>
      <c r="AR147" s="306">
        <v>2.25</v>
      </c>
      <c r="AS147" s="306">
        <v>2.2599999999999998</v>
      </c>
      <c r="AT147" s="306">
        <v>2.27</v>
      </c>
      <c r="AU147" s="306">
        <v>2.2799999999999998</v>
      </c>
      <c r="AV147" s="306">
        <v>2.29</v>
      </c>
      <c r="AW147" s="306">
        <v>2.2999999999999998</v>
      </c>
      <c r="AX147" s="306">
        <v>2.31</v>
      </c>
      <c r="AY147" s="306">
        <v>2.31</v>
      </c>
      <c r="AZ147" s="306">
        <v>2.3199999999999998</v>
      </c>
      <c r="BA147" s="306">
        <v>2.33</v>
      </c>
      <c r="BB147" s="306">
        <v>2.33</v>
      </c>
      <c r="BC147" s="306">
        <v>2.34</v>
      </c>
      <c r="BD147" s="306">
        <v>2.35</v>
      </c>
      <c r="BE147" s="306">
        <v>2.35</v>
      </c>
      <c r="BF147" s="306">
        <v>2.36</v>
      </c>
      <c r="BG147" s="306">
        <v>2.36</v>
      </c>
      <c r="BH147" s="306">
        <v>2.36</v>
      </c>
      <c r="BI147" s="306">
        <v>2.37</v>
      </c>
      <c r="BJ147" s="306">
        <v>2.37</v>
      </c>
      <c r="BK147" s="306">
        <v>2.37</v>
      </c>
      <c r="BL147" s="306">
        <v>2.38</v>
      </c>
      <c r="BM147" s="306">
        <v>2.38</v>
      </c>
      <c r="BN147" s="306">
        <v>2.38</v>
      </c>
      <c r="BO147" s="306">
        <v>2.38</v>
      </c>
      <c r="BP147" s="306">
        <v>2.38</v>
      </c>
      <c r="BQ147" s="306">
        <v>2.38</v>
      </c>
      <c r="BR147" s="306">
        <v>2.38</v>
      </c>
      <c r="BS147" s="306">
        <v>2.38</v>
      </c>
      <c r="BT147" s="306">
        <v>2.38</v>
      </c>
      <c r="BU147" s="306">
        <v>2.38</v>
      </c>
      <c r="BV147" s="306">
        <v>2.38</v>
      </c>
      <c r="BW147" s="306">
        <v>2.38</v>
      </c>
      <c r="BX147" s="306">
        <v>2.38</v>
      </c>
      <c r="BY147" s="306">
        <v>0</v>
      </c>
      <c r="BZ147" s="306">
        <v>0</v>
      </c>
      <c r="CA147" s="306">
        <v>0</v>
      </c>
      <c r="CB147" s="306">
        <v>0</v>
      </c>
      <c r="CC147" s="306">
        <v>0</v>
      </c>
      <c r="CD147" s="306">
        <v>0</v>
      </c>
      <c r="CE147" s="306">
        <v>0</v>
      </c>
      <c r="CF147" s="306">
        <v>0</v>
      </c>
      <c r="CG147" s="306">
        <v>0</v>
      </c>
      <c r="CH147" s="306">
        <v>0</v>
      </c>
      <c r="CI147" s="306">
        <v>0</v>
      </c>
      <c r="CJ147" s="306">
        <v>0</v>
      </c>
      <c r="CK147" s="306">
        <v>0</v>
      </c>
      <c r="CL147" s="306">
        <v>0</v>
      </c>
      <c r="CM147" s="306">
        <v>0</v>
      </c>
      <c r="CN147" s="306">
        <v>0</v>
      </c>
      <c r="CO147" s="306">
        <v>0</v>
      </c>
      <c r="CP147" s="306">
        <v>0</v>
      </c>
      <c r="CQ147" s="306">
        <v>0</v>
      </c>
      <c r="CR147" s="306">
        <v>0</v>
      </c>
      <c r="CS147" s="306">
        <v>0</v>
      </c>
      <c r="CT147" s="306">
        <v>0</v>
      </c>
      <c r="CU147" s="306">
        <v>0</v>
      </c>
      <c r="CV147" s="306">
        <v>0</v>
      </c>
      <c r="CW147" s="306">
        <v>0</v>
      </c>
      <c r="CX147" s="306">
        <v>0</v>
      </c>
    </row>
    <row r="148" spans="3:102" x14ac:dyDescent="0.25">
      <c r="C148" s="305">
        <v>28</v>
      </c>
      <c r="D148" s="306">
        <v>1.26</v>
      </c>
      <c r="E148" s="306">
        <v>1.28</v>
      </c>
      <c r="F148" s="306">
        <v>1.3</v>
      </c>
      <c r="G148" s="306">
        <v>1.33</v>
      </c>
      <c r="H148" s="306">
        <v>1.35</v>
      </c>
      <c r="I148" s="306">
        <v>1.37</v>
      </c>
      <c r="J148" s="306">
        <v>1.4</v>
      </c>
      <c r="K148" s="306">
        <v>1.43</v>
      </c>
      <c r="L148" s="306">
        <v>1.47</v>
      </c>
      <c r="M148" s="306">
        <v>1.51</v>
      </c>
      <c r="N148" s="306">
        <v>1.55</v>
      </c>
      <c r="O148" s="306">
        <v>1.6</v>
      </c>
      <c r="P148" s="306">
        <v>1.65</v>
      </c>
      <c r="Q148" s="306">
        <v>1.69</v>
      </c>
      <c r="R148" s="306">
        <v>1.74</v>
      </c>
      <c r="S148" s="306">
        <v>1.78</v>
      </c>
      <c r="T148" s="306">
        <v>1.82</v>
      </c>
      <c r="U148" s="306">
        <v>1.86</v>
      </c>
      <c r="V148" s="306">
        <v>1.9</v>
      </c>
      <c r="W148" s="306">
        <v>1.94</v>
      </c>
      <c r="X148" s="306">
        <v>1.97</v>
      </c>
      <c r="Y148" s="306">
        <v>2.0099999999999998</v>
      </c>
      <c r="Z148" s="306">
        <v>2.04</v>
      </c>
      <c r="AA148" s="306">
        <v>2.0699999999999998</v>
      </c>
      <c r="AB148" s="306">
        <v>2.1</v>
      </c>
      <c r="AC148" s="306">
        <v>2.12</v>
      </c>
      <c r="AD148" s="306">
        <v>2.15</v>
      </c>
      <c r="AE148" s="306">
        <v>2.1800000000000002</v>
      </c>
      <c r="AF148" s="306">
        <v>2.2000000000000002</v>
      </c>
      <c r="AG148" s="306">
        <v>2.2200000000000002</v>
      </c>
      <c r="AH148" s="306">
        <v>2.2400000000000002</v>
      </c>
      <c r="AI148" s="306">
        <v>2.2599999999999998</v>
      </c>
      <c r="AJ148" s="306">
        <v>2.2799999999999998</v>
      </c>
      <c r="AK148" s="306">
        <v>2.29</v>
      </c>
      <c r="AL148" s="306">
        <v>2.31</v>
      </c>
      <c r="AM148" s="306">
        <v>2.33</v>
      </c>
      <c r="AN148" s="306">
        <v>2.34</v>
      </c>
      <c r="AO148" s="306">
        <v>2.36</v>
      </c>
      <c r="AP148" s="306">
        <v>2.37</v>
      </c>
      <c r="AQ148" s="306">
        <v>2.38</v>
      </c>
      <c r="AR148" s="306">
        <v>2.39</v>
      </c>
      <c r="AS148" s="306">
        <v>2.41</v>
      </c>
      <c r="AT148" s="306">
        <v>2.42</v>
      </c>
      <c r="AU148" s="306">
        <v>2.4300000000000002</v>
      </c>
      <c r="AV148" s="306">
        <v>2.44</v>
      </c>
      <c r="AW148" s="306">
        <v>2.4500000000000002</v>
      </c>
      <c r="AX148" s="306">
        <v>2.4500000000000002</v>
      </c>
      <c r="AY148" s="306">
        <v>2.46</v>
      </c>
      <c r="AZ148" s="306">
        <v>2.4700000000000002</v>
      </c>
      <c r="BA148" s="306">
        <v>2.48</v>
      </c>
      <c r="BB148" s="306">
        <v>2.4900000000000002</v>
      </c>
      <c r="BC148" s="306">
        <v>2.4900000000000002</v>
      </c>
      <c r="BD148" s="306">
        <v>2.5</v>
      </c>
      <c r="BE148" s="306">
        <v>2.5</v>
      </c>
      <c r="BF148" s="306">
        <v>2.5099999999999998</v>
      </c>
      <c r="BG148" s="306">
        <v>2.5099999999999998</v>
      </c>
      <c r="BH148" s="306">
        <v>2.52</v>
      </c>
      <c r="BI148" s="306">
        <v>2.52</v>
      </c>
      <c r="BJ148" s="306">
        <v>2.52</v>
      </c>
      <c r="BK148" s="306">
        <v>2.5299999999999998</v>
      </c>
      <c r="BL148" s="306">
        <v>2.5299999999999998</v>
      </c>
      <c r="BM148" s="306">
        <v>2.5299999999999998</v>
      </c>
      <c r="BN148" s="306">
        <v>2.5299999999999998</v>
      </c>
      <c r="BO148" s="306">
        <v>2.5299999999999998</v>
      </c>
      <c r="BP148" s="306">
        <v>2.5299999999999998</v>
      </c>
      <c r="BQ148" s="306">
        <v>2.5299999999999998</v>
      </c>
      <c r="BR148" s="306">
        <v>2.5299999999999998</v>
      </c>
      <c r="BS148" s="306">
        <v>2.5299999999999998</v>
      </c>
      <c r="BT148" s="306">
        <v>2.5299999999999998</v>
      </c>
      <c r="BU148" s="306">
        <v>2.5299999999999998</v>
      </c>
      <c r="BV148" s="306">
        <v>2.5299999999999998</v>
      </c>
      <c r="BW148" s="306">
        <v>2.5299999999999998</v>
      </c>
      <c r="BX148" s="306">
        <v>0</v>
      </c>
      <c r="BY148" s="306">
        <v>0</v>
      </c>
      <c r="BZ148" s="306">
        <v>0</v>
      </c>
      <c r="CA148" s="306">
        <v>0</v>
      </c>
      <c r="CB148" s="306">
        <v>0</v>
      </c>
      <c r="CC148" s="306">
        <v>0</v>
      </c>
      <c r="CD148" s="306">
        <v>0</v>
      </c>
      <c r="CE148" s="306">
        <v>0</v>
      </c>
      <c r="CF148" s="306">
        <v>0</v>
      </c>
      <c r="CG148" s="306">
        <v>0</v>
      </c>
      <c r="CH148" s="306">
        <v>0</v>
      </c>
      <c r="CI148" s="306">
        <v>0</v>
      </c>
      <c r="CJ148" s="306">
        <v>0</v>
      </c>
      <c r="CK148" s="306">
        <v>0</v>
      </c>
      <c r="CL148" s="306">
        <v>0</v>
      </c>
      <c r="CM148" s="306">
        <v>0</v>
      </c>
      <c r="CN148" s="306">
        <v>0</v>
      </c>
      <c r="CO148" s="306">
        <v>0</v>
      </c>
      <c r="CP148" s="306">
        <v>0</v>
      </c>
      <c r="CQ148" s="306">
        <v>0</v>
      </c>
      <c r="CR148" s="306">
        <v>0</v>
      </c>
      <c r="CS148" s="306">
        <v>0</v>
      </c>
      <c r="CT148" s="306">
        <v>0</v>
      </c>
      <c r="CU148" s="306">
        <v>0</v>
      </c>
      <c r="CV148" s="306">
        <v>0</v>
      </c>
      <c r="CW148" s="306">
        <v>0</v>
      </c>
      <c r="CX148" s="306">
        <v>0</v>
      </c>
    </row>
    <row r="149" spans="3:102" x14ac:dyDescent="0.25">
      <c r="C149" s="305">
        <v>29</v>
      </c>
      <c r="D149" s="306">
        <v>1.3</v>
      </c>
      <c r="E149" s="306">
        <v>1.32</v>
      </c>
      <c r="F149" s="306">
        <v>1.35</v>
      </c>
      <c r="G149" s="306">
        <v>1.37</v>
      </c>
      <c r="H149" s="306">
        <v>1.4</v>
      </c>
      <c r="I149" s="306">
        <v>1.43</v>
      </c>
      <c r="J149" s="306">
        <v>1.46</v>
      </c>
      <c r="K149" s="306">
        <v>1.5</v>
      </c>
      <c r="L149" s="306">
        <v>1.54</v>
      </c>
      <c r="M149" s="306">
        <v>1.59</v>
      </c>
      <c r="N149" s="306">
        <v>1.64</v>
      </c>
      <c r="O149" s="306">
        <v>1.7</v>
      </c>
      <c r="P149" s="306">
        <v>1.75</v>
      </c>
      <c r="Q149" s="306">
        <v>1.8</v>
      </c>
      <c r="R149" s="306">
        <v>1.85</v>
      </c>
      <c r="S149" s="306">
        <v>1.9</v>
      </c>
      <c r="T149" s="306">
        <v>1.94</v>
      </c>
      <c r="U149" s="306">
        <v>1.99</v>
      </c>
      <c r="V149" s="306">
        <v>2.0299999999999998</v>
      </c>
      <c r="W149" s="306">
        <v>2.06</v>
      </c>
      <c r="X149" s="306">
        <v>2.1</v>
      </c>
      <c r="Y149" s="306">
        <v>2.14</v>
      </c>
      <c r="Z149" s="306">
        <v>2.17</v>
      </c>
      <c r="AA149" s="306">
        <v>2.2000000000000002</v>
      </c>
      <c r="AB149" s="306">
        <v>2.23</v>
      </c>
      <c r="AC149" s="306">
        <v>2.2599999999999998</v>
      </c>
      <c r="AD149" s="306">
        <v>2.29</v>
      </c>
      <c r="AE149" s="306">
        <v>2.3199999999999998</v>
      </c>
      <c r="AF149" s="306">
        <v>2.34</v>
      </c>
      <c r="AG149" s="306">
        <v>2.37</v>
      </c>
      <c r="AH149" s="306">
        <v>2.39</v>
      </c>
      <c r="AI149" s="306">
        <v>2.41</v>
      </c>
      <c r="AJ149" s="306">
        <v>2.4300000000000002</v>
      </c>
      <c r="AK149" s="306">
        <v>2.44</v>
      </c>
      <c r="AL149" s="306">
        <v>2.46</v>
      </c>
      <c r="AM149" s="306">
        <v>2.48</v>
      </c>
      <c r="AN149" s="306">
        <v>2.5</v>
      </c>
      <c r="AO149" s="306">
        <v>2.5099999999999998</v>
      </c>
      <c r="AP149" s="306">
        <v>2.5299999999999998</v>
      </c>
      <c r="AQ149" s="306">
        <v>2.54</v>
      </c>
      <c r="AR149" s="306">
        <v>2.5499999999999998</v>
      </c>
      <c r="AS149" s="306">
        <v>2.57</v>
      </c>
      <c r="AT149" s="306">
        <v>2.58</v>
      </c>
      <c r="AU149" s="306">
        <v>2.59</v>
      </c>
      <c r="AV149" s="306">
        <v>2.6</v>
      </c>
      <c r="AW149" s="306">
        <v>2.61</v>
      </c>
      <c r="AX149" s="306">
        <v>2.62</v>
      </c>
      <c r="AY149" s="306">
        <v>2.63</v>
      </c>
      <c r="AZ149" s="306">
        <v>2.64</v>
      </c>
      <c r="BA149" s="306">
        <v>2.64</v>
      </c>
      <c r="BB149" s="306">
        <v>2.65</v>
      </c>
      <c r="BC149" s="306">
        <v>2.66</v>
      </c>
      <c r="BD149" s="306">
        <v>2.67</v>
      </c>
      <c r="BE149" s="306">
        <v>2.67</v>
      </c>
      <c r="BF149" s="306">
        <v>2.68</v>
      </c>
      <c r="BG149" s="306">
        <v>2.68</v>
      </c>
      <c r="BH149" s="306">
        <v>2.68</v>
      </c>
      <c r="BI149" s="306">
        <v>2.69</v>
      </c>
      <c r="BJ149" s="306">
        <v>2.69</v>
      </c>
      <c r="BK149" s="306">
        <v>2.69</v>
      </c>
      <c r="BL149" s="306">
        <v>2.69</v>
      </c>
      <c r="BM149" s="306">
        <v>2.7</v>
      </c>
      <c r="BN149" s="306">
        <v>2.7</v>
      </c>
      <c r="BO149" s="306">
        <v>2.7</v>
      </c>
      <c r="BP149" s="306">
        <v>2.7</v>
      </c>
      <c r="BQ149" s="306">
        <v>2.7</v>
      </c>
      <c r="BR149" s="306">
        <v>2.7</v>
      </c>
      <c r="BS149" s="306">
        <v>2.7</v>
      </c>
      <c r="BT149" s="306">
        <v>2.7</v>
      </c>
      <c r="BU149" s="306">
        <v>2.7</v>
      </c>
      <c r="BV149" s="306">
        <v>2.7</v>
      </c>
      <c r="BW149" s="306">
        <v>0</v>
      </c>
      <c r="BX149" s="306">
        <v>0</v>
      </c>
      <c r="BY149" s="306">
        <v>0</v>
      </c>
      <c r="BZ149" s="306">
        <v>0</v>
      </c>
      <c r="CA149" s="306">
        <v>0</v>
      </c>
      <c r="CB149" s="306">
        <v>0</v>
      </c>
      <c r="CC149" s="306">
        <v>0</v>
      </c>
      <c r="CD149" s="306">
        <v>0</v>
      </c>
      <c r="CE149" s="306">
        <v>0</v>
      </c>
      <c r="CF149" s="306">
        <v>0</v>
      </c>
      <c r="CG149" s="306">
        <v>0</v>
      </c>
      <c r="CH149" s="306">
        <v>0</v>
      </c>
      <c r="CI149" s="306">
        <v>0</v>
      </c>
      <c r="CJ149" s="306">
        <v>0</v>
      </c>
      <c r="CK149" s="306">
        <v>0</v>
      </c>
      <c r="CL149" s="306">
        <v>0</v>
      </c>
      <c r="CM149" s="306">
        <v>0</v>
      </c>
      <c r="CN149" s="306">
        <v>0</v>
      </c>
      <c r="CO149" s="306">
        <v>0</v>
      </c>
      <c r="CP149" s="306">
        <v>0</v>
      </c>
      <c r="CQ149" s="306">
        <v>0</v>
      </c>
      <c r="CR149" s="306">
        <v>0</v>
      </c>
      <c r="CS149" s="306">
        <v>0</v>
      </c>
      <c r="CT149" s="306">
        <v>0</v>
      </c>
      <c r="CU149" s="306">
        <v>0</v>
      </c>
      <c r="CV149" s="306">
        <v>0</v>
      </c>
      <c r="CW149" s="306">
        <v>0</v>
      </c>
      <c r="CX149" s="306">
        <v>0</v>
      </c>
    </row>
    <row r="150" spans="3:102" x14ac:dyDescent="0.25">
      <c r="C150" s="305">
        <v>30</v>
      </c>
      <c r="D150" s="306">
        <v>1.35</v>
      </c>
      <c r="E150" s="306">
        <v>1.37</v>
      </c>
      <c r="F150" s="306">
        <v>1.4</v>
      </c>
      <c r="G150" s="306">
        <v>1.43</v>
      </c>
      <c r="H150" s="306">
        <v>1.46</v>
      </c>
      <c r="I150" s="306">
        <v>1.49</v>
      </c>
      <c r="J150" s="306">
        <v>1.53</v>
      </c>
      <c r="K150" s="306">
        <v>1.57</v>
      </c>
      <c r="L150" s="306">
        <v>1.63</v>
      </c>
      <c r="M150" s="306">
        <v>1.68</v>
      </c>
      <c r="N150" s="306">
        <v>1.75</v>
      </c>
      <c r="O150" s="306">
        <v>1.81</v>
      </c>
      <c r="P150" s="306">
        <v>1.87</v>
      </c>
      <c r="Q150" s="306">
        <v>1.92</v>
      </c>
      <c r="R150" s="306">
        <v>1.97</v>
      </c>
      <c r="S150" s="306">
        <v>2.0299999999999998</v>
      </c>
      <c r="T150" s="306">
        <v>2.0699999999999998</v>
      </c>
      <c r="U150" s="306">
        <v>2.12</v>
      </c>
      <c r="V150" s="306">
        <v>2.16</v>
      </c>
      <c r="W150" s="306">
        <v>2.2000000000000002</v>
      </c>
      <c r="X150" s="306">
        <v>2.2400000000000002</v>
      </c>
      <c r="Y150" s="306">
        <v>2.2799999999999998</v>
      </c>
      <c r="Z150" s="306">
        <v>2.3199999999999998</v>
      </c>
      <c r="AA150" s="306">
        <v>2.35</v>
      </c>
      <c r="AB150" s="306">
        <v>2.39</v>
      </c>
      <c r="AC150" s="306">
        <v>2.42</v>
      </c>
      <c r="AD150" s="306">
        <v>2.4500000000000002</v>
      </c>
      <c r="AE150" s="306">
        <v>2.48</v>
      </c>
      <c r="AF150" s="306">
        <v>2.5</v>
      </c>
      <c r="AG150" s="306">
        <v>2.5299999999999998</v>
      </c>
      <c r="AH150" s="306">
        <v>2.5499999999999998</v>
      </c>
      <c r="AI150" s="306">
        <v>2.57</v>
      </c>
      <c r="AJ150" s="306">
        <v>2.59</v>
      </c>
      <c r="AK150" s="306">
        <v>2.61</v>
      </c>
      <c r="AL150" s="306">
        <v>2.63</v>
      </c>
      <c r="AM150" s="306">
        <v>2.65</v>
      </c>
      <c r="AN150" s="306">
        <v>2.67</v>
      </c>
      <c r="AO150" s="306">
        <v>2.68</v>
      </c>
      <c r="AP150" s="306">
        <v>2.7</v>
      </c>
      <c r="AQ150" s="306">
        <v>2.71</v>
      </c>
      <c r="AR150" s="306">
        <v>2.73</v>
      </c>
      <c r="AS150" s="306">
        <v>2.74</v>
      </c>
      <c r="AT150" s="306">
        <v>2.75</v>
      </c>
      <c r="AU150" s="306">
        <v>2.76</v>
      </c>
      <c r="AV150" s="306">
        <v>2.78</v>
      </c>
      <c r="AW150" s="306">
        <v>2.79</v>
      </c>
      <c r="AX150" s="306">
        <v>2.8</v>
      </c>
      <c r="AY150" s="306">
        <v>2.81</v>
      </c>
      <c r="AZ150" s="306">
        <v>2.82</v>
      </c>
      <c r="BA150" s="306">
        <v>2.83</v>
      </c>
      <c r="BB150" s="306">
        <v>2.83</v>
      </c>
      <c r="BC150" s="306">
        <v>2.84</v>
      </c>
      <c r="BD150" s="306">
        <v>2.85</v>
      </c>
      <c r="BE150" s="306">
        <v>2.85</v>
      </c>
      <c r="BF150" s="306">
        <v>2.86</v>
      </c>
      <c r="BG150" s="306">
        <v>2.86</v>
      </c>
      <c r="BH150" s="306">
        <v>2.87</v>
      </c>
      <c r="BI150" s="306">
        <v>2.87</v>
      </c>
      <c r="BJ150" s="306">
        <v>2.87</v>
      </c>
      <c r="BK150" s="306">
        <v>2.87</v>
      </c>
      <c r="BL150" s="306">
        <v>2.88</v>
      </c>
      <c r="BM150" s="306">
        <v>2.88</v>
      </c>
      <c r="BN150" s="306">
        <v>2.88</v>
      </c>
      <c r="BO150" s="306">
        <v>2.88</v>
      </c>
      <c r="BP150" s="306">
        <v>2.88</v>
      </c>
      <c r="BQ150" s="306">
        <v>2.88</v>
      </c>
      <c r="BR150" s="306">
        <v>2.88</v>
      </c>
      <c r="BS150" s="306">
        <v>2.88</v>
      </c>
      <c r="BT150" s="306">
        <v>2.88</v>
      </c>
      <c r="BU150" s="306">
        <v>2.88</v>
      </c>
      <c r="BV150" s="306">
        <v>0</v>
      </c>
      <c r="BW150" s="306">
        <v>0</v>
      </c>
      <c r="BX150" s="306">
        <v>0</v>
      </c>
      <c r="BY150" s="306">
        <v>0</v>
      </c>
      <c r="BZ150" s="306">
        <v>0</v>
      </c>
      <c r="CA150" s="306">
        <v>0</v>
      </c>
      <c r="CB150" s="306">
        <v>0</v>
      </c>
      <c r="CC150" s="306">
        <v>0</v>
      </c>
      <c r="CD150" s="306">
        <v>0</v>
      </c>
      <c r="CE150" s="306">
        <v>0</v>
      </c>
      <c r="CF150" s="306">
        <v>0</v>
      </c>
      <c r="CG150" s="306">
        <v>0</v>
      </c>
      <c r="CH150" s="306">
        <v>0</v>
      </c>
      <c r="CI150" s="306">
        <v>0</v>
      </c>
      <c r="CJ150" s="306">
        <v>0</v>
      </c>
      <c r="CK150" s="306">
        <v>0</v>
      </c>
      <c r="CL150" s="306">
        <v>0</v>
      </c>
      <c r="CM150" s="306">
        <v>0</v>
      </c>
      <c r="CN150" s="306">
        <v>0</v>
      </c>
      <c r="CO150" s="306">
        <v>0</v>
      </c>
      <c r="CP150" s="306">
        <v>0</v>
      </c>
      <c r="CQ150" s="306">
        <v>0</v>
      </c>
      <c r="CR150" s="306">
        <v>0</v>
      </c>
      <c r="CS150" s="306">
        <v>0</v>
      </c>
      <c r="CT150" s="306">
        <v>0</v>
      </c>
      <c r="CU150" s="306">
        <v>0</v>
      </c>
      <c r="CV150" s="306">
        <v>0</v>
      </c>
      <c r="CW150" s="306">
        <v>0</v>
      </c>
      <c r="CX150" s="306">
        <v>0</v>
      </c>
    </row>
    <row r="151" spans="3:102" x14ac:dyDescent="0.25">
      <c r="C151" s="305">
        <v>31</v>
      </c>
      <c r="D151" s="306">
        <v>1.4</v>
      </c>
      <c r="E151" s="306">
        <v>1.42</v>
      </c>
      <c r="F151" s="306">
        <v>1.45</v>
      </c>
      <c r="G151" s="306">
        <v>1.49</v>
      </c>
      <c r="H151" s="306">
        <v>1.52</v>
      </c>
      <c r="I151" s="306">
        <v>1.56</v>
      </c>
      <c r="J151" s="306">
        <v>1.61</v>
      </c>
      <c r="K151" s="306">
        <v>1.67</v>
      </c>
      <c r="L151" s="306">
        <v>1.73</v>
      </c>
      <c r="M151" s="306">
        <v>1.79</v>
      </c>
      <c r="N151" s="306">
        <v>1.86</v>
      </c>
      <c r="O151" s="306">
        <v>1.93</v>
      </c>
      <c r="P151" s="306">
        <v>1.99</v>
      </c>
      <c r="Q151" s="306">
        <v>2.0499999999999998</v>
      </c>
      <c r="R151" s="306">
        <v>2.11</v>
      </c>
      <c r="S151" s="306">
        <v>2.17</v>
      </c>
      <c r="T151" s="306">
        <v>2.2200000000000002</v>
      </c>
      <c r="U151" s="306">
        <v>2.27</v>
      </c>
      <c r="V151" s="306">
        <v>2.31</v>
      </c>
      <c r="W151" s="306">
        <v>2.36</v>
      </c>
      <c r="X151" s="306">
        <v>2.4</v>
      </c>
      <c r="Y151" s="306">
        <v>2.44</v>
      </c>
      <c r="Z151" s="306">
        <v>2.48</v>
      </c>
      <c r="AA151" s="306">
        <v>2.52</v>
      </c>
      <c r="AB151" s="306">
        <v>2.5499999999999998</v>
      </c>
      <c r="AC151" s="306">
        <v>2.59</v>
      </c>
      <c r="AD151" s="306">
        <v>2.62</v>
      </c>
      <c r="AE151" s="306">
        <v>2.65</v>
      </c>
      <c r="AF151" s="306">
        <v>2.67</v>
      </c>
      <c r="AG151" s="306">
        <v>2.7</v>
      </c>
      <c r="AH151" s="306">
        <v>2.72</v>
      </c>
      <c r="AI151" s="306">
        <v>2.75</v>
      </c>
      <c r="AJ151" s="306">
        <v>2.77</v>
      </c>
      <c r="AK151" s="306">
        <v>2.79</v>
      </c>
      <c r="AL151" s="306">
        <v>2.81</v>
      </c>
      <c r="AM151" s="306">
        <v>2.83</v>
      </c>
      <c r="AN151" s="306">
        <v>2.85</v>
      </c>
      <c r="AO151" s="306">
        <v>2.87</v>
      </c>
      <c r="AP151" s="306">
        <v>2.88</v>
      </c>
      <c r="AQ151" s="306">
        <v>2.9</v>
      </c>
      <c r="AR151" s="306">
        <v>2.92</v>
      </c>
      <c r="AS151" s="306">
        <v>2.93</v>
      </c>
      <c r="AT151" s="306">
        <v>2.94</v>
      </c>
      <c r="AU151" s="306">
        <v>2.96</v>
      </c>
      <c r="AV151" s="306">
        <v>2.97</v>
      </c>
      <c r="AW151" s="306">
        <v>2.98</v>
      </c>
      <c r="AX151" s="306">
        <v>2.99</v>
      </c>
      <c r="AY151" s="306">
        <v>3</v>
      </c>
      <c r="AZ151" s="306">
        <v>3.01</v>
      </c>
      <c r="BA151" s="306">
        <v>3.02</v>
      </c>
      <c r="BB151" s="306">
        <v>3.03</v>
      </c>
      <c r="BC151" s="306">
        <v>3.04</v>
      </c>
      <c r="BD151" s="306">
        <v>3.05</v>
      </c>
      <c r="BE151" s="306">
        <v>3.05</v>
      </c>
      <c r="BF151" s="306">
        <v>3.06</v>
      </c>
      <c r="BG151" s="306">
        <v>3.06</v>
      </c>
      <c r="BH151" s="306">
        <v>3.06</v>
      </c>
      <c r="BI151" s="306">
        <v>3.07</v>
      </c>
      <c r="BJ151" s="306">
        <v>3.07</v>
      </c>
      <c r="BK151" s="306">
        <v>3.07</v>
      </c>
      <c r="BL151" s="306">
        <v>3.07</v>
      </c>
      <c r="BM151" s="306">
        <v>3.07</v>
      </c>
      <c r="BN151" s="306">
        <v>3.08</v>
      </c>
      <c r="BO151" s="306">
        <v>3.08</v>
      </c>
      <c r="BP151" s="306">
        <v>3.08</v>
      </c>
      <c r="BQ151" s="306">
        <v>3.08</v>
      </c>
      <c r="BR151" s="306">
        <v>3.08</v>
      </c>
      <c r="BS151" s="306">
        <v>3.08</v>
      </c>
      <c r="BT151" s="306">
        <v>3.08</v>
      </c>
      <c r="BU151" s="306">
        <v>0</v>
      </c>
      <c r="BV151" s="306">
        <v>0</v>
      </c>
      <c r="BW151" s="306">
        <v>0</v>
      </c>
      <c r="BX151" s="306">
        <v>0</v>
      </c>
      <c r="BY151" s="306">
        <v>0</v>
      </c>
      <c r="BZ151" s="306">
        <v>0</v>
      </c>
      <c r="CA151" s="306">
        <v>0</v>
      </c>
      <c r="CB151" s="306">
        <v>0</v>
      </c>
      <c r="CC151" s="306">
        <v>0</v>
      </c>
      <c r="CD151" s="306">
        <v>0</v>
      </c>
      <c r="CE151" s="306">
        <v>0</v>
      </c>
      <c r="CF151" s="306">
        <v>0</v>
      </c>
      <c r="CG151" s="306">
        <v>0</v>
      </c>
      <c r="CH151" s="306">
        <v>0</v>
      </c>
      <c r="CI151" s="306">
        <v>0</v>
      </c>
      <c r="CJ151" s="306">
        <v>0</v>
      </c>
      <c r="CK151" s="306">
        <v>0</v>
      </c>
      <c r="CL151" s="306">
        <v>0</v>
      </c>
      <c r="CM151" s="306">
        <v>0</v>
      </c>
      <c r="CN151" s="306">
        <v>0</v>
      </c>
      <c r="CO151" s="306">
        <v>0</v>
      </c>
      <c r="CP151" s="306">
        <v>0</v>
      </c>
      <c r="CQ151" s="306">
        <v>0</v>
      </c>
      <c r="CR151" s="306">
        <v>0</v>
      </c>
      <c r="CS151" s="306">
        <v>0</v>
      </c>
      <c r="CT151" s="306">
        <v>0</v>
      </c>
      <c r="CU151" s="306">
        <v>0</v>
      </c>
      <c r="CV151" s="306">
        <v>0</v>
      </c>
      <c r="CW151" s="306">
        <v>0</v>
      </c>
      <c r="CX151" s="306">
        <v>0</v>
      </c>
    </row>
    <row r="152" spans="3:102" x14ac:dyDescent="0.25">
      <c r="C152" s="305">
        <v>32</v>
      </c>
      <c r="D152" s="306">
        <v>1.45</v>
      </c>
      <c r="E152" s="306">
        <v>1.48</v>
      </c>
      <c r="F152" s="306">
        <v>1.52</v>
      </c>
      <c r="G152" s="306">
        <v>1.55</v>
      </c>
      <c r="H152" s="306">
        <v>1.6</v>
      </c>
      <c r="I152" s="306">
        <v>1.65</v>
      </c>
      <c r="J152" s="306">
        <v>1.71</v>
      </c>
      <c r="K152" s="306">
        <v>1.77</v>
      </c>
      <c r="L152" s="306">
        <v>1.84</v>
      </c>
      <c r="M152" s="306">
        <v>1.92</v>
      </c>
      <c r="N152" s="306">
        <v>2</v>
      </c>
      <c r="O152" s="306">
        <v>2.0699999999999998</v>
      </c>
      <c r="P152" s="306">
        <v>2.14</v>
      </c>
      <c r="Q152" s="306">
        <v>2.2000000000000002</v>
      </c>
      <c r="R152" s="306">
        <v>2.2599999999999998</v>
      </c>
      <c r="S152" s="306">
        <v>2.3199999999999998</v>
      </c>
      <c r="T152" s="306">
        <v>2.37</v>
      </c>
      <c r="U152" s="306">
        <v>2.4300000000000002</v>
      </c>
      <c r="V152" s="306">
        <v>2.48</v>
      </c>
      <c r="W152" s="306">
        <v>2.52</v>
      </c>
      <c r="X152" s="306">
        <v>2.57</v>
      </c>
      <c r="Y152" s="306">
        <v>2.61</v>
      </c>
      <c r="Z152" s="306">
        <v>2.66</v>
      </c>
      <c r="AA152" s="306">
        <v>2.7</v>
      </c>
      <c r="AB152" s="306">
        <v>2.73</v>
      </c>
      <c r="AC152" s="306">
        <v>2.77</v>
      </c>
      <c r="AD152" s="306">
        <v>2.8</v>
      </c>
      <c r="AE152" s="306">
        <v>2.83</v>
      </c>
      <c r="AF152" s="306">
        <v>2.86</v>
      </c>
      <c r="AG152" s="306">
        <v>2.89</v>
      </c>
      <c r="AH152" s="306">
        <v>2.91</v>
      </c>
      <c r="AI152" s="306">
        <v>2.94</v>
      </c>
      <c r="AJ152" s="306">
        <v>2.96</v>
      </c>
      <c r="AK152" s="306">
        <v>2.99</v>
      </c>
      <c r="AL152" s="306">
        <v>3.01</v>
      </c>
      <c r="AM152" s="306">
        <v>3.03</v>
      </c>
      <c r="AN152" s="306">
        <v>3.05</v>
      </c>
      <c r="AO152" s="306">
        <v>3.07</v>
      </c>
      <c r="AP152" s="306">
        <v>3.09</v>
      </c>
      <c r="AQ152" s="306">
        <v>3.11</v>
      </c>
      <c r="AR152" s="306">
        <v>3.12</v>
      </c>
      <c r="AS152" s="306">
        <v>3.14</v>
      </c>
      <c r="AT152" s="306">
        <v>3.15</v>
      </c>
      <c r="AU152" s="306">
        <v>3.17</v>
      </c>
      <c r="AV152" s="306">
        <v>3.18</v>
      </c>
      <c r="AW152" s="306">
        <v>3.2</v>
      </c>
      <c r="AX152" s="306">
        <v>3.21</v>
      </c>
      <c r="AY152" s="306">
        <v>3.22</v>
      </c>
      <c r="AZ152" s="306">
        <v>3.23</v>
      </c>
      <c r="BA152" s="306">
        <v>3.24</v>
      </c>
      <c r="BB152" s="306">
        <v>3.25</v>
      </c>
      <c r="BC152" s="306">
        <v>3.25</v>
      </c>
      <c r="BD152" s="306">
        <v>3.26</v>
      </c>
      <c r="BE152" s="306">
        <v>3.27</v>
      </c>
      <c r="BF152" s="306">
        <v>3.27</v>
      </c>
      <c r="BG152" s="306">
        <v>3.28</v>
      </c>
      <c r="BH152" s="306">
        <v>3.28</v>
      </c>
      <c r="BI152" s="306">
        <v>3.28</v>
      </c>
      <c r="BJ152" s="306">
        <v>3.28</v>
      </c>
      <c r="BK152" s="306">
        <v>3.29</v>
      </c>
      <c r="BL152" s="306">
        <v>3.29</v>
      </c>
      <c r="BM152" s="306">
        <v>3.29</v>
      </c>
      <c r="BN152" s="306">
        <v>3.29</v>
      </c>
      <c r="BO152" s="306">
        <v>3.29</v>
      </c>
      <c r="BP152" s="306">
        <v>3.29</v>
      </c>
      <c r="BQ152" s="306">
        <v>3.29</v>
      </c>
      <c r="BR152" s="306">
        <v>3.29</v>
      </c>
      <c r="BS152" s="306">
        <v>3.29</v>
      </c>
      <c r="BT152" s="306">
        <v>0</v>
      </c>
      <c r="BU152" s="306">
        <v>0</v>
      </c>
      <c r="BV152" s="306">
        <v>0</v>
      </c>
      <c r="BW152" s="306">
        <v>0</v>
      </c>
      <c r="BX152" s="306">
        <v>0</v>
      </c>
      <c r="BY152" s="306">
        <v>0</v>
      </c>
      <c r="BZ152" s="306">
        <v>0</v>
      </c>
      <c r="CA152" s="306">
        <v>0</v>
      </c>
      <c r="CB152" s="306">
        <v>0</v>
      </c>
      <c r="CC152" s="306">
        <v>0</v>
      </c>
      <c r="CD152" s="306">
        <v>0</v>
      </c>
      <c r="CE152" s="306">
        <v>0</v>
      </c>
      <c r="CF152" s="306">
        <v>0</v>
      </c>
      <c r="CG152" s="306">
        <v>0</v>
      </c>
      <c r="CH152" s="306">
        <v>0</v>
      </c>
      <c r="CI152" s="306">
        <v>0</v>
      </c>
      <c r="CJ152" s="306">
        <v>0</v>
      </c>
      <c r="CK152" s="306">
        <v>0</v>
      </c>
      <c r="CL152" s="306">
        <v>0</v>
      </c>
      <c r="CM152" s="306">
        <v>0</v>
      </c>
      <c r="CN152" s="306">
        <v>0</v>
      </c>
      <c r="CO152" s="306">
        <v>0</v>
      </c>
      <c r="CP152" s="306">
        <v>0</v>
      </c>
      <c r="CQ152" s="306">
        <v>0</v>
      </c>
      <c r="CR152" s="306">
        <v>0</v>
      </c>
      <c r="CS152" s="306">
        <v>0</v>
      </c>
      <c r="CT152" s="306">
        <v>0</v>
      </c>
      <c r="CU152" s="306">
        <v>0</v>
      </c>
      <c r="CV152" s="306">
        <v>0</v>
      </c>
      <c r="CW152" s="306">
        <v>0</v>
      </c>
      <c r="CX152" s="306">
        <v>0</v>
      </c>
    </row>
    <row r="153" spans="3:102" x14ac:dyDescent="0.25">
      <c r="C153" s="305">
        <v>33</v>
      </c>
      <c r="D153" s="306">
        <v>1.52</v>
      </c>
      <c r="E153" s="306">
        <v>1.55</v>
      </c>
      <c r="F153" s="306">
        <v>1.59</v>
      </c>
      <c r="G153" s="306">
        <v>1.64</v>
      </c>
      <c r="H153" s="306">
        <v>1.69</v>
      </c>
      <c r="I153" s="306">
        <v>1.76</v>
      </c>
      <c r="J153" s="306">
        <v>1.83</v>
      </c>
      <c r="K153" s="306">
        <v>1.9</v>
      </c>
      <c r="L153" s="306">
        <v>1.98</v>
      </c>
      <c r="M153" s="306">
        <v>2.06</v>
      </c>
      <c r="N153" s="306">
        <v>2.15</v>
      </c>
      <c r="O153" s="306">
        <v>2.2200000000000002</v>
      </c>
      <c r="P153" s="306">
        <v>2.2999999999999998</v>
      </c>
      <c r="Q153" s="306">
        <v>2.36</v>
      </c>
      <c r="R153" s="306">
        <v>2.4300000000000002</v>
      </c>
      <c r="S153" s="306">
        <v>2.4900000000000002</v>
      </c>
      <c r="T153" s="306">
        <v>2.5499999999999998</v>
      </c>
      <c r="U153" s="306">
        <v>2.6</v>
      </c>
      <c r="V153" s="306">
        <v>2.66</v>
      </c>
      <c r="W153" s="306">
        <v>2.71</v>
      </c>
      <c r="X153" s="306">
        <v>2.76</v>
      </c>
      <c r="Y153" s="306">
        <v>2.8</v>
      </c>
      <c r="Z153" s="306">
        <v>2.85</v>
      </c>
      <c r="AA153" s="306">
        <v>2.89</v>
      </c>
      <c r="AB153" s="306">
        <v>2.93</v>
      </c>
      <c r="AC153" s="306">
        <v>2.97</v>
      </c>
      <c r="AD153" s="306">
        <v>3</v>
      </c>
      <c r="AE153" s="306">
        <v>3.03</v>
      </c>
      <c r="AF153" s="306">
        <v>3.06</v>
      </c>
      <c r="AG153" s="306">
        <v>3.09</v>
      </c>
      <c r="AH153" s="306">
        <v>3.12</v>
      </c>
      <c r="AI153" s="306">
        <v>3.15</v>
      </c>
      <c r="AJ153" s="306">
        <v>3.18</v>
      </c>
      <c r="AK153" s="306">
        <v>3.2</v>
      </c>
      <c r="AL153" s="306">
        <v>3.23</v>
      </c>
      <c r="AM153" s="306">
        <v>3.25</v>
      </c>
      <c r="AN153" s="306">
        <v>3.27</v>
      </c>
      <c r="AO153" s="306">
        <v>3.29</v>
      </c>
      <c r="AP153" s="306">
        <v>3.31</v>
      </c>
      <c r="AQ153" s="306">
        <v>3.33</v>
      </c>
      <c r="AR153" s="306">
        <v>3.35</v>
      </c>
      <c r="AS153" s="306">
        <v>3.37</v>
      </c>
      <c r="AT153" s="306">
        <v>3.38</v>
      </c>
      <c r="AU153" s="306">
        <v>3.4</v>
      </c>
      <c r="AV153" s="306">
        <v>3.41</v>
      </c>
      <c r="AW153" s="306">
        <v>3.43</v>
      </c>
      <c r="AX153" s="306">
        <v>3.44</v>
      </c>
      <c r="AY153" s="306">
        <v>3.45</v>
      </c>
      <c r="AZ153" s="306">
        <v>3.46</v>
      </c>
      <c r="BA153" s="306">
        <v>3.47</v>
      </c>
      <c r="BB153" s="306">
        <v>3.48</v>
      </c>
      <c r="BC153" s="306">
        <v>3.49</v>
      </c>
      <c r="BD153" s="306">
        <v>3.49</v>
      </c>
      <c r="BE153" s="306">
        <v>3.5</v>
      </c>
      <c r="BF153" s="306">
        <v>3.51</v>
      </c>
      <c r="BG153" s="306">
        <v>3.51</v>
      </c>
      <c r="BH153" s="306">
        <v>3.51</v>
      </c>
      <c r="BI153" s="306">
        <v>3.51</v>
      </c>
      <c r="BJ153" s="306">
        <v>3.52</v>
      </c>
      <c r="BK153" s="306">
        <v>3.52</v>
      </c>
      <c r="BL153" s="306">
        <v>3.52</v>
      </c>
      <c r="BM153" s="306">
        <v>3.52</v>
      </c>
      <c r="BN153" s="306">
        <v>3.52</v>
      </c>
      <c r="BO153" s="306">
        <v>3.52</v>
      </c>
      <c r="BP153" s="306">
        <v>3.52</v>
      </c>
      <c r="BQ153" s="306">
        <v>3.52</v>
      </c>
      <c r="BR153" s="306">
        <v>3.52</v>
      </c>
      <c r="BS153" s="306">
        <v>0</v>
      </c>
      <c r="BT153" s="306">
        <v>0</v>
      </c>
      <c r="BU153" s="306">
        <v>0</v>
      </c>
      <c r="BV153" s="306">
        <v>0</v>
      </c>
      <c r="BW153" s="306">
        <v>0</v>
      </c>
      <c r="BX153" s="306">
        <v>0</v>
      </c>
      <c r="BY153" s="306">
        <v>0</v>
      </c>
      <c r="BZ153" s="306">
        <v>0</v>
      </c>
      <c r="CA153" s="306">
        <v>0</v>
      </c>
      <c r="CB153" s="306">
        <v>0</v>
      </c>
      <c r="CC153" s="306">
        <v>0</v>
      </c>
      <c r="CD153" s="306">
        <v>0</v>
      </c>
      <c r="CE153" s="306">
        <v>0</v>
      </c>
      <c r="CF153" s="306">
        <v>0</v>
      </c>
      <c r="CG153" s="306">
        <v>0</v>
      </c>
      <c r="CH153" s="306">
        <v>0</v>
      </c>
      <c r="CI153" s="306">
        <v>0</v>
      </c>
      <c r="CJ153" s="306">
        <v>0</v>
      </c>
      <c r="CK153" s="306">
        <v>0</v>
      </c>
      <c r="CL153" s="306">
        <v>0</v>
      </c>
      <c r="CM153" s="306">
        <v>0</v>
      </c>
      <c r="CN153" s="306">
        <v>0</v>
      </c>
      <c r="CO153" s="306">
        <v>0</v>
      </c>
      <c r="CP153" s="306">
        <v>0</v>
      </c>
      <c r="CQ153" s="306">
        <v>0</v>
      </c>
      <c r="CR153" s="306">
        <v>0</v>
      </c>
      <c r="CS153" s="306">
        <v>0</v>
      </c>
      <c r="CT153" s="306">
        <v>0</v>
      </c>
      <c r="CU153" s="306">
        <v>0</v>
      </c>
      <c r="CV153" s="306">
        <v>0</v>
      </c>
      <c r="CW153" s="306">
        <v>0</v>
      </c>
      <c r="CX153" s="306">
        <v>0</v>
      </c>
    </row>
    <row r="154" spans="3:102" x14ac:dyDescent="0.25">
      <c r="C154" s="305">
        <v>34</v>
      </c>
      <c r="D154" s="306">
        <v>1.59</v>
      </c>
      <c r="E154" s="306">
        <v>1.63</v>
      </c>
      <c r="F154" s="306">
        <v>1.68</v>
      </c>
      <c r="G154" s="306">
        <v>1.74</v>
      </c>
      <c r="H154" s="306">
        <v>1.81</v>
      </c>
      <c r="I154" s="306">
        <v>1.88</v>
      </c>
      <c r="J154" s="306">
        <v>1.96</v>
      </c>
      <c r="K154" s="306">
        <v>2.04</v>
      </c>
      <c r="L154" s="306">
        <v>2.13</v>
      </c>
      <c r="M154" s="306">
        <v>2.2200000000000002</v>
      </c>
      <c r="N154" s="306">
        <v>2.31</v>
      </c>
      <c r="O154" s="306">
        <v>2.39</v>
      </c>
      <c r="P154" s="306">
        <v>2.4700000000000002</v>
      </c>
      <c r="Q154" s="306">
        <v>2.54</v>
      </c>
      <c r="R154" s="306">
        <v>2.61</v>
      </c>
      <c r="S154" s="306">
        <v>2.67</v>
      </c>
      <c r="T154" s="306">
        <v>2.73</v>
      </c>
      <c r="U154" s="306">
        <v>2.79</v>
      </c>
      <c r="V154" s="306">
        <v>2.85</v>
      </c>
      <c r="W154" s="306">
        <v>2.91</v>
      </c>
      <c r="X154" s="306">
        <v>2.96</v>
      </c>
      <c r="Y154" s="306">
        <v>3.01</v>
      </c>
      <c r="Z154" s="306">
        <v>3.06</v>
      </c>
      <c r="AA154" s="306">
        <v>3.1</v>
      </c>
      <c r="AB154" s="306">
        <v>3.14</v>
      </c>
      <c r="AC154" s="306">
        <v>3.18</v>
      </c>
      <c r="AD154" s="306">
        <v>3.22</v>
      </c>
      <c r="AE154" s="306">
        <v>3.25</v>
      </c>
      <c r="AF154" s="306">
        <v>3.28</v>
      </c>
      <c r="AG154" s="306">
        <v>3.31</v>
      </c>
      <c r="AH154" s="306">
        <v>3.35</v>
      </c>
      <c r="AI154" s="306">
        <v>3.38</v>
      </c>
      <c r="AJ154" s="306">
        <v>3.41</v>
      </c>
      <c r="AK154" s="306">
        <v>3.43</v>
      </c>
      <c r="AL154" s="306">
        <v>3.46</v>
      </c>
      <c r="AM154" s="306">
        <v>3.48</v>
      </c>
      <c r="AN154" s="306">
        <v>3.51</v>
      </c>
      <c r="AO154" s="306">
        <v>3.53</v>
      </c>
      <c r="AP154" s="306">
        <v>3.55</v>
      </c>
      <c r="AQ154" s="306">
        <v>3.57</v>
      </c>
      <c r="AR154" s="306">
        <v>3.59</v>
      </c>
      <c r="AS154" s="306">
        <v>3.61</v>
      </c>
      <c r="AT154" s="306">
        <v>3.63</v>
      </c>
      <c r="AU154" s="306">
        <v>3.65</v>
      </c>
      <c r="AV154" s="306">
        <v>3.66</v>
      </c>
      <c r="AW154" s="306">
        <v>3.68</v>
      </c>
      <c r="AX154" s="306">
        <v>3.69</v>
      </c>
      <c r="AY154" s="306">
        <v>3.7</v>
      </c>
      <c r="AZ154" s="306">
        <v>3.71</v>
      </c>
      <c r="BA154" s="306">
        <v>3.72</v>
      </c>
      <c r="BB154" s="306">
        <v>3.73</v>
      </c>
      <c r="BC154" s="306">
        <v>3.74</v>
      </c>
      <c r="BD154" s="306">
        <v>3.75</v>
      </c>
      <c r="BE154" s="306">
        <v>3.75</v>
      </c>
      <c r="BF154" s="306">
        <v>3.76</v>
      </c>
      <c r="BG154" s="306">
        <v>3.76</v>
      </c>
      <c r="BH154" s="306">
        <v>3.76</v>
      </c>
      <c r="BI154" s="306">
        <v>3.77</v>
      </c>
      <c r="BJ154" s="306">
        <v>3.77</v>
      </c>
      <c r="BK154" s="306">
        <v>3.77</v>
      </c>
      <c r="BL154" s="306">
        <v>3.77</v>
      </c>
      <c r="BM154" s="306">
        <v>3.77</v>
      </c>
      <c r="BN154" s="306">
        <v>3.77</v>
      </c>
      <c r="BO154" s="306">
        <v>3.77</v>
      </c>
      <c r="BP154" s="306">
        <v>3.77</v>
      </c>
      <c r="BQ154" s="306">
        <v>3.77</v>
      </c>
      <c r="BR154" s="306">
        <v>0</v>
      </c>
      <c r="BS154" s="306">
        <v>0</v>
      </c>
      <c r="BT154" s="306">
        <v>0</v>
      </c>
      <c r="BU154" s="306">
        <v>0</v>
      </c>
      <c r="BV154" s="306">
        <v>0</v>
      </c>
      <c r="BW154" s="306">
        <v>0</v>
      </c>
      <c r="BX154" s="306">
        <v>0</v>
      </c>
      <c r="BY154" s="306">
        <v>0</v>
      </c>
      <c r="BZ154" s="306">
        <v>0</v>
      </c>
      <c r="CA154" s="306">
        <v>0</v>
      </c>
      <c r="CB154" s="306">
        <v>0</v>
      </c>
      <c r="CC154" s="306">
        <v>0</v>
      </c>
      <c r="CD154" s="306">
        <v>0</v>
      </c>
      <c r="CE154" s="306">
        <v>0</v>
      </c>
      <c r="CF154" s="306">
        <v>0</v>
      </c>
      <c r="CG154" s="306">
        <v>0</v>
      </c>
      <c r="CH154" s="306">
        <v>0</v>
      </c>
      <c r="CI154" s="306">
        <v>0</v>
      </c>
      <c r="CJ154" s="306">
        <v>0</v>
      </c>
      <c r="CK154" s="306">
        <v>0</v>
      </c>
      <c r="CL154" s="306">
        <v>0</v>
      </c>
      <c r="CM154" s="306">
        <v>0</v>
      </c>
      <c r="CN154" s="306">
        <v>0</v>
      </c>
      <c r="CO154" s="306">
        <v>0</v>
      </c>
      <c r="CP154" s="306">
        <v>0</v>
      </c>
      <c r="CQ154" s="306">
        <v>0</v>
      </c>
      <c r="CR154" s="306">
        <v>0</v>
      </c>
      <c r="CS154" s="306">
        <v>0</v>
      </c>
      <c r="CT154" s="306">
        <v>0</v>
      </c>
      <c r="CU154" s="306">
        <v>0</v>
      </c>
      <c r="CV154" s="306">
        <v>0</v>
      </c>
      <c r="CW154" s="306">
        <v>0</v>
      </c>
      <c r="CX154" s="306">
        <v>0</v>
      </c>
    </row>
    <row r="155" spans="3:102" x14ac:dyDescent="0.25">
      <c r="C155" s="305">
        <v>35</v>
      </c>
      <c r="D155" s="306">
        <v>1.68</v>
      </c>
      <c r="E155" s="306">
        <v>1.73</v>
      </c>
      <c r="F155" s="306">
        <v>1.8</v>
      </c>
      <c r="G155" s="306">
        <v>1.87</v>
      </c>
      <c r="H155" s="306">
        <v>1.95</v>
      </c>
      <c r="I155" s="306">
        <v>2.0299999999999998</v>
      </c>
      <c r="J155" s="306">
        <v>2.12</v>
      </c>
      <c r="K155" s="306">
        <v>2.21</v>
      </c>
      <c r="L155" s="306">
        <v>2.2999999999999998</v>
      </c>
      <c r="M155" s="306">
        <v>2.4</v>
      </c>
      <c r="N155" s="306">
        <v>2.4900000000000002</v>
      </c>
      <c r="O155" s="306">
        <v>2.58</v>
      </c>
      <c r="P155" s="306">
        <v>2.66</v>
      </c>
      <c r="Q155" s="306">
        <v>2.73</v>
      </c>
      <c r="R155" s="306">
        <v>2.8</v>
      </c>
      <c r="S155" s="306">
        <v>2.87</v>
      </c>
      <c r="T155" s="306">
        <v>2.94</v>
      </c>
      <c r="U155" s="306">
        <v>3</v>
      </c>
      <c r="V155" s="306">
        <v>3.06</v>
      </c>
      <c r="W155" s="306">
        <v>3.12</v>
      </c>
      <c r="X155" s="306">
        <v>3.18</v>
      </c>
      <c r="Y155" s="306">
        <v>3.23</v>
      </c>
      <c r="Z155" s="306">
        <v>3.28</v>
      </c>
      <c r="AA155" s="306">
        <v>3.33</v>
      </c>
      <c r="AB155" s="306">
        <v>3.37</v>
      </c>
      <c r="AC155" s="306">
        <v>3.41</v>
      </c>
      <c r="AD155" s="306">
        <v>3.45</v>
      </c>
      <c r="AE155" s="306">
        <v>3.49</v>
      </c>
      <c r="AF155" s="306">
        <v>3.52</v>
      </c>
      <c r="AG155" s="306">
        <v>3.56</v>
      </c>
      <c r="AH155" s="306">
        <v>3.59</v>
      </c>
      <c r="AI155" s="306">
        <v>3.63</v>
      </c>
      <c r="AJ155" s="306">
        <v>3.66</v>
      </c>
      <c r="AK155" s="306">
        <v>3.69</v>
      </c>
      <c r="AL155" s="306">
        <v>3.71</v>
      </c>
      <c r="AM155" s="306">
        <v>3.74</v>
      </c>
      <c r="AN155" s="306">
        <v>3.77</v>
      </c>
      <c r="AO155" s="306">
        <v>3.79</v>
      </c>
      <c r="AP155" s="306">
        <v>3.81</v>
      </c>
      <c r="AQ155" s="306">
        <v>3.84</v>
      </c>
      <c r="AR155" s="306">
        <v>3.86</v>
      </c>
      <c r="AS155" s="306">
        <v>3.88</v>
      </c>
      <c r="AT155" s="306">
        <v>3.9</v>
      </c>
      <c r="AU155" s="306">
        <v>3.92</v>
      </c>
      <c r="AV155" s="306">
        <v>3.93</v>
      </c>
      <c r="AW155" s="306">
        <v>3.95</v>
      </c>
      <c r="AX155" s="306">
        <v>3.96</v>
      </c>
      <c r="AY155" s="306">
        <v>3.98</v>
      </c>
      <c r="AZ155" s="306">
        <v>3.99</v>
      </c>
      <c r="BA155" s="306">
        <v>4</v>
      </c>
      <c r="BB155" s="306">
        <v>4.01</v>
      </c>
      <c r="BC155" s="306">
        <v>4.01</v>
      </c>
      <c r="BD155" s="306">
        <v>4.0199999999999996</v>
      </c>
      <c r="BE155" s="306">
        <v>4.03</v>
      </c>
      <c r="BF155" s="306">
        <v>4.03</v>
      </c>
      <c r="BG155" s="306">
        <v>4.03</v>
      </c>
      <c r="BH155" s="306">
        <v>4.04</v>
      </c>
      <c r="BI155" s="306">
        <v>4.04</v>
      </c>
      <c r="BJ155" s="306">
        <v>4.04</v>
      </c>
      <c r="BK155" s="306">
        <v>4.04</v>
      </c>
      <c r="BL155" s="306">
        <v>4.04</v>
      </c>
      <c r="BM155" s="306">
        <v>4.04</v>
      </c>
      <c r="BN155" s="306">
        <v>4.04</v>
      </c>
      <c r="BO155" s="306">
        <v>4.04</v>
      </c>
      <c r="BP155" s="306">
        <v>4.04</v>
      </c>
      <c r="BQ155" s="306">
        <v>0</v>
      </c>
      <c r="BR155" s="306">
        <v>0</v>
      </c>
      <c r="BS155" s="306">
        <v>0</v>
      </c>
      <c r="BT155" s="306">
        <v>0</v>
      </c>
      <c r="BU155" s="306">
        <v>0</v>
      </c>
      <c r="BV155" s="306">
        <v>0</v>
      </c>
      <c r="BW155" s="306">
        <v>0</v>
      </c>
      <c r="BX155" s="306">
        <v>0</v>
      </c>
      <c r="BY155" s="306">
        <v>0</v>
      </c>
      <c r="BZ155" s="306">
        <v>0</v>
      </c>
      <c r="CA155" s="306">
        <v>0</v>
      </c>
      <c r="CB155" s="306">
        <v>0</v>
      </c>
      <c r="CC155" s="306">
        <v>0</v>
      </c>
      <c r="CD155" s="306">
        <v>0</v>
      </c>
      <c r="CE155" s="306">
        <v>0</v>
      </c>
      <c r="CF155" s="306">
        <v>0</v>
      </c>
      <c r="CG155" s="306">
        <v>0</v>
      </c>
      <c r="CH155" s="306">
        <v>0</v>
      </c>
      <c r="CI155" s="306">
        <v>0</v>
      </c>
      <c r="CJ155" s="306">
        <v>0</v>
      </c>
      <c r="CK155" s="306">
        <v>0</v>
      </c>
      <c r="CL155" s="306">
        <v>0</v>
      </c>
      <c r="CM155" s="306">
        <v>0</v>
      </c>
      <c r="CN155" s="306">
        <v>0</v>
      </c>
      <c r="CO155" s="306">
        <v>0</v>
      </c>
      <c r="CP155" s="306">
        <v>0</v>
      </c>
      <c r="CQ155" s="306">
        <v>0</v>
      </c>
      <c r="CR155" s="306">
        <v>0</v>
      </c>
      <c r="CS155" s="306">
        <v>0</v>
      </c>
      <c r="CT155" s="306">
        <v>0</v>
      </c>
      <c r="CU155" s="306">
        <v>0</v>
      </c>
      <c r="CV155" s="306">
        <v>0</v>
      </c>
      <c r="CW155" s="306">
        <v>0</v>
      </c>
      <c r="CX155" s="306">
        <v>0</v>
      </c>
    </row>
    <row r="156" spans="3:102" x14ac:dyDescent="0.25">
      <c r="C156" s="305">
        <v>36</v>
      </c>
      <c r="D156" s="306">
        <v>1.79</v>
      </c>
      <c r="E156" s="306">
        <v>1.86</v>
      </c>
      <c r="F156" s="306">
        <v>1.94</v>
      </c>
      <c r="G156" s="306">
        <v>2.02</v>
      </c>
      <c r="H156" s="306">
        <v>2.11</v>
      </c>
      <c r="I156" s="306">
        <v>2.2000000000000002</v>
      </c>
      <c r="J156" s="306">
        <v>2.2999999999999998</v>
      </c>
      <c r="K156" s="306">
        <v>2.39</v>
      </c>
      <c r="L156" s="306">
        <v>2.4900000000000002</v>
      </c>
      <c r="M156" s="306">
        <v>2.59</v>
      </c>
      <c r="N156" s="306">
        <v>2.69</v>
      </c>
      <c r="O156" s="306">
        <v>2.78</v>
      </c>
      <c r="P156" s="306">
        <v>2.86</v>
      </c>
      <c r="Q156" s="306">
        <v>2.94</v>
      </c>
      <c r="R156" s="306">
        <v>3.02</v>
      </c>
      <c r="S156" s="306">
        <v>3.09</v>
      </c>
      <c r="T156" s="306">
        <v>3.16</v>
      </c>
      <c r="U156" s="306">
        <v>3.23</v>
      </c>
      <c r="V156" s="306">
        <v>3.29</v>
      </c>
      <c r="W156" s="306">
        <v>3.36</v>
      </c>
      <c r="X156" s="306">
        <v>3.42</v>
      </c>
      <c r="Y156" s="306">
        <v>3.47</v>
      </c>
      <c r="Z156" s="306">
        <v>3.52</v>
      </c>
      <c r="AA156" s="306">
        <v>3.57</v>
      </c>
      <c r="AB156" s="306">
        <v>3.61</v>
      </c>
      <c r="AC156" s="306">
        <v>3.66</v>
      </c>
      <c r="AD156" s="306">
        <v>3.7</v>
      </c>
      <c r="AE156" s="306">
        <v>3.74</v>
      </c>
      <c r="AF156" s="306">
        <v>3.78</v>
      </c>
      <c r="AG156" s="306">
        <v>3.82</v>
      </c>
      <c r="AH156" s="306">
        <v>3.86</v>
      </c>
      <c r="AI156" s="306">
        <v>3.89</v>
      </c>
      <c r="AJ156" s="306">
        <v>3.93</v>
      </c>
      <c r="AK156" s="306">
        <v>3.96</v>
      </c>
      <c r="AL156" s="306">
        <v>3.99</v>
      </c>
      <c r="AM156" s="306">
        <v>4.0199999999999996</v>
      </c>
      <c r="AN156" s="306">
        <v>4.05</v>
      </c>
      <c r="AO156" s="306">
        <v>4.07</v>
      </c>
      <c r="AP156" s="306">
        <v>4.0999999999999996</v>
      </c>
      <c r="AQ156" s="306">
        <v>4.12</v>
      </c>
      <c r="AR156" s="306">
        <v>4.1500000000000004</v>
      </c>
      <c r="AS156" s="306">
        <v>4.17</v>
      </c>
      <c r="AT156" s="306">
        <v>4.1900000000000004</v>
      </c>
      <c r="AU156" s="306">
        <v>4.21</v>
      </c>
      <c r="AV156" s="306">
        <v>4.2300000000000004</v>
      </c>
      <c r="AW156" s="306">
        <v>4.24</v>
      </c>
      <c r="AX156" s="306">
        <v>4.26</v>
      </c>
      <c r="AY156" s="306">
        <v>4.2699999999999996</v>
      </c>
      <c r="AZ156" s="306">
        <v>4.28</v>
      </c>
      <c r="BA156" s="306">
        <v>4.29</v>
      </c>
      <c r="BB156" s="306">
        <v>4.3</v>
      </c>
      <c r="BC156" s="306">
        <v>4.3099999999999996</v>
      </c>
      <c r="BD156" s="306">
        <v>4.3099999999999996</v>
      </c>
      <c r="BE156" s="306">
        <v>4.32</v>
      </c>
      <c r="BF156" s="306">
        <v>4.32</v>
      </c>
      <c r="BG156" s="306">
        <v>4.33</v>
      </c>
      <c r="BH156" s="306">
        <v>4.33</v>
      </c>
      <c r="BI156" s="306">
        <v>4.33</v>
      </c>
      <c r="BJ156" s="306">
        <v>4.33</v>
      </c>
      <c r="BK156" s="306">
        <v>4.33</v>
      </c>
      <c r="BL156" s="306">
        <v>4.33</v>
      </c>
      <c r="BM156" s="306">
        <v>4.33</v>
      </c>
      <c r="BN156" s="306">
        <v>4.33</v>
      </c>
      <c r="BO156" s="306">
        <v>4.33</v>
      </c>
      <c r="BP156" s="306">
        <v>0</v>
      </c>
      <c r="BQ156" s="306">
        <v>0</v>
      </c>
      <c r="BR156" s="306">
        <v>0</v>
      </c>
      <c r="BS156" s="306">
        <v>0</v>
      </c>
      <c r="BT156" s="306">
        <v>0</v>
      </c>
      <c r="BU156" s="306">
        <v>0</v>
      </c>
      <c r="BV156" s="306">
        <v>0</v>
      </c>
      <c r="BW156" s="306">
        <v>0</v>
      </c>
      <c r="BX156" s="306">
        <v>0</v>
      </c>
      <c r="BY156" s="306">
        <v>0</v>
      </c>
      <c r="BZ156" s="306">
        <v>0</v>
      </c>
      <c r="CA156" s="306">
        <v>0</v>
      </c>
      <c r="CB156" s="306">
        <v>0</v>
      </c>
      <c r="CC156" s="306">
        <v>0</v>
      </c>
      <c r="CD156" s="306">
        <v>0</v>
      </c>
      <c r="CE156" s="306">
        <v>0</v>
      </c>
      <c r="CF156" s="306">
        <v>0</v>
      </c>
      <c r="CG156" s="306">
        <v>0</v>
      </c>
      <c r="CH156" s="306">
        <v>0</v>
      </c>
      <c r="CI156" s="306">
        <v>0</v>
      </c>
      <c r="CJ156" s="306">
        <v>0</v>
      </c>
      <c r="CK156" s="306">
        <v>0</v>
      </c>
      <c r="CL156" s="306">
        <v>0</v>
      </c>
      <c r="CM156" s="306">
        <v>0</v>
      </c>
      <c r="CN156" s="306">
        <v>0</v>
      </c>
      <c r="CO156" s="306">
        <v>0</v>
      </c>
      <c r="CP156" s="306">
        <v>0</v>
      </c>
      <c r="CQ156" s="306">
        <v>0</v>
      </c>
      <c r="CR156" s="306">
        <v>0</v>
      </c>
      <c r="CS156" s="306">
        <v>0</v>
      </c>
      <c r="CT156" s="306">
        <v>0</v>
      </c>
      <c r="CU156" s="306">
        <v>0</v>
      </c>
      <c r="CV156" s="306">
        <v>0</v>
      </c>
      <c r="CW156" s="306">
        <v>0</v>
      </c>
      <c r="CX156" s="306">
        <v>0</v>
      </c>
    </row>
    <row r="157" spans="3:102" x14ac:dyDescent="0.25">
      <c r="C157" s="305">
        <v>37</v>
      </c>
      <c r="D157" s="306">
        <v>1.93</v>
      </c>
      <c r="E157" s="306">
        <v>2.0099999999999998</v>
      </c>
      <c r="F157" s="306">
        <v>2.1</v>
      </c>
      <c r="G157" s="306">
        <v>2.19</v>
      </c>
      <c r="H157" s="306">
        <v>2.29</v>
      </c>
      <c r="I157" s="306">
        <v>2.39</v>
      </c>
      <c r="J157" s="306">
        <v>2.4900000000000002</v>
      </c>
      <c r="K157" s="306">
        <v>2.59</v>
      </c>
      <c r="L157" s="306">
        <v>2.69</v>
      </c>
      <c r="M157" s="306">
        <v>2.79</v>
      </c>
      <c r="N157" s="306">
        <v>2.89</v>
      </c>
      <c r="O157" s="306">
        <v>2.99</v>
      </c>
      <c r="P157" s="306">
        <v>3.08</v>
      </c>
      <c r="Q157" s="306">
        <v>3.16</v>
      </c>
      <c r="R157" s="306">
        <v>3.24</v>
      </c>
      <c r="S157" s="306">
        <v>3.32</v>
      </c>
      <c r="T157" s="306">
        <v>3.4</v>
      </c>
      <c r="U157" s="306">
        <v>3.47</v>
      </c>
      <c r="V157" s="306">
        <v>3.54</v>
      </c>
      <c r="W157" s="306">
        <v>3.61</v>
      </c>
      <c r="X157" s="306">
        <v>3.67</v>
      </c>
      <c r="Y157" s="306">
        <v>3.73</v>
      </c>
      <c r="Z157" s="306">
        <v>3.78</v>
      </c>
      <c r="AA157" s="306">
        <v>3.83</v>
      </c>
      <c r="AB157" s="306">
        <v>3.88</v>
      </c>
      <c r="AC157" s="306">
        <v>3.92</v>
      </c>
      <c r="AD157" s="306">
        <v>3.97</v>
      </c>
      <c r="AE157" s="306">
        <v>4.0199999999999996</v>
      </c>
      <c r="AF157" s="306">
        <v>4.0599999999999996</v>
      </c>
      <c r="AG157" s="306">
        <v>4.0999999999999996</v>
      </c>
      <c r="AH157" s="306">
        <v>4.1399999999999997</v>
      </c>
      <c r="AI157" s="306">
        <v>4.18</v>
      </c>
      <c r="AJ157" s="306">
        <v>4.22</v>
      </c>
      <c r="AK157" s="306">
        <v>4.25</v>
      </c>
      <c r="AL157" s="306">
        <v>4.28</v>
      </c>
      <c r="AM157" s="306">
        <v>4.32</v>
      </c>
      <c r="AN157" s="306">
        <v>4.3499999999999996</v>
      </c>
      <c r="AO157" s="306">
        <v>4.38</v>
      </c>
      <c r="AP157" s="306">
        <v>4.4000000000000004</v>
      </c>
      <c r="AQ157" s="306">
        <v>4.43</v>
      </c>
      <c r="AR157" s="306">
        <v>4.46</v>
      </c>
      <c r="AS157" s="306">
        <v>4.4800000000000004</v>
      </c>
      <c r="AT157" s="306">
        <v>4.5</v>
      </c>
      <c r="AU157" s="306">
        <v>4.5199999999999996</v>
      </c>
      <c r="AV157" s="306">
        <v>4.54</v>
      </c>
      <c r="AW157" s="306">
        <v>4.5599999999999996</v>
      </c>
      <c r="AX157" s="306">
        <v>4.57</v>
      </c>
      <c r="AY157" s="306">
        <v>4.59</v>
      </c>
      <c r="AZ157" s="306">
        <v>4.5999999999999996</v>
      </c>
      <c r="BA157" s="306">
        <v>4.6100000000000003</v>
      </c>
      <c r="BB157" s="306">
        <v>4.62</v>
      </c>
      <c r="BC157" s="306">
        <v>4.62</v>
      </c>
      <c r="BD157" s="306">
        <v>4.63</v>
      </c>
      <c r="BE157" s="306">
        <v>4.63</v>
      </c>
      <c r="BF157" s="306">
        <v>4.6399999999999997</v>
      </c>
      <c r="BG157" s="306">
        <v>4.6399999999999997</v>
      </c>
      <c r="BH157" s="306">
        <v>4.6399999999999997</v>
      </c>
      <c r="BI157" s="306">
        <v>4.6399999999999997</v>
      </c>
      <c r="BJ157" s="306">
        <v>4.6399999999999997</v>
      </c>
      <c r="BK157" s="306">
        <v>4.6399999999999997</v>
      </c>
      <c r="BL157" s="306">
        <v>4.6399999999999997</v>
      </c>
      <c r="BM157" s="306">
        <v>4.6399999999999997</v>
      </c>
      <c r="BN157" s="306">
        <v>4.6399999999999997</v>
      </c>
      <c r="BO157" s="306">
        <v>0</v>
      </c>
      <c r="BP157" s="306">
        <v>0</v>
      </c>
      <c r="BQ157" s="306">
        <v>0</v>
      </c>
      <c r="BR157" s="306">
        <v>0</v>
      </c>
      <c r="BS157" s="306">
        <v>0</v>
      </c>
      <c r="BT157" s="306">
        <v>0</v>
      </c>
      <c r="BU157" s="306">
        <v>0</v>
      </c>
      <c r="BV157" s="306">
        <v>0</v>
      </c>
      <c r="BW157" s="306">
        <v>0</v>
      </c>
      <c r="BX157" s="306">
        <v>0</v>
      </c>
      <c r="BY157" s="306">
        <v>0</v>
      </c>
      <c r="BZ157" s="306">
        <v>0</v>
      </c>
      <c r="CA157" s="306">
        <v>0</v>
      </c>
      <c r="CB157" s="306">
        <v>0</v>
      </c>
      <c r="CC157" s="306">
        <v>0</v>
      </c>
      <c r="CD157" s="306">
        <v>0</v>
      </c>
      <c r="CE157" s="306">
        <v>0</v>
      </c>
      <c r="CF157" s="306">
        <v>0</v>
      </c>
      <c r="CG157" s="306">
        <v>0</v>
      </c>
      <c r="CH157" s="306">
        <v>0</v>
      </c>
      <c r="CI157" s="306">
        <v>0</v>
      </c>
      <c r="CJ157" s="306">
        <v>0</v>
      </c>
      <c r="CK157" s="306">
        <v>0</v>
      </c>
      <c r="CL157" s="306">
        <v>0</v>
      </c>
      <c r="CM157" s="306">
        <v>0</v>
      </c>
      <c r="CN157" s="306">
        <v>0</v>
      </c>
      <c r="CO157" s="306">
        <v>0</v>
      </c>
      <c r="CP157" s="306">
        <v>0</v>
      </c>
      <c r="CQ157" s="306">
        <v>0</v>
      </c>
      <c r="CR157" s="306">
        <v>0</v>
      </c>
      <c r="CS157" s="306">
        <v>0</v>
      </c>
      <c r="CT157" s="306">
        <v>0</v>
      </c>
      <c r="CU157" s="306">
        <v>0</v>
      </c>
      <c r="CV157" s="306">
        <v>0</v>
      </c>
      <c r="CW157" s="306">
        <v>0</v>
      </c>
      <c r="CX157" s="306">
        <v>0</v>
      </c>
    </row>
    <row r="158" spans="3:102" x14ac:dyDescent="0.25">
      <c r="C158" s="305">
        <v>38</v>
      </c>
      <c r="D158" s="306">
        <v>2.1</v>
      </c>
      <c r="E158" s="306">
        <v>2.19</v>
      </c>
      <c r="F158" s="306">
        <v>2.29</v>
      </c>
      <c r="G158" s="306">
        <v>2.39</v>
      </c>
      <c r="H158" s="306">
        <v>2.4900000000000002</v>
      </c>
      <c r="I158" s="306">
        <v>2.59</v>
      </c>
      <c r="J158" s="306">
        <v>2.7</v>
      </c>
      <c r="K158" s="306">
        <v>2.8</v>
      </c>
      <c r="L158" s="306">
        <v>2.9</v>
      </c>
      <c r="M158" s="306">
        <v>3.01</v>
      </c>
      <c r="N158" s="306">
        <v>3.12</v>
      </c>
      <c r="O158" s="306">
        <v>3.22</v>
      </c>
      <c r="P158" s="306">
        <v>3.31</v>
      </c>
      <c r="Q158" s="306">
        <v>3.4</v>
      </c>
      <c r="R158" s="306">
        <v>3.49</v>
      </c>
      <c r="S158" s="306">
        <v>3.57</v>
      </c>
      <c r="T158" s="306">
        <v>3.65</v>
      </c>
      <c r="U158" s="306">
        <v>3.73</v>
      </c>
      <c r="V158" s="306">
        <v>3.81</v>
      </c>
      <c r="W158" s="306">
        <v>3.87</v>
      </c>
      <c r="X158" s="306">
        <v>3.94</v>
      </c>
      <c r="Y158" s="306">
        <v>4</v>
      </c>
      <c r="Z158" s="306">
        <v>4.05</v>
      </c>
      <c r="AA158" s="306">
        <v>4.1100000000000003</v>
      </c>
      <c r="AB158" s="306">
        <v>4.16</v>
      </c>
      <c r="AC158" s="306">
        <v>4.21</v>
      </c>
      <c r="AD158" s="306">
        <v>4.26</v>
      </c>
      <c r="AE158" s="306">
        <v>4.3099999999999996</v>
      </c>
      <c r="AF158" s="306">
        <v>4.3600000000000003</v>
      </c>
      <c r="AG158" s="306">
        <v>4.41</v>
      </c>
      <c r="AH158" s="306">
        <v>4.45</v>
      </c>
      <c r="AI158" s="306">
        <v>4.49</v>
      </c>
      <c r="AJ158" s="306">
        <v>4.53</v>
      </c>
      <c r="AK158" s="306">
        <v>4.57</v>
      </c>
      <c r="AL158" s="306">
        <v>4.5999999999999996</v>
      </c>
      <c r="AM158" s="306">
        <v>4.6399999999999997</v>
      </c>
      <c r="AN158" s="306">
        <v>4.67</v>
      </c>
      <c r="AO158" s="306">
        <v>4.7</v>
      </c>
      <c r="AP158" s="306">
        <v>4.7300000000000004</v>
      </c>
      <c r="AQ158" s="306">
        <v>4.76</v>
      </c>
      <c r="AR158" s="306">
        <v>4.79</v>
      </c>
      <c r="AS158" s="306">
        <v>4.8099999999999996</v>
      </c>
      <c r="AT158" s="306">
        <v>4.84</v>
      </c>
      <c r="AU158" s="306">
        <v>4.8600000000000003</v>
      </c>
      <c r="AV158" s="306">
        <v>4.88</v>
      </c>
      <c r="AW158" s="306">
        <v>4.8899999999999997</v>
      </c>
      <c r="AX158" s="306">
        <v>4.91</v>
      </c>
      <c r="AY158" s="306">
        <v>4.92</v>
      </c>
      <c r="AZ158" s="306">
        <v>4.93</v>
      </c>
      <c r="BA158" s="306">
        <v>4.9400000000000004</v>
      </c>
      <c r="BB158" s="306">
        <v>4.95</v>
      </c>
      <c r="BC158" s="306">
        <v>4.96</v>
      </c>
      <c r="BD158" s="306">
        <v>4.96</v>
      </c>
      <c r="BE158" s="306">
        <v>4.97</v>
      </c>
      <c r="BF158" s="306">
        <v>4.97</v>
      </c>
      <c r="BG158" s="306">
        <v>4.97</v>
      </c>
      <c r="BH158" s="306">
        <v>4.97</v>
      </c>
      <c r="BI158" s="306">
        <v>4.97</v>
      </c>
      <c r="BJ158" s="306">
        <v>4.9800000000000004</v>
      </c>
      <c r="BK158" s="306">
        <v>4.9800000000000004</v>
      </c>
      <c r="BL158" s="306">
        <v>4.9800000000000004</v>
      </c>
      <c r="BM158" s="306">
        <v>4.9800000000000004</v>
      </c>
      <c r="BN158" s="306">
        <v>0</v>
      </c>
      <c r="BO158" s="306">
        <v>0</v>
      </c>
      <c r="BP158" s="306">
        <v>0</v>
      </c>
      <c r="BQ158" s="306">
        <v>0</v>
      </c>
      <c r="BR158" s="306">
        <v>0</v>
      </c>
      <c r="BS158" s="306">
        <v>0</v>
      </c>
      <c r="BT158" s="306">
        <v>0</v>
      </c>
      <c r="BU158" s="306">
        <v>0</v>
      </c>
      <c r="BV158" s="306">
        <v>0</v>
      </c>
      <c r="BW158" s="306">
        <v>0</v>
      </c>
      <c r="BX158" s="306">
        <v>0</v>
      </c>
      <c r="BY158" s="306">
        <v>0</v>
      </c>
      <c r="BZ158" s="306">
        <v>0</v>
      </c>
      <c r="CA158" s="306">
        <v>0</v>
      </c>
      <c r="CB158" s="306">
        <v>0</v>
      </c>
      <c r="CC158" s="306">
        <v>0</v>
      </c>
      <c r="CD158" s="306">
        <v>0</v>
      </c>
      <c r="CE158" s="306">
        <v>0</v>
      </c>
      <c r="CF158" s="306">
        <v>0</v>
      </c>
      <c r="CG158" s="306">
        <v>0</v>
      </c>
      <c r="CH158" s="306">
        <v>0</v>
      </c>
      <c r="CI158" s="306">
        <v>0</v>
      </c>
      <c r="CJ158" s="306">
        <v>0</v>
      </c>
      <c r="CK158" s="306">
        <v>0</v>
      </c>
      <c r="CL158" s="306">
        <v>0</v>
      </c>
      <c r="CM158" s="306">
        <v>0</v>
      </c>
      <c r="CN158" s="306">
        <v>0</v>
      </c>
      <c r="CO158" s="306">
        <v>0</v>
      </c>
      <c r="CP158" s="306">
        <v>0</v>
      </c>
      <c r="CQ158" s="306">
        <v>0</v>
      </c>
      <c r="CR158" s="306">
        <v>0</v>
      </c>
      <c r="CS158" s="306">
        <v>0</v>
      </c>
      <c r="CT158" s="306">
        <v>0</v>
      </c>
      <c r="CU158" s="306">
        <v>0</v>
      </c>
      <c r="CV158" s="306">
        <v>0</v>
      </c>
      <c r="CW158" s="306">
        <v>0</v>
      </c>
      <c r="CX158" s="306">
        <v>0</v>
      </c>
    </row>
    <row r="159" spans="3:102" x14ac:dyDescent="0.25">
      <c r="C159" s="305">
        <v>39</v>
      </c>
      <c r="D159" s="306">
        <v>2.29</v>
      </c>
      <c r="E159" s="306">
        <v>2.39</v>
      </c>
      <c r="F159" s="306">
        <v>2.4900000000000002</v>
      </c>
      <c r="G159" s="306">
        <v>2.6</v>
      </c>
      <c r="H159" s="306">
        <v>2.7</v>
      </c>
      <c r="I159" s="306">
        <v>2.81</v>
      </c>
      <c r="J159" s="306">
        <v>2.91</v>
      </c>
      <c r="K159" s="306">
        <v>3.02</v>
      </c>
      <c r="L159" s="306">
        <v>3.13</v>
      </c>
      <c r="M159" s="306">
        <v>3.24</v>
      </c>
      <c r="N159" s="306">
        <v>3.35</v>
      </c>
      <c r="O159" s="306">
        <v>3.46</v>
      </c>
      <c r="P159" s="306">
        <v>3.56</v>
      </c>
      <c r="Q159" s="306">
        <v>3.66</v>
      </c>
      <c r="R159" s="306">
        <v>3.75</v>
      </c>
      <c r="S159" s="306">
        <v>3.84</v>
      </c>
      <c r="T159" s="306">
        <v>3.93</v>
      </c>
      <c r="U159" s="306">
        <v>4.01</v>
      </c>
      <c r="V159" s="306">
        <v>4.08</v>
      </c>
      <c r="W159" s="306">
        <v>4.1500000000000004</v>
      </c>
      <c r="X159" s="306">
        <v>4.22</v>
      </c>
      <c r="Y159" s="306">
        <v>4.28</v>
      </c>
      <c r="Z159" s="306">
        <v>4.34</v>
      </c>
      <c r="AA159" s="306">
        <v>4.4000000000000004</v>
      </c>
      <c r="AB159" s="306">
        <v>4.46</v>
      </c>
      <c r="AC159" s="306">
        <v>4.5199999999999996</v>
      </c>
      <c r="AD159" s="306">
        <v>4.57</v>
      </c>
      <c r="AE159" s="306">
        <v>4.63</v>
      </c>
      <c r="AF159" s="306">
        <v>4.68</v>
      </c>
      <c r="AG159" s="306">
        <v>4.7300000000000004</v>
      </c>
      <c r="AH159" s="306">
        <v>4.7699999999999996</v>
      </c>
      <c r="AI159" s="306">
        <v>4.82</v>
      </c>
      <c r="AJ159" s="306">
        <v>4.8600000000000003</v>
      </c>
      <c r="AK159" s="306">
        <v>4.9000000000000004</v>
      </c>
      <c r="AL159" s="306">
        <v>4.9400000000000004</v>
      </c>
      <c r="AM159" s="306">
        <v>4.9800000000000004</v>
      </c>
      <c r="AN159" s="306">
        <v>5.0199999999999996</v>
      </c>
      <c r="AO159" s="306">
        <v>5.05</v>
      </c>
      <c r="AP159" s="306">
        <v>5.09</v>
      </c>
      <c r="AQ159" s="306">
        <v>5.12</v>
      </c>
      <c r="AR159" s="306">
        <v>5.14</v>
      </c>
      <c r="AS159" s="306">
        <v>5.17</v>
      </c>
      <c r="AT159" s="306">
        <v>5.2</v>
      </c>
      <c r="AU159" s="306">
        <v>5.22</v>
      </c>
      <c r="AV159" s="306">
        <v>5.24</v>
      </c>
      <c r="AW159" s="306">
        <v>5.25</v>
      </c>
      <c r="AX159" s="306">
        <v>5.27</v>
      </c>
      <c r="AY159" s="306">
        <v>5.28</v>
      </c>
      <c r="AZ159" s="306">
        <v>5.29</v>
      </c>
      <c r="BA159" s="306">
        <v>5.3</v>
      </c>
      <c r="BB159" s="306">
        <v>5.31</v>
      </c>
      <c r="BC159" s="306">
        <v>5.32</v>
      </c>
      <c r="BD159" s="306">
        <v>5.32</v>
      </c>
      <c r="BE159" s="306">
        <v>5.32</v>
      </c>
      <c r="BF159" s="306">
        <v>5.33</v>
      </c>
      <c r="BG159" s="306">
        <v>5.33</v>
      </c>
      <c r="BH159" s="306">
        <v>5.33</v>
      </c>
      <c r="BI159" s="306">
        <v>5.33</v>
      </c>
      <c r="BJ159" s="306">
        <v>5.33</v>
      </c>
      <c r="BK159" s="306">
        <v>5.33</v>
      </c>
      <c r="BL159" s="306">
        <v>5.33</v>
      </c>
      <c r="BM159" s="306">
        <v>0</v>
      </c>
      <c r="BN159" s="306">
        <v>0</v>
      </c>
      <c r="BO159" s="306">
        <v>0</v>
      </c>
      <c r="BP159" s="306">
        <v>0</v>
      </c>
      <c r="BQ159" s="306">
        <v>0</v>
      </c>
      <c r="BR159" s="306">
        <v>0</v>
      </c>
      <c r="BS159" s="306">
        <v>0</v>
      </c>
      <c r="BT159" s="306">
        <v>0</v>
      </c>
      <c r="BU159" s="306">
        <v>0</v>
      </c>
      <c r="BV159" s="306">
        <v>0</v>
      </c>
      <c r="BW159" s="306">
        <v>0</v>
      </c>
      <c r="BX159" s="306">
        <v>0</v>
      </c>
      <c r="BY159" s="306">
        <v>0</v>
      </c>
      <c r="BZ159" s="306">
        <v>0</v>
      </c>
      <c r="CA159" s="306">
        <v>0</v>
      </c>
      <c r="CB159" s="306">
        <v>0</v>
      </c>
      <c r="CC159" s="306">
        <v>0</v>
      </c>
      <c r="CD159" s="306">
        <v>0</v>
      </c>
      <c r="CE159" s="306">
        <v>0</v>
      </c>
      <c r="CF159" s="306">
        <v>0</v>
      </c>
      <c r="CG159" s="306">
        <v>0</v>
      </c>
      <c r="CH159" s="306">
        <v>0</v>
      </c>
      <c r="CI159" s="306">
        <v>0</v>
      </c>
      <c r="CJ159" s="306">
        <v>0</v>
      </c>
      <c r="CK159" s="306">
        <v>0</v>
      </c>
      <c r="CL159" s="306">
        <v>0</v>
      </c>
      <c r="CM159" s="306">
        <v>0</v>
      </c>
      <c r="CN159" s="306">
        <v>0</v>
      </c>
      <c r="CO159" s="306">
        <v>0</v>
      </c>
      <c r="CP159" s="306">
        <v>0</v>
      </c>
      <c r="CQ159" s="306">
        <v>0</v>
      </c>
      <c r="CR159" s="306">
        <v>0</v>
      </c>
      <c r="CS159" s="306">
        <v>0</v>
      </c>
      <c r="CT159" s="306">
        <v>0</v>
      </c>
      <c r="CU159" s="306">
        <v>0</v>
      </c>
      <c r="CV159" s="306">
        <v>0</v>
      </c>
      <c r="CW159" s="306">
        <v>0</v>
      </c>
      <c r="CX159" s="306">
        <v>0</v>
      </c>
    </row>
    <row r="160" spans="3:102" x14ac:dyDescent="0.25">
      <c r="C160" s="305">
        <v>40</v>
      </c>
      <c r="D160" s="306">
        <v>2.4900000000000002</v>
      </c>
      <c r="E160" s="306">
        <v>2.6</v>
      </c>
      <c r="F160" s="306">
        <v>2.71</v>
      </c>
      <c r="G160" s="306">
        <v>2.81</v>
      </c>
      <c r="H160" s="306">
        <v>2.92</v>
      </c>
      <c r="I160" s="306">
        <v>3.03</v>
      </c>
      <c r="J160" s="306">
        <v>3.14</v>
      </c>
      <c r="K160" s="306">
        <v>3.25</v>
      </c>
      <c r="L160" s="306">
        <v>3.36</v>
      </c>
      <c r="M160" s="306">
        <v>3.48</v>
      </c>
      <c r="N160" s="306">
        <v>3.6</v>
      </c>
      <c r="O160" s="306">
        <v>3.71</v>
      </c>
      <c r="P160" s="306">
        <v>3.82</v>
      </c>
      <c r="Q160" s="306">
        <v>3.93</v>
      </c>
      <c r="R160" s="306">
        <v>4.03</v>
      </c>
      <c r="S160" s="306">
        <v>4.12</v>
      </c>
      <c r="T160" s="306">
        <v>4.21</v>
      </c>
      <c r="U160" s="306">
        <v>4.3</v>
      </c>
      <c r="V160" s="306">
        <v>4.38</v>
      </c>
      <c r="W160" s="306">
        <v>4.45</v>
      </c>
      <c r="X160" s="306">
        <v>4.5199999999999996</v>
      </c>
      <c r="Y160" s="306">
        <v>4.59</v>
      </c>
      <c r="Z160" s="306">
        <v>4.6500000000000004</v>
      </c>
      <c r="AA160" s="306">
        <v>4.72</v>
      </c>
      <c r="AB160" s="306">
        <v>4.78</v>
      </c>
      <c r="AC160" s="306">
        <v>4.8499999999999996</v>
      </c>
      <c r="AD160" s="306">
        <v>4.91</v>
      </c>
      <c r="AE160" s="306">
        <v>4.97</v>
      </c>
      <c r="AF160" s="306">
        <v>5.0199999999999996</v>
      </c>
      <c r="AG160" s="306">
        <v>5.07</v>
      </c>
      <c r="AH160" s="306">
        <v>5.12</v>
      </c>
      <c r="AI160" s="306">
        <v>5.17</v>
      </c>
      <c r="AJ160" s="306">
        <v>5.22</v>
      </c>
      <c r="AK160" s="306">
        <v>5.26</v>
      </c>
      <c r="AL160" s="306">
        <v>5.31</v>
      </c>
      <c r="AM160" s="306">
        <v>5.35</v>
      </c>
      <c r="AN160" s="306">
        <v>5.39</v>
      </c>
      <c r="AO160" s="306">
        <v>5.43</v>
      </c>
      <c r="AP160" s="306">
        <v>5.46</v>
      </c>
      <c r="AQ160" s="306">
        <v>5.49</v>
      </c>
      <c r="AR160" s="306">
        <v>5.52</v>
      </c>
      <c r="AS160" s="306">
        <v>5.55</v>
      </c>
      <c r="AT160" s="306">
        <v>5.58</v>
      </c>
      <c r="AU160" s="306">
        <v>5.6</v>
      </c>
      <c r="AV160" s="306">
        <v>5.62</v>
      </c>
      <c r="AW160" s="306">
        <v>5.64</v>
      </c>
      <c r="AX160" s="306">
        <v>5.65</v>
      </c>
      <c r="AY160" s="306">
        <v>5.66</v>
      </c>
      <c r="AZ160" s="306">
        <v>5.68</v>
      </c>
      <c r="BA160" s="306">
        <v>5.68</v>
      </c>
      <c r="BB160" s="306">
        <v>5.69</v>
      </c>
      <c r="BC160" s="306">
        <v>5.69</v>
      </c>
      <c r="BD160" s="306">
        <v>5.7</v>
      </c>
      <c r="BE160" s="306">
        <v>5.7</v>
      </c>
      <c r="BF160" s="306">
        <v>5.7</v>
      </c>
      <c r="BG160" s="306">
        <v>5.7</v>
      </c>
      <c r="BH160" s="306">
        <v>5.71</v>
      </c>
      <c r="BI160" s="306">
        <v>5.71</v>
      </c>
      <c r="BJ160" s="306">
        <v>5.71</v>
      </c>
      <c r="BK160" s="306">
        <v>5.71</v>
      </c>
      <c r="BL160" s="306">
        <v>0</v>
      </c>
      <c r="BM160" s="306">
        <v>0</v>
      </c>
      <c r="BN160" s="306">
        <v>0</v>
      </c>
      <c r="BO160" s="306">
        <v>0</v>
      </c>
      <c r="BP160" s="306">
        <v>0</v>
      </c>
      <c r="BQ160" s="306">
        <v>0</v>
      </c>
      <c r="BR160" s="306">
        <v>0</v>
      </c>
      <c r="BS160" s="306">
        <v>0</v>
      </c>
      <c r="BT160" s="306">
        <v>0</v>
      </c>
      <c r="BU160" s="306">
        <v>0</v>
      </c>
      <c r="BV160" s="306">
        <v>0</v>
      </c>
      <c r="BW160" s="306">
        <v>0</v>
      </c>
      <c r="BX160" s="306">
        <v>0</v>
      </c>
      <c r="BY160" s="306">
        <v>0</v>
      </c>
      <c r="BZ160" s="306">
        <v>0</v>
      </c>
      <c r="CA160" s="306">
        <v>0</v>
      </c>
      <c r="CB160" s="306">
        <v>0</v>
      </c>
      <c r="CC160" s="306">
        <v>0</v>
      </c>
      <c r="CD160" s="306">
        <v>0</v>
      </c>
      <c r="CE160" s="306">
        <v>0</v>
      </c>
      <c r="CF160" s="306">
        <v>0</v>
      </c>
      <c r="CG160" s="306">
        <v>0</v>
      </c>
      <c r="CH160" s="306">
        <v>0</v>
      </c>
      <c r="CI160" s="306">
        <v>0</v>
      </c>
      <c r="CJ160" s="306">
        <v>0</v>
      </c>
      <c r="CK160" s="306">
        <v>0</v>
      </c>
      <c r="CL160" s="306">
        <v>0</v>
      </c>
      <c r="CM160" s="306">
        <v>0</v>
      </c>
      <c r="CN160" s="306">
        <v>0</v>
      </c>
      <c r="CO160" s="306">
        <v>0</v>
      </c>
      <c r="CP160" s="306">
        <v>0</v>
      </c>
      <c r="CQ160" s="306">
        <v>0</v>
      </c>
      <c r="CR160" s="306">
        <v>0</v>
      </c>
      <c r="CS160" s="306">
        <v>0</v>
      </c>
      <c r="CT160" s="306">
        <v>0</v>
      </c>
      <c r="CU160" s="306">
        <v>0</v>
      </c>
      <c r="CV160" s="306">
        <v>0</v>
      </c>
      <c r="CW160" s="306">
        <v>0</v>
      </c>
      <c r="CX160" s="306">
        <v>0</v>
      </c>
    </row>
    <row r="161" spans="3:102" x14ac:dyDescent="0.25">
      <c r="C161" s="305">
        <v>41</v>
      </c>
      <c r="D161" s="306">
        <v>2.71</v>
      </c>
      <c r="E161" s="306">
        <v>2.82</v>
      </c>
      <c r="F161" s="306">
        <v>2.93</v>
      </c>
      <c r="G161" s="306">
        <v>3.04</v>
      </c>
      <c r="H161" s="306">
        <v>3.15</v>
      </c>
      <c r="I161" s="306">
        <v>3.26</v>
      </c>
      <c r="J161" s="306">
        <v>3.37</v>
      </c>
      <c r="K161" s="306">
        <v>3.49</v>
      </c>
      <c r="L161" s="306">
        <v>3.61</v>
      </c>
      <c r="M161" s="306">
        <v>3.73</v>
      </c>
      <c r="N161" s="306">
        <v>3.86</v>
      </c>
      <c r="O161" s="306">
        <v>3.98</v>
      </c>
      <c r="P161" s="306">
        <v>4.0999999999999996</v>
      </c>
      <c r="Q161" s="306">
        <v>4.21</v>
      </c>
      <c r="R161" s="306">
        <v>4.32</v>
      </c>
      <c r="S161" s="306">
        <v>4.42</v>
      </c>
      <c r="T161" s="306">
        <v>4.51</v>
      </c>
      <c r="U161" s="306">
        <v>4.5999999999999996</v>
      </c>
      <c r="V161" s="306">
        <v>4.68</v>
      </c>
      <c r="W161" s="306">
        <v>4.76</v>
      </c>
      <c r="X161" s="306">
        <v>4.84</v>
      </c>
      <c r="Y161" s="306">
        <v>4.91</v>
      </c>
      <c r="Z161" s="306">
        <v>4.9800000000000004</v>
      </c>
      <c r="AA161" s="306">
        <v>5.0599999999999996</v>
      </c>
      <c r="AB161" s="306">
        <v>5.13</v>
      </c>
      <c r="AC161" s="306">
        <v>5.2</v>
      </c>
      <c r="AD161" s="306">
        <v>5.26</v>
      </c>
      <c r="AE161" s="306">
        <v>5.32</v>
      </c>
      <c r="AF161" s="306">
        <v>5.38</v>
      </c>
      <c r="AG161" s="306">
        <v>5.44</v>
      </c>
      <c r="AH161" s="306">
        <v>5.49</v>
      </c>
      <c r="AI161" s="306">
        <v>5.55</v>
      </c>
      <c r="AJ161" s="306">
        <v>5.6</v>
      </c>
      <c r="AK161" s="306">
        <v>5.65</v>
      </c>
      <c r="AL161" s="306">
        <v>5.7</v>
      </c>
      <c r="AM161" s="306">
        <v>5.74</v>
      </c>
      <c r="AN161" s="306">
        <v>5.79</v>
      </c>
      <c r="AO161" s="306">
        <v>5.83</v>
      </c>
      <c r="AP161" s="306">
        <v>5.86</v>
      </c>
      <c r="AQ161" s="306">
        <v>5.9</v>
      </c>
      <c r="AR161" s="306">
        <v>5.93</v>
      </c>
      <c r="AS161" s="306">
        <v>5.96</v>
      </c>
      <c r="AT161" s="306">
        <v>5.98</v>
      </c>
      <c r="AU161" s="306">
        <v>6.01</v>
      </c>
      <c r="AV161" s="306">
        <v>6.03</v>
      </c>
      <c r="AW161" s="306">
        <v>6.04</v>
      </c>
      <c r="AX161" s="306">
        <v>6.06</v>
      </c>
      <c r="AY161" s="306">
        <v>6.07</v>
      </c>
      <c r="AZ161" s="306">
        <v>6.08</v>
      </c>
      <c r="BA161" s="306">
        <v>6.09</v>
      </c>
      <c r="BB161" s="306">
        <v>6.09</v>
      </c>
      <c r="BC161" s="306">
        <v>6.1</v>
      </c>
      <c r="BD161" s="306">
        <v>6.1</v>
      </c>
      <c r="BE161" s="306">
        <v>6.1</v>
      </c>
      <c r="BF161" s="306">
        <v>6.1</v>
      </c>
      <c r="BG161" s="306">
        <v>6.11</v>
      </c>
      <c r="BH161" s="306">
        <v>6.11</v>
      </c>
      <c r="BI161" s="306">
        <v>6.11</v>
      </c>
      <c r="BJ161" s="306">
        <v>6.11</v>
      </c>
      <c r="BK161" s="306">
        <v>0</v>
      </c>
      <c r="BL161" s="306">
        <v>0</v>
      </c>
      <c r="BM161" s="306">
        <v>0</v>
      </c>
      <c r="BN161" s="306">
        <v>0</v>
      </c>
      <c r="BO161" s="306">
        <v>0</v>
      </c>
      <c r="BP161" s="306">
        <v>0</v>
      </c>
      <c r="BQ161" s="306">
        <v>0</v>
      </c>
      <c r="BR161" s="306">
        <v>0</v>
      </c>
      <c r="BS161" s="306">
        <v>0</v>
      </c>
      <c r="BT161" s="306">
        <v>0</v>
      </c>
      <c r="BU161" s="306">
        <v>0</v>
      </c>
      <c r="BV161" s="306">
        <v>0</v>
      </c>
      <c r="BW161" s="306">
        <v>0</v>
      </c>
      <c r="BX161" s="306">
        <v>0</v>
      </c>
      <c r="BY161" s="306">
        <v>0</v>
      </c>
      <c r="BZ161" s="306">
        <v>0</v>
      </c>
      <c r="CA161" s="306">
        <v>0</v>
      </c>
      <c r="CB161" s="306">
        <v>0</v>
      </c>
      <c r="CC161" s="306">
        <v>0</v>
      </c>
      <c r="CD161" s="306">
        <v>0</v>
      </c>
      <c r="CE161" s="306">
        <v>0</v>
      </c>
      <c r="CF161" s="306">
        <v>0</v>
      </c>
      <c r="CG161" s="306">
        <v>0</v>
      </c>
      <c r="CH161" s="306">
        <v>0</v>
      </c>
      <c r="CI161" s="306">
        <v>0</v>
      </c>
      <c r="CJ161" s="306">
        <v>0</v>
      </c>
      <c r="CK161" s="306">
        <v>0</v>
      </c>
      <c r="CL161" s="306">
        <v>0</v>
      </c>
      <c r="CM161" s="306">
        <v>0</v>
      </c>
      <c r="CN161" s="306">
        <v>0</v>
      </c>
      <c r="CO161" s="306">
        <v>0</v>
      </c>
      <c r="CP161" s="306">
        <v>0</v>
      </c>
      <c r="CQ161" s="306">
        <v>0</v>
      </c>
      <c r="CR161" s="306">
        <v>0</v>
      </c>
      <c r="CS161" s="306">
        <v>0</v>
      </c>
      <c r="CT161" s="306">
        <v>0</v>
      </c>
      <c r="CU161" s="306">
        <v>0</v>
      </c>
      <c r="CV161" s="306">
        <v>0</v>
      </c>
      <c r="CW161" s="306">
        <v>0</v>
      </c>
      <c r="CX161" s="306">
        <v>0</v>
      </c>
    </row>
    <row r="162" spans="3:102" x14ac:dyDescent="0.25">
      <c r="C162" s="305">
        <v>42</v>
      </c>
      <c r="D162" s="306">
        <v>2.94</v>
      </c>
      <c r="E162" s="306">
        <v>3.04</v>
      </c>
      <c r="F162" s="306">
        <v>3.15</v>
      </c>
      <c r="G162" s="306">
        <v>3.27</v>
      </c>
      <c r="H162" s="306">
        <v>3.38</v>
      </c>
      <c r="I162" s="306">
        <v>3.49</v>
      </c>
      <c r="J162" s="306">
        <v>3.61</v>
      </c>
      <c r="K162" s="306">
        <v>3.73</v>
      </c>
      <c r="L162" s="306">
        <v>3.86</v>
      </c>
      <c r="M162" s="306">
        <v>4</v>
      </c>
      <c r="N162" s="306">
        <v>4.1399999999999997</v>
      </c>
      <c r="O162" s="306">
        <v>4.2699999999999996</v>
      </c>
      <c r="P162" s="306">
        <v>4.4000000000000004</v>
      </c>
      <c r="Q162" s="306">
        <v>4.5199999999999996</v>
      </c>
      <c r="R162" s="306">
        <v>4.63</v>
      </c>
      <c r="S162" s="306">
        <v>4.7300000000000004</v>
      </c>
      <c r="T162" s="306">
        <v>4.83</v>
      </c>
      <c r="U162" s="306">
        <v>4.92</v>
      </c>
      <c r="V162" s="306">
        <v>5.01</v>
      </c>
      <c r="W162" s="306">
        <v>5.09</v>
      </c>
      <c r="X162" s="306">
        <v>5.17</v>
      </c>
      <c r="Y162" s="306">
        <v>5.26</v>
      </c>
      <c r="Z162" s="306">
        <v>5.34</v>
      </c>
      <c r="AA162" s="306">
        <v>5.42</v>
      </c>
      <c r="AB162" s="306">
        <v>5.49</v>
      </c>
      <c r="AC162" s="306">
        <v>5.57</v>
      </c>
      <c r="AD162" s="306">
        <v>5.64</v>
      </c>
      <c r="AE162" s="306">
        <v>5.71</v>
      </c>
      <c r="AF162" s="306">
        <v>5.77</v>
      </c>
      <c r="AG162" s="306">
        <v>5.83</v>
      </c>
      <c r="AH162" s="306">
        <v>5.89</v>
      </c>
      <c r="AI162" s="306">
        <v>5.95</v>
      </c>
      <c r="AJ162" s="306">
        <v>6.01</v>
      </c>
      <c r="AK162" s="306">
        <v>6.06</v>
      </c>
      <c r="AL162" s="306">
        <v>6.12</v>
      </c>
      <c r="AM162" s="306">
        <v>6.16</v>
      </c>
      <c r="AN162" s="306">
        <v>6.21</v>
      </c>
      <c r="AO162" s="306">
        <v>6.25</v>
      </c>
      <c r="AP162" s="306">
        <v>6.29</v>
      </c>
      <c r="AQ162" s="306">
        <v>6.33</v>
      </c>
      <c r="AR162" s="306">
        <v>6.36</v>
      </c>
      <c r="AS162" s="306">
        <v>6.39</v>
      </c>
      <c r="AT162" s="306">
        <v>6.42</v>
      </c>
      <c r="AU162" s="306">
        <v>6.44</v>
      </c>
      <c r="AV162" s="306">
        <v>6.46</v>
      </c>
      <c r="AW162" s="306">
        <v>6.48</v>
      </c>
      <c r="AX162" s="306">
        <v>6.49</v>
      </c>
      <c r="AY162" s="306">
        <v>6.5</v>
      </c>
      <c r="AZ162" s="306">
        <v>6.51</v>
      </c>
      <c r="BA162" s="306">
        <v>6.52</v>
      </c>
      <c r="BB162" s="306">
        <v>6.52</v>
      </c>
      <c r="BC162" s="306">
        <v>6.53</v>
      </c>
      <c r="BD162" s="306">
        <v>6.53</v>
      </c>
      <c r="BE162" s="306">
        <v>6.53</v>
      </c>
      <c r="BF162" s="306">
        <v>6.53</v>
      </c>
      <c r="BG162" s="306">
        <v>6.53</v>
      </c>
      <c r="BH162" s="306">
        <v>6.53</v>
      </c>
      <c r="BI162" s="306">
        <v>6.53</v>
      </c>
      <c r="BJ162" s="306">
        <v>0</v>
      </c>
      <c r="BK162" s="306">
        <v>0</v>
      </c>
      <c r="BL162" s="306">
        <v>0</v>
      </c>
      <c r="BM162" s="306">
        <v>0</v>
      </c>
      <c r="BN162" s="306">
        <v>0</v>
      </c>
      <c r="BO162" s="306">
        <v>0</v>
      </c>
      <c r="BP162" s="306">
        <v>0</v>
      </c>
      <c r="BQ162" s="306">
        <v>0</v>
      </c>
      <c r="BR162" s="306">
        <v>0</v>
      </c>
      <c r="BS162" s="306">
        <v>0</v>
      </c>
      <c r="BT162" s="306">
        <v>0</v>
      </c>
      <c r="BU162" s="306">
        <v>0</v>
      </c>
      <c r="BV162" s="306">
        <v>0</v>
      </c>
      <c r="BW162" s="306">
        <v>0</v>
      </c>
      <c r="BX162" s="306">
        <v>0</v>
      </c>
      <c r="BY162" s="306">
        <v>0</v>
      </c>
      <c r="BZ162" s="306">
        <v>0</v>
      </c>
      <c r="CA162" s="306">
        <v>0</v>
      </c>
      <c r="CB162" s="306">
        <v>0</v>
      </c>
      <c r="CC162" s="306">
        <v>0</v>
      </c>
      <c r="CD162" s="306">
        <v>0</v>
      </c>
      <c r="CE162" s="306">
        <v>0</v>
      </c>
      <c r="CF162" s="306">
        <v>0</v>
      </c>
      <c r="CG162" s="306">
        <v>0</v>
      </c>
      <c r="CH162" s="306">
        <v>0</v>
      </c>
      <c r="CI162" s="306">
        <v>0</v>
      </c>
      <c r="CJ162" s="306">
        <v>0</v>
      </c>
      <c r="CK162" s="306">
        <v>0</v>
      </c>
      <c r="CL162" s="306">
        <v>0</v>
      </c>
      <c r="CM162" s="306">
        <v>0</v>
      </c>
      <c r="CN162" s="306">
        <v>0</v>
      </c>
      <c r="CO162" s="306">
        <v>0</v>
      </c>
      <c r="CP162" s="306">
        <v>0</v>
      </c>
      <c r="CQ162" s="306">
        <v>0</v>
      </c>
      <c r="CR162" s="306">
        <v>0</v>
      </c>
      <c r="CS162" s="306">
        <v>0</v>
      </c>
      <c r="CT162" s="306">
        <v>0</v>
      </c>
      <c r="CU162" s="306">
        <v>0</v>
      </c>
      <c r="CV162" s="306">
        <v>0</v>
      </c>
      <c r="CW162" s="306">
        <v>0</v>
      </c>
      <c r="CX162" s="306">
        <v>0</v>
      </c>
    </row>
    <row r="163" spans="3:102" x14ac:dyDescent="0.25">
      <c r="C163" s="305">
        <v>43</v>
      </c>
      <c r="D163" s="306">
        <v>3.15</v>
      </c>
      <c r="E163" s="306">
        <v>3.27</v>
      </c>
      <c r="F163" s="306">
        <v>3.38</v>
      </c>
      <c r="G163" s="306">
        <v>3.5</v>
      </c>
      <c r="H163" s="306">
        <v>3.62</v>
      </c>
      <c r="I163" s="306">
        <v>3.74</v>
      </c>
      <c r="J163" s="306">
        <v>3.86</v>
      </c>
      <c r="K163" s="306">
        <v>4</v>
      </c>
      <c r="L163" s="306">
        <v>4.13</v>
      </c>
      <c r="M163" s="306">
        <v>4.28</v>
      </c>
      <c r="N163" s="306">
        <v>4.43</v>
      </c>
      <c r="O163" s="306">
        <v>4.58</v>
      </c>
      <c r="P163" s="306">
        <v>4.71</v>
      </c>
      <c r="Q163" s="306">
        <v>4.84</v>
      </c>
      <c r="R163" s="306">
        <v>4.95</v>
      </c>
      <c r="S163" s="306">
        <v>5.0599999999999996</v>
      </c>
      <c r="T163" s="306">
        <v>5.16</v>
      </c>
      <c r="U163" s="306">
        <v>5.26</v>
      </c>
      <c r="V163" s="306">
        <v>5.35</v>
      </c>
      <c r="W163" s="306">
        <v>5.44</v>
      </c>
      <c r="X163" s="306">
        <v>5.53</v>
      </c>
      <c r="Y163" s="306">
        <v>5.63</v>
      </c>
      <c r="Z163" s="306">
        <v>5.72</v>
      </c>
      <c r="AA163" s="306">
        <v>5.8</v>
      </c>
      <c r="AB163" s="306">
        <v>5.89</v>
      </c>
      <c r="AC163" s="306">
        <v>5.97</v>
      </c>
      <c r="AD163" s="306">
        <v>6.04</v>
      </c>
      <c r="AE163" s="306">
        <v>6.12</v>
      </c>
      <c r="AF163" s="306">
        <v>6.19</v>
      </c>
      <c r="AG163" s="306">
        <v>6.25</v>
      </c>
      <c r="AH163" s="306">
        <v>6.32</v>
      </c>
      <c r="AI163" s="306">
        <v>6.39</v>
      </c>
      <c r="AJ163" s="306">
        <v>6.45</v>
      </c>
      <c r="AK163" s="306">
        <v>6.51</v>
      </c>
      <c r="AL163" s="306">
        <v>6.57</v>
      </c>
      <c r="AM163" s="306">
        <v>6.62</v>
      </c>
      <c r="AN163" s="306">
        <v>6.67</v>
      </c>
      <c r="AO163" s="306">
        <v>6.71</v>
      </c>
      <c r="AP163" s="306">
        <v>6.75</v>
      </c>
      <c r="AQ163" s="306">
        <v>6.79</v>
      </c>
      <c r="AR163" s="306">
        <v>6.83</v>
      </c>
      <c r="AS163" s="306">
        <v>6.86</v>
      </c>
      <c r="AT163" s="306">
        <v>6.88</v>
      </c>
      <c r="AU163" s="306">
        <v>6.9</v>
      </c>
      <c r="AV163" s="306">
        <v>6.92</v>
      </c>
      <c r="AW163" s="306">
        <v>6.94</v>
      </c>
      <c r="AX163" s="306">
        <v>6.95</v>
      </c>
      <c r="AY163" s="306">
        <v>6.96</v>
      </c>
      <c r="AZ163" s="306">
        <v>6.97</v>
      </c>
      <c r="BA163" s="306">
        <v>6.98</v>
      </c>
      <c r="BB163" s="306">
        <v>6.98</v>
      </c>
      <c r="BC163" s="306">
        <v>6.98</v>
      </c>
      <c r="BD163" s="306">
        <v>6.98</v>
      </c>
      <c r="BE163" s="306">
        <v>6.99</v>
      </c>
      <c r="BF163" s="306">
        <v>6.99</v>
      </c>
      <c r="BG163" s="306">
        <v>6.99</v>
      </c>
      <c r="BH163" s="306">
        <v>6.99</v>
      </c>
      <c r="BI163" s="306">
        <v>0</v>
      </c>
      <c r="BJ163" s="306">
        <v>0</v>
      </c>
      <c r="BK163" s="306">
        <v>0</v>
      </c>
      <c r="BL163" s="306">
        <v>0</v>
      </c>
      <c r="BM163" s="306">
        <v>0</v>
      </c>
      <c r="BN163" s="306">
        <v>0</v>
      </c>
      <c r="BO163" s="306">
        <v>0</v>
      </c>
      <c r="BP163" s="306">
        <v>0</v>
      </c>
      <c r="BQ163" s="306">
        <v>0</v>
      </c>
      <c r="BR163" s="306">
        <v>0</v>
      </c>
      <c r="BS163" s="306">
        <v>0</v>
      </c>
      <c r="BT163" s="306">
        <v>0</v>
      </c>
      <c r="BU163" s="306">
        <v>0</v>
      </c>
      <c r="BV163" s="306">
        <v>0</v>
      </c>
      <c r="BW163" s="306">
        <v>0</v>
      </c>
      <c r="BX163" s="306">
        <v>0</v>
      </c>
      <c r="BY163" s="306">
        <v>0</v>
      </c>
      <c r="BZ163" s="306">
        <v>0</v>
      </c>
      <c r="CA163" s="306">
        <v>0</v>
      </c>
      <c r="CB163" s="306">
        <v>0</v>
      </c>
      <c r="CC163" s="306">
        <v>0</v>
      </c>
      <c r="CD163" s="306">
        <v>0</v>
      </c>
      <c r="CE163" s="306">
        <v>0</v>
      </c>
      <c r="CF163" s="306">
        <v>0</v>
      </c>
      <c r="CG163" s="306">
        <v>0</v>
      </c>
      <c r="CH163" s="306">
        <v>0</v>
      </c>
      <c r="CI163" s="306">
        <v>0</v>
      </c>
      <c r="CJ163" s="306">
        <v>0</v>
      </c>
      <c r="CK163" s="306">
        <v>0</v>
      </c>
      <c r="CL163" s="306">
        <v>0</v>
      </c>
      <c r="CM163" s="306">
        <v>0</v>
      </c>
      <c r="CN163" s="306">
        <v>0</v>
      </c>
      <c r="CO163" s="306">
        <v>0</v>
      </c>
      <c r="CP163" s="306">
        <v>0</v>
      </c>
      <c r="CQ163" s="306">
        <v>0</v>
      </c>
      <c r="CR163" s="306">
        <v>0</v>
      </c>
      <c r="CS163" s="306">
        <v>0</v>
      </c>
      <c r="CT163" s="306">
        <v>0</v>
      </c>
      <c r="CU163" s="306">
        <v>0</v>
      </c>
      <c r="CV163" s="306">
        <v>0</v>
      </c>
      <c r="CW163" s="306">
        <v>0</v>
      </c>
      <c r="CX163" s="306">
        <v>0</v>
      </c>
    </row>
    <row r="164" spans="3:102" x14ac:dyDescent="0.25">
      <c r="C164" s="305">
        <v>44</v>
      </c>
      <c r="D164" s="306">
        <v>3.39</v>
      </c>
      <c r="E164" s="306">
        <v>3.51</v>
      </c>
      <c r="F164" s="306">
        <v>3.62</v>
      </c>
      <c r="G164" s="306">
        <v>3.74</v>
      </c>
      <c r="H164" s="306">
        <v>3.87</v>
      </c>
      <c r="I164" s="306">
        <v>4</v>
      </c>
      <c r="J164" s="306">
        <v>4.13</v>
      </c>
      <c r="K164" s="306">
        <v>4.28</v>
      </c>
      <c r="L164" s="306">
        <v>4.43</v>
      </c>
      <c r="M164" s="306">
        <v>4.58</v>
      </c>
      <c r="N164" s="306">
        <v>4.75</v>
      </c>
      <c r="O164" s="306">
        <v>4.9000000000000004</v>
      </c>
      <c r="P164" s="306">
        <v>5.04</v>
      </c>
      <c r="Q164" s="306">
        <v>5.17</v>
      </c>
      <c r="R164" s="306">
        <v>5.29</v>
      </c>
      <c r="S164" s="306">
        <v>5.41</v>
      </c>
      <c r="T164" s="306">
        <v>5.51</v>
      </c>
      <c r="U164" s="306">
        <v>5.62</v>
      </c>
      <c r="V164" s="306">
        <v>5.72</v>
      </c>
      <c r="W164" s="306">
        <v>5.82</v>
      </c>
      <c r="X164" s="306">
        <v>5.92</v>
      </c>
      <c r="Y164" s="306">
        <v>6.03</v>
      </c>
      <c r="Z164" s="306">
        <v>6.13</v>
      </c>
      <c r="AA164" s="306">
        <v>6.22</v>
      </c>
      <c r="AB164" s="306">
        <v>6.31</v>
      </c>
      <c r="AC164" s="306">
        <v>6.4</v>
      </c>
      <c r="AD164" s="306">
        <v>6.48</v>
      </c>
      <c r="AE164" s="306">
        <v>6.56</v>
      </c>
      <c r="AF164" s="306">
        <v>6.63</v>
      </c>
      <c r="AG164" s="306">
        <v>6.71</v>
      </c>
      <c r="AH164" s="306">
        <v>6.78</v>
      </c>
      <c r="AI164" s="306">
        <v>6.86</v>
      </c>
      <c r="AJ164" s="306">
        <v>6.92</v>
      </c>
      <c r="AK164" s="306">
        <v>6.99</v>
      </c>
      <c r="AL164" s="306">
        <v>7.05</v>
      </c>
      <c r="AM164" s="306">
        <v>7.11</v>
      </c>
      <c r="AN164" s="306">
        <v>7.16</v>
      </c>
      <c r="AO164" s="306">
        <v>7.2</v>
      </c>
      <c r="AP164" s="306">
        <v>7.25</v>
      </c>
      <c r="AQ164" s="306">
        <v>7.29</v>
      </c>
      <c r="AR164" s="306">
        <v>7.32</v>
      </c>
      <c r="AS164" s="306">
        <v>7.35</v>
      </c>
      <c r="AT164" s="306">
        <v>7.38</v>
      </c>
      <c r="AU164" s="306">
        <v>7.4</v>
      </c>
      <c r="AV164" s="306">
        <v>7.42</v>
      </c>
      <c r="AW164" s="306">
        <v>7.43</v>
      </c>
      <c r="AX164" s="306">
        <v>7.44</v>
      </c>
      <c r="AY164" s="306">
        <v>7.45</v>
      </c>
      <c r="AZ164" s="306">
        <v>7.46</v>
      </c>
      <c r="BA164" s="306">
        <v>7.46</v>
      </c>
      <c r="BB164" s="306">
        <v>7.47</v>
      </c>
      <c r="BC164" s="306">
        <v>7.47</v>
      </c>
      <c r="BD164" s="306">
        <v>7.47</v>
      </c>
      <c r="BE164" s="306">
        <v>7.47</v>
      </c>
      <c r="BF164" s="306">
        <v>7.47</v>
      </c>
      <c r="BG164" s="306">
        <v>7.47</v>
      </c>
      <c r="BH164" s="306">
        <v>0</v>
      </c>
      <c r="BI164" s="306">
        <v>0</v>
      </c>
      <c r="BJ164" s="306">
        <v>0</v>
      </c>
      <c r="BK164" s="306">
        <v>0</v>
      </c>
      <c r="BL164" s="306">
        <v>0</v>
      </c>
      <c r="BM164" s="306">
        <v>0</v>
      </c>
      <c r="BN164" s="306">
        <v>0</v>
      </c>
      <c r="BO164" s="306">
        <v>0</v>
      </c>
      <c r="BP164" s="306">
        <v>0</v>
      </c>
      <c r="BQ164" s="306">
        <v>0</v>
      </c>
      <c r="BR164" s="306">
        <v>0</v>
      </c>
      <c r="BS164" s="306">
        <v>0</v>
      </c>
      <c r="BT164" s="306">
        <v>0</v>
      </c>
      <c r="BU164" s="306">
        <v>0</v>
      </c>
      <c r="BV164" s="306">
        <v>0</v>
      </c>
      <c r="BW164" s="306">
        <v>0</v>
      </c>
      <c r="BX164" s="306">
        <v>0</v>
      </c>
      <c r="BY164" s="306">
        <v>0</v>
      </c>
      <c r="BZ164" s="306">
        <v>0</v>
      </c>
      <c r="CA164" s="306">
        <v>0</v>
      </c>
      <c r="CB164" s="306">
        <v>0</v>
      </c>
      <c r="CC164" s="306">
        <v>0</v>
      </c>
      <c r="CD164" s="306">
        <v>0</v>
      </c>
      <c r="CE164" s="306">
        <v>0</v>
      </c>
      <c r="CF164" s="306">
        <v>0</v>
      </c>
      <c r="CG164" s="306">
        <v>0</v>
      </c>
      <c r="CH164" s="306">
        <v>0</v>
      </c>
      <c r="CI164" s="306">
        <v>0</v>
      </c>
      <c r="CJ164" s="306">
        <v>0</v>
      </c>
      <c r="CK164" s="306">
        <v>0</v>
      </c>
      <c r="CL164" s="306">
        <v>0</v>
      </c>
      <c r="CM164" s="306">
        <v>0</v>
      </c>
      <c r="CN164" s="306">
        <v>0</v>
      </c>
      <c r="CO164" s="306">
        <v>0</v>
      </c>
      <c r="CP164" s="306">
        <v>0</v>
      </c>
      <c r="CQ164" s="306">
        <v>0</v>
      </c>
      <c r="CR164" s="306">
        <v>0</v>
      </c>
      <c r="CS164" s="306">
        <v>0</v>
      </c>
      <c r="CT164" s="306">
        <v>0</v>
      </c>
      <c r="CU164" s="306">
        <v>0</v>
      </c>
      <c r="CV164" s="306">
        <v>0</v>
      </c>
      <c r="CW164" s="306">
        <v>0</v>
      </c>
      <c r="CX164" s="306">
        <v>0</v>
      </c>
    </row>
    <row r="165" spans="3:102" x14ac:dyDescent="0.25">
      <c r="C165" s="305">
        <v>45</v>
      </c>
      <c r="D165" s="306">
        <v>3.63</v>
      </c>
      <c r="E165" s="306">
        <v>3.74</v>
      </c>
      <c r="F165" s="306">
        <v>3.87</v>
      </c>
      <c r="G165" s="306">
        <v>4</v>
      </c>
      <c r="H165" s="306">
        <v>4.13</v>
      </c>
      <c r="I165" s="306">
        <v>4.2699999999999996</v>
      </c>
      <c r="J165" s="306">
        <v>4.42</v>
      </c>
      <c r="K165" s="306">
        <v>4.58</v>
      </c>
      <c r="L165" s="306">
        <v>4.74</v>
      </c>
      <c r="M165" s="306">
        <v>4.91</v>
      </c>
      <c r="N165" s="306">
        <v>5.09</v>
      </c>
      <c r="O165" s="306">
        <v>5.25</v>
      </c>
      <c r="P165" s="306">
        <v>5.39</v>
      </c>
      <c r="Q165" s="306">
        <v>5.53</v>
      </c>
      <c r="R165" s="306">
        <v>5.65</v>
      </c>
      <c r="S165" s="306">
        <v>5.77</v>
      </c>
      <c r="T165" s="306">
        <v>5.89</v>
      </c>
      <c r="U165" s="306">
        <v>6</v>
      </c>
      <c r="V165" s="306">
        <v>6.12</v>
      </c>
      <c r="W165" s="306">
        <v>6.23</v>
      </c>
      <c r="X165" s="306">
        <v>6.35</v>
      </c>
      <c r="Y165" s="306">
        <v>6.46</v>
      </c>
      <c r="Z165" s="306">
        <v>6.56</v>
      </c>
      <c r="AA165" s="306">
        <v>6.67</v>
      </c>
      <c r="AB165" s="306">
        <v>6.76</v>
      </c>
      <c r="AC165" s="306">
        <v>6.86</v>
      </c>
      <c r="AD165" s="306">
        <v>6.95</v>
      </c>
      <c r="AE165" s="306">
        <v>7.03</v>
      </c>
      <c r="AF165" s="306">
        <v>7.12</v>
      </c>
      <c r="AG165" s="306">
        <v>7.2</v>
      </c>
      <c r="AH165" s="306">
        <v>7.29</v>
      </c>
      <c r="AI165" s="306">
        <v>7.36</v>
      </c>
      <c r="AJ165" s="306">
        <v>7.44</v>
      </c>
      <c r="AK165" s="306">
        <v>7.51</v>
      </c>
      <c r="AL165" s="306">
        <v>7.57</v>
      </c>
      <c r="AM165" s="306">
        <v>7.63</v>
      </c>
      <c r="AN165" s="306">
        <v>7.68</v>
      </c>
      <c r="AO165" s="306">
        <v>7.73</v>
      </c>
      <c r="AP165" s="306">
        <v>7.78</v>
      </c>
      <c r="AQ165" s="306">
        <v>7.82</v>
      </c>
      <c r="AR165" s="306">
        <v>7.85</v>
      </c>
      <c r="AS165" s="306">
        <v>7.88</v>
      </c>
      <c r="AT165" s="306">
        <v>7.91</v>
      </c>
      <c r="AU165" s="306">
        <v>7.93</v>
      </c>
      <c r="AV165" s="306">
        <v>7.95</v>
      </c>
      <c r="AW165" s="306">
        <v>7.96</v>
      </c>
      <c r="AX165" s="306">
        <v>7.97</v>
      </c>
      <c r="AY165" s="306">
        <v>7.98</v>
      </c>
      <c r="AZ165" s="306">
        <v>7.98</v>
      </c>
      <c r="BA165" s="306">
        <v>7.99</v>
      </c>
      <c r="BB165" s="306">
        <v>7.99</v>
      </c>
      <c r="BC165" s="306">
        <v>7.99</v>
      </c>
      <c r="BD165" s="306">
        <v>7.99</v>
      </c>
      <c r="BE165" s="306">
        <v>7.99</v>
      </c>
      <c r="BF165" s="306">
        <v>7.99</v>
      </c>
      <c r="BG165" s="306">
        <v>0</v>
      </c>
      <c r="BH165" s="306">
        <v>0</v>
      </c>
      <c r="BI165" s="306">
        <v>0</v>
      </c>
      <c r="BJ165" s="306">
        <v>0</v>
      </c>
      <c r="BK165" s="306">
        <v>0</v>
      </c>
      <c r="BL165" s="306">
        <v>0</v>
      </c>
      <c r="BM165" s="306">
        <v>0</v>
      </c>
      <c r="BN165" s="306">
        <v>0</v>
      </c>
      <c r="BO165" s="306">
        <v>0</v>
      </c>
      <c r="BP165" s="306">
        <v>0</v>
      </c>
      <c r="BQ165" s="306">
        <v>0</v>
      </c>
      <c r="BR165" s="306">
        <v>0</v>
      </c>
      <c r="BS165" s="306">
        <v>0</v>
      </c>
      <c r="BT165" s="306">
        <v>0</v>
      </c>
      <c r="BU165" s="306">
        <v>0</v>
      </c>
      <c r="BV165" s="306">
        <v>0</v>
      </c>
      <c r="BW165" s="306">
        <v>0</v>
      </c>
      <c r="BX165" s="306">
        <v>0</v>
      </c>
      <c r="BY165" s="306">
        <v>0</v>
      </c>
      <c r="BZ165" s="306">
        <v>0</v>
      </c>
      <c r="CA165" s="306">
        <v>0</v>
      </c>
      <c r="CB165" s="306">
        <v>0</v>
      </c>
      <c r="CC165" s="306">
        <v>0</v>
      </c>
      <c r="CD165" s="306">
        <v>0</v>
      </c>
      <c r="CE165" s="306">
        <v>0</v>
      </c>
      <c r="CF165" s="306">
        <v>0</v>
      </c>
      <c r="CG165" s="306">
        <v>0</v>
      </c>
      <c r="CH165" s="306">
        <v>0</v>
      </c>
      <c r="CI165" s="306">
        <v>0</v>
      </c>
      <c r="CJ165" s="306">
        <v>0</v>
      </c>
      <c r="CK165" s="306">
        <v>0</v>
      </c>
      <c r="CL165" s="306">
        <v>0</v>
      </c>
      <c r="CM165" s="306">
        <v>0</v>
      </c>
      <c r="CN165" s="306">
        <v>0</v>
      </c>
      <c r="CO165" s="306">
        <v>0</v>
      </c>
      <c r="CP165" s="306">
        <v>0</v>
      </c>
      <c r="CQ165" s="306">
        <v>0</v>
      </c>
      <c r="CR165" s="306">
        <v>0</v>
      </c>
      <c r="CS165" s="306">
        <v>0</v>
      </c>
      <c r="CT165" s="306">
        <v>0</v>
      </c>
      <c r="CU165" s="306">
        <v>0</v>
      </c>
      <c r="CV165" s="306">
        <v>0</v>
      </c>
      <c r="CW165" s="306">
        <v>0</v>
      </c>
      <c r="CX165" s="306">
        <v>0</v>
      </c>
    </row>
    <row r="166" spans="3:102" x14ac:dyDescent="0.25">
      <c r="C166" s="305">
        <v>46</v>
      </c>
      <c r="D166" s="306">
        <v>3.86</v>
      </c>
      <c r="E166" s="306">
        <v>3.99</v>
      </c>
      <c r="F166" s="306">
        <v>4.13</v>
      </c>
      <c r="G166" s="306">
        <v>4.2699999999999996</v>
      </c>
      <c r="H166" s="306">
        <v>4.42</v>
      </c>
      <c r="I166" s="306">
        <v>4.57</v>
      </c>
      <c r="J166" s="306">
        <v>4.7300000000000004</v>
      </c>
      <c r="K166" s="306">
        <v>4.9000000000000004</v>
      </c>
      <c r="L166" s="306">
        <v>5.08</v>
      </c>
      <c r="M166" s="306">
        <v>5.26</v>
      </c>
      <c r="N166" s="306">
        <v>5.45</v>
      </c>
      <c r="O166" s="306">
        <v>5.61</v>
      </c>
      <c r="P166" s="306">
        <v>5.76</v>
      </c>
      <c r="Q166" s="306">
        <v>5.9</v>
      </c>
      <c r="R166" s="306">
        <v>6.03</v>
      </c>
      <c r="S166" s="306">
        <v>6.16</v>
      </c>
      <c r="T166" s="306">
        <v>6.29</v>
      </c>
      <c r="U166" s="306">
        <v>6.42</v>
      </c>
      <c r="V166" s="306">
        <v>6.55</v>
      </c>
      <c r="W166" s="306">
        <v>6.68</v>
      </c>
      <c r="X166" s="306">
        <v>6.8</v>
      </c>
      <c r="Y166" s="306">
        <v>6.92</v>
      </c>
      <c r="Z166" s="306">
        <v>7.04</v>
      </c>
      <c r="AA166" s="306">
        <v>7.15</v>
      </c>
      <c r="AB166" s="306">
        <v>7.25</v>
      </c>
      <c r="AC166" s="306">
        <v>7.35</v>
      </c>
      <c r="AD166" s="306">
        <v>7.45</v>
      </c>
      <c r="AE166" s="306">
        <v>7.55</v>
      </c>
      <c r="AF166" s="306">
        <v>7.65</v>
      </c>
      <c r="AG166" s="306">
        <v>7.74</v>
      </c>
      <c r="AH166" s="306">
        <v>7.83</v>
      </c>
      <c r="AI166" s="306">
        <v>7.91</v>
      </c>
      <c r="AJ166" s="306">
        <v>7.99</v>
      </c>
      <c r="AK166" s="306">
        <v>8.07</v>
      </c>
      <c r="AL166" s="306">
        <v>8.1300000000000008</v>
      </c>
      <c r="AM166" s="306">
        <v>8.1999999999999993</v>
      </c>
      <c r="AN166" s="306">
        <v>8.25</v>
      </c>
      <c r="AO166" s="306">
        <v>8.3000000000000007</v>
      </c>
      <c r="AP166" s="306">
        <v>8.35</v>
      </c>
      <c r="AQ166" s="306">
        <v>8.39</v>
      </c>
      <c r="AR166" s="306">
        <v>8.42</v>
      </c>
      <c r="AS166" s="306">
        <v>8.4499999999999993</v>
      </c>
      <c r="AT166" s="306">
        <v>8.48</v>
      </c>
      <c r="AU166" s="306">
        <v>8.5</v>
      </c>
      <c r="AV166" s="306">
        <v>8.51</v>
      </c>
      <c r="AW166" s="306">
        <v>8.52</v>
      </c>
      <c r="AX166" s="306">
        <v>8.5299999999999994</v>
      </c>
      <c r="AY166" s="306">
        <v>8.5399999999999991</v>
      </c>
      <c r="AZ166" s="306">
        <v>8.5399999999999991</v>
      </c>
      <c r="BA166" s="306">
        <v>8.5500000000000007</v>
      </c>
      <c r="BB166" s="306">
        <v>8.5500000000000007</v>
      </c>
      <c r="BC166" s="306">
        <v>8.5500000000000007</v>
      </c>
      <c r="BD166" s="306">
        <v>8.5500000000000007</v>
      </c>
      <c r="BE166" s="306">
        <v>8.5500000000000007</v>
      </c>
      <c r="BF166" s="306">
        <v>0</v>
      </c>
      <c r="BG166" s="306">
        <v>0</v>
      </c>
      <c r="BH166" s="306">
        <v>0</v>
      </c>
      <c r="BI166" s="306">
        <v>0</v>
      </c>
      <c r="BJ166" s="306">
        <v>0</v>
      </c>
      <c r="BK166" s="306">
        <v>0</v>
      </c>
      <c r="BL166" s="306">
        <v>0</v>
      </c>
      <c r="BM166" s="306">
        <v>0</v>
      </c>
      <c r="BN166" s="306">
        <v>0</v>
      </c>
      <c r="BO166" s="306">
        <v>0</v>
      </c>
      <c r="BP166" s="306">
        <v>0</v>
      </c>
      <c r="BQ166" s="306">
        <v>0</v>
      </c>
      <c r="BR166" s="306">
        <v>0</v>
      </c>
      <c r="BS166" s="306">
        <v>0</v>
      </c>
      <c r="BT166" s="306">
        <v>0</v>
      </c>
      <c r="BU166" s="306">
        <v>0</v>
      </c>
      <c r="BV166" s="306">
        <v>0</v>
      </c>
      <c r="BW166" s="306">
        <v>0</v>
      </c>
      <c r="BX166" s="306">
        <v>0</v>
      </c>
      <c r="BY166" s="306">
        <v>0</v>
      </c>
      <c r="BZ166" s="306">
        <v>0</v>
      </c>
      <c r="CA166" s="306">
        <v>0</v>
      </c>
      <c r="CB166" s="306">
        <v>0</v>
      </c>
      <c r="CC166" s="306">
        <v>0</v>
      </c>
      <c r="CD166" s="306">
        <v>0</v>
      </c>
      <c r="CE166" s="306">
        <v>0</v>
      </c>
      <c r="CF166" s="306">
        <v>0</v>
      </c>
      <c r="CG166" s="306">
        <v>0</v>
      </c>
      <c r="CH166" s="306">
        <v>0</v>
      </c>
      <c r="CI166" s="306">
        <v>0</v>
      </c>
      <c r="CJ166" s="306">
        <v>0</v>
      </c>
      <c r="CK166" s="306">
        <v>0</v>
      </c>
      <c r="CL166" s="306">
        <v>0</v>
      </c>
      <c r="CM166" s="306">
        <v>0</v>
      </c>
      <c r="CN166" s="306">
        <v>0</v>
      </c>
      <c r="CO166" s="306">
        <v>0</v>
      </c>
      <c r="CP166" s="306">
        <v>0</v>
      </c>
      <c r="CQ166" s="306">
        <v>0</v>
      </c>
      <c r="CR166" s="306">
        <v>0</v>
      </c>
      <c r="CS166" s="306">
        <v>0</v>
      </c>
      <c r="CT166" s="306">
        <v>0</v>
      </c>
      <c r="CU166" s="306">
        <v>0</v>
      </c>
      <c r="CV166" s="306">
        <v>0</v>
      </c>
      <c r="CW166" s="306">
        <v>0</v>
      </c>
      <c r="CX166" s="306">
        <v>0</v>
      </c>
    </row>
    <row r="167" spans="3:102" x14ac:dyDescent="0.25">
      <c r="C167" s="305">
        <v>47</v>
      </c>
      <c r="D167" s="306">
        <v>4.13</v>
      </c>
      <c r="E167" s="306">
        <v>4.2699999999999996</v>
      </c>
      <c r="F167" s="306">
        <v>4.41</v>
      </c>
      <c r="G167" s="306">
        <v>4.57</v>
      </c>
      <c r="H167" s="306">
        <v>4.7300000000000004</v>
      </c>
      <c r="I167" s="306">
        <v>4.8899999999999997</v>
      </c>
      <c r="J167" s="306">
        <v>5.07</v>
      </c>
      <c r="K167" s="306">
        <v>5.26</v>
      </c>
      <c r="L167" s="306">
        <v>5.45</v>
      </c>
      <c r="M167" s="306">
        <v>5.64</v>
      </c>
      <c r="N167" s="306">
        <v>5.82</v>
      </c>
      <c r="O167" s="306">
        <v>5.99</v>
      </c>
      <c r="P167" s="306">
        <v>6.15</v>
      </c>
      <c r="Q167" s="306">
        <v>6.29</v>
      </c>
      <c r="R167" s="306">
        <v>6.44</v>
      </c>
      <c r="S167" s="306">
        <v>6.58</v>
      </c>
      <c r="T167" s="306">
        <v>6.73</v>
      </c>
      <c r="U167" s="306">
        <v>6.87</v>
      </c>
      <c r="V167" s="306">
        <v>7.02</v>
      </c>
      <c r="W167" s="306">
        <v>7.16</v>
      </c>
      <c r="X167" s="306">
        <v>7.29</v>
      </c>
      <c r="Y167" s="306">
        <v>7.42</v>
      </c>
      <c r="Z167" s="306">
        <v>7.55</v>
      </c>
      <c r="AA167" s="306">
        <v>7.67</v>
      </c>
      <c r="AB167" s="306">
        <v>7.78</v>
      </c>
      <c r="AC167" s="306">
        <v>7.89</v>
      </c>
      <c r="AD167" s="306">
        <v>8.01</v>
      </c>
      <c r="AE167" s="306">
        <v>8.11</v>
      </c>
      <c r="AF167" s="306">
        <v>8.2200000000000006</v>
      </c>
      <c r="AG167" s="306">
        <v>8.32</v>
      </c>
      <c r="AH167" s="306">
        <v>8.42</v>
      </c>
      <c r="AI167" s="306">
        <v>8.51</v>
      </c>
      <c r="AJ167" s="306">
        <v>8.59</v>
      </c>
      <c r="AK167" s="306">
        <v>8.67</v>
      </c>
      <c r="AL167" s="306">
        <v>8.74</v>
      </c>
      <c r="AM167" s="306">
        <v>8.81</v>
      </c>
      <c r="AN167" s="306">
        <v>8.8699999999999992</v>
      </c>
      <c r="AO167" s="306">
        <v>8.92</v>
      </c>
      <c r="AP167" s="306">
        <v>8.9700000000000006</v>
      </c>
      <c r="AQ167" s="306">
        <v>9</v>
      </c>
      <c r="AR167" s="306">
        <v>9.0399999999999991</v>
      </c>
      <c r="AS167" s="306">
        <v>9.07</v>
      </c>
      <c r="AT167" s="306">
        <v>9.09</v>
      </c>
      <c r="AU167" s="306">
        <v>9.1</v>
      </c>
      <c r="AV167" s="306">
        <v>9.1199999999999992</v>
      </c>
      <c r="AW167" s="306">
        <v>9.1300000000000008</v>
      </c>
      <c r="AX167" s="306">
        <v>9.14</v>
      </c>
      <c r="AY167" s="306">
        <v>9.14</v>
      </c>
      <c r="AZ167" s="306">
        <v>9.14</v>
      </c>
      <c r="BA167" s="306">
        <v>9.15</v>
      </c>
      <c r="BB167" s="306">
        <v>9.15</v>
      </c>
      <c r="BC167" s="306">
        <v>9.15</v>
      </c>
      <c r="BD167" s="306">
        <v>9.15</v>
      </c>
      <c r="BE167" s="306">
        <v>0</v>
      </c>
      <c r="BF167" s="306">
        <v>0</v>
      </c>
      <c r="BG167" s="306">
        <v>0</v>
      </c>
      <c r="BH167" s="306">
        <v>0</v>
      </c>
      <c r="BI167" s="306">
        <v>0</v>
      </c>
      <c r="BJ167" s="306">
        <v>0</v>
      </c>
      <c r="BK167" s="306">
        <v>0</v>
      </c>
      <c r="BL167" s="306">
        <v>0</v>
      </c>
      <c r="BM167" s="306">
        <v>0</v>
      </c>
      <c r="BN167" s="306">
        <v>0</v>
      </c>
      <c r="BO167" s="306">
        <v>0</v>
      </c>
      <c r="BP167" s="306">
        <v>0</v>
      </c>
      <c r="BQ167" s="306">
        <v>0</v>
      </c>
      <c r="BR167" s="306">
        <v>0</v>
      </c>
      <c r="BS167" s="306">
        <v>0</v>
      </c>
      <c r="BT167" s="306">
        <v>0</v>
      </c>
      <c r="BU167" s="306">
        <v>0</v>
      </c>
      <c r="BV167" s="306">
        <v>0</v>
      </c>
      <c r="BW167" s="306">
        <v>0</v>
      </c>
      <c r="BX167" s="306">
        <v>0</v>
      </c>
      <c r="BY167" s="306">
        <v>0</v>
      </c>
      <c r="BZ167" s="306">
        <v>0</v>
      </c>
      <c r="CA167" s="306">
        <v>0</v>
      </c>
      <c r="CB167" s="306">
        <v>0</v>
      </c>
      <c r="CC167" s="306">
        <v>0</v>
      </c>
      <c r="CD167" s="306">
        <v>0</v>
      </c>
      <c r="CE167" s="306">
        <v>0</v>
      </c>
      <c r="CF167" s="306">
        <v>0</v>
      </c>
      <c r="CG167" s="306">
        <v>0</v>
      </c>
      <c r="CH167" s="306">
        <v>0</v>
      </c>
      <c r="CI167" s="306">
        <v>0</v>
      </c>
      <c r="CJ167" s="306">
        <v>0</v>
      </c>
      <c r="CK167" s="306">
        <v>0</v>
      </c>
      <c r="CL167" s="306">
        <v>0</v>
      </c>
      <c r="CM167" s="306">
        <v>0</v>
      </c>
      <c r="CN167" s="306">
        <v>0</v>
      </c>
      <c r="CO167" s="306">
        <v>0</v>
      </c>
      <c r="CP167" s="306">
        <v>0</v>
      </c>
      <c r="CQ167" s="306">
        <v>0</v>
      </c>
      <c r="CR167" s="306">
        <v>0</v>
      </c>
      <c r="CS167" s="306">
        <v>0</v>
      </c>
      <c r="CT167" s="306">
        <v>0</v>
      </c>
      <c r="CU167" s="306">
        <v>0</v>
      </c>
      <c r="CV167" s="306">
        <v>0</v>
      </c>
      <c r="CW167" s="306">
        <v>0</v>
      </c>
      <c r="CX167" s="306">
        <v>0</v>
      </c>
    </row>
    <row r="168" spans="3:102" x14ac:dyDescent="0.25">
      <c r="C168" s="305">
        <v>48</v>
      </c>
      <c r="D168" s="306">
        <v>4.41</v>
      </c>
      <c r="E168" s="306">
        <v>4.5599999999999996</v>
      </c>
      <c r="F168" s="306">
        <v>4.72</v>
      </c>
      <c r="G168" s="306">
        <v>4.8899999999999997</v>
      </c>
      <c r="H168" s="306">
        <v>5.0599999999999996</v>
      </c>
      <c r="I168" s="306">
        <v>5.25</v>
      </c>
      <c r="J168" s="306">
        <v>5.44</v>
      </c>
      <c r="K168" s="306">
        <v>5.64</v>
      </c>
      <c r="L168" s="306">
        <v>5.83</v>
      </c>
      <c r="M168" s="306">
        <v>6.03</v>
      </c>
      <c r="N168" s="306">
        <v>6.22</v>
      </c>
      <c r="O168" s="306">
        <v>6.39</v>
      </c>
      <c r="P168" s="306">
        <v>6.56</v>
      </c>
      <c r="Q168" s="306">
        <v>6.72</v>
      </c>
      <c r="R168" s="306">
        <v>6.88</v>
      </c>
      <c r="S168" s="306">
        <v>7.04</v>
      </c>
      <c r="T168" s="306">
        <v>7.2</v>
      </c>
      <c r="U168" s="306">
        <v>7.37</v>
      </c>
      <c r="V168" s="306">
        <v>7.53</v>
      </c>
      <c r="W168" s="306">
        <v>7.68</v>
      </c>
      <c r="X168" s="306">
        <v>7.83</v>
      </c>
      <c r="Y168" s="306">
        <v>7.97</v>
      </c>
      <c r="Z168" s="306">
        <v>8.1</v>
      </c>
      <c r="AA168" s="306">
        <v>8.23</v>
      </c>
      <c r="AB168" s="306">
        <v>8.36</v>
      </c>
      <c r="AC168" s="306">
        <v>8.49</v>
      </c>
      <c r="AD168" s="306">
        <v>8.61</v>
      </c>
      <c r="AE168" s="306">
        <v>8.73</v>
      </c>
      <c r="AF168" s="306">
        <v>8.85</v>
      </c>
      <c r="AG168" s="306">
        <v>8.9600000000000009</v>
      </c>
      <c r="AH168" s="306">
        <v>9.06</v>
      </c>
      <c r="AI168" s="306">
        <v>9.16</v>
      </c>
      <c r="AJ168" s="306">
        <v>9.25</v>
      </c>
      <c r="AK168" s="306">
        <v>9.33</v>
      </c>
      <c r="AL168" s="306">
        <v>9.4</v>
      </c>
      <c r="AM168" s="306">
        <v>9.4700000000000006</v>
      </c>
      <c r="AN168" s="306">
        <v>9.5299999999999994</v>
      </c>
      <c r="AO168" s="306">
        <v>9.58</v>
      </c>
      <c r="AP168" s="306">
        <v>9.6300000000000008</v>
      </c>
      <c r="AQ168" s="306">
        <v>9.67</v>
      </c>
      <c r="AR168" s="306">
        <v>9.6999999999999993</v>
      </c>
      <c r="AS168" s="306">
        <v>9.7200000000000006</v>
      </c>
      <c r="AT168" s="306">
        <v>9.74</v>
      </c>
      <c r="AU168" s="306">
        <v>9.76</v>
      </c>
      <c r="AV168" s="306">
        <v>9.77</v>
      </c>
      <c r="AW168" s="306">
        <v>9.7799999999999994</v>
      </c>
      <c r="AX168" s="306">
        <v>9.7799999999999994</v>
      </c>
      <c r="AY168" s="306">
        <v>9.7899999999999991</v>
      </c>
      <c r="AZ168" s="306">
        <v>9.7899999999999991</v>
      </c>
      <c r="BA168" s="306">
        <v>9.7899999999999991</v>
      </c>
      <c r="BB168" s="306">
        <v>9.8000000000000007</v>
      </c>
      <c r="BC168" s="306">
        <v>9.8000000000000007</v>
      </c>
      <c r="BD168" s="306">
        <v>0</v>
      </c>
      <c r="BE168" s="306">
        <v>0</v>
      </c>
      <c r="BF168" s="306">
        <v>0</v>
      </c>
      <c r="BG168" s="306">
        <v>0</v>
      </c>
      <c r="BH168" s="306">
        <v>0</v>
      </c>
      <c r="BI168" s="306">
        <v>0</v>
      </c>
      <c r="BJ168" s="306">
        <v>0</v>
      </c>
      <c r="BK168" s="306">
        <v>0</v>
      </c>
      <c r="BL168" s="306">
        <v>0</v>
      </c>
      <c r="BM168" s="306">
        <v>0</v>
      </c>
      <c r="BN168" s="306">
        <v>0</v>
      </c>
      <c r="BO168" s="306">
        <v>0</v>
      </c>
      <c r="BP168" s="306">
        <v>0</v>
      </c>
      <c r="BQ168" s="306">
        <v>0</v>
      </c>
      <c r="BR168" s="306">
        <v>0</v>
      </c>
      <c r="BS168" s="306">
        <v>0</v>
      </c>
      <c r="BT168" s="306">
        <v>0</v>
      </c>
      <c r="BU168" s="306">
        <v>0</v>
      </c>
      <c r="BV168" s="306">
        <v>0</v>
      </c>
      <c r="BW168" s="306">
        <v>0</v>
      </c>
      <c r="BX168" s="306">
        <v>0</v>
      </c>
      <c r="BY168" s="306">
        <v>0</v>
      </c>
      <c r="BZ168" s="306">
        <v>0</v>
      </c>
      <c r="CA168" s="306">
        <v>0</v>
      </c>
      <c r="CB168" s="306">
        <v>0</v>
      </c>
      <c r="CC168" s="306">
        <v>0</v>
      </c>
      <c r="CD168" s="306">
        <v>0</v>
      </c>
      <c r="CE168" s="306">
        <v>0</v>
      </c>
      <c r="CF168" s="306">
        <v>0</v>
      </c>
      <c r="CG168" s="306">
        <v>0</v>
      </c>
      <c r="CH168" s="306">
        <v>0</v>
      </c>
      <c r="CI168" s="306">
        <v>0</v>
      </c>
      <c r="CJ168" s="306">
        <v>0</v>
      </c>
      <c r="CK168" s="306">
        <v>0</v>
      </c>
      <c r="CL168" s="306">
        <v>0</v>
      </c>
      <c r="CM168" s="306">
        <v>0</v>
      </c>
      <c r="CN168" s="306">
        <v>0</v>
      </c>
      <c r="CO168" s="306">
        <v>0</v>
      </c>
      <c r="CP168" s="306">
        <v>0</v>
      </c>
      <c r="CQ168" s="306">
        <v>0</v>
      </c>
      <c r="CR168" s="306">
        <v>0</v>
      </c>
      <c r="CS168" s="306">
        <v>0</v>
      </c>
      <c r="CT168" s="306">
        <v>0</v>
      </c>
      <c r="CU168" s="306">
        <v>0</v>
      </c>
      <c r="CV168" s="306">
        <v>0</v>
      </c>
      <c r="CW168" s="306">
        <v>0</v>
      </c>
      <c r="CX168" s="306">
        <v>0</v>
      </c>
    </row>
    <row r="169" spans="3:102" x14ac:dyDescent="0.25">
      <c r="C169" s="305">
        <v>49</v>
      </c>
      <c r="D169" s="306">
        <v>4.72</v>
      </c>
      <c r="E169" s="306">
        <v>4.88</v>
      </c>
      <c r="F169" s="306">
        <v>5.0599999999999996</v>
      </c>
      <c r="G169" s="306">
        <v>5.24</v>
      </c>
      <c r="H169" s="306">
        <v>5.44</v>
      </c>
      <c r="I169" s="306">
        <v>5.64</v>
      </c>
      <c r="J169" s="306">
        <v>5.84</v>
      </c>
      <c r="K169" s="306">
        <v>6.04</v>
      </c>
      <c r="L169" s="306">
        <v>6.24</v>
      </c>
      <c r="M169" s="306">
        <v>6.44</v>
      </c>
      <c r="N169" s="306">
        <v>6.64</v>
      </c>
      <c r="O169" s="306">
        <v>6.82</v>
      </c>
      <c r="P169" s="306">
        <v>7</v>
      </c>
      <c r="Q169" s="306">
        <v>7.18</v>
      </c>
      <c r="R169" s="306">
        <v>7.36</v>
      </c>
      <c r="S169" s="306">
        <v>7.55</v>
      </c>
      <c r="T169" s="306">
        <v>7.73</v>
      </c>
      <c r="U169" s="306">
        <v>7.91</v>
      </c>
      <c r="V169" s="306">
        <v>8.08</v>
      </c>
      <c r="W169" s="306">
        <v>8.25</v>
      </c>
      <c r="X169" s="306">
        <v>8.4</v>
      </c>
      <c r="Y169" s="306">
        <v>8.56</v>
      </c>
      <c r="Z169" s="306">
        <v>8.6999999999999993</v>
      </c>
      <c r="AA169" s="306">
        <v>8.85</v>
      </c>
      <c r="AB169" s="306">
        <v>8.99</v>
      </c>
      <c r="AC169" s="306">
        <v>9.1300000000000008</v>
      </c>
      <c r="AD169" s="306">
        <v>9.27</v>
      </c>
      <c r="AE169" s="306">
        <v>9.4</v>
      </c>
      <c r="AF169" s="306">
        <v>9.5299999999999994</v>
      </c>
      <c r="AG169" s="306">
        <v>9.65</v>
      </c>
      <c r="AH169" s="306">
        <v>9.76</v>
      </c>
      <c r="AI169" s="306">
        <v>9.86</v>
      </c>
      <c r="AJ169" s="306">
        <v>9.9499999999999993</v>
      </c>
      <c r="AK169" s="306">
        <v>10.039999999999999</v>
      </c>
      <c r="AL169" s="306">
        <v>10.119999999999999</v>
      </c>
      <c r="AM169" s="306">
        <v>10.19</v>
      </c>
      <c r="AN169" s="306">
        <v>10.25</v>
      </c>
      <c r="AO169" s="306">
        <v>10.3</v>
      </c>
      <c r="AP169" s="306">
        <v>10.34</v>
      </c>
      <c r="AQ169" s="306">
        <v>10.38</v>
      </c>
      <c r="AR169" s="306">
        <v>10.41</v>
      </c>
      <c r="AS169" s="306">
        <v>10.43</v>
      </c>
      <c r="AT169" s="306">
        <v>10.45</v>
      </c>
      <c r="AU169" s="306">
        <v>10.46</v>
      </c>
      <c r="AV169" s="306">
        <v>10.47</v>
      </c>
      <c r="AW169" s="306">
        <v>10.48</v>
      </c>
      <c r="AX169" s="306">
        <v>10.48</v>
      </c>
      <c r="AY169" s="306">
        <v>10.49</v>
      </c>
      <c r="AZ169" s="306">
        <v>10.49</v>
      </c>
      <c r="BA169" s="306">
        <v>10.49</v>
      </c>
      <c r="BB169" s="306">
        <v>10.49</v>
      </c>
      <c r="BC169" s="306">
        <v>0</v>
      </c>
      <c r="BD169" s="306">
        <v>0</v>
      </c>
      <c r="BE169" s="306">
        <v>0</v>
      </c>
      <c r="BF169" s="306">
        <v>0</v>
      </c>
      <c r="BG169" s="306">
        <v>0</v>
      </c>
      <c r="BH169" s="306">
        <v>0</v>
      </c>
      <c r="BI169" s="306">
        <v>0</v>
      </c>
      <c r="BJ169" s="306">
        <v>0</v>
      </c>
      <c r="BK169" s="306">
        <v>0</v>
      </c>
      <c r="BL169" s="306">
        <v>0</v>
      </c>
      <c r="BM169" s="306">
        <v>0</v>
      </c>
      <c r="BN169" s="306">
        <v>0</v>
      </c>
      <c r="BO169" s="306">
        <v>0</v>
      </c>
      <c r="BP169" s="306">
        <v>0</v>
      </c>
      <c r="BQ169" s="306">
        <v>0</v>
      </c>
      <c r="BR169" s="306">
        <v>0</v>
      </c>
      <c r="BS169" s="306">
        <v>0</v>
      </c>
      <c r="BT169" s="306">
        <v>0</v>
      </c>
      <c r="BU169" s="306">
        <v>0</v>
      </c>
      <c r="BV169" s="306">
        <v>0</v>
      </c>
      <c r="BW169" s="306">
        <v>0</v>
      </c>
      <c r="BX169" s="306">
        <v>0</v>
      </c>
      <c r="BY169" s="306">
        <v>0</v>
      </c>
      <c r="BZ169" s="306">
        <v>0</v>
      </c>
      <c r="CA169" s="306">
        <v>0</v>
      </c>
      <c r="CB169" s="306">
        <v>0</v>
      </c>
      <c r="CC169" s="306">
        <v>0</v>
      </c>
      <c r="CD169" s="306">
        <v>0</v>
      </c>
      <c r="CE169" s="306">
        <v>0</v>
      </c>
      <c r="CF169" s="306">
        <v>0</v>
      </c>
      <c r="CG169" s="306">
        <v>0</v>
      </c>
      <c r="CH169" s="306">
        <v>0</v>
      </c>
      <c r="CI169" s="306">
        <v>0</v>
      </c>
      <c r="CJ169" s="306">
        <v>0</v>
      </c>
      <c r="CK169" s="306">
        <v>0</v>
      </c>
      <c r="CL169" s="306">
        <v>0</v>
      </c>
      <c r="CM169" s="306">
        <v>0</v>
      </c>
      <c r="CN169" s="306">
        <v>0</v>
      </c>
      <c r="CO169" s="306">
        <v>0</v>
      </c>
      <c r="CP169" s="306">
        <v>0</v>
      </c>
      <c r="CQ169" s="306">
        <v>0</v>
      </c>
      <c r="CR169" s="306">
        <v>0</v>
      </c>
      <c r="CS169" s="306">
        <v>0</v>
      </c>
      <c r="CT169" s="306">
        <v>0</v>
      </c>
      <c r="CU169" s="306">
        <v>0</v>
      </c>
      <c r="CV169" s="306">
        <v>0</v>
      </c>
      <c r="CW169" s="306">
        <v>0</v>
      </c>
      <c r="CX169" s="306">
        <v>0</v>
      </c>
    </row>
    <row r="170" spans="3:102" x14ac:dyDescent="0.25">
      <c r="C170" s="305">
        <v>50</v>
      </c>
      <c r="D170" s="306">
        <v>5.05</v>
      </c>
      <c r="E170" s="306">
        <v>5.23</v>
      </c>
      <c r="F170" s="306">
        <v>5.43</v>
      </c>
      <c r="G170" s="306">
        <v>5.63</v>
      </c>
      <c r="H170" s="306">
        <v>5.84</v>
      </c>
      <c r="I170" s="306">
        <v>6.05</v>
      </c>
      <c r="J170" s="306">
        <v>6.26</v>
      </c>
      <c r="K170" s="306">
        <v>6.46</v>
      </c>
      <c r="L170" s="306">
        <v>6.66</v>
      </c>
      <c r="M170" s="306">
        <v>6.87</v>
      </c>
      <c r="N170" s="306">
        <v>7.08</v>
      </c>
      <c r="O170" s="306">
        <v>7.28</v>
      </c>
      <c r="P170" s="306">
        <v>7.48</v>
      </c>
      <c r="Q170" s="306">
        <v>7.68</v>
      </c>
      <c r="R170" s="306">
        <v>7.89</v>
      </c>
      <c r="S170" s="306">
        <v>8.1</v>
      </c>
      <c r="T170" s="306">
        <v>8.3000000000000007</v>
      </c>
      <c r="U170" s="306">
        <v>8.5</v>
      </c>
      <c r="V170" s="306">
        <v>8.68</v>
      </c>
      <c r="W170" s="306">
        <v>8.86</v>
      </c>
      <c r="X170" s="306">
        <v>9.0299999999999994</v>
      </c>
      <c r="Y170" s="306">
        <v>9.1999999999999993</v>
      </c>
      <c r="Z170" s="306">
        <v>9.36</v>
      </c>
      <c r="AA170" s="306">
        <v>9.5299999999999994</v>
      </c>
      <c r="AB170" s="306">
        <v>9.69</v>
      </c>
      <c r="AC170" s="306">
        <v>9.84</v>
      </c>
      <c r="AD170" s="306">
        <v>10</v>
      </c>
      <c r="AE170" s="306">
        <v>10.14</v>
      </c>
      <c r="AF170" s="306">
        <v>10.28</v>
      </c>
      <c r="AG170" s="306">
        <v>10.4</v>
      </c>
      <c r="AH170" s="306">
        <v>10.52</v>
      </c>
      <c r="AI170" s="306">
        <v>10.62</v>
      </c>
      <c r="AJ170" s="306">
        <v>10.72</v>
      </c>
      <c r="AK170" s="306">
        <v>10.81</v>
      </c>
      <c r="AL170" s="306">
        <v>10.89</v>
      </c>
      <c r="AM170" s="306">
        <v>10.96</v>
      </c>
      <c r="AN170" s="306">
        <v>11.02</v>
      </c>
      <c r="AO170" s="306">
        <v>11.07</v>
      </c>
      <c r="AP170" s="306">
        <v>11.11</v>
      </c>
      <c r="AQ170" s="306">
        <v>11.15</v>
      </c>
      <c r="AR170" s="306">
        <v>11.17</v>
      </c>
      <c r="AS170" s="306">
        <v>11.19</v>
      </c>
      <c r="AT170" s="306">
        <v>11.21</v>
      </c>
      <c r="AU170" s="306">
        <v>11.22</v>
      </c>
      <c r="AV170" s="306">
        <v>11.23</v>
      </c>
      <c r="AW170" s="306">
        <v>11.24</v>
      </c>
      <c r="AX170" s="306">
        <v>11.24</v>
      </c>
      <c r="AY170" s="306">
        <v>11.24</v>
      </c>
      <c r="AZ170" s="306">
        <v>11.24</v>
      </c>
      <c r="BA170" s="306">
        <v>11.24</v>
      </c>
      <c r="BB170" s="306">
        <v>0</v>
      </c>
      <c r="BC170" s="306">
        <v>0</v>
      </c>
      <c r="BD170" s="306">
        <v>0</v>
      </c>
      <c r="BE170" s="306">
        <v>0</v>
      </c>
      <c r="BF170" s="306">
        <v>0</v>
      </c>
      <c r="BG170" s="306">
        <v>0</v>
      </c>
      <c r="BH170" s="306">
        <v>0</v>
      </c>
      <c r="BI170" s="306">
        <v>0</v>
      </c>
      <c r="BJ170" s="306">
        <v>0</v>
      </c>
      <c r="BK170" s="306">
        <v>0</v>
      </c>
      <c r="BL170" s="306">
        <v>0</v>
      </c>
      <c r="BM170" s="306">
        <v>0</v>
      </c>
      <c r="BN170" s="306">
        <v>0</v>
      </c>
      <c r="BO170" s="306">
        <v>0</v>
      </c>
      <c r="BP170" s="306">
        <v>0</v>
      </c>
      <c r="BQ170" s="306">
        <v>0</v>
      </c>
      <c r="BR170" s="306">
        <v>0</v>
      </c>
      <c r="BS170" s="306">
        <v>0</v>
      </c>
      <c r="BT170" s="306">
        <v>0</v>
      </c>
      <c r="BU170" s="306">
        <v>0</v>
      </c>
      <c r="BV170" s="306">
        <v>0</v>
      </c>
      <c r="BW170" s="306">
        <v>0</v>
      </c>
      <c r="BX170" s="306">
        <v>0</v>
      </c>
      <c r="BY170" s="306">
        <v>0</v>
      </c>
      <c r="BZ170" s="306">
        <v>0</v>
      </c>
      <c r="CA170" s="306">
        <v>0</v>
      </c>
      <c r="CB170" s="306">
        <v>0</v>
      </c>
      <c r="CC170" s="306">
        <v>0</v>
      </c>
      <c r="CD170" s="306">
        <v>0</v>
      </c>
      <c r="CE170" s="306">
        <v>0</v>
      </c>
      <c r="CF170" s="306">
        <v>0</v>
      </c>
      <c r="CG170" s="306">
        <v>0</v>
      </c>
      <c r="CH170" s="306">
        <v>0</v>
      </c>
      <c r="CI170" s="306">
        <v>0</v>
      </c>
      <c r="CJ170" s="306">
        <v>0</v>
      </c>
      <c r="CK170" s="306">
        <v>0</v>
      </c>
      <c r="CL170" s="306">
        <v>0</v>
      </c>
      <c r="CM170" s="306">
        <v>0</v>
      </c>
      <c r="CN170" s="306">
        <v>0</v>
      </c>
      <c r="CO170" s="306">
        <v>0</v>
      </c>
      <c r="CP170" s="306">
        <v>0</v>
      </c>
      <c r="CQ170" s="306">
        <v>0</v>
      </c>
      <c r="CR170" s="306">
        <v>0</v>
      </c>
      <c r="CS170" s="306">
        <v>0</v>
      </c>
      <c r="CT170" s="306">
        <v>0</v>
      </c>
      <c r="CU170" s="306">
        <v>0</v>
      </c>
      <c r="CV170" s="306">
        <v>0</v>
      </c>
      <c r="CW170" s="306">
        <v>0</v>
      </c>
      <c r="CX170" s="306">
        <v>0</v>
      </c>
    </row>
    <row r="171" spans="3:102" x14ac:dyDescent="0.25">
      <c r="C171" s="305">
        <v>51</v>
      </c>
      <c r="D171" s="306">
        <v>5.42</v>
      </c>
      <c r="E171" s="306">
        <v>5.62</v>
      </c>
      <c r="F171" s="306">
        <v>5.84</v>
      </c>
      <c r="G171" s="306">
        <v>6.05</v>
      </c>
      <c r="H171" s="306">
        <v>6.27</v>
      </c>
      <c r="I171" s="306">
        <v>6.48</v>
      </c>
      <c r="J171" s="306">
        <v>6.69</v>
      </c>
      <c r="K171" s="306">
        <v>6.9</v>
      </c>
      <c r="L171" s="306">
        <v>7.11</v>
      </c>
      <c r="M171" s="306">
        <v>7.32</v>
      </c>
      <c r="N171" s="306">
        <v>7.55</v>
      </c>
      <c r="O171" s="306">
        <v>7.78</v>
      </c>
      <c r="P171" s="306">
        <v>8.01</v>
      </c>
      <c r="Q171" s="306">
        <v>8.25</v>
      </c>
      <c r="R171" s="306">
        <v>8.48</v>
      </c>
      <c r="S171" s="306">
        <v>8.7100000000000009</v>
      </c>
      <c r="T171" s="306">
        <v>8.93</v>
      </c>
      <c r="U171" s="306">
        <v>9.14</v>
      </c>
      <c r="V171" s="306">
        <v>9.34</v>
      </c>
      <c r="W171" s="306">
        <v>9.5299999999999994</v>
      </c>
      <c r="X171" s="306">
        <v>9.7200000000000006</v>
      </c>
      <c r="Y171" s="306">
        <v>9.91</v>
      </c>
      <c r="Z171" s="306">
        <v>10.09</v>
      </c>
      <c r="AA171" s="306">
        <v>10.28</v>
      </c>
      <c r="AB171" s="306">
        <v>10.45</v>
      </c>
      <c r="AC171" s="306">
        <v>10.63</v>
      </c>
      <c r="AD171" s="306">
        <v>10.79</v>
      </c>
      <c r="AE171" s="306">
        <v>10.95</v>
      </c>
      <c r="AF171" s="306">
        <v>11.09</v>
      </c>
      <c r="AG171" s="306">
        <v>11.22</v>
      </c>
      <c r="AH171" s="306">
        <v>11.35</v>
      </c>
      <c r="AI171" s="306">
        <v>11.46</v>
      </c>
      <c r="AJ171" s="306">
        <v>11.56</v>
      </c>
      <c r="AK171" s="306">
        <v>11.65</v>
      </c>
      <c r="AL171" s="306">
        <v>11.73</v>
      </c>
      <c r="AM171" s="306">
        <v>11.8</v>
      </c>
      <c r="AN171" s="306">
        <v>11.86</v>
      </c>
      <c r="AO171" s="306">
        <v>11.91</v>
      </c>
      <c r="AP171" s="306">
        <v>11.95</v>
      </c>
      <c r="AQ171" s="306">
        <v>11.98</v>
      </c>
      <c r="AR171" s="306">
        <v>12</v>
      </c>
      <c r="AS171" s="306">
        <v>12.02</v>
      </c>
      <c r="AT171" s="306">
        <v>12.03</v>
      </c>
      <c r="AU171" s="306">
        <v>12.04</v>
      </c>
      <c r="AV171" s="306">
        <v>12.05</v>
      </c>
      <c r="AW171" s="306">
        <v>12.05</v>
      </c>
      <c r="AX171" s="306">
        <v>12.06</v>
      </c>
      <c r="AY171" s="306">
        <v>12.06</v>
      </c>
      <c r="AZ171" s="306">
        <v>12.06</v>
      </c>
      <c r="BA171" s="306">
        <v>0</v>
      </c>
      <c r="BB171" s="306">
        <v>0</v>
      </c>
      <c r="BC171" s="306">
        <v>0</v>
      </c>
      <c r="BD171" s="306">
        <v>0</v>
      </c>
      <c r="BE171" s="306">
        <v>0</v>
      </c>
      <c r="BF171" s="306">
        <v>0</v>
      </c>
      <c r="BG171" s="306">
        <v>0</v>
      </c>
      <c r="BH171" s="306">
        <v>0</v>
      </c>
      <c r="BI171" s="306">
        <v>0</v>
      </c>
      <c r="BJ171" s="306">
        <v>0</v>
      </c>
      <c r="BK171" s="306">
        <v>0</v>
      </c>
      <c r="BL171" s="306">
        <v>0</v>
      </c>
      <c r="BM171" s="306">
        <v>0</v>
      </c>
      <c r="BN171" s="306">
        <v>0</v>
      </c>
      <c r="BO171" s="306">
        <v>0</v>
      </c>
      <c r="BP171" s="306">
        <v>0</v>
      </c>
      <c r="BQ171" s="306">
        <v>0</v>
      </c>
      <c r="BR171" s="306">
        <v>0</v>
      </c>
      <c r="BS171" s="306">
        <v>0</v>
      </c>
      <c r="BT171" s="306">
        <v>0</v>
      </c>
      <c r="BU171" s="306">
        <v>0</v>
      </c>
      <c r="BV171" s="306">
        <v>0</v>
      </c>
      <c r="BW171" s="306">
        <v>0</v>
      </c>
      <c r="BX171" s="306">
        <v>0</v>
      </c>
      <c r="BY171" s="306">
        <v>0</v>
      </c>
      <c r="BZ171" s="306">
        <v>0</v>
      </c>
      <c r="CA171" s="306">
        <v>0</v>
      </c>
      <c r="CB171" s="306">
        <v>0</v>
      </c>
      <c r="CC171" s="306">
        <v>0</v>
      </c>
      <c r="CD171" s="306">
        <v>0</v>
      </c>
      <c r="CE171" s="306">
        <v>0</v>
      </c>
      <c r="CF171" s="306">
        <v>0</v>
      </c>
      <c r="CG171" s="306">
        <v>0</v>
      </c>
      <c r="CH171" s="306">
        <v>0</v>
      </c>
      <c r="CI171" s="306">
        <v>0</v>
      </c>
      <c r="CJ171" s="306">
        <v>0</v>
      </c>
      <c r="CK171" s="306">
        <v>0</v>
      </c>
      <c r="CL171" s="306">
        <v>0</v>
      </c>
      <c r="CM171" s="306">
        <v>0</v>
      </c>
      <c r="CN171" s="306">
        <v>0</v>
      </c>
      <c r="CO171" s="306">
        <v>0</v>
      </c>
      <c r="CP171" s="306">
        <v>0</v>
      </c>
      <c r="CQ171" s="306">
        <v>0</v>
      </c>
      <c r="CR171" s="306">
        <v>0</v>
      </c>
      <c r="CS171" s="306">
        <v>0</v>
      </c>
      <c r="CT171" s="306">
        <v>0</v>
      </c>
      <c r="CU171" s="306">
        <v>0</v>
      </c>
      <c r="CV171" s="306">
        <v>0</v>
      </c>
      <c r="CW171" s="306">
        <v>0</v>
      </c>
      <c r="CX171" s="306">
        <v>0</v>
      </c>
    </row>
    <row r="172" spans="3:102" x14ac:dyDescent="0.25">
      <c r="C172" s="305">
        <v>52</v>
      </c>
      <c r="D172" s="306">
        <v>5.83</v>
      </c>
      <c r="E172" s="306">
        <v>6.06</v>
      </c>
      <c r="F172" s="306">
        <v>6.28</v>
      </c>
      <c r="G172" s="306">
        <v>6.5</v>
      </c>
      <c r="H172" s="306">
        <v>6.72</v>
      </c>
      <c r="I172" s="306">
        <v>6.94</v>
      </c>
      <c r="J172" s="306">
        <v>7.14</v>
      </c>
      <c r="K172" s="306">
        <v>7.35</v>
      </c>
      <c r="L172" s="306">
        <v>7.57</v>
      </c>
      <c r="M172" s="306">
        <v>7.81</v>
      </c>
      <c r="N172" s="306">
        <v>8.07</v>
      </c>
      <c r="O172" s="306">
        <v>8.33</v>
      </c>
      <c r="P172" s="306">
        <v>8.6</v>
      </c>
      <c r="Q172" s="306">
        <v>8.8699999999999992</v>
      </c>
      <c r="R172" s="306">
        <v>9.1199999999999992</v>
      </c>
      <c r="S172" s="306">
        <v>9.3699999999999992</v>
      </c>
      <c r="T172" s="306">
        <v>9.61</v>
      </c>
      <c r="U172" s="306">
        <v>9.84</v>
      </c>
      <c r="V172" s="306">
        <v>10.050000000000001</v>
      </c>
      <c r="W172" s="306">
        <v>10.27</v>
      </c>
      <c r="X172" s="306">
        <v>10.48</v>
      </c>
      <c r="Y172" s="306">
        <v>10.69</v>
      </c>
      <c r="Z172" s="306">
        <v>10.9</v>
      </c>
      <c r="AA172" s="306">
        <v>11.1</v>
      </c>
      <c r="AB172" s="306">
        <v>11.3</v>
      </c>
      <c r="AC172" s="306">
        <v>11.49</v>
      </c>
      <c r="AD172" s="306">
        <v>11.66</v>
      </c>
      <c r="AE172" s="306">
        <v>11.83</v>
      </c>
      <c r="AF172" s="306">
        <v>11.98</v>
      </c>
      <c r="AG172" s="306">
        <v>12.12</v>
      </c>
      <c r="AH172" s="306">
        <v>12.25</v>
      </c>
      <c r="AI172" s="306">
        <v>12.37</v>
      </c>
      <c r="AJ172" s="306">
        <v>12.47</v>
      </c>
      <c r="AK172" s="306">
        <v>12.57</v>
      </c>
      <c r="AL172" s="306">
        <v>12.65</v>
      </c>
      <c r="AM172" s="306">
        <v>12.71</v>
      </c>
      <c r="AN172" s="306">
        <v>12.77</v>
      </c>
      <c r="AO172" s="306">
        <v>12.81</v>
      </c>
      <c r="AP172" s="306">
        <v>12.85</v>
      </c>
      <c r="AQ172" s="306">
        <v>12.87</v>
      </c>
      <c r="AR172" s="306">
        <v>12.89</v>
      </c>
      <c r="AS172" s="306">
        <v>12.91</v>
      </c>
      <c r="AT172" s="306">
        <v>12.92</v>
      </c>
      <c r="AU172" s="306">
        <v>12.93</v>
      </c>
      <c r="AV172" s="306">
        <v>12.93</v>
      </c>
      <c r="AW172" s="306">
        <v>12.94</v>
      </c>
      <c r="AX172" s="306">
        <v>12.94</v>
      </c>
      <c r="AY172" s="306">
        <v>12.94</v>
      </c>
      <c r="AZ172" s="306">
        <v>0</v>
      </c>
      <c r="BA172" s="306">
        <v>0</v>
      </c>
      <c r="BB172" s="306">
        <v>0</v>
      </c>
      <c r="BC172" s="306">
        <v>0</v>
      </c>
      <c r="BD172" s="306">
        <v>0</v>
      </c>
      <c r="BE172" s="306">
        <v>0</v>
      </c>
      <c r="BF172" s="306">
        <v>0</v>
      </c>
      <c r="BG172" s="306">
        <v>0</v>
      </c>
      <c r="BH172" s="306">
        <v>0</v>
      </c>
      <c r="BI172" s="306">
        <v>0</v>
      </c>
      <c r="BJ172" s="306">
        <v>0</v>
      </c>
      <c r="BK172" s="306">
        <v>0</v>
      </c>
      <c r="BL172" s="306">
        <v>0</v>
      </c>
      <c r="BM172" s="306">
        <v>0</v>
      </c>
      <c r="BN172" s="306">
        <v>0</v>
      </c>
      <c r="BO172" s="306">
        <v>0</v>
      </c>
      <c r="BP172" s="306">
        <v>0</v>
      </c>
      <c r="BQ172" s="306">
        <v>0</v>
      </c>
      <c r="BR172" s="306">
        <v>0</v>
      </c>
      <c r="BS172" s="306">
        <v>0</v>
      </c>
      <c r="BT172" s="306">
        <v>0</v>
      </c>
      <c r="BU172" s="306">
        <v>0</v>
      </c>
      <c r="BV172" s="306">
        <v>0</v>
      </c>
      <c r="BW172" s="306">
        <v>0</v>
      </c>
      <c r="BX172" s="306">
        <v>0</v>
      </c>
      <c r="BY172" s="306">
        <v>0</v>
      </c>
      <c r="BZ172" s="306">
        <v>0</v>
      </c>
      <c r="CA172" s="306">
        <v>0</v>
      </c>
      <c r="CB172" s="306">
        <v>0</v>
      </c>
      <c r="CC172" s="306">
        <v>0</v>
      </c>
      <c r="CD172" s="306">
        <v>0</v>
      </c>
      <c r="CE172" s="306">
        <v>0</v>
      </c>
      <c r="CF172" s="306">
        <v>0</v>
      </c>
      <c r="CG172" s="306">
        <v>0</v>
      </c>
      <c r="CH172" s="306">
        <v>0</v>
      </c>
      <c r="CI172" s="306">
        <v>0</v>
      </c>
      <c r="CJ172" s="306">
        <v>0</v>
      </c>
      <c r="CK172" s="306">
        <v>0</v>
      </c>
      <c r="CL172" s="306">
        <v>0</v>
      </c>
      <c r="CM172" s="306">
        <v>0</v>
      </c>
      <c r="CN172" s="306">
        <v>0</v>
      </c>
      <c r="CO172" s="306">
        <v>0</v>
      </c>
      <c r="CP172" s="306">
        <v>0</v>
      </c>
      <c r="CQ172" s="306">
        <v>0</v>
      </c>
      <c r="CR172" s="306">
        <v>0</v>
      </c>
      <c r="CS172" s="306">
        <v>0</v>
      </c>
      <c r="CT172" s="306">
        <v>0</v>
      </c>
      <c r="CU172" s="306">
        <v>0</v>
      </c>
      <c r="CV172" s="306">
        <v>0</v>
      </c>
      <c r="CW172" s="306">
        <v>0</v>
      </c>
      <c r="CX172" s="306">
        <v>0</v>
      </c>
    </row>
    <row r="173" spans="3:102" x14ac:dyDescent="0.25">
      <c r="C173" s="305">
        <v>53</v>
      </c>
      <c r="D173" s="306">
        <v>6.29</v>
      </c>
      <c r="E173" s="306">
        <v>6.51</v>
      </c>
      <c r="F173" s="306">
        <v>6.74</v>
      </c>
      <c r="G173" s="306">
        <v>6.96</v>
      </c>
      <c r="H173" s="306">
        <v>7.18</v>
      </c>
      <c r="I173" s="306">
        <v>7.39</v>
      </c>
      <c r="J173" s="306">
        <v>7.6</v>
      </c>
      <c r="K173" s="306">
        <v>7.83</v>
      </c>
      <c r="L173" s="306">
        <v>8.07</v>
      </c>
      <c r="M173" s="306">
        <v>8.34</v>
      </c>
      <c r="N173" s="306">
        <v>8.65</v>
      </c>
      <c r="O173" s="306">
        <v>8.9499999999999993</v>
      </c>
      <c r="P173" s="306">
        <v>9.25</v>
      </c>
      <c r="Q173" s="306">
        <v>9.5500000000000007</v>
      </c>
      <c r="R173" s="306">
        <v>9.83</v>
      </c>
      <c r="S173" s="306">
        <v>10.1</v>
      </c>
      <c r="T173" s="306">
        <v>10.35</v>
      </c>
      <c r="U173" s="306">
        <v>10.6</v>
      </c>
      <c r="V173" s="306">
        <v>10.84</v>
      </c>
      <c r="W173" s="306">
        <v>11.08</v>
      </c>
      <c r="X173" s="306">
        <v>11.32</v>
      </c>
      <c r="Y173" s="306">
        <v>11.55</v>
      </c>
      <c r="Z173" s="306">
        <v>11.79</v>
      </c>
      <c r="AA173" s="306">
        <v>12.01</v>
      </c>
      <c r="AB173" s="306">
        <v>12.22</v>
      </c>
      <c r="AC173" s="306">
        <v>12.43</v>
      </c>
      <c r="AD173" s="306">
        <v>12.61</v>
      </c>
      <c r="AE173" s="306">
        <v>12.79</v>
      </c>
      <c r="AF173" s="306">
        <v>12.95</v>
      </c>
      <c r="AG173" s="306">
        <v>13.1</v>
      </c>
      <c r="AH173" s="306">
        <v>13.24</v>
      </c>
      <c r="AI173" s="306">
        <v>13.36</v>
      </c>
      <c r="AJ173" s="306">
        <v>13.46</v>
      </c>
      <c r="AK173" s="306">
        <v>13.55</v>
      </c>
      <c r="AL173" s="306">
        <v>13.63</v>
      </c>
      <c r="AM173" s="306">
        <v>13.7</v>
      </c>
      <c r="AN173" s="306">
        <v>13.75</v>
      </c>
      <c r="AO173" s="306">
        <v>13.79</v>
      </c>
      <c r="AP173" s="306">
        <v>13.82</v>
      </c>
      <c r="AQ173" s="306">
        <v>13.84</v>
      </c>
      <c r="AR173" s="306">
        <v>13.86</v>
      </c>
      <c r="AS173" s="306">
        <v>13.87</v>
      </c>
      <c r="AT173" s="306">
        <v>13.88</v>
      </c>
      <c r="AU173" s="306">
        <v>13.89</v>
      </c>
      <c r="AV173" s="306">
        <v>13.89</v>
      </c>
      <c r="AW173" s="306">
        <v>13.89</v>
      </c>
      <c r="AX173" s="306">
        <v>13.89</v>
      </c>
      <c r="AY173" s="306">
        <v>0</v>
      </c>
      <c r="AZ173" s="306">
        <v>0</v>
      </c>
      <c r="BA173" s="306">
        <v>0</v>
      </c>
      <c r="BB173" s="306">
        <v>0</v>
      </c>
      <c r="BC173" s="306">
        <v>0</v>
      </c>
      <c r="BD173" s="306">
        <v>0</v>
      </c>
      <c r="BE173" s="306">
        <v>0</v>
      </c>
      <c r="BF173" s="306">
        <v>0</v>
      </c>
      <c r="BG173" s="306">
        <v>0</v>
      </c>
      <c r="BH173" s="306">
        <v>0</v>
      </c>
      <c r="BI173" s="306">
        <v>0</v>
      </c>
      <c r="BJ173" s="306">
        <v>0</v>
      </c>
      <c r="BK173" s="306">
        <v>0</v>
      </c>
      <c r="BL173" s="306">
        <v>0</v>
      </c>
      <c r="BM173" s="306">
        <v>0</v>
      </c>
      <c r="BN173" s="306">
        <v>0</v>
      </c>
      <c r="BO173" s="306">
        <v>0</v>
      </c>
      <c r="BP173" s="306">
        <v>0</v>
      </c>
      <c r="BQ173" s="306">
        <v>0</v>
      </c>
      <c r="BR173" s="306">
        <v>0</v>
      </c>
      <c r="BS173" s="306">
        <v>0</v>
      </c>
      <c r="BT173" s="306">
        <v>0</v>
      </c>
      <c r="BU173" s="306">
        <v>0</v>
      </c>
      <c r="BV173" s="306">
        <v>0</v>
      </c>
      <c r="BW173" s="306">
        <v>0</v>
      </c>
      <c r="BX173" s="306">
        <v>0</v>
      </c>
      <c r="BY173" s="306">
        <v>0</v>
      </c>
      <c r="BZ173" s="306">
        <v>0</v>
      </c>
      <c r="CA173" s="306">
        <v>0</v>
      </c>
      <c r="CB173" s="306">
        <v>0</v>
      </c>
      <c r="CC173" s="306">
        <v>0</v>
      </c>
      <c r="CD173" s="306">
        <v>0</v>
      </c>
      <c r="CE173" s="306">
        <v>0</v>
      </c>
      <c r="CF173" s="306">
        <v>0</v>
      </c>
      <c r="CG173" s="306">
        <v>0</v>
      </c>
      <c r="CH173" s="306">
        <v>0</v>
      </c>
      <c r="CI173" s="306">
        <v>0</v>
      </c>
      <c r="CJ173" s="306">
        <v>0</v>
      </c>
      <c r="CK173" s="306">
        <v>0</v>
      </c>
      <c r="CL173" s="306">
        <v>0</v>
      </c>
      <c r="CM173" s="306">
        <v>0</v>
      </c>
      <c r="CN173" s="306">
        <v>0</v>
      </c>
      <c r="CO173" s="306">
        <v>0</v>
      </c>
      <c r="CP173" s="306">
        <v>0</v>
      </c>
      <c r="CQ173" s="306">
        <v>0</v>
      </c>
      <c r="CR173" s="306">
        <v>0</v>
      </c>
      <c r="CS173" s="306">
        <v>0</v>
      </c>
      <c r="CT173" s="306">
        <v>0</v>
      </c>
      <c r="CU173" s="306">
        <v>0</v>
      </c>
      <c r="CV173" s="306">
        <v>0</v>
      </c>
      <c r="CW173" s="306">
        <v>0</v>
      </c>
      <c r="CX173" s="306">
        <v>0</v>
      </c>
    </row>
    <row r="174" spans="3:102" x14ac:dyDescent="0.25">
      <c r="C174" s="305">
        <v>54</v>
      </c>
      <c r="D174" s="306">
        <v>6.75</v>
      </c>
      <c r="E174" s="306">
        <v>6.98</v>
      </c>
      <c r="F174" s="306">
        <v>7.21</v>
      </c>
      <c r="G174" s="306">
        <v>7.43</v>
      </c>
      <c r="H174" s="306">
        <v>7.64</v>
      </c>
      <c r="I174" s="306">
        <v>7.85</v>
      </c>
      <c r="J174" s="306">
        <v>8.08</v>
      </c>
      <c r="K174" s="306">
        <v>8.33</v>
      </c>
      <c r="L174" s="306">
        <v>8.6199999999999992</v>
      </c>
      <c r="M174" s="306">
        <v>8.94</v>
      </c>
      <c r="N174" s="306">
        <v>9.2899999999999991</v>
      </c>
      <c r="O174" s="306">
        <v>9.64</v>
      </c>
      <c r="P174" s="306">
        <v>9.9700000000000006</v>
      </c>
      <c r="Q174" s="306">
        <v>10.29</v>
      </c>
      <c r="R174" s="306">
        <v>10.59</v>
      </c>
      <c r="S174" s="306">
        <v>10.88</v>
      </c>
      <c r="T174" s="306">
        <v>11.16</v>
      </c>
      <c r="U174" s="306">
        <v>11.43</v>
      </c>
      <c r="V174" s="306">
        <v>11.7</v>
      </c>
      <c r="W174" s="306">
        <v>11.97</v>
      </c>
      <c r="X174" s="306">
        <v>12.24</v>
      </c>
      <c r="Y174" s="306">
        <v>12.51</v>
      </c>
      <c r="Z174" s="306">
        <v>12.76</v>
      </c>
      <c r="AA174" s="306">
        <v>13.01</v>
      </c>
      <c r="AB174" s="306">
        <v>13.24</v>
      </c>
      <c r="AC174" s="306">
        <v>13.45</v>
      </c>
      <c r="AD174" s="306">
        <v>13.65</v>
      </c>
      <c r="AE174" s="306">
        <v>13.84</v>
      </c>
      <c r="AF174" s="306">
        <v>14.01</v>
      </c>
      <c r="AG174" s="306">
        <v>14.17</v>
      </c>
      <c r="AH174" s="306">
        <v>14.31</v>
      </c>
      <c r="AI174" s="306">
        <v>14.43</v>
      </c>
      <c r="AJ174" s="306">
        <v>14.53</v>
      </c>
      <c r="AK174" s="306">
        <v>14.62</v>
      </c>
      <c r="AL174" s="306">
        <v>14.7</v>
      </c>
      <c r="AM174" s="306">
        <v>14.76</v>
      </c>
      <c r="AN174" s="306">
        <v>14.8</v>
      </c>
      <c r="AO174" s="306">
        <v>14.84</v>
      </c>
      <c r="AP174" s="306">
        <v>14.87</v>
      </c>
      <c r="AQ174" s="306">
        <v>14.89</v>
      </c>
      <c r="AR174" s="306">
        <v>14.9</v>
      </c>
      <c r="AS174" s="306">
        <v>14.91</v>
      </c>
      <c r="AT174" s="306">
        <v>14.92</v>
      </c>
      <c r="AU174" s="306">
        <v>14.92</v>
      </c>
      <c r="AV174" s="306">
        <v>14.93</v>
      </c>
      <c r="AW174" s="306">
        <v>14.93</v>
      </c>
      <c r="AX174" s="306">
        <v>0</v>
      </c>
      <c r="AY174" s="306">
        <v>0</v>
      </c>
      <c r="AZ174" s="306">
        <v>0</v>
      </c>
      <c r="BA174" s="306">
        <v>0</v>
      </c>
      <c r="BB174" s="306">
        <v>0</v>
      </c>
      <c r="BC174" s="306">
        <v>0</v>
      </c>
      <c r="BD174" s="306">
        <v>0</v>
      </c>
      <c r="BE174" s="306">
        <v>0</v>
      </c>
      <c r="BF174" s="306">
        <v>0</v>
      </c>
      <c r="BG174" s="306">
        <v>0</v>
      </c>
      <c r="BH174" s="306">
        <v>0</v>
      </c>
      <c r="BI174" s="306">
        <v>0</v>
      </c>
      <c r="BJ174" s="306">
        <v>0</v>
      </c>
      <c r="BK174" s="306">
        <v>0</v>
      </c>
      <c r="BL174" s="306">
        <v>0</v>
      </c>
      <c r="BM174" s="306">
        <v>0</v>
      </c>
      <c r="BN174" s="306">
        <v>0</v>
      </c>
      <c r="BO174" s="306">
        <v>0</v>
      </c>
      <c r="BP174" s="306">
        <v>0</v>
      </c>
      <c r="BQ174" s="306">
        <v>0</v>
      </c>
      <c r="BR174" s="306">
        <v>0</v>
      </c>
      <c r="BS174" s="306">
        <v>0</v>
      </c>
      <c r="BT174" s="306">
        <v>0</v>
      </c>
      <c r="BU174" s="306">
        <v>0</v>
      </c>
      <c r="BV174" s="306">
        <v>0</v>
      </c>
      <c r="BW174" s="306">
        <v>0</v>
      </c>
      <c r="BX174" s="306">
        <v>0</v>
      </c>
      <c r="BY174" s="306">
        <v>0</v>
      </c>
      <c r="BZ174" s="306">
        <v>0</v>
      </c>
      <c r="CA174" s="306">
        <v>0</v>
      </c>
      <c r="CB174" s="306">
        <v>0</v>
      </c>
      <c r="CC174" s="306">
        <v>0</v>
      </c>
      <c r="CD174" s="306">
        <v>0</v>
      </c>
      <c r="CE174" s="306">
        <v>0</v>
      </c>
      <c r="CF174" s="306">
        <v>0</v>
      </c>
      <c r="CG174" s="306">
        <v>0</v>
      </c>
      <c r="CH174" s="306">
        <v>0</v>
      </c>
      <c r="CI174" s="306">
        <v>0</v>
      </c>
      <c r="CJ174" s="306">
        <v>0</v>
      </c>
      <c r="CK174" s="306">
        <v>0</v>
      </c>
      <c r="CL174" s="306">
        <v>0</v>
      </c>
      <c r="CM174" s="306">
        <v>0</v>
      </c>
      <c r="CN174" s="306">
        <v>0</v>
      </c>
      <c r="CO174" s="306">
        <v>0</v>
      </c>
      <c r="CP174" s="306">
        <v>0</v>
      </c>
      <c r="CQ174" s="306">
        <v>0</v>
      </c>
      <c r="CR174" s="306">
        <v>0</v>
      </c>
      <c r="CS174" s="306">
        <v>0</v>
      </c>
      <c r="CT174" s="306">
        <v>0</v>
      </c>
      <c r="CU174" s="306">
        <v>0</v>
      </c>
      <c r="CV174" s="306">
        <v>0</v>
      </c>
      <c r="CW174" s="306">
        <v>0</v>
      </c>
      <c r="CX174" s="306">
        <v>0</v>
      </c>
    </row>
    <row r="175" spans="3:102" x14ac:dyDescent="0.25">
      <c r="C175" s="305">
        <v>55</v>
      </c>
      <c r="D175" s="306">
        <v>7.22</v>
      </c>
      <c r="E175" s="306">
        <v>7.45</v>
      </c>
      <c r="F175" s="306">
        <v>7.67</v>
      </c>
      <c r="G175" s="306">
        <v>7.88</v>
      </c>
      <c r="H175" s="306">
        <v>8.1</v>
      </c>
      <c r="I175" s="306">
        <v>8.34</v>
      </c>
      <c r="J175" s="306">
        <v>8.6</v>
      </c>
      <c r="K175" s="306">
        <v>8.89</v>
      </c>
      <c r="L175" s="306">
        <v>9.23</v>
      </c>
      <c r="M175" s="306">
        <v>9.6</v>
      </c>
      <c r="N175" s="306">
        <v>10</v>
      </c>
      <c r="O175" s="306">
        <v>10.39</v>
      </c>
      <c r="P175" s="306">
        <v>10.75</v>
      </c>
      <c r="Q175" s="306">
        <v>11.09</v>
      </c>
      <c r="R175" s="306">
        <v>11.42</v>
      </c>
      <c r="S175" s="306">
        <v>11.74</v>
      </c>
      <c r="T175" s="306">
        <v>12.04</v>
      </c>
      <c r="U175" s="306">
        <v>12.35</v>
      </c>
      <c r="V175" s="306">
        <v>12.66</v>
      </c>
      <c r="W175" s="306">
        <v>12.97</v>
      </c>
      <c r="X175" s="306">
        <v>13.27</v>
      </c>
      <c r="Y175" s="306">
        <v>13.56</v>
      </c>
      <c r="Z175" s="306">
        <v>13.84</v>
      </c>
      <c r="AA175" s="306">
        <v>14.1</v>
      </c>
      <c r="AB175" s="306">
        <v>14.35</v>
      </c>
      <c r="AC175" s="306">
        <v>14.58</v>
      </c>
      <c r="AD175" s="306">
        <v>14.79</v>
      </c>
      <c r="AE175" s="306">
        <v>14.99</v>
      </c>
      <c r="AF175" s="306">
        <v>15.17</v>
      </c>
      <c r="AG175" s="306">
        <v>15.33</v>
      </c>
      <c r="AH175" s="306">
        <v>15.47</v>
      </c>
      <c r="AI175" s="306">
        <v>15.59</v>
      </c>
      <c r="AJ175" s="306">
        <v>15.69</v>
      </c>
      <c r="AK175" s="306">
        <v>15.78</v>
      </c>
      <c r="AL175" s="306">
        <v>15.85</v>
      </c>
      <c r="AM175" s="306">
        <v>15.9</v>
      </c>
      <c r="AN175" s="306">
        <v>15.94</v>
      </c>
      <c r="AO175" s="306">
        <v>15.97</v>
      </c>
      <c r="AP175" s="306">
        <v>16</v>
      </c>
      <c r="AQ175" s="306">
        <v>16.010000000000002</v>
      </c>
      <c r="AR175" s="306">
        <v>16.03</v>
      </c>
      <c r="AS175" s="306">
        <v>16.03</v>
      </c>
      <c r="AT175" s="306">
        <v>16.04</v>
      </c>
      <c r="AU175" s="306">
        <v>16.04</v>
      </c>
      <c r="AV175" s="306">
        <v>16.04</v>
      </c>
      <c r="AW175" s="306">
        <v>0</v>
      </c>
      <c r="AX175" s="306">
        <v>0</v>
      </c>
      <c r="AY175" s="306">
        <v>0</v>
      </c>
      <c r="AZ175" s="306">
        <v>0</v>
      </c>
      <c r="BA175" s="306">
        <v>0</v>
      </c>
      <c r="BB175" s="306">
        <v>0</v>
      </c>
      <c r="BC175" s="306">
        <v>0</v>
      </c>
      <c r="BD175" s="306">
        <v>0</v>
      </c>
      <c r="BE175" s="306">
        <v>0</v>
      </c>
      <c r="BF175" s="306">
        <v>0</v>
      </c>
      <c r="BG175" s="306">
        <v>0</v>
      </c>
      <c r="BH175" s="306">
        <v>0</v>
      </c>
      <c r="BI175" s="306">
        <v>0</v>
      </c>
      <c r="BJ175" s="306">
        <v>0</v>
      </c>
      <c r="BK175" s="306">
        <v>0</v>
      </c>
      <c r="BL175" s="306">
        <v>0</v>
      </c>
      <c r="BM175" s="306">
        <v>0</v>
      </c>
      <c r="BN175" s="306">
        <v>0</v>
      </c>
      <c r="BO175" s="306">
        <v>0</v>
      </c>
      <c r="BP175" s="306">
        <v>0</v>
      </c>
      <c r="BQ175" s="306">
        <v>0</v>
      </c>
      <c r="BR175" s="306">
        <v>0</v>
      </c>
      <c r="BS175" s="306">
        <v>0</v>
      </c>
      <c r="BT175" s="306">
        <v>0</v>
      </c>
      <c r="BU175" s="306">
        <v>0</v>
      </c>
      <c r="BV175" s="306">
        <v>0</v>
      </c>
      <c r="BW175" s="306">
        <v>0</v>
      </c>
      <c r="BX175" s="306">
        <v>0</v>
      </c>
      <c r="BY175" s="306">
        <v>0</v>
      </c>
      <c r="BZ175" s="306">
        <v>0</v>
      </c>
      <c r="CA175" s="306">
        <v>0</v>
      </c>
      <c r="CB175" s="306">
        <v>0</v>
      </c>
      <c r="CC175" s="306">
        <v>0</v>
      </c>
      <c r="CD175" s="306">
        <v>0</v>
      </c>
      <c r="CE175" s="306">
        <v>0</v>
      </c>
      <c r="CF175" s="306">
        <v>0</v>
      </c>
      <c r="CG175" s="306">
        <v>0</v>
      </c>
      <c r="CH175" s="306">
        <v>0</v>
      </c>
      <c r="CI175" s="306">
        <v>0</v>
      </c>
      <c r="CJ175" s="306">
        <v>0</v>
      </c>
      <c r="CK175" s="306">
        <v>0</v>
      </c>
      <c r="CL175" s="306">
        <v>0</v>
      </c>
      <c r="CM175" s="306">
        <v>0</v>
      </c>
      <c r="CN175" s="306">
        <v>0</v>
      </c>
      <c r="CO175" s="306">
        <v>0</v>
      </c>
      <c r="CP175" s="306">
        <v>0</v>
      </c>
      <c r="CQ175" s="306">
        <v>0</v>
      </c>
      <c r="CR175" s="306">
        <v>0</v>
      </c>
      <c r="CS175" s="306">
        <v>0</v>
      </c>
      <c r="CT175" s="306">
        <v>0</v>
      </c>
      <c r="CU175" s="306">
        <v>0</v>
      </c>
      <c r="CV175" s="306">
        <v>0</v>
      </c>
      <c r="CW175" s="306">
        <v>0</v>
      </c>
      <c r="CX175" s="306">
        <v>0</v>
      </c>
    </row>
    <row r="176" spans="3:102" x14ac:dyDescent="0.25">
      <c r="C176" s="305">
        <v>56</v>
      </c>
      <c r="D176" s="306">
        <v>7.69</v>
      </c>
      <c r="E176" s="306">
        <v>7.9</v>
      </c>
      <c r="F176" s="306">
        <v>8.1199999999999992</v>
      </c>
      <c r="G176" s="306">
        <v>8.34</v>
      </c>
      <c r="H176" s="306">
        <v>8.58</v>
      </c>
      <c r="I176" s="306">
        <v>8.86</v>
      </c>
      <c r="J176" s="306">
        <v>9.17</v>
      </c>
      <c r="K176" s="306">
        <v>9.52</v>
      </c>
      <c r="L176" s="306">
        <v>9.92</v>
      </c>
      <c r="M176" s="306">
        <v>10.34</v>
      </c>
      <c r="N176" s="306">
        <v>10.79</v>
      </c>
      <c r="O176" s="306">
        <v>11.21</v>
      </c>
      <c r="P176" s="306">
        <v>11.6</v>
      </c>
      <c r="Q176" s="306">
        <v>11.97</v>
      </c>
      <c r="R176" s="306">
        <v>12.33</v>
      </c>
      <c r="S176" s="306">
        <v>12.68</v>
      </c>
      <c r="T176" s="306">
        <v>13.03</v>
      </c>
      <c r="U176" s="306">
        <v>13.38</v>
      </c>
      <c r="V176" s="306">
        <v>13.73</v>
      </c>
      <c r="W176" s="306">
        <v>14.07</v>
      </c>
      <c r="X176" s="306">
        <v>14.4</v>
      </c>
      <c r="Y176" s="306">
        <v>14.72</v>
      </c>
      <c r="Z176" s="306">
        <v>15.02</v>
      </c>
      <c r="AA176" s="306">
        <v>15.31</v>
      </c>
      <c r="AB176" s="306">
        <v>15.57</v>
      </c>
      <c r="AC176" s="306">
        <v>15.81</v>
      </c>
      <c r="AD176" s="306">
        <v>16.04</v>
      </c>
      <c r="AE176" s="306">
        <v>16.25</v>
      </c>
      <c r="AF176" s="306">
        <v>16.43</v>
      </c>
      <c r="AG176" s="306">
        <v>16.59</v>
      </c>
      <c r="AH176" s="306">
        <v>16.73</v>
      </c>
      <c r="AI176" s="306">
        <v>16.850000000000001</v>
      </c>
      <c r="AJ176" s="306">
        <v>16.95</v>
      </c>
      <c r="AK176" s="306">
        <v>17.03</v>
      </c>
      <c r="AL176" s="306">
        <v>17.09</v>
      </c>
      <c r="AM176" s="306">
        <v>17.14</v>
      </c>
      <c r="AN176" s="306">
        <v>17.170000000000002</v>
      </c>
      <c r="AO176" s="306">
        <v>17.2</v>
      </c>
      <c r="AP176" s="306">
        <v>17.22</v>
      </c>
      <c r="AQ176" s="306">
        <v>17.23</v>
      </c>
      <c r="AR176" s="306">
        <v>17.239999999999998</v>
      </c>
      <c r="AS176" s="306">
        <v>17.25</v>
      </c>
      <c r="AT176" s="306">
        <v>17.260000000000002</v>
      </c>
      <c r="AU176" s="306">
        <v>17.260000000000002</v>
      </c>
      <c r="AV176" s="306">
        <v>0</v>
      </c>
      <c r="AW176" s="306">
        <v>0</v>
      </c>
      <c r="AX176" s="306">
        <v>0</v>
      </c>
      <c r="AY176" s="306">
        <v>0</v>
      </c>
      <c r="AZ176" s="306">
        <v>0</v>
      </c>
      <c r="BA176" s="306">
        <v>0</v>
      </c>
      <c r="BB176" s="306">
        <v>0</v>
      </c>
      <c r="BC176" s="306">
        <v>0</v>
      </c>
      <c r="BD176" s="306">
        <v>0</v>
      </c>
      <c r="BE176" s="306">
        <v>0</v>
      </c>
      <c r="BF176" s="306">
        <v>0</v>
      </c>
      <c r="BG176" s="306">
        <v>0</v>
      </c>
      <c r="BH176" s="306">
        <v>0</v>
      </c>
      <c r="BI176" s="306">
        <v>0</v>
      </c>
      <c r="BJ176" s="306">
        <v>0</v>
      </c>
      <c r="BK176" s="306">
        <v>0</v>
      </c>
      <c r="BL176" s="306">
        <v>0</v>
      </c>
      <c r="BM176" s="306">
        <v>0</v>
      </c>
      <c r="BN176" s="306">
        <v>0</v>
      </c>
      <c r="BO176" s="306">
        <v>0</v>
      </c>
      <c r="BP176" s="306">
        <v>0</v>
      </c>
      <c r="BQ176" s="306">
        <v>0</v>
      </c>
      <c r="BR176" s="306">
        <v>0</v>
      </c>
      <c r="BS176" s="306">
        <v>0</v>
      </c>
      <c r="BT176" s="306">
        <v>0</v>
      </c>
      <c r="BU176" s="306">
        <v>0</v>
      </c>
      <c r="BV176" s="306">
        <v>0</v>
      </c>
      <c r="BW176" s="306">
        <v>0</v>
      </c>
      <c r="BX176" s="306">
        <v>0</v>
      </c>
      <c r="BY176" s="306">
        <v>0</v>
      </c>
      <c r="BZ176" s="306">
        <v>0</v>
      </c>
      <c r="CA176" s="306">
        <v>0</v>
      </c>
      <c r="CB176" s="306">
        <v>0</v>
      </c>
      <c r="CC176" s="306">
        <v>0</v>
      </c>
      <c r="CD176" s="306">
        <v>0</v>
      </c>
      <c r="CE176" s="306">
        <v>0</v>
      </c>
      <c r="CF176" s="306">
        <v>0</v>
      </c>
      <c r="CG176" s="306">
        <v>0</v>
      </c>
      <c r="CH176" s="306">
        <v>0</v>
      </c>
      <c r="CI176" s="306">
        <v>0</v>
      </c>
      <c r="CJ176" s="306">
        <v>0</v>
      </c>
      <c r="CK176" s="306">
        <v>0</v>
      </c>
      <c r="CL176" s="306">
        <v>0</v>
      </c>
      <c r="CM176" s="306">
        <v>0</v>
      </c>
      <c r="CN176" s="306">
        <v>0</v>
      </c>
      <c r="CO176" s="306">
        <v>0</v>
      </c>
      <c r="CP176" s="306">
        <v>0</v>
      </c>
      <c r="CQ176" s="306">
        <v>0</v>
      </c>
      <c r="CR176" s="306">
        <v>0</v>
      </c>
      <c r="CS176" s="306">
        <v>0</v>
      </c>
      <c r="CT176" s="306">
        <v>0</v>
      </c>
      <c r="CU176" s="306">
        <v>0</v>
      </c>
      <c r="CV176" s="306">
        <v>0</v>
      </c>
      <c r="CW176" s="306">
        <v>0</v>
      </c>
      <c r="CX176" s="306">
        <v>0</v>
      </c>
    </row>
    <row r="177" spans="3:102" x14ac:dyDescent="0.25">
      <c r="C177" s="305">
        <v>57</v>
      </c>
      <c r="D177" s="306">
        <v>8.1300000000000008</v>
      </c>
      <c r="E177" s="306">
        <v>8.35</v>
      </c>
      <c r="F177" s="306">
        <v>8.58</v>
      </c>
      <c r="G177" s="306">
        <v>8.83</v>
      </c>
      <c r="H177" s="306">
        <v>9.1199999999999992</v>
      </c>
      <c r="I177" s="306">
        <v>9.4499999999999993</v>
      </c>
      <c r="J177" s="306">
        <v>9.83</v>
      </c>
      <c r="K177" s="306">
        <v>10.25</v>
      </c>
      <c r="L177" s="306">
        <v>10.7</v>
      </c>
      <c r="M177" s="306">
        <v>11.17</v>
      </c>
      <c r="N177" s="306">
        <v>11.66</v>
      </c>
      <c r="O177" s="306">
        <v>12.11</v>
      </c>
      <c r="P177" s="306">
        <v>12.53</v>
      </c>
      <c r="Q177" s="306">
        <v>12.94</v>
      </c>
      <c r="R177" s="306">
        <v>13.34</v>
      </c>
      <c r="S177" s="306">
        <v>13.73</v>
      </c>
      <c r="T177" s="306">
        <v>14.13</v>
      </c>
      <c r="U177" s="306">
        <v>14.53</v>
      </c>
      <c r="V177" s="306">
        <v>14.92</v>
      </c>
      <c r="W177" s="306">
        <v>15.3</v>
      </c>
      <c r="X177" s="306">
        <v>15.66</v>
      </c>
      <c r="Y177" s="306">
        <v>16.010000000000002</v>
      </c>
      <c r="Z177" s="306">
        <v>16.329999999999998</v>
      </c>
      <c r="AA177" s="306">
        <v>16.63</v>
      </c>
      <c r="AB177" s="306">
        <v>16.91</v>
      </c>
      <c r="AC177" s="306">
        <v>17.170000000000002</v>
      </c>
      <c r="AD177" s="306">
        <v>17.41</v>
      </c>
      <c r="AE177" s="306">
        <v>17.62</v>
      </c>
      <c r="AF177" s="306">
        <v>17.809999999999999</v>
      </c>
      <c r="AG177" s="306">
        <v>17.97</v>
      </c>
      <c r="AH177" s="306">
        <v>18.11</v>
      </c>
      <c r="AI177" s="306">
        <v>18.22</v>
      </c>
      <c r="AJ177" s="306">
        <v>18.309999999999999</v>
      </c>
      <c r="AK177" s="306">
        <v>18.38</v>
      </c>
      <c r="AL177" s="306">
        <v>18.440000000000001</v>
      </c>
      <c r="AM177" s="306">
        <v>18.48</v>
      </c>
      <c r="AN177" s="306">
        <v>18.510000000000002</v>
      </c>
      <c r="AO177" s="306">
        <v>18.54</v>
      </c>
      <c r="AP177" s="306">
        <v>18.55</v>
      </c>
      <c r="AQ177" s="306">
        <v>18.559999999999999</v>
      </c>
      <c r="AR177" s="306">
        <v>18.57</v>
      </c>
      <c r="AS177" s="306">
        <v>18.57</v>
      </c>
      <c r="AT177" s="306">
        <v>18.57</v>
      </c>
      <c r="AU177" s="306">
        <v>0</v>
      </c>
      <c r="AV177" s="306">
        <v>0</v>
      </c>
      <c r="AW177" s="306">
        <v>0</v>
      </c>
      <c r="AX177" s="306">
        <v>0</v>
      </c>
      <c r="AY177" s="306">
        <v>0</v>
      </c>
      <c r="AZ177" s="306">
        <v>0</v>
      </c>
      <c r="BA177" s="306">
        <v>0</v>
      </c>
      <c r="BB177" s="306">
        <v>0</v>
      </c>
      <c r="BC177" s="306">
        <v>0</v>
      </c>
      <c r="BD177" s="306">
        <v>0</v>
      </c>
      <c r="BE177" s="306">
        <v>0</v>
      </c>
      <c r="BF177" s="306">
        <v>0</v>
      </c>
      <c r="BG177" s="306">
        <v>0</v>
      </c>
      <c r="BH177" s="306">
        <v>0</v>
      </c>
      <c r="BI177" s="306">
        <v>0</v>
      </c>
      <c r="BJ177" s="306">
        <v>0</v>
      </c>
      <c r="BK177" s="306">
        <v>0</v>
      </c>
      <c r="BL177" s="306">
        <v>0</v>
      </c>
      <c r="BM177" s="306">
        <v>0</v>
      </c>
      <c r="BN177" s="306">
        <v>0</v>
      </c>
      <c r="BO177" s="306">
        <v>0</v>
      </c>
      <c r="BP177" s="306">
        <v>0</v>
      </c>
      <c r="BQ177" s="306">
        <v>0</v>
      </c>
      <c r="BR177" s="306">
        <v>0</v>
      </c>
      <c r="BS177" s="306">
        <v>0</v>
      </c>
      <c r="BT177" s="306">
        <v>0</v>
      </c>
      <c r="BU177" s="306">
        <v>0</v>
      </c>
      <c r="BV177" s="306">
        <v>0</v>
      </c>
      <c r="BW177" s="306">
        <v>0</v>
      </c>
      <c r="BX177" s="306">
        <v>0</v>
      </c>
      <c r="BY177" s="306">
        <v>0</v>
      </c>
      <c r="BZ177" s="306">
        <v>0</v>
      </c>
      <c r="CA177" s="306">
        <v>0</v>
      </c>
      <c r="CB177" s="306">
        <v>0</v>
      </c>
      <c r="CC177" s="306">
        <v>0</v>
      </c>
      <c r="CD177" s="306">
        <v>0</v>
      </c>
      <c r="CE177" s="306">
        <v>0</v>
      </c>
      <c r="CF177" s="306">
        <v>0</v>
      </c>
      <c r="CG177" s="306">
        <v>0</v>
      </c>
      <c r="CH177" s="306">
        <v>0</v>
      </c>
      <c r="CI177" s="306">
        <v>0</v>
      </c>
      <c r="CJ177" s="306">
        <v>0</v>
      </c>
      <c r="CK177" s="306">
        <v>0</v>
      </c>
      <c r="CL177" s="306">
        <v>0</v>
      </c>
      <c r="CM177" s="306">
        <v>0</v>
      </c>
      <c r="CN177" s="306">
        <v>0</v>
      </c>
      <c r="CO177" s="306">
        <v>0</v>
      </c>
      <c r="CP177" s="306">
        <v>0</v>
      </c>
      <c r="CQ177" s="306">
        <v>0</v>
      </c>
      <c r="CR177" s="306">
        <v>0</v>
      </c>
      <c r="CS177" s="306">
        <v>0</v>
      </c>
      <c r="CT177" s="306">
        <v>0</v>
      </c>
      <c r="CU177" s="306">
        <v>0</v>
      </c>
      <c r="CV177" s="306">
        <v>0</v>
      </c>
      <c r="CW177" s="306">
        <v>0</v>
      </c>
      <c r="CX177" s="306">
        <v>0</v>
      </c>
    </row>
    <row r="178" spans="3:102" x14ac:dyDescent="0.25">
      <c r="C178" s="305">
        <v>58</v>
      </c>
      <c r="D178" s="306">
        <v>8.57</v>
      </c>
      <c r="E178" s="306">
        <v>8.81</v>
      </c>
      <c r="F178" s="306">
        <v>9.08</v>
      </c>
      <c r="G178" s="306">
        <v>9.39</v>
      </c>
      <c r="H178" s="306">
        <v>9.75</v>
      </c>
      <c r="I178" s="306">
        <v>10.15</v>
      </c>
      <c r="J178" s="306">
        <v>10.6</v>
      </c>
      <c r="K178" s="306">
        <v>11.08</v>
      </c>
      <c r="L178" s="306">
        <v>11.58</v>
      </c>
      <c r="M178" s="306">
        <v>12.1</v>
      </c>
      <c r="N178" s="306">
        <v>12.62</v>
      </c>
      <c r="O178" s="306">
        <v>13.1</v>
      </c>
      <c r="P178" s="306">
        <v>13.57</v>
      </c>
      <c r="Q178" s="306">
        <v>14.02</v>
      </c>
      <c r="R178" s="306">
        <v>14.47</v>
      </c>
      <c r="S178" s="306">
        <v>14.92</v>
      </c>
      <c r="T178" s="306">
        <v>15.37</v>
      </c>
      <c r="U178" s="306">
        <v>15.82</v>
      </c>
      <c r="V178" s="306">
        <v>16.260000000000002</v>
      </c>
      <c r="W178" s="306">
        <v>16.670000000000002</v>
      </c>
      <c r="X178" s="306">
        <v>17.07</v>
      </c>
      <c r="Y178" s="306">
        <v>17.440000000000001</v>
      </c>
      <c r="Z178" s="306">
        <v>17.78</v>
      </c>
      <c r="AA178" s="306">
        <v>18.100000000000001</v>
      </c>
      <c r="AB178" s="306">
        <v>18.399999999999999</v>
      </c>
      <c r="AC178" s="306">
        <v>18.670000000000002</v>
      </c>
      <c r="AD178" s="306">
        <v>18.920000000000002</v>
      </c>
      <c r="AE178" s="306">
        <v>19.13</v>
      </c>
      <c r="AF178" s="306">
        <v>19.32</v>
      </c>
      <c r="AG178" s="306">
        <v>19.48</v>
      </c>
      <c r="AH178" s="306">
        <v>19.61</v>
      </c>
      <c r="AI178" s="306">
        <v>19.71</v>
      </c>
      <c r="AJ178" s="306">
        <v>19.8</v>
      </c>
      <c r="AK178" s="306">
        <v>19.86</v>
      </c>
      <c r="AL178" s="306">
        <v>19.91</v>
      </c>
      <c r="AM178" s="306">
        <v>19.95</v>
      </c>
      <c r="AN178" s="306">
        <v>19.97</v>
      </c>
      <c r="AO178" s="306">
        <v>19.989999999999998</v>
      </c>
      <c r="AP178" s="306">
        <v>20</v>
      </c>
      <c r="AQ178" s="306">
        <v>20.010000000000002</v>
      </c>
      <c r="AR178" s="306">
        <v>20.02</v>
      </c>
      <c r="AS178" s="306">
        <v>20.02</v>
      </c>
      <c r="AT178" s="306">
        <v>0</v>
      </c>
      <c r="AU178" s="306">
        <v>0</v>
      </c>
      <c r="AV178" s="306">
        <v>0</v>
      </c>
      <c r="AW178" s="306">
        <v>0</v>
      </c>
      <c r="AX178" s="306">
        <v>0</v>
      </c>
      <c r="AY178" s="306">
        <v>0</v>
      </c>
      <c r="AZ178" s="306">
        <v>0</v>
      </c>
      <c r="BA178" s="306">
        <v>0</v>
      </c>
      <c r="BB178" s="306">
        <v>0</v>
      </c>
      <c r="BC178" s="306">
        <v>0</v>
      </c>
      <c r="BD178" s="306">
        <v>0</v>
      </c>
      <c r="BE178" s="306">
        <v>0</v>
      </c>
      <c r="BF178" s="306">
        <v>0</v>
      </c>
      <c r="BG178" s="306">
        <v>0</v>
      </c>
      <c r="BH178" s="306">
        <v>0</v>
      </c>
      <c r="BI178" s="306">
        <v>0</v>
      </c>
      <c r="BJ178" s="306">
        <v>0</v>
      </c>
      <c r="BK178" s="306">
        <v>0</v>
      </c>
      <c r="BL178" s="306">
        <v>0</v>
      </c>
      <c r="BM178" s="306">
        <v>0</v>
      </c>
      <c r="BN178" s="306">
        <v>0</v>
      </c>
      <c r="BO178" s="306">
        <v>0</v>
      </c>
      <c r="BP178" s="306">
        <v>0</v>
      </c>
      <c r="BQ178" s="306">
        <v>0</v>
      </c>
      <c r="BR178" s="306">
        <v>0</v>
      </c>
      <c r="BS178" s="306">
        <v>0</v>
      </c>
      <c r="BT178" s="306">
        <v>0</v>
      </c>
      <c r="BU178" s="306">
        <v>0</v>
      </c>
      <c r="BV178" s="306">
        <v>0</v>
      </c>
      <c r="BW178" s="306">
        <v>0</v>
      </c>
      <c r="BX178" s="306">
        <v>0</v>
      </c>
      <c r="BY178" s="306">
        <v>0</v>
      </c>
      <c r="BZ178" s="306">
        <v>0</v>
      </c>
      <c r="CA178" s="306">
        <v>0</v>
      </c>
      <c r="CB178" s="306">
        <v>0</v>
      </c>
      <c r="CC178" s="306">
        <v>0</v>
      </c>
      <c r="CD178" s="306">
        <v>0</v>
      </c>
      <c r="CE178" s="306">
        <v>0</v>
      </c>
      <c r="CF178" s="306">
        <v>0</v>
      </c>
      <c r="CG178" s="306">
        <v>0</v>
      </c>
      <c r="CH178" s="306">
        <v>0</v>
      </c>
      <c r="CI178" s="306">
        <v>0</v>
      </c>
      <c r="CJ178" s="306">
        <v>0</v>
      </c>
      <c r="CK178" s="306">
        <v>0</v>
      </c>
      <c r="CL178" s="306">
        <v>0</v>
      </c>
      <c r="CM178" s="306">
        <v>0</v>
      </c>
      <c r="CN178" s="306">
        <v>0</v>
      </c>
      <c r="CO178" s="306">
        <v>0</v>
      </c>
      <c r="CP178" s="306">
        <v>0</v>
      </c>
      <c r="CQ178" s="306">
        <v>0</v>
      </c>
      <c r="CR178" s="306">
        <v>0</v>
      </c>
      <c r="CS178" s="306">
        <v>0</v>
      </c>
      <c r="CT178" s="306">
        <v>0</v>
      </c>
      <c r="CU178" s="306">
        <v>0</v>
      </c>
      <c r="CV178" s="306">
        <v>0</v>
      </c>
      <c r="CW178" s="306">
        <v>0</v>
      </c>
      <c r="CX178" s="306">
        <v>0</v>
      </c>
    </row>
    <row r="179" spans="3:102" x14ac:dyDescent="0.25">
      <c r="C179" s="305">
        <v>59</v>
      </c>
      <c r="D179" s="306">
        <v>9.07</v>
      </c>
      <c r="E179" s="306">
        <v>9.35</v>
      </c>
      <c r="F179" s="306">
        <v>9.69</v>
      </c>
      <c r="G179" s="306">
        <v>10.07</v>
      </c>
      <c r="H179" s="306">
        <v>10.51</v>
      </c>
      <c r="I179" s="306">
        <v>10.99</v>
      </c>
      <c r="J179" s="306">
        <v>11.5</v>
      </c>
      <c r="K179" s="306">
        <v>12.03</v>
      </c>
      <c r="L179" s="306">
        <v>12.58</v>
      </c>
      <c r="M179" s="306">
        <v>13.12</v>
      </c>
      <c r="N179" s="306">
        <v>13.68</v>
      </c>
      <c r="O179" s="306">
        <v>14.21</v>
      </c>
      <c r="P179" s="306">
        <v>14.73</v>
      </c>
      <c r="Q179" s="306">
        <v>15.24</v>
      </c>
      <c r="R179" s="306">
        <v>15.76</v>
      </c>
      <c r="S179" s="306">
        <v>16.27</v>
      </c>
      <c r="T179" s="306">
        <v>16.78</v>
      </c>
      <c r="U179" s="306">
        <v>17.28</v>
      </c>
      <c r="V179" s="306">
        <v>17.75</v>
      </c>
      <c r="W179" s="306">
        <v>18.2</v>
      </c>
      <c r="X179" s="306">
        <v>18.63</v>
      </c>
      <c r="Y179" s="306">
        <v>19.02</v>
      </c>
      <c r="Z179" s="306">
        <v>19.39</v>
      </c>
      <c r="AA179" s="306">
        <v>19.73</v>
      </c>
      <c r="AB179" s="306">
        <v>20.05</v>
      </c>
      <c r="AC179" s="306">
        <v>20.329999999999998</v>
      </c>
      <c r="AD179" s="306">
        <v>20.58</v>
      </c>
      <c r="AE179" s="306">
        <v>20.79</v>
      </c>
      <c r="AF179" s="306">
        <v>20.97</v>
      </c>
      <c r="AG179" s="306">
        <v>21.12</v>
      </c>
      <c r="AH179" s="306">
        <v>21.25</v>
      </c>
      <c r="AI179" s="306">
        <v>21.34</v>
      </c>
      <c r="AJ179" s="306">
        <v>21.42</v>
      </c>
      <c r="AK179" s="306">
        <v>21.48</v>
      </c>
      <c r="AL179" s="306">
        <v>21.52</v>
      </c>
      <c r="AM179" s="306">
        <v>21.55</v>
      </c>
      <c r="AN179" s="306">
        <v>21.57</v>
      </c>
      <c r="AO179" s="306">
        <v>21.59</v>
      </c>
      <c r="AP179" s="306">
        <v>21.6</v>
      </c>
      <c r="AQ179" s="306">
        <v>21.6</v>
      </c>
      <c r="AR179" s="306">
        <v>21.6</v>
      </c>
      <c r="AS179" s="306">
        <v>0</v>
      </c>
      <c r="AT179" s="306">
        <v>0</v>
      </c>
      <c r="AU179" s="306">
        <v>0</v>
      </c>
      <c r="AV179" s="306">
        <v>0</v>
      </c>
      <c r="AW179" s="306">
        <v>0</v>
      </c>
      <c r="AX179" s="306">
        <v>0</v>
      </c>
      <c r="AY179" s="306">
        <v>0</v>
      </c>
      <c r="AZ179" s="306">
        <v>0</v>
      </c>
      <c r="BA179" s="306">
        <v>0</v>
      </c>
      <c r="BB179" s="306">
        <v>0</v>
      </c>
      <c r="BC179" s="306">
        <v>0</v>
      </c>
      <c r="BD179" s="306">
        <v>0</v>
      </c>
      <c r="BE179" s="306">
        <v>0</v>
      </c>
      <c r="BF179" s="306">
        <v>0</v>
      </c>
      <c r="BG179" s="306">
        <v>0</v>
      </c>
      <c r="BH179" s="306">
        <v>0</v>
      </c>
      <c r="BI179" s="306">
        <v>0</v>
      </c>
      <c r="BJ179" s="306">
        <v>0</v>
      </c>
      <c r="BK179" s="306">
        <v>0</v>
      </c>
      <c r="BL179" s="306">
        <v>0</v>
      </c>
      <c r="BM179" s="306">
        <v>0</v>
      </c>
      <c r="BN179" s="306">
        <v>0</v>
      </c>
      <c r="BO179" s="306">
        <v>0</v>
      </c>
      <c r="BP179" s="306">
        <v>0</v>
      </c>
      <c r="BQ179" s="306">
        <v>0</v>
      </c>
      <c r="BR179" s="306">
        <v>0</v>
      </c>
      <c r="BS179" s="306">
        <v>0</v>
      </c>
      <c r="BT179" s="306">
        <v>0</v>
      </c>
      <c r="BU179" s="306">
        <v>0</v>
      </c>
      <c r="BV179" s="306">
        <v>0</v>
      </c>
      <c r="BW179" s="306">
        <v>0</v>
      </c>
      <c r="BX179" s="306">
        <v>0</v>
      </c>
      <c r="BY179" s="306">
        <v>0</v>
      </c>
      <c r="BZ179" s="306">
        <v>0</v>
      </c>
      <c r="CA179" s="306">
        <v>0</v>
      </c>
      <c r="CB179" s="306">
        <v>0</v>
      </c>
      <c r="CC179" s="306">
        <v>0</v>
      </c>
      <c r="CD179" s="306">
        <v>0</v>
      </c>
      <c r="CE179" s="306">
        <v>0</v>
      </c>
      <c r="CF179" s="306">
        <v>0</v>
      </c>
      <c r="CG179" s="306">
        <v>0</v>
      </c>
      <c r="CH179" s="306">
        <v>0</v>
      </c>
      <c r="CI179" s="306">
        <v>0</v>
      </c>
      <c r="CJ179" s="306">
        <v>0</v>
      </c>
      <c r="CK179" s="306">
        <v>0</v>
      </c>
      <c r="CL179" s="306">
        <v>0</v>
      </c>
      <c r="CM179" s="306">
        <v>0</v>
      </c>
      <c r="CN179" s="306">
        <v>0</v>
      </c>
      <c r="CO179" s="306">
        <v>0</v>
      </c>
      <c r="CP179" s="306">
        <v>0</v>
      </c>
      <c r="CQ179" s="306">
        <v>0</v>
      </c>
      <c r="CR179" s="306">
        <v>0</v>
      </c>
      <c r="CS179" s="306">
        <v>0</v>
      </c>
      <c r="CT179" s="306">
        <v>0</v>
      </c>
      <c r="CU179" s="306">
        <v>0</v>
      </c>
      <c r="CV179" s="306">
        <v>0</v>
      </c>
      <c r="CW179" s="306">
        <v>0</v>
      </c>
      <c r="CX179" s="306">
        <v>0</v>
      </c>
    </row>
    <row r="180" spans="3:102" x14ac:dyDescent="0.25">
      <c r="C180" s="305">
        <v>60</v>
      </c>
      <c r="D180" s="306">
        <v>9.66</v>
      </c>
      <c r="E180" s="306">
        <v>10.01</v>
      </c>
      <c r="F180" s="306">
        <v>10.43</v>
      </c>
      <c r="G180" s="306">
        <v>10.91</v>
      </c>
      <c r="H180" s="306">
        <v>11.42</v>
      </c>
      <c r="I180" s="306">
        <v>11.97</v>
      </c>
      <c r="J180" s="306">
        <v>12.53</v>
      </c>
      <c r="K180" s="306">
        <v>13.1</v>
      </c>
      <c r="L180" s="306">
        <v>13.67</v>
      </c>
      <c r="M180" s="306">
        <v>14.26</v>
      </c>
      <c r="N180" s="306">
        <v>14.87</v>
      </c>
      <c r="O180" s="306">
        <v>15.46</v>
      </c>
      <c r="P180" s="306">
        <v>16.05</v>
      </c>
      <c r="Q180" s="306">
        <v>16.63</v>
      </c>
      <c r="R180" s="306">
        <v>17.22</v>
      </c>
      <c r="S180" s="306">
        <v>17.8</v>
      </c>
      <c r="T180" s="306">
        <v>18.37</v>
      </c>
      <c r="U180" s="306">
        <v>18.91</v>
      </c>
      <c r="V180" s="306">
        <v>19.43</v>
      </c>
      <c r="W180" s="306">
        <v>19.91</v>
      </c>
      <c r="X180" s="306">
        <v>20.37</v>
      </c>
      <c r="Y180" s="306">
        <v>20.79</v>
      </c>
      <c r="Z180" s="306">
        <v>21.18</v>
      </c>
      <c r="AA180" s="306">
        <v>21.54</v>
      </c>
      <c r="AB180" s="306">
        <v>21.87</v>
      </c>
      <c r="AC180" s="306">
        <v>22.15</v>
      </c>
      <c r="AD180" s="306">
        <v>22.4</v>
      </c>
      <c r="AE180" s="306">
        <v>22.61</v>
      </c>
      <c r="AF180" s="306">
        <v>22.79</v>
      </c>
      <c r="AG180" s="306">
        <v>22.93</v>
      </c>
      <c r="AH180" s="306">
        <v>23.04</v>
      </c>
      <c r="AI180" s="306">
        <v>23.13</v>
      </c>
      <c r="AJ180" s="306">
        <v>23.19</v>
      </c>
      <c r="AK180" s="306">
        <v>23.24</v>
      </c>
      <c r="AL180" s="306">
        <v>23.28</v>
      </c>
      <c r="AM180" s="306">
        <v>23.3</v>
      </c>
      <c r="AN180" s="306">
        <v>23.32</v>
      </c>
      <c r="AO180" s="306">
        <v>23.33</v>
      </c>
      <c r="AP180" s="306">
        <v>23.34</v>
      </c>
      <c r="AQ180" s="306">
        <v>23.34</v>
      </c>
      <c r="AR180" s="306">
        <v>0</v>
      </c>
      <c r="AS180" s="306">
        <v>0</v>
      </c>
      <c r="AT180" s="306">
        <v>0</v>
      </c>
      <c r="AU180" s="306">
        <v>0</v>
      </c>
      <c r="AV180" s="306">
        <v>0</v>
      </c>
      <c r="AW180" s="306">
        <v>0</v>
      </c>
      <c r="AX180" s="306">
        <v>0</v>
      </c>
      <c r="AY180" s="306">
        <v>0</v>
      </c>
      <c r="AZ180" s="306">
        <v>0</v>
      </c>
      <c r="BA180" s="306">
        <v>0</v>
      </c>
      <c r="BB180" s="306">
        <v>0</v>
      </c>
      <c r="BC180" s="306">
        <v>0</v>
      </c>
      <c r="BD180" s="306">
        <v>0</v>
      </c>
      <c r="BE180" s="306">
        <v>0</v>
      </c>
      <c r="BF180" s="306">
        <v>0</v>
      </c>
      <c r="BG180" s="306">
        <v>0</v>
      </c>
      <c r="BH180" s="306">
        <v>0</v>
      </c>
      <c r="BI180" s="306">
        <v>0</v>
      </c>
      <c r="BJ180" s="306">
        <v>0</v>
      </c>
      <c r="BK180" s="306">
        <v>0</v>
      </c>
      <c r="BL180" s="306">
        <v>0</v>
      </c>
      <c r="BM180" s="306">
        <v>0</v>
      </c>
      <c r="BN180" s="306">
        <v>0</v>
      </c>
      <c r="BO180" s="306">
        <v>0</v>
      </c>
      <c r="BP180" s="306">
        <v>0</v>
      </c>
      <c r="BQ180" s="306">
        <v>0</v>
      </c>
      <c r="BR180" s="306">
        <v>0</v>
      </c>
      <c r="BS180" s="306">
        <v>0</v>
      </c>
      <c r="BT180" s="306">
        <v>0</v>
      </c>
      <c r="BU180" s="306">
        <v>0</v>
      </c>
      <c r="BV180" s="306">
        <v>0</v>
      </c>
      <c r="BW180" s="306">
        <v>0</v>
      </c>
      <c r="BX180" s="306">
        <v>0</v>
      </c>
      <c r="BY180" s="306">
        <v>0</v>
      </c>
      <c r="BZ180" s="306">
        <v>0</v>
      </c>
      <c r="CA180" s="306">
        <v>0</v>
      </c>
      <c r="CB180" s="306">
        <v>0</v>
      </c>
      <c r="CC180" s="306">
        <v>0</v>
      </c>
      <c r="CD180" s="306">
        <v>0</v>
      </c>
      <c r="CE180" s="306">
        <v>0</v>
      </c>
      <c r="CF180" s="306">
        <v>0</v>
      </c>
      <c r="CG180" s="306">
        <v>0</v>
      </c>
      <c r="CH180" s="306">
        <v>0</v>
      </c>
      <c r="CI180" s="306">
        <v>0</v>
      </c>
      <c r="CJ180" s="306">
        <v>0</v>
      </c>
      <c r="CK180" s="306">
        <v>0</v>
      </c>
      <c r="CL180" s="306">
        <v>0</v>
      </c>
      <c r="CM180" s="306">
        <v>0</v>
      </c>
      <c r="CN180" s="306">
        <v>0</v>
      </c>
      <c r="CO180" s="306">
        <v>0</v>
      </c>
      <c r="CP180" s="306">
        <v>0</v>
      </c>
      <c r="CQ180" s="306">
        <v>0</v>
      </c>
      <c r="CR180" s="306">
        <v>0</v>
      </c>
      <c r="CS180" s="306">
        <v>0</v>
      </c>
      <c r="CT180" s="306">
        <v>0</v>
      </c>
      <c r="CU180" s="306">
        <v>0</v>
      </c>
      <c r="CV180" s="306">
        <v>0</v>
      </c>
      <c r="CW180" s="306">
        <v>0</v>
      </c>
      <c r="CX180" s="306">
        <v>0</v>
      </c>
    </row>
    <row r="181" spans="3:102" x14ac:dyDescent="0.25">
      <c r="C181" s="305">
        <v>61</v>
      </c>
      <c r="D181" s="306">
        <v>10.39</v>
      </c>
      <c r="E181" s="306">
        <v>10.84</v>
      </c>
      <c r="F181" s="306">
        <v>11.36</v>
      </c>
      <c r="G181" s="306">
        <v>11.91</v>
      </c>
      <c r="H181" s="306">
        <v>12.49</v>
      </c>
      <c r="I181" s="306">
        <v>13.08</v>
      </c>
      <c r="J181" s="306">
        <v>13.68</v>
      </c>
      <c r="K181" s="306">
        <v>14.28</v>
      </c>
      <c r="L181" s="306">
        <v>14.89</v>
      </c>
      <c r="M181" s="306">
        <v>15.52</v>
      </c>
      <c r="N181" s="306">
        <v>16.2</v>
      </c>
      <c r="O181" s="306">
        <v>16.88</v>
      </c>
      <c r="P181" s="306">
        <v>17.55</v>
      </c>
      <c r="Q181" s="306">
        <v>18.22</v>
      </c>
      <c r="R181" s="306">
        <v>18.89</v>
      </c>
      <c r="S181" s="306">
        <v>19.54</v>
      </c>
      <c r="T181" s="306">
        <v>20.16</v>
      </c>
      <c r="U181" s="306">
        <v>20.75</v>
      </c>
      <c r="V181" s="306">
        <v>21.3</v>
      </c>
      <c r="W181" s="306">
        <v>21.82</v>
      </c>
      <c r="X181" s="306">
        <v>22.3</v>
      </c>
      <c r="Y181" s="306">
        <v>22.76</v>
      </c>
      <c r="Z181" s="306">
        <v>23.17</v>
      </c>
      <c r="AA181" s="306">
        <v>23.54</v>
      </c>
      <c r="AB181" s="306">
        <v>23.87</v>
      </c>
      <c r="AC181" s="306">
        <v>24.16</v>
      </c>
      <c r="AD181" s="306">
        <v>24.4</v>
      </c>
      <c r="AE181" s="306">
        <v>24.61</v>
      </c>
      <c r="AF181" s="306">
        <v>24.77</v>
      </c>
      <c r="AG181" s="306">
        <v>24.9</v>
      </c>
      <c r="AH181" s="306">
        <v>25</v>
      </c>
      <c r="AI181" s="306">
        <v>25.08</v>
      </c>
      <c r="AJ181" s="306">
        <v>25.14</v>
      </c>
      <c r="AK181" s="306">
        <v>25.18</v>
      </c>
      <c r="AL181" s="306">
        <v>25.21</v>
      </c>
      <c r="AM181" s="306">
        <v>25.23</v>
      </c>
      <c r="AN181" s="306">
        <v>25.24</v>
      </c>
      <c r="AO181" s="306">
        <v>25.25</v>
      </c>
      <c r="AP181" s="306">
        <v>25.25</v>
      </c>
      <c r="AQ181" s="306">
        <v>0</v>
      </c>
      <c r="AR181" s="306">
        <v>0</v>
      </c>
      <c r="AS181" s="306">
        <v>0</v>
      </c>
      <c r="AT181" s="306">
        <v>0</v>
      </c>
      <c r="AU181" s="306">
        <v>0</v>
      </c>
      <c r="AV181" s="306">
        <v>0</v>
      </c>
      <c r="AW181" s="306">
        <v>0</v>
      </c>
      <c r="AX181" s="306">
        <v>0</v>
      </c>
      <c r="AY181" s="306">
        <v>0</v>
      </c>
      <c r="AZ181" s="306">
        <v>0</v>
      </c>
      <c r="BA181" s="306">
        <v>0</v>
      </c>
      <c r="BB181" s="306">
        <v>0</v>
      </c>
      <c r="BC181" s="306">
        <v>0</v>
      </c>
      <c r="BD181" s="306">
        <v>0</v>
      </c>
      <c r="BE181" s="306">
        <v>0</v>
      </c>
      <c r="BF181" s="306">
        <v>0</v>
      </c>
      <c r="BG181" s="306">
        <v>0</v>
      </c>
      <c r="BH181" s="306">
        <v>0</v>
      </c>
      <c r="BI181" s="306">
        <v>0</v>
      </c>
      <c r="BJ181" s="306">
        <v>0</v>
      </c>
      <c r="BK181" s="306">
        <v>0</v>
      </c>
      <c r="BL181" s="306">
        <v>0</v>
      </c>
      <c r="BM181" s="306">
        <v>0</v>
      </c>
      <c r="BN181" s="306">
        <v>0</v>
      </c>
      <c r="BO181" s="306">
        <v>0</v>
      </c>
      <c r="BP181" s="306">
        <v>0</v>
      </c>
      <c r="BQ181" s="306">
        <v>0</v>
      </c>
      <c r="BR181" s="306">
        <v>0</v>
      </c>
      <c r="BS181" s="306">
        <v>0</v>
      </c>
      <c r="BT181" s="306">
        <v>0</v>
      </c>
      <c r="BU181" s="306">
        <v>0</v>
      </c>
      <c r="BV181" s="306">
        <v>0</v>
      </c>
      <c r="BW181" s="306">
        <v>0</v>
      </c>
      <c r="BX181" s="306">
        <v>0</v>
      </c>
      <c r="BY181" s="306">
        <v>0</v>
      </c>
      <c r="BZ181" s="306">
        <v>0</v>
      </c>
      <c r="CA181" s="306">
        <v>0</v>
      </c>
      <c r="CB181" s="306">
        <v>0</v>
      </c>
      <c r="CC181" s="306">
        <v>0</v>
      </c>
      <c r="CD181" s="306">
        <v>0</v>
      </c>
      <c r="CE181" s="306">
        <v>0</v>
      </c>
      <c r="CF181" s="306">
        <v>0</v>
      </c>
      <c r="CG181" s="306">
        <v>0</v>
      </c>
      <c r="CH181" s="306">
        <v>0</v>
      </c>
      <c r="CI181" s="306">
        <v>0</v>
      </c>
      <c r="CJ181" s="306">
        <v>0</v>
      </c>
      <c r="CK181" s="306">
        <v>0</v>
      </c>
      <c r="CL181" s="306">
        <v>0</v>
      </c>
      <c r="CM181" s="306">
        <v>0</v>
      </c>
      <c r="CN181" s="306">
        <v>0</v>
      </c>
      <c r="CO181" s="306">
        <v>0</v>
      </c>
      <c r="CP181" s="306">
        <v>0</v>
      </c>
      <c r="CQ181" s="306">
        <v>0</v>
      </c>
      <c r="CR181" s="306">
        <v>0</v>
      </c>
      <c r="CS181" s="306">
        <v>0</v>
      </c>
      <c r="CT181" s="306">
        <v>0</v>
      </c>
      <c r="CU181" s="306">
        <v>0</v>
      </c>
      <c r="CV181" s="306">
        <v>0</v>
      </c>
      <c r="CW181" s="306">
        <v>0</v>
      </c>
      <c r="CX181" s="306">
        <v>0</v>
      </c>
    </row>
    <row r="182" spans="3:102" x14ac:dyDescent="0.25">
      <c r="C182" s="305">
        <v>62</v>
      </c>
      <c r="D182" s="306">
        <v>11.32</v>
      </c>
      <c r="E182" s="306">
        <v>11.87</v>
      </c>
      <c r="F182" s="306">
        <v>12.46</v>
      </c>
      <c r="G182" s="306">
        <v>13.07</v>
      </c>
      <c r="H182" s="306">
        <v>13.69</v>
      </c>
      <c r="I182" s="306">
        <v>14.31</v>
      </c>
      <c r="J182" s="306">
        <v>14.93</v>
      </c>
      <c r="K182" s="306">
        <v>15.56</v>
      </c>
      <c r="L182" s="306">
        <v>16.23</v>
      </c>
      <c r="M182" s="306">
        <v>16.940000000000001</v>
      </c>
      <c r="N182" s="306">
        <v>17.72</v>
      </c>
      <c r="O182" s="306">
        <v>18.489999999999998</v>
      </c>
      <c r="P182" s="306">
        <v>19.260000000000002</v>
      </c>
      <c r="Q182" s="306">
        <v>20.03</v>
      </c>
      <c r="R182" s="306">
        <v>20.77</v>
      </c>
      <c r="S182" s="306">
        <v>21.48</v>
      </c>
      <c r="T182" s="306">
        <v>22.15</v>
      </c>
      <c r="U182" s="306">
        <v>22.78</v>
      </c>
      <c r="V182" s="306">
        <v>23.38</v>
      </c>
      <c r="W182" s="306">
        <v>23.94</v>
      </c>
      <c r="X182" s="306">
        <v>24.45</v>
      </c>
      <c r="Y182" s="306">
        <v>24.93</v>
      </c>
      <c r="Z182" s="306">
        <v>25.36</v>
      </c>
      <c r="AA182" s="306">
        <v>25.74</v>
      </c>
      <c r="AB182" s="306">
        <v>26.07</v>
      </c>
      <c r="AC182" s="306">
        <v>26.36</v>
      </c>
      <c r="AD182" s="306">
        <v>26.59</v>
      </c>
      <c r="AE182" s="306">
        <v>26.78</v>
      </c>
      <c r="AF182" s="306">
        <v>26.93</v>
      </c>
      <c r="AG182" s="306">
        <v>27.05</v>
      </c>
      <c r="AH182" s="306">
        <v>27.14</v>
      </c>
      <c r="AI182" s="306">
        <v>27.2</v>
      </c>
      <c r="AJ182" s="306">
        <v>27.25</v>
      </c>
      <c r="AK182" s="306">
        <v>27.29</v>
      </c>
      <c r="AL182" s="306">
        <v>27.31</v>
      </c>
      <c r="AM182" s="306">
        <v>27.33</v>
      </c>
      <c r="AN182" s="306">
        <v>27.34</v>
      </c>
      <c r="AO182" s="306">
        <v>27.34</v>
      </c>
      <c r="AP182" s="306">
        <v>0</v>
      </c>
      <c r="AQ182" s="306">
        <v>0</v>
      </c>
      <c r="AR182" s="306">
        <v>0</v>
      </c>
      <c r="AS182" s="306">
        <v>0</v>
      </c>
      <c r="AT182" s="306">
        <v>0</v>
      </c>
      <c r="AU182" s="306">
        <v>0</v>
      </c>
      <c r="AV182" s="306">
        <v>0</v>
      </c>
      <c r="AW182" s="306">
        <v>0</v>
      </c>
      <c r="AX182" s="306">
        <v>0</v>
      </c>
      <c r="AY182" s="306">
        <v>0</v>
      </c>
      <c r="AZ182" s="306">
        <v>0</v>
      </c>
      <c r="BA182" s="306">
        <v>0</v>
      </c>
      <c r="BB182" s="306">
        <v>0</v>
      </c>
      <c r="BC182" s="306">
        <v>0</v>
      </c>
      <c r="BD182" s="306">
        <v>0</v>
      </c>
      <c r="BE182" s="306">
        <v>0</v>
      </c>
      <c r="BF182" s="306">
        <v>0</v>
      </c>
      <c r="BG182" s="306">
        <v>0</v>
      </c>
      <c r="BH182" s="306">
        <v>0</v>
      </c>
      <c r="BI182" s="306">
        <v>0</v>
      </c>
      <c r="BJ182" s="306">
        <v>0</v>
      </c>
      <c r="BK182" s="306">
        <v>0</v>
      </c>
      <c r="BL182" s="306">
        <v>0</v>
      </c>
      <c r="BM182" s="306">
        <v>0</v>
      </c>
      <c r="BN182" s="306">
        <v>0</v>
      </c>
      <c r="BO182" s="306">
        <v>0</v>
      </c>
      <c r="BP182" s="306">
        <v>0</v>
      </c>
      <c r="BQ182" s="306">
        <v>0</v>
      </c>
      <c r="BR182" s="306">
        <v>0</v>
      </c>
      <c r="BS182" s="306">
        <v>0</v>
      </c>
      <c r="BT182" s="306">
        <v>0</v>
      </c>
      <c r="BU182" s="306">
        <v>0</v>
      </c>
      <c r="BV182" s="306">
        <v>0</v>
      </c>
      <c r="BW182" s="306">
        <v>0</v>
      </c>
      <c r="BX182" s="306">
        <v>0</v>
      </c>
      <c r="BY182" s="306">
        <v>0</v>
      </c>
      <c r="BZ182" s="306">
        <v>0</v>
      </c>
      <c r="CA182" s="306">
        <v>0</v>
      </c>
      <c r="CB182" s="306">
        <v>0</v>
      </c>
      <c r="CC182" s="306">
        <v>0</v>
      </c>
      <c r="CD182" s="306">
        <v>0</v>
      </c>
      <c r="CE182" s="306">
        <v>0</v>
      </c>
      <c r="CF182" s="306">
        <v>0</v>
      </c>
      <c r="CG182" s="306">
        <v>0</v>
      </c>
      <c r="CH182" s="306">
        <v>0</v>
      </c>
      <c r="CI182" s="306">
        <v>0</v>
      </c>
      <c r="CJ182" s="306">
        <v>0</v>
      </c>
      <c r="CK182" s="306">
        <v>0</v>
      </c>
      <c r="CL182" s="306">
        <v>0</v>
      </c>
      <c r="CM182" s="306">
        <v>0</v>
      </c>
      <c r="CN182" s="306">
        <v>0</v>
      </c>
      <c r="CO182" s="306">
        <v>0</v>
      </c>
      <c r="CP182" s="306">
        <v>0</v>
      </c>
      <c r="CQ182" s="306">
        <v>0</v>
      </c>
      <c r="CR182" s="306">
        <v>0</v>
      </c>
      <c r="CS182" s="306">
        <v>0</v>
      </c>
      <c r="CT182" s="306">
        <v>0</v>
      </c>
      <c r="CU182" s="306">
        <v>0</v>
      </c>
      <c r="CV182" s="306">
        <v>0</v>
      </c>
      <c r="CW182" s="306">
        <v>0</v>
      </c>
      <c r="CX182" s="306">
        <v>0</v>
      </c>
    </row>
    <row r="183" spans="3:102" x14ac:dyDescent="0.25">
      <c r="C183" s="305">
        <v>63</v>
      </c>
      <c r="D183" s="306">
        <v>12.44</v>
      </c>
      <c r="E183" s="306">
        <v>13.07</v>
      </c>
      <c r="F183" s="306">
        <v>13.7</v>
      </c>
      <c r="G183" s="306">
        <v>14.35</v>
      </c>
      <c r="H183" s="306">
        <v>14.99</v>
      </c>
      <c r="I183" s="306">
        <v>15.63</v>
      </c>
      <c r="J183" s="306">
        <v>16.28</v>
      </c>
      <c r="K183" s="306">
        <v>16.97</v>
      </c>
      <c r="L183" s="306">
        <v>17.71</v>
      </c>
      <c r="M183" s="306">
        <v>18.53</v>
      </c>
      <c r="N183" s="306">
        <v>19.43</v>
      </c>
      <c r="O183" s="306">
        <v>20.32</v>
      </c>
      <c r="P183" s="306">
        <v>21.2</v>
      </c>
      <c r="Q183" s="306">
        <v>22.05</v>
      </c>
      <c r="R183" s="306">
        <v>22.86</v>
      </c>
      <c r="S183" s="306">
        <v>23.63</v>
      </c>
      <c r="T183" s="306">
        <v>24.36</v>
      </c>
      <c r="U183" s="306">
        <v>25.04</v>
      </c>
      <c r="V183" s="306">
        <v>25.68</v>
      </c>
      <c r="W183" s="306">
        <v>26.27</v>
      </c>
      <c r="X183" s="306">
        <v>26.82</v>
      </c>
      <c r="Y183" s="306">
        <v>27.32</v>
      </c>
      <c r="Z183" s="306">
        <v>27.76</v>
      </c>
      <c r="AA183" s="306">
        <v>28.14</v>
      </c>
      <c r="AB183" s="306">
        <v>28.47</v>
      </c>
      <c r="AC183" s="306">
        <v>28.74</v>
      </c>
      <c r="AD183" s="306">
        <v>28.96</v>
      </c>
      <c r="AE183" s="306">
        <v>29.14</v>
      </c>
      <c r="AF183" s="306">
        <v>29.28</v>
      </c>
      <c r="AG183" s="306">
        <v>29.38</v>
      </c>
      <c r="AH183" s="306">
        <v>29.46</v>
      </c>
      <c r="AI183" s="306">
        <v>29.51</v>
      </c>
      <c r="AJ183" s="306">
        <v>29.55</v>
      </c>
      <c r="AK183" s="306">
        <v>29.58</v>
      </c>
      <c r="AL183" s="306">
        <v>29.6</v>
      </c>
      <c r="AM183" s="306">
        <v>29.61</v>
      </c>
      <c r="AN183" s="306">
        <v>29.61</v>
      </c>
      <c r="AO183" s="306">
        <v>0</v>
      </c>
      <c r="AP183" s="306">
        <v>0</v>
      </c>
      <c r="AQ183" s="306">
        <v>0</v>
      </c>
      <c r="AR183" s="306">
        <v>0</v>
      </c>
      <c r="AS183" s="306">
        <v>0</v>
      </c>
      <c r="AT183" s="306">
        <v>0</v>
      </c>
      <c r="AU183" s="306">
        <v>0</v>
      </c>
      <c r="AV183" s="306">
        <v>0</v>
      </c>
      <c r="AW183" s="306">
        <v>0</v>
      </c>
      <c r="AX183" s="306">
        <v>0</v>
      </c>
      <c r="AY183" s="306">
        <v>0</v>
      </c>
      <c r="AZ183" s="306">
        <v>0</v>
      </c>
      <c r="BA183" s="306">
        <v>0</v>
      </c>
      <c r="BB183" s="306">
        <v>0</v>
      </c>
      <c r="BC183" s="306">
        <v>0</v>
      </c>
      <c r="BD183" s="306">
        <v>0</v>
      </c>
      <c r="BE183" s="306">
        <v>0</v>
      </c>
      <c r="BF183" s="306">
        <v>0</v>
      </c>
      <c r="BG183" s="306">
        <v>0</v>
      </c>
      <c r="BH183" s="306">
        <v>0</v>
      </c>
      <c r="BI183" s="306">
        <v>0</v>
      </c>
      <c r="BJ183" s="306">
        <v>0</v>
      </c>
      <c r="BK183" s="306">
        <v>0</v>
      </c>
      <c r="BL183" s="306">
        <v>0</v>
      </c>
      <c r="BM183" s="306">
        <v>0</v>
      </c>
      <c r="BN183" s="306">
        <v>0</v>
      </c>
      <c r="BO183" s="306">
        <v>0</v>
      </c>
      <c r="BP183" s="306">
        <v>0</v>
      </c>
      <c r="BQ183" s="306">
        <v>0</v>
      </c>
      <c r="BR183" s="306">
        <v>0</v>
      </c>
      <c r="BS183" s="306">
        <v>0</v>
      </c>
      <c r="BT183" s="306">
        <v>0</v>
      </c>
      <c r="BU183" s="306">
        <v>0</v>
      </c>
      <c r="BV183" s="306">
        <v>0</v>
      </c>
      <c r="BW183" s="306">
        <v>0</v>
      </c>
      <c r="BX183" s="306">
        <v>0</v>
      </c>
      <c r="BY183" s="306">
        <v>0</v>
      </c>
      <c r="BZ183" s="306">
        <v>0</v>
      </c>
      <c r="CA183" s="306">
        <v>0</v>
      </c>
      <c r="CB183" s="306">
        <v>0</v>
      </c>
      <c r="CC183" s="306">
        <v>0</v>
      </c>
      <c r="CD183" s="306">
        <v>0</v>
      </c>
      <c r="CE183" s="306">
        <v>0</v>
      </c>
      <c r="CF183" s="306">
        <v>0</v>
      </c>
      <c r="CG183" s="306">
        <v>0</v>
      </c>
      <c r="CH183" s="306">
        <v>0</v>
      </c>
      <c r="CI183" s="306">
        <v>0</v>
      </c>
      <c r="CJ183" s="306">
        <v>0</v>
      </c>
      <c r="CK183" s="306">
        <v>0</v>
      </c>
      <c r="CL183" s="306">
        <v>0</v>
      </c>
      <c r="CM183" s="306">
        <v>0</v>
      </c>
      <c r="CN183" s="306">
        <v>0</v>
      </c>
      <c r="CO183" s="306">
        <v>0</v>
      </c>
      <c r="CP183" s="306">
        <v>0</v>
      </c>
      <c r="CQ183" s="306">
        <v>0</v>
      </c>
      <c r="CR183" s="306">
        <v>0</v>
      </c>
      <c r="CS183" s="306">
        <v>0</v>
      </c>
      <c r="CT183" s="306">
        <v>0</v>
      </c>
      <c r="CU183" s="306">
        <v>0</v>
      </c>
      <c r="CV183" s="306">
        <v>0</v>
      </c>
      <c r="CW183" s="306">
        <v>0</v>
      </c>
      <c r="CX183" s="306">
        <v>0</v>
      </c>
    </row>
    <row r="184" spans="3:102" x14ac:dyDescent="0.25">
      <c r="C184" s="305">
        <v>64</v>
      </c>
      <c r="D184" s="306">
        <v>13.72</v>
      </c>
      <c r="E184" s="306">
        <v>14.38</v>
      </c>
      <c r="F184" s="306">
        <v>15.04</v>
      </c>
      <c r="G184" s="306">
        <v>15.7</v>
      </c>
      <c r="H184" s="306">
        <v>16.36</v>
      </c>
      <c r="I184" s="306">
        <v>17.03</v>
      </c>
      <c r="J184" s="306">
        <v>17.739999999999998</v>
      </c>
      <c r="K184" s="306">
        <v>18.52</v>
      </c>
      <c r="L184" s="306">
        <v>19.37</v>
      </c>
      <c r="M184" s="306">
        <v>20.32</v>
      </c>
      <c r="N184" s="306">
        <v>21.36</v>
      </c>
      <c r="O184" s="306">
        <v>22.38</v>
      </c>
      <c r="P184" s="306">
        <v>23.36</v>
      </c>
      <c r="Q184" s="306">
        <v>24.29</v>
      </c>
      <c r="R184" s="306">
        <v>25.18</v>
      </c>
      <c r="S184" s="306">
        <v>26.01</v>
      </c>
      <c r="T184" s="306">
        <v>26.79</v>
      </c>
      <c r="U184" s="306">
        <v>27.53</v>
      </c>
      <c r="V184" s="306">
        <v>28.21</v>
      </c>
      <c r="W184" s="306">
        <v>28.84</v>
      </c>
      <c r="X184" s="306">
        <v>29.42</v>
      </c>
      <c r="Y184" s="306">
        <v>29.93</v>
      </c>
      <c r="Z184" s="306">
        <v>30.37</v>
      </c>
      <c r="AA184" s="306">
        <v>30.75</v>
      </c>
      <c r="AB184" s="306">
        <v>31.07</v>
      </c>
      <c r="AC184" s="306">
        <v>31.32</v>
      </c>
      <c r="AD184" s="306">
        <v>31.53</v>
      </c>
      <c r="AE184" s="306">
        <v>31.69</v>
      </c>
      <c r="AF184" s="306">
        <v>31.81</v>
      </c>
      <c r="AG184" s="306">
        <v>31.9</v>
      </c>
      <c r="AH184" s="306">
        <v>31.96</v>
      </c>
      <c r="AI184" s="306">
        <v>32.01</v>
      </c>
      <c r="AJ184" s="306">
        <v>32.04</v>
      </c>
      <c r="AK184" s="306">
        <v>32.07</v>
      </c>
      <c r="AL184" s="306">
        <v>32.08</v>
      </c>
      <c r="AM184" s="306">
        <v>32.08</v>
      </c>
      <c r="AN184" s="306">
        <v>0</v>
      </c>
      <c r="AO184" s="306">
        <v>0</v>
      </c>
      <c r="AP184" s="306">
        <v>0</v>
      </c>
      <c r="AQ184" s="306">
        <v>0</v>
      </c>
      <c r="AR184" s="306">
        <v>0</v>
      </c>
      <c r="AS184" s="306">
        <v>0</v>
      </c>
      <c r="AT184" s="306">
        <v>0</v>
      </c>
      <c r="AU184" s="306">
        <v>0</v>
      </c>
      <c r="AV184" s="306">
        <v>0</v>
      </c>
      <c r="AW184" s="306">
        <v>0</v>
      </c>
      <c r="AX184" s="306">
        <v>0</v>
      </c>
      <c r="AY184" s="306">
        <v>0</v>
      </c>
      <c r="AZ184" s="306">
        <v>0</v>
      </c>
      <c r="BA184" s="306">
        <v>0</v>
      </c>
      <c r="BB184" s="306">
        <v>0</v>
      </c>
      <c r="BC184" s="306">
        <v>0</v>
      </c>
      <c r="BD184" s="306">
        <v>0</v>
      </c>
      <c r="BE184" s="306">
        <v>0</v>
      </c>
      <c r="BF184" s="306">
        <v>0</v>
      </c>
      <c r="BG184" s="306">
        <v>0</v>
      </c>
      <c r="BH184" s="306">
        <v>0</v>
      </c>
      <c r="BI184" s="306">
        <v>0</v>
      </c>
      <c r="BJ184" s="306">
        <v>0</v>
      </c>
      <c r="BK184" s="306">
        <v>0</v>
      </c>
      <c r="BL184" s="306">
        <v>0</v>
      </c>
      <c r="BM184" s="306">
        <v>0</v>
      </c>
      <c r="BN184" s="306">
        <v>0</v>
      </c>
      <c r="BO184" s="306">
        <v>0</v>
      </c>
      <c r="BP184" s="306">
        <v>0</v>
      </c>
      <c r="BQ184" s="306">
        <v>0</v>
      </c>
      <c r="BR184" s="306">
        <v>0</v>
      </c>
      <c r="BS184" s="306">
        <v>0</v>
      </c>
      <c r="BT184" s="306">
        <v>0</v>
      </c>
      <c r="BU184" s="306">
        <v>0</v>
      </c>
      <c r="BV184" s="306">
        <v>0</v>
      </c>
      <c r="BW184" s="306">
        <v>0</v>
      </c>
      <c r="BX184" s="306">
        <v>0</v>
      </c>
      <c r="BY184" s="306">
        <v>0</v>
      </c>
      <c r="BZ184" s="306">
        <v>0</v>
      </c>
      <c r="CA184" s="306">
        <v>0</v>
      </c>
      <c r="CB184" s="306">
        <v>0</v>
      </c>
      <c r="CC184" s="306">
        <v>0</v>
      </c>
      <c r="CD184" s="306">
        <v>0</v>
      </c>
      <c r="CE184" s="306">
        <v>0</v>
      </c>
      <c r="CF184" s="306">
        <v>0</v>
      </c>
      <c r="CG184" s="306">
        <v>0</v>
      </c>
      <c r="CH184" s="306">
        <v>0</v>
      </c>
      <c r="CI184" s="306">
        <v>0</v>
      </c>
      <c r="CJ184" s="306">
        <v>0</v>
      </c>
      <c r="CK184" s="306">
        <v>0</v>
      </c>
      <c r="CL184" s="306">
        <v>0</v>
      </c>
      <c r="CM184" s="306">
        <v>0</v>
      </c>
      <c r="CN184" s="306">
        <v>0</v>
      </c>
      <c r="CO184" s="306">
        <v>0</v>
      </c>
      <c r="CP184" s="306">
        <v>0</v>
      </c>
      <c r="CQ184" s="306">
        <v>0</v>
      </c>
      <c r="CR184" s="306">
        <v>0</v>
      </c>
      <c r="CS184" s="306">
        <v>0</v>
      </c>
      <c r="CT184" s="306">
        <v>0</v>
      </c>
      <c r="CU184" s="306">
        <v>0</v>
      </c>
      <c r="CV184" s="306">
        <v>0</v>
      </c>
      <c r="CW184" s="306">
        <v>0</v>
      </c>
      <c r="CX184" s="306">
        <v>0</v>
      </c>
    </row>
    <row r="185" spans="3:102" x14ac:dyDescent="0.25">
      <c r="C185" s="305">
        <v>65</v>
      </c>
      <c r="D185" s="306">
        <v>15.07</v>
      </c>
      <c r="E185" s="306">
        <v>15.75</v>
      </c>
      <c r="F185" s="306">
        <v>16.420000000000002</v>
      </c>
      <c r="G185" s="306">
        <v>17.09</v>
      </c>
      <c r="H185" s="306">
        <v>17.79</v>
      </c>
      <c r="I185" s="306">
        <v>18.53</v>
      </c>
      <c r="J185" s="306">
        <v>19.34</v>
      </c>
      <c r="K185" s="306">
        <v>20.239999999999998</v>
      </c>
      <c r="L185" s="306">
        <v>21.25</v>
      </c>
      <c r="M185" s="306">
        <v>22.35</v>
      </c>
      <c r="N185" s="306">
        <v>23.54</v>
      </c>
      <c r="O185" s="306">
        <v>24.68</v>
      </c>
      <c r="P185" s="306">
        <v>25.75</v>
      </c>
      <c r="Q185" s="306">
        <v>26.77</v>
      </c>
      <c r="R185" s="306">
        <v>27.73</v>
      </c>
      <c r="S185" s="306">
        <v>28.63</v>
      </c>
      <c r="T185" s="306">
        <v>29.47</v>
      </c>
      <c r="U185" s="306">
        <v>30.26</v>
      </c>
      <c r="V185" s="306">
        <v>30.99</v>
      </c>
      <c r="W185" s="306">
        <v>31.65</v>
      </c>
      <c r="X185" s="306">
        <v>32.25</v>
      </c>
      <c r="Y185" s="306">
        <v>32.76</v>
      </c>
      <c r="Z185" s="306">
        <v>33.200000000000003</v>
      </c>
      <c r="AA185" s="306">
        <v>33.57</v>
      </c>
      <c r="AB185" s="306">
        <v>33.869999999999997</v>
      </c>
      <c r="AC185" s="306">
        <v>34.1</v>
      </c>
      <c r="AD185" s="306">
        <v>34.29</v>
      </c>
      <c r="AE185" s="306">
        <v>34.43</v>
      </c>
      <c r="AF185" s="306">
        <v>34.53</v>
      </c>
      <c r="AG185" s="306">
        <v>34.61</v>
      </c>
      <c r="AH185" s="306">
        <v>34.67</v>
      </c>
      <c r="AI185" s="306">
        <v>34.71</v>
      </c>
      <c r="AJ185" s="306">
        <v>34.729999999999997</v>
      </c>
      <c r="AK185" s="306">
        <v>34.75</v>
      </c>
      <c r="AL185" s="306">
        <v>34.75</v>
      </c>
      <c r="AM185" s="306">
        <v>0</v>
      </c>
      <c r="AN185" s="306">
        <v>0</v>
      </c>
      <c r="AO185" s="306">
        <v>0</v>
      </c>
      <c r="AP185" s="306">
        <v>0</v>
      </c>
      <c r="AQ185" s="306">
        <v>0</v>
      </c>
      <c r="AR185" s="306">
        <v>0</v>
      </c>
      <c r="AS185" s="306">
        <v>0</v>
      </c>
      <c r="AT185" s="306">
        <v>0</v>
      </c>
      <c r="AU185" s="306">
        <v>0</v>
      </c>
      <c r="AV185" s="306">
        <v>0</v>
      </c>
      <c r="AW185" s="306">
        <v>0</v>
      </c>
      <c r="AX185" s="306">
        <v>0</v>
      </c>
      <c r="AY185" s="306">
        <v>0</v>
      </c>
      <c r="AZ185" s="306">
        <v>0</v>
      </c>
      <c r="BA185" s="306">
        <v>0</v>
      </c>
      <c r="BB185" s="306">
        <v>0</v>
      </c>
      <c r="BC185" s="306">
        <v>0</v>
      </c>
      <c r="BD185" s="306">
        <v>0</v>
      </c>
      <c r="BE185" s="306">
        <v>0</v>
      </c>
      <c r="BF185" s="306">
        <v>0</v>
      </c>
      <c r="BG185" s="306">
        <v>0</v>
      </c>
      <c r="BH185" s="306">
        <v>0</v>
      </c>
      <c r="BI185" s="306">
        <v>0</v>
      </c>
      <c r="BJ185" s="306">
        <v>0</v>
      </c>
      <c r="BK185" s="306">
        <v>0</v>
      </c>
      <c r="BL185" s="306">
        <v>0</v>
      </c>
      <c r="BM185" s="306">
        <v>0</v>
      </c>
      <c r="BN185" s="306">
        <v>0</v>
      </c>
      <c r="BO185" s="306">
        <v>0</v>
      </c>
      <c r="BP185" s="306">
        <v>0</v>
      </c>
      <c r="BQ185" s="306">
        <v>0</v>
      </c>
      <c r="BR185" s="306">
        <v>0</v>
      </c>
      <c r="BS185" s="306">
        <v>0</v>
      </c>
      <c r="BT185" s="306">
        <v>0</v>
      </c>
      <c r="BU185" s="306">
        <v>0</v>
      </c>
      <c r="BV185" s="306">
        <v>0</v>
      </c>
      <c r="BW185" s="306">
        <v>0</v>
      </c>
      <c r="BX185" s="306">
        <v>0</v>
      </c>
      <c r="BY185" s="306">
        <v>0</v>
      </c>
      <c r="BZ185" s="306">
        <v>0</v>
      </c>
      <c r="CA185" s="306">
        <v>0</v>
      </c>
      <c r="CB185" s="306">
        <v>0</v>
      </c>
      <c r="CC185" s="306">
        <v>0</v>
      </c>
      <c r="CD185" s="306">
        <v>0</v>
      </c>
      <c r="CE185" s="306">
        <v>0</v>
      </c>
      <c r="CF185" s="306">
        <v>0</v>
      </c>
      <c r="CG185" s="306">
        <v>0</v>
      </c>
      <c r="CH185" s="306">
        <v>0</v>
      </c>
      <c r="CI185" s="306">
        <v>0</v>
      </c>
      <c r="CJ185" s="306">
        <v>0</v>
      </c>
      <c r="CK185" s="306">
        <v>0</v>
      </c>
      <c r="CL185" s="306">
        <v>0</v>
      </c>
      <c r="CM185" s="306">
        <v>0</v>
      </c>
      <c r="CN185" s="306">
        <v>0</v>
      </c>
      <c r="CO185" s="306">
        <v>0</v>
      </c>
      <c r="CP185" s="306">
        <v>0</v>
      </c>
      <c r="CQ185" s="306">
        <v>0</v>
      </c>
      <c r="CR185" s="306">
        <v>0</v>
      </c>
      <c r="CS185" s="306">
        <v>0</v>
      </c>
      <c r="CT185" s="306">
        <v>0</v>
      </c>
      <c r="CU185" s="306">
        <v>0</v>
      </c>
      <c r="CV185" s="306">
        <v>0</v>
      </c>
      <c r="CW185" s="306">
        <v>0</v>
      </c>
      <c r="CX185" s="306">
        <v>0</v>
      </c>
    </row>
    <row r="186" spans="3:102" x14ac:dyDescent="0.25">
      <c r="C186" s="305">
        <v>66</v>
      </c>
      <c r="D186" s="306">
        <v>16.46</v>
      </c>
      <c r="E186" s="306">
        <v>17.149999999999999</v>
      </c>
      <c r="F186" s="306">
        <v>17.829999999999998</v>
      </c>
      <c r="G186" s="306">
        <v>18.55</v>
      </c>
      <c r="H186" s="306">
        <v>19.32</v>
      </c>
      <c r="I186" s="306">
        <v>20.170000000000002</v>
      </c>
      <c r="J186" s="306">
        <v>21.13</v>
      </c>
      <c r="K186" s="306">
        <v>22.2</v>
      </c>
      <c r="L186" s="306">
        <v>23.38</v>
      </c>
      <c r="M186" s="306">
        <v>24.64</v>
      </c>
      <c r="N186" s="306">
        <v>25.98</v>
      </c>
      <c r="O186" s="306">
        <v>27.23</v>
      </c>
      <c r="P186" s="306">
        <v>28.41</v>
      </c>
      <c r="Q186" s="306">
        <v>29.51</v>
      </c>
      <c r="R186" s="306">
        <v>30.55</v>
      </c>
      <c r="S186" s="306">
        <v>31.52</v>
      </c>
      <c r="T186" s="306">
        <v>32.43</v>
      </c>
      <c r="U186" s="306">
        <v>33.270000000000003</v>
      </c>
      <c r="V186" s="306">
        <v>34.04</v>
      </c>
      <c r="W186" s="306">
        <v>34.72</v>
      </c>
      <c r="X186" s="306">
        <v>35.32</v>
      </c>
      <c r="Y186" s="306">
        <v>35.83</v>
      </c>
      <c r="Z186" s="306">
        <v>36.26</v>
      </c>
      <c r="AA186" s="306">
        <v>36.61</v>
      </c>
      <c r="AB186" s="306">
        <v>36.880000000000003</v>
      </c>
      <c r="AC186" s="306">
        <v>37.1</v>
      </c>
      <c r="AD186" s="306">
        <v>37.270000000000003</v>
      </c>
      <c r="AE186" s="306">
        <v>37.39</v>
      </c>
      <c r="AF186" s="306">
        <v>37.479999999999997</v>
      </c>
      <c r="AG186" s="306">
        <v>37.54</v>
      </c>
      <c r="AH186" s="306">
        <v>37.590000000000003</v>
      </c>
      <c r="AI186" s="306">
        <v>37.619999999999997</v>
      </c>
      <c r="AJ186" s="306">
        <v>37.64</v>
      </c>
      <c r="AK186" s="306">
        <v>37.64</v>
      </c>
      <c r="AL186" s="306">
        <v>0</v>
      </c>
      <c r="AM186" s="306">
        <v>0</v>
      </c>
      <c r="AN186" s="306">
        <v>0</v>
      </c>
      <c r="AO186" s="306">
        <v>0</v>
      </c>
      <c r="AP186" s="306">
        <v>0</v>
      </c>
      <c r="AQ186" s="306">
        <v>0</v>
      </c>
      <c r="AR186" s="306">
        <v>0</v>
      </c>
      <c r="AS186" s="306">
        <v>0</v>
      </c>
      <c r="AT186" s="306">
        <v>0</v>
      </c>
      <c r="AU186" s="306">
        <v>0</v>
      </c>
      <c r="AV186" s="306">
        <v>0</v>
      </c>
      <c r="AW186" s="306">
        <v>0</v>
      </c>
      <c r="AX186" s="306">
        <v>0</v>
      </c>
      <c r="AY186" s="306">
        <v>0</v>
      </c>
      <c r="AZ186" s="306">
        <v>0</v>
      </c>
      <c r="BA186" s="306">
        <v>0</v>
      </c>
      <c r="BB186" s="306">
        <v>0</v>
      </c>
      <c r="BC186" s="306">
        <v>0</v>
      </c>
      <c r="BD186" s="306">
        <v>0</v>
      </c>
      <c r="BE186" s="306">
        <v>0</v>
      </c>
      <c r="BF186" s="306">
        <v>0</v>
      </c>
      <c r="BG186" s="306">
        <v>0</v>
      </c>
      <c r="BH186" s="306">
        <v>0</v>
      </c>
      <c r="BI186" s="306">
        <v>0</v>
      </c>
      <c r="BJ186" s="306">
        <v>0</v>
      </c>
      <c r="BK186" s="306">
        <v>0</v>
      </c>
      <c r="BL186" s="306">
        <v>0</v>
      </c>
      <c r="BM186" s="306">
        <v>0</v>
      </c>
      <c r="BN186" s="306">
        <v>0</v>
      </c>
      <c r="BO186" s="306">
        <v>0</v>
      </c>
      <c r="BP186" s="306">
        <v>0</v>
      </c>
      <c r="BQ186" s="306">
        <v>0</v>
      </c>
      <c r="BR186" s="306">
        <v>0</v>
      </c>
      <c r="BS186" s="306">
        <v>0</v>
      </c>
      <c r="BT186" s="306">
        <v>0</v>
      </c>
      <c r="BU186" s="306">
        <v>0</v>
      </c>
      <c r="BV186" s="306">
        <v>0</v>
      </c>
      <c r="BW186" s="306">
        <v>0</v>
      </c>
      <c r="BX186" s="306">
        <v>0</v>
      </c>
      <c r="BY186" s="306">
        <v>0</v>
      </c>
      <c r="BZ186" s="306">
        <v>0</v>
      </c>
      <c r="CA186" s="306">
        <v>0</v>
      </c>
      <c r="CB186" s="306">
        <v>0</v>
      </c>
      <c r="CC186" s="306">
        <v>0</v>
      </c>
      <c r="CD186" s="306">
        <v>0</v>
      </c>
      <c r="CE186" s="306">
        <v>0</v>
      </c>
      <c r="CF186" s="306">
        <v>0</v>
      </c>
      <c r="CG186" s="306">
        <v>0</v>
      </c>
      <c r="CH186" s="306">
        <v>0</v>
      </c>
      <c r="CI186" s="306">
        <v>0</v>
      </c>
      <c r="CJ186" s="306">
        <v>0</v>
      </c>
      <c r="CK186" s="306">
        <v>0</v>
      </c>
      <c r="CL186" s="306">
        <v>0</v>
      </c>
      <c r="CM186" s="306">
        <v>0</v>
      </c>
      <c r="CN186" s="306">
        <v>0</v>
      </c>
      <c r="CO186" s="306">
        <v>0</v>
      </c>
      <c r="CP186" s="306">
        <v>0</v>
      </c>
      <c r="CQ186" s="306">
        <v>0</v>
      </c>
      <c r="CR186" s="306">
        <v>0</v>
      </c>
      <c r="CS186" s="306">
        <v>0</v>
      </c>
      <c r="CT186" s="306">
        <v>0</v>
      </c>
      <c r="CU186" s="306">
        <v>0</v>
      </c>
      <c r="CV186" s="306">
        <v>0</v>
      </c>
      <c r="CW186" s="306">
        <v>0</v>
      </c>
      <c r="CX186" s="306">
        <v>0</v>
      </c>
    </row>
    <row r="187" spans="3:102" x14ac:dyDescent="0.25">
      <c r="C187" s="305">
        <v>67</v>
      </c>
      <c r="D187" s="306">
        <v>17.86</v>
      </c>
      <c r="E187" s="306">
        <v>18.57</v>
      </c>
      <c r="F187" s="306">
        <v>19.309999999999999</v>
      </c>
      <c r="G187" s="306">
        <v>20.12</v>
      </c>
      <c r="H187" s="306">
        <v>21.03</v>
      </c>
      <c r="I187" s="306">
        <v>22.05</v>
      </c>
      <c r="J187" s="306">
        <v>23.2</v>
      </c>
      <c r="K187" s="306">
        <v>24.45</v>
      </c>
      <c r="L187" s="306">
        <v>25.8</v>
      </c>
      <c r="M187" s="306">
        <v>27.23</v>
      </c>
      <c r="N187" s="306">
        <v>28.7</v>
      </c>
      <c r="O187" s="306">
        <v>30.07</v>
      </c>
      <c r="P187" s="306">
        <v>31.35</v>
      </c>
      <c r="Q187" s="306">
        <v>32.549999999999997</v>
      </c>
      <c r="R187" s="306">
        <v>33.67</v>
      </c>
      <c r="S187" s="306">
        <v>34.72</v>
      </c>
      <c r="T187" s="306">
        <v>35.69</v>
      </c>
      <c r="U187" s="306">
        <v>36.58</v>
      </c>
      <c r="V187" s="306">
        <v>37.369999999999997</v>
      </c>
      <c r="W187" s="306">
        <v>38.07</v>
      </c>
      <c r="X187" s="306">
        <v>38.659999999999997</v>
      </c>
      <c r="Y187" s="306">
        <v>39.159999999999997</v>
      </c>
      <c r="Z187" s="306">
        <v>39.57</v>
      </c>
      <c r="AA187" s="306">
        <v>39.89</v>
      </c>
      <c r="AB187" s="306">
        <v>40.14</v>
      </c>
      <c r="AC187" s="306">
        <v>40.340000000000003</v>
      </c>
      <c r="AD187" s="306">
        <v>40.479999999999997</v>
      </c>
      <c r="AE187" s="306">
        <v>40.590000000000003</v>
      </c>
      <c r="AF187" s="306">
        <v>40.67</v>
      </c>
      <c r="AG187" s="306">
        <v>40.72</v>
      </c>
      <c r="AH187" s="306">
        <v>40.76</v>
      </c>
      <c r="AI187" s="306">
        <v>40.78</v>
      </c>
      <c r="AJ187" s="306">
        <v>40.78</v>
      </c>
      <c r="AK187" s="306">
        <v>0</v>
      </c>
      <c r="AL187" s="306">
        <v>0</v>
      </c>
      <c r="AM187" s="306">
        <v>0</v>
      </c>
      <c r="AN187" s="306">
        <v>0</v>
      </c>
      <c r="AO187" s="306">
        <v>0</v>
      </c>
      <c r="AP187" s="306">
        <v>0</v>
      </c>
      <c r="AQ187" s="306">
        <v>0</v>
      </c>
      <c r="AR187" s="306">
        <v>0</v>
      </c>
      <c r="AS187" s="306">
        <v>0</v>
      </c>
      <c r="AT187" s="306">
        <v>0</v>
      </c>
      <c r="AU187" s="306">
        <v>0</v>
      </c>
      <c r="AV187" s="306">
        <v>0</v>
      </c>
      <c r="AW187" s="306">
        <v>0</v>
      </c>
      <c r="AX187" s="306">
        <v>0</v>
      </c>
      <c r="AY187" s="306">
        <v>0</v>
      </c>
      <c r="AZ187" s="306">
        <v>0</v>
      </c>
      <c r="BA187" s="306">
        <v>0</v>
      </c>
      <c r="BB187" s="306">
        <v>0</v>
      </c>
      <c r="BC187" s="306">
        <v>0</v>
      </c>
      <c r="BD187" s="306">
        <v>0</v>
      </c>
      <c r="BE187" s="306">
        <v>0</v>
      </c>
      <c r="BF187" s="306">
        <v>0</v>
      </c>
      <c r="BG187" s="306">
        <v>0</v>
      </c>
      <c r="BH187" s="306">
        <v>0</v>
      </c>
      <c r="BI187" s="306">
        <v>0</v>
      </c>
      <c r="BJ187" s="306">
        <v>0</v>
      </c>
      <c r="BK187" s="306">
        <v>0</v>
      </c>
      <c r="BL187" s="306">
        <v>0</v>
      </c>
      <c r="BM187" s="306">
        <v>0</v>
      </c>
      <c r="BN187" s="306">
        <v>0</v>
      </c>
      <c r="BO187" s="306">
        <v>0</v>
      </c>
      <c r="BP187" s="306">
        <v>0</v>
      </c>
      <c r="BQ187" s="306">
        <v>0</v>
      </c>
      <c r="BR187" s="306">
        <v>0</v>
      </c>
      <c r="BS187" s="306">
        <v>0</v>
      </c>
      <c r="BT187" s="306">
        <v>0</v>
      </c>
      <c r="BU187" s="306">
        <v>0</v>
      </c>
      <c r="BV187" s="306">
        <v>0</v>
      </c>
      <c r="BW187" s="306">
        <v>0</v>
      </c>
      <c r="BX187" s="306">
        <v>0</v>
      </c>
      <c r="BY187" s="306">
        <v>0</v>
      </c>
      <c r="BZ187" s="306">
        <v>0</v>
      </c>
      <c r="CA187" s="306">
        <v>0</v>
      </c>
      <c r="CB187" s="306">
        <v>0</v>
      </c>
      <c r="CC187" s="306">
        <v>0</v>
      </c>
      <c r="CD187" s="306">
        <v>0</v>
      </c>
      <c r="CE187" s="306">
        <v>0</v>
      </c>
      <c r="CF187" s="306">
        <v>0</v>
      </c>
      <c r="CG187" s="306">
        <v>0</v>
      </c>
      <c r="CH187" s="306">
        <v>0</v>
      </c>
      <c r="CI187" s="306">
        <v>0</v>
      </c>
      <c r="CJ187" s="306">
        <v>0</v>
      </c>
      <c r="CK187" s="306">
        <v>0</v>
      </c>
      <c r="CL187" s="306">
        <v>0</v>
      </c>
      <c r="CM187" s="306">
        <v>0</v>
      </c>
      <c r="CN187" s="306">
        <v>0</v>
      </c>
      <c r="CO187" s="306">
        <v>0</v>
      </c>
      <c r="CP187" s="306">
        <v>0</v>
      </c>
      <c r="CQ187" s="306">
        <v>0</v>
      </c>
      <c r="CR187" s="306">
        <v>0</v>
      </c>
      <c r="CS187" s="306">
        <v>0</v>
      </c>
      <c r="CT187" s="306">
        <v>0</v>
      </c>
      <c r="CU187" s="306">
        <v>0</v>
      </c>
      <c r="CV187" s="306">
        <v>0</v>
      </c>
      <c r="CW187" s="306">
        <v>0</v>
      </c>
      <c r="CX187" s="306">
        <v>0</v>
      </c>
    </row>
    <row r="188" spans="3:102" x14ac:dyDescent="0.25">
      <c r="C188" s="305">
        <v>68</v>
      </c>
      <c r="D188" s="306">
        <v>19.3</v>
      </c>
      <c r="E188" s="306">
        <v>20.09</v>
      </c>
      <c r="F188" s="306">
        <v>20.96</v>
      </c>
      <c r="G188" s="306">
        <v>21.93</v>
      </c>
      <c r="H188" s="306">
        <v>23.02</v>
      </c>
      <c r="I188" s="306">
        <v>24.25</v>
      </c>
      <c r="J188" s="306">
        <v>25.6</v>
      </c>
      <c r="K188" s="306">
        <v>27.05</v>
      </c>
      <c r="L188" s="306">
        <v>28.57</v>
      </c>
      <c r="M188" s="306">
        <v>30.14</v>
      </c>
      <c r="N188" s="306">
        <v>31.75</v>
      </c>
      <c r="O188" s="306">
        <v>33.24</v>
      </c>
      <c r="P188" s="306">
        <v>34.630000000000003</v>
      </c>
      <c r="Q188" s="306">
        <v>35.93</v>
      </c>
      <c r="R188" s="306">
        <v>37.14</v>
      </c>
      <c r="S188" s="306">
        <v>38.270000000000003</v>
      </c>
      <c r="T188" s="306">
        <v>39.299999999999997</v>
      </c>
      <c r="U188" s="306">
        <v>40.22</v>
      </c>
      <c r="V188" s="306">
        <v>41.03</v>
      </c>
      <c r="W188" s="306">
        <v>41.72</v>
      </c>
      <c r="X188" s="306">
        <v>42.3</v>
      </c>
      <c r="Y188" s="306">
        <v>42.78</v>
      </c>
      <c r="Z188" s="306">
        <v>43.16</v>
      </c>
      <c r="AA188" s="306">
        <v>43.45</v>
      </c>
      <c r="AB188" s="306">
        <v>43.68</v>
      </c>
      <c r="AC188" s="306">
        <v>43.85</v>
      </c>
      <c r="AD188" s="306">
        <v>43.97</v>
      </c>
      <c r="AE188" s="306">
        <v>44.06</v>
      </c>
      <c r="AF188" s="306">
        <v>44.13</v>
      </c>
      <c r="AG188" s="306">
        <v>44.17</v>
      </c>
      <c r="AH188" s="306">
        <v>44.2</v>
      </c>
      <c r="AI188" s="306">
        <v>44.2</v>
      </c>
      <c r="AJ188" s="306">
        <v>0</v>
      </c>
      <c r="AK188" s="306">
        <v>0</v>
      </c>
      <c r="AL188" s="306">
        <v>0</v>
      </c>
      <c r="AM188" s="306">
        <v>0</v>
      </c>
      <c r="AN188" s="306">
        <v>0</v>
      </c>
      <c r="AO188" s="306">
        <v>0</v>
      </c>
      <c r="AP188" s="306">
        <v>0</v>
      </c>
      <c r="AQ188" s="306">
        <v>0</v>
      </c>
      <c r="AR188" s="306">
        <v>0</v>
      </c>
      <c r="AS188" s="306">
        <v>0</v>
      </c>
      <c r="AT188" s="306">
        <v>0</v>
      </c>
      <c r="AU188" s="306">
        <v>0</v>
      </c>
      <c r="AV188" s="306">
        <v>0</v>
      </c>
      <c r="AW188" s="306">
        <v>0</v>
      </c>
      <c r="AX188" s="306">
        <v>0</v>
      </c>
      <c r="AY188" s="306">
        <v>0</v>
      </c>
      <c r="AZ188" s="306">
        <v>0</v>
      </c>
      <c r="BA188" s="306">
        <v>0</v>
      </c>
      <c r="BB188" s="306">
        <v>0</v>
      </c>
      <c r="BC188" s="306">
        <v>0</v>
      </c>
      <c r="BD188" s="306">
        <v>0</v>
      </c>
      <c r="BE188" s="306">
        <v>0</v>
      </c>
      <c r="BF188" s="306">
        <v>0</v>
      </c>
      <c r="BG188" s="306">
        <v>0</v>
      </c>
      <c r="BH188" s="306">
        <v>0</v>
      </c>
      <c r="BI188" s="306">
        <v>0</v>
      </c>
      <c r="BJ188" s="306">
        <v>0</v>
      </c>
      <c r="BK188" s="306">
        <v>0</v>
      </c>
      <c r="BL188" s="306">
        <v>0</v>
      </c>
      <c r="BM188" s="306">
        <v>0</v>
      </c>
      <c r="BN188" s="306">
        <v>0</v>
      </c>
      <c r="BO188" s="306">
        <v>0</v>
      </c>
      <c r="BP188" s="306">
        <v>0</v>
      </c>
      <c r="BQ188" s="306">
        <v>0</v>
      </c>
      <c r="BR188" s="306">
        <v>0</v>
      </c>
      <c r="BS188" s="306">
        <v>0</v>
      </c>
      <c r="BT188" s="306">
        <v>0</v>
      </c>
      <c r="BU188" s="306">
        <v>0</v>
      </c>
      <c r="BV188" s="306">
        <v>0</v>
      </c>
      <c r="BW188" s="306">
        <v>0</v>
      </c>
      <c r="BX188" s="306">
        <v>0</v>
      </c>
      <c r="BY188" s="306">
        <v>0</v>
      </c>
      <c r="BZ188" s="306">
        <v>0</v>
      </c>
      <c r="CA188" s="306">
        <v>0</v>
      </c>
      <c r="CB188" s="306">
        <v>0</v>
      </c>
      <c r="CC188" s="306">
        <v>0</v>
      </c>
      <c r="CD188" s="306">
        <v>0</v>
      </c>
      <c r="CE188" s="306">
        <v>0</v>
      </c>
      <c r="CF188" s="306">
        <v>0</v>
      </c>
      <c r="CG188" s="306">
        <v>0</v>
      </c>
      <c r="CH188" s="306">
        <v>0</v>
      </c>
      <c r="CI188" s="306">
        <v>0</v>
      </c>
      <c r="CJ188" s="306">
        <v>0</v>
      </c>
      <c r="CK188" s="306">
        <v>0</v>
      </c>
      <c r="CL188" s="306">
        <v>0</v>
      </c>
      <c r="CM188" s="306">
        <v>0</v>
      </c>
      <c r="CN188" s="306">
        <v>0</v>
      </c>
      <c r="CO188" s="306">
        <v>0</v>
      </c>
      <c r="CP188" s="306">
        <v>0</v>
      </c>
      <c r="CQ188" s="306">
        <v>0</v>
      </c>
      <c r="CR188" s="306">
        <v>0</v>
      </c>
      <c r="CS188" s="306">
        <v>0</v>
      </c>
      <c r="CT188" s="306">
        <v>0</v>
      </c>
      <c r="CU188" s="306">
        <v>0</v>
      </c>
      <c r="CV188" s="306">
        <v>0</v>
      </c>
      <c r="CW188" s="306">
        <v>0</v>
      </c>
      <c r="CX188" s="306">
        <v>0</v>
      </c>
    </row>
    <row r="189" spans="3:102" x14ac:dyDescent="0.25">
      <c r="C189" s="305">
        <v>69</v>
      </c>
      <c r="D189" s="306">
        <v>20.92</v>
      </c>
      <c r="E189" s="306">
        <v>21.85</v>
      </c>
      <c r="F189" s="306">
        <v>22.89</v>
      </c>
      <c r="G189" s="306">
        <v>24.08</v>
      </c>
      <c r="H189" s="306">
        <v>25.41</v>
      </c>
      <c r="I189" s="306">
        <v>26.86</v>
      </c>
      <c r="J189" s="306">
        <v>28.41</v>
      </c>
      <c r="K189" s="306">
        <v>30.04</v>
      </c>
      <c r="L189" s="306">
        <v>31.72</v>
      </c>
      <c r="M189" s="306">
        <v>33.43</v>
      </c>
      <c r="N189" s="306">
        <v>35.18</v>
      </c>
      <c r="O189" s="306">
        <v>36.799999999999997</v>
      </c>
      <c r="P189" s="306">
        <v>38.299999999999997</v>
      </c>
      <c r="Q189" s="306">
        <v>39.71</v>
      </c>
      <c r="R189" s="306">
        <v>41.02</v>
      </c>
      <c r="S189" s="306">
        <v>42.21</v>
      </c>
      <c r="T189" s="306">
        <v>43.29</v>
      </c>
      <c r="U189" s="306">
        <v>44.23</v>
      </c>
      <c r="V189" s="306">
        <v>45.03</v>
      </c>
      <c r="W189" s="306">
        <v>45.71</v>
      </c>
      <c r="X189" s="306">
        <v>46.27</v>
      </c>
      <c r="Y189" s="306">
        <v>46.71</v>
      </c>
      <c r="Z189" s="306">
        <v>47.06</v>
      </c>
      <c r="AA189" s="306">
        <v>47.33</v>
      </c>
      <c r="AB189" s="306">
        <v>47.53</v>
      </c>
      <c r="AC189" s="306">
        <v>47.67</v>
      </c>
      <c r="AD189" s="306">
        <v>47.78</v>
      </c>
      <c r="AE189" s="306">
        <v>47.86</v>
      </c>
      <c r="AF189" s="306">
        <v>47.91</v>
      </c>
      <c r="AG189" s="306">
        <v>47.94</v>
      </c>
      <c r="AH189" s="306">
        <v>47.94</v>
      </c>
      <c r="AI189" s="306">
        <v>0</v>
      </c>
      <c r="AJ189" s="306">
        <v>0</v>
      </c>
      <c r="AK189" s="306">
        <v>0</v>
      </c>
      <c r="AL189" s="306">
        <v>0</v>
      </c>
      <c r="AM189" s="306">
        <v>0</v>
      </c>
      <c r="AN189" s="306">
        <v>0</v>
      </c>
      <c r="AO189" s="306">
        <v>0</v>
      </c>
      <c r="AP189" s="306">
        <v>0</v>
      </c>
      <c r="AQ189" s="306">
        <v>0</v>
      </c>
      <c r="AR189" s="306">
        <v>0</v>
      </c>
      <c r="AS189" s="306">
        <v>0</v>
      </c>
      <c r="AT189" s="306">
        <v>0</v>
      </c>
      <c r="AU189" s="306">
        <v>0</v>
      </c>
      <c r="AV189" s="306">
        <v>0</v>
      </c>
      <c r="AW189" s="306">
        <v>0</v>
      </c>
      <c r="AX189" s="306">
        <v>0</v>
      </c>
      <c r="AY189" s="306">
        <v>0</v>
      </c>
      <c r="AZ189" s="306">
        <v>0</v>
      </c>
      <c r="BA189" s="306">
        <v>0</v>
      </c>
      <c r="BB189" s="306">
        <v>0</v>
      </c>
      <c r="BC189" s="306">
        <v>0</v>
      </c>
      <c r="BD189" s="306">
        <v>0</v>
      </c>
      <c r="BE189" s="306">
        <v>0</v>
      </c>
      <c r="BF189" s="306">
        <v>0</v>
      </c>
      <c r="BG189" s="306">
        <v>0</v>
      </c>
      <c r="BH189" s="306">
        <v>0</v>
      </c>
      <c r="BI189" s="306">
        <v>0</v>
      </c>
      <c r="BJ189" s="306">
        <v>0</v>
      </c>
      <c r="BK189" s="306">
        <v>0</v>
      </c>
      <c r="BL189" s="306">
        <v>0</v>
      </c>
      <c r="BM189" s="306">
        <v>0</v>
      </c>
      <c r="BN189" s="306">
        <v>0</v>
      </c>
      <c r="BO189" s="306">
        <v>0</v>
      </c>
      <c r="BP189" s="306">
        <v>0</v>
      </c>
      <c r="BQ189" s="306">
        <v>0</v>
      </c>
      <c r="BR189" s="306">
        <v>0</v>
      </c>
      <c r="BS189" s="306">
        <v>0</v>
      </c>
      <c r="BT189" s="306">
        <v>0</v>
      </c>
      <c r="BU189" s="306">
        <v>0</v>
      </c>
      <c r="BV189" s="306">
        <v>0</v>
      </c>
      <c r="BW189" s="306">
        <v>0</v>
      </c>
      <c r="BX189" s="306">
        <v>0</v>
      </c>
      <c r="BY189" s="306">
        <v>0</v>
      </c>
      <c r="BZ189" s="306">
        <v>0</v>
      </c>
      <c r="CA189" s="306">
        <v>0</v>
      </c>
      <c r="CB189" s="306">
        <v>0</v>
      </c>
      <c r="CC189" s="306">
        <v>0</v>
      </c>
      <c r="CD189" s="306">
        <v>0</v>
      </c>
      <c r="CE189" s="306">
        <v>0</v>
      </c>
      <c r="CF189" s="306">
        <v>0</v>
      </c>
      <c r="CG189" s="306">
        <v>0</v>
      </c>
      <c r="CH189" s="306">
        <v>0</v>
      </c>
      <c r="CI189" s="306">
        <v>0</v>
      </c>
      <c r="CJ189" s="306">
        <v>0</v>
      </c>
      <c r="CK189" s="306">
        <v>0</v>
      </c>
      <c r="CL189" s="306">
        <v>0</v>
      </c>
      <c r="CM189" s="306">
        <v>0</v>
      </c>
      <c r="CN189" s="306">
        <v>0</v>
      </c>
      <c r="CO189" s="306">
        <v>0</v>
      </c>
      <c r="CP189" s="306">
        <v>0</v>
      </c>
      <c r="CQ189" s="306">
        <v>0</v>
      </c>
      <c r="CR189" s="306">
        <v>0</v>
      </c>
      <c r="CS189" s="306">
        <v>0</v>
      </c>
      <c r="CT189" s="306">
        <v>0</v>
      </c>
      <c r="CU189" s="306">
        <v>0</v>
      </c>
      <c r="CV189" s="306">
        <v>0</v>
      </c>
      <c r="CW189" s="306">
        <v>0</v>
      </c>
      <c r="CX189" s="306">
        <v>0</v>
      </c>
    </row>
    <row r="190" spans="3:102" x14ac:dyDescent="0.25">
      <c r="C190" s="305">
        <v>70</v>
      </c>
      <c r="D190" s="306">
        <v>22.82</v>
      </c>
      <c r="E190" s="306">
        <v>23.96</v>
      </c>
      <c r="F190" s="306">
        <v>25.25</v>
      </c>
      <c r="G190" s="306">
        <v>26.69</v>
      </c>
      <c r="H190" s="306">
        <v>28.25</v>
      </c>
      <c r="I190" s="306">
        <v>29.92</v>
      </c>
      <c r="J190" s="306">
        <v>31.66</v>
      </c>
      <c r="K190" s="306">
        <v>33.450000000000003</v>
      </c>
      <c r="L190" s="306">
        <v>35.270000000000003</v>
      </c>
      <c r="M190" s="306">
        <v>37.130000000000003</v>
      </c>
      <c r="N190" s="306">
        <v>39.03</v>
      </c>
      <c r="O190" s="306">
        <v>40.79</v>
      </c>
      <c r="P190" s="306">
        <v>42.42</v>
      </c>
      <c r="Q190" s="306">
        <v>43.94</v>
      </c>
      <c r="R190" s="306">
        <v>45.33</v>
      </c>
      <c r="S190" s="306">
        <v>46.58</v>
      </c>
      <c r="T190" s="306">
        <v>47.67</v>
      </c>
      <c r="U190" s="306">
        <v>48.62</v>
      </c>
      <c r="V190" s="306">
        <v>49.41</v>
      </c>
      <c r="W190" s="306">
        <v>50.06</v>
      </c>
      <c r="X190" s="306">
        <v>50.58</v>
      </c>
      <c r="Y190" s="306">
        <v>50.99</v>
      </c>
      <c r="Z190" s="306">
        <v>51.31</v>
      </c>
      <c r="AA190" s="306">
        <v>51.54</v>
      </c>
      <c r="AB190" s="306">
        <v>51.72</v>
      </c>
      <c r="AC190" s="306">
        <v>51.84</v>
      </c>
      <c r="AD190" s="306">
        <v>51.94</v>
      </c>
      <c r="AE190" s="306">
        <v>52</v>
      </c>
      <c r="AF190" s="306">
        <v>52.04</v>
      </c>
      <c r="AG190" s="306">
        <v>52.04</v>
      </c>
      <c r="AH190" s="306">
        <v>0</v>
      </c>
      <c r="AI190" s="306">
        <v>0</v>
      </c>
      <c r="AJ190" s="306">
        <v>0</v>
      </c>
      <c r="AK190" s="306">
        <v>0</v>
      </c>
      <c r="AL190" s="306">
        <v>0</v>
      </c>
      <c r="AM190" s="306">
        <v>0</v>
      </c>
      <c r="AN190" s="306">
        <v>0</v>
      </c>
      <c r="AO190" s="306">
        <v>0</v>
      </c>
      <c r="AP190" s="306">
        <v>0</v>
      </c>
      <c r="AQ190" s="306">
        <v>0</v>
      </c>
      <c r="AR190" s="306">
        <v>0</v>
      </c>
      <c r="AS190" s="306">
        <v>0</v>
      </c>
      <c r="AT190" s="306">
        <v>0</v>
      </c>
      <c r="AU190" s="306">
        <v>0</v>
      </c>
      <c r="AV190" s="306">
        <v>0</v>
      </c>
      <c r="AW190" s="306">
        <v>0</v>
      </c>
      <c r="AX190" s="306">
        <v>0</v>
      </c>
      <c r="AY190" s="306">
        <v>0</v>
      </c>
      <c r="AZ190" s="306">
        <v>0</v>
      </c>
      <c r="BA190" s="306">
        <v>0</v>
      </c>
      <c r="BB190" s="306">
        <v>0</v>
      </c>
      <c r="BC190" s="306">
        <v>0</v>
      </c>
      <c r="BD190" s="306">
        <v>0</v>
      </c>
      <c r="BE190" s="306">
        <v>0</v>
      </c>
      <c r="BF190" s="306">
        <v>0</v>
      </c>
      <c r="BG190" s="306">
        <v>0</v>
      </c>
      <c r="BH190" s="306">
        <v>0</v>
      </c>
      <c r="BI190" s="306">
        <v>0</v>
      </c>
      <c r="BJ190" s="306">
        <v>0</v>
      </c>
      <c r="BK190" s="306">
        <v>0</v>
      </c>
      <c r="BL190" s="306">
        <v>0</v>
      </c>
      <c r="BM190" s="306">
        <v>0</v>
      </c>
      <c r="BN190" s="306">
        <v>0</v>
      </c>
      <c r="BO190" s="306">
        <v>0</v>
      </c>
      <c r="BP190" s="306">
        <v>0</v>
      </c>
      <c r="BQ190" s="306">
        <v>0</v>
      </c>
      <c r="BR190" s="306">
        <v>0</v>
      </c>
      <c r="BS190" s="306">
        <v>0</v>
      </c>
      <c r="BT190" s="306">
        <v>0</v>
      </c>
      <c r="BU190" s="306">
        <v>0</v>
      </c>
      <c r="BV190" s="306">
        <v>0</v>
      </c>
      <c r="BW190" s="306">
        <v>0</v>
      </c>
      <c r="BX190" s="306">
        <v>0</v>
      </c>
      <c r="BY190" s="306">
        <v>0</v>
      </c>
      <c r="BZ190" s="306">
        <v>0</v>
      </c>
      <c r="CA190" s="306">
        <v>0</v>
      </c>
      <c r="CB190" s="306">
        <v>0</v>
      </c>
      <c r="CC190" s="306">
        <v>0</v>
      </c>
      <c r="CD190" s="306">
        <v>0</v>
      </c>
      <c r="CE190" s="306">
        <v>0</v>
      </c>
      <c r="CF190" s="306">
        <v>0</v>
      </c>
      <c r="CG190" s="306">
        <v>0</v>
      </c>
      <c r="CH190" s="306">
        <v>0</v>
      </c>
      <c r="CI190" s="306">
        <v>0</v>
      </c>
      <c r="CJ190" s="306">
        <v>0</v>
      </c>
      <c r="CK190" s="306">
        <v>0</v>
      </c>
      <c r="CL190" s="306">
        <v>0</v>
      </c>
      <c r="CM190" s="306">
        <v>0</v>
      </c>
      <c r="CN190" s="306">
        <v>0</v>
      </c>
      <c r="CO190" s="306">
        <v>0</v>
      </c>
      <c r="CP190" s="306">
        <v>0</v>
      </c>
      <c r="CQ190" s="306">
        <v>0</v>
      </c>
      <c r="CR190" s="306">
        <v>0</v>
      </c>
      <c r="CS190" s="306">
        <v>0</v>
      </c>
      <c r="CT190" s="306">
        <v>0</v>
      </c>
      <c r="CU190" s="306">
        <v>0</v>
      </c>
      <c r="CV190" s="306">
        <v>0</v>
      </c>
      <c r="CW190" s="306">
        <v>0</v>
      </c>
      <c r="CX190" s="306">
        <v>0</v>
      </c>
    </row>
    <row r="191" spans="3:102" x14ac:dyDescent="0.25">
      <c r="C191" s="305">
        <v>71</v>
      </c>
      <c r="D191" s="306">
        <v>25.16</v>
      </c>
      <c r="E191" s="306">
        <v>26.56</v>
      </c>
      <c r="F191" s="306">
        <v>28.12</v>
      </c>
      <c r="G191" s="306">
        <v>29.81</v>
      </c>
      <c r="H191" s="306">
        <v>31.6</v>
      </c>
      <c r="I191" s="306">
        <v>33.450000000000003</v>
      </c>
      <c r="J191" s="306">
        <v>35.36</v>
      </c>
      <c r="K191" s="306">
        <v>37.29</v>
      </c>
      <c r="L191" s="306">
        <v>39.26</v>
      </c>
      <c r="M191" s="306">
        <v>41.28</v>
      </c>
      <c r="N191" s="306">
        <v>43.35</v>
      </c>
      <c r="O191" s="306">
        <v>45.26</v>
      </c>
      <c r="P191" s="306">
        <v>47.03</v>
      </c>
      <c r="Q191" s="306">
        <v>48.65</v>
      </c>
      <c r="R191" s="306">
        <v>50.1</v>
      </c>
      <c r="S191" s="306">
        <v>51.38</v>
      </c>
      <c r="T191" s="306">
        <v>52.48</v>
      </c>
      <c r="U191" s="306">
        <v>53.41</v>
      </c>
      <c r="V191" s="306">
        <v>54.18</v>
      </c>
      <c r="W191" s="306">
        <v>54.79</v>
      </c>
      <c r="X191" s="306">
        <v>55.27</v>
      </c>
      <c r="Y191" s="306">
        <v>55.64</v>
      </c>
      <c r="Z191" s="306">
        <v>55.92</v>
      </c>
      <c r="AA191" s="306">
        <v>56.13</v>
      </c>
      <c r="AB191" s="306">
        <v>56.28</v>
      </c>
      <c r="AC191" s="306">
        <v>56.39</v>
      </c>
      <c r="AD191" s="306">
        <v>56.47</v>
      </c>
      <c r="AE191" s="306">
        <v>56.51</v>
      </c>
      <c r="AF191" s="306">
        <v>56.51</v>
      </c>
      <c r="AG191" s="306">
        <v>0</v>
      </c>
      <c r="AH191" s="306">
        <v>0</v>
      </c>
      <c r="AI191" s="306">
        <v>0</v>
      </c>
      <c r="AJ191" s="306">
        <v>0</v>
      </c>
      <c r="AK191" s="306">
        <v>0</v>
      </c>
      <c r="AL191" s="306">
        <v>0</v>
      </c>
      <c r="AM191" s="306">
        <v>0</v>
      </c>
      <c r="AN191" s="306">
        <v>0</v>
      </c>
      <c r="AO191" s="306">
        <v>0</v>
      </c>
      <c r="AP191" s="306">
        <v>0</v>
      </c>
      <c r="AQ191" s="306">
        <v>0</v>
      </c>
      <c r="AR191" s="306">
        <v>0</v>
      </c>
      <c r="AS191" s="306">
        <v>0</v>
      </c>
      <c r="AT191" s="306">
        <v>0</v>
      </c>
      <c r="AU191" s="306">
        <v>0</v>
      </c>
      <c r="AV191" s="306">
        <v>0</v>
      </c>
      <c r="AW191" s="306">
        <v>0</v>
      </c>
      <c r="AX191" s="306">
        <v>0</v>
      </c>
      <c r="AY191" s="306">
        <v>0</v>
      </c>
      <c r="AZ191" s="306">
        <v>0</v>
      </c>
      <c r="BA191" s="306">
        <v>0</v>
      </c>
      <c r="BB191" s="306">
        <v>0</v>
      </c>
      <c r="BC191" s="306">
        <v>0</v>
      </c>
      <c r="BD191" s="306">
        <v>0</v>
      </c>
      <c r="BE191" s="306">
        <v>0</v>
      </c>
      <c r="BF191" s="306">
        <v>0</v>
      </c>
      <c r="BG191" s="306">
        <v>0</v>
      </c>
      <c r="BH191" s="306">
        <v>0</v>
      </c>
      <c r="BI191" s="306">
        <v>0</v>
      </c>
      <c r="BJ191" s="306">
        <v>0</v>
      </c>
      <c r="BK191" s="306">
        <v>0</v>
      </c>
      <c r="BL191" s="306">
        <v>0</v>
      </c>
      <c r="BM191" s="306">
        <v>0</v>
      </c>
      <c r="BN191" s="306">
        <v>0</v>
      </c>
      <c r="BO191" s="306">
        <v>0</v>
      </c>
      <c r="BP191" s="306">
        <v>0</v>
      </c>
      <c r="BQ191" s="306">
        <v>0</v>
      </c>
      <c r="BR191" s="306">
        <v>0</v>
      </c>
      <c r="BS191" s="306">
        <v>0</v>
      </c>
      <c r="BT191" s="306">
        <v>0</v>
      </c>
      <c r="BU191" s="306">
        <v>0</v>
      </c>
      <c r="BV191" s="306">
        <v>0</v>
      </c>
      <c r="BW191" s="306">
        <v>0</v>
      </c>
      <c r="BX191" s="306">
        <v>0</v>
      </c>
      <c r="BY191" s="306">
        <v>0</v>
      </c>
      <c r="BZ191" s="306">
        <v>0</v>
      </c>
      <c r="CA191" s="306">
        <v>0</v>
      </c>
      <c r="CB191" s="306">
        <v>0</v>
      </c>
      <c r="CC191" s="306">
        <v>0</v>
      </c>
      <c r="CD191" s="306">
        <v>0</v>
      </c>
      <c r="CE191" s="306">
        <v>0</v>
      </c>
      <c r="CF191" s="306">
        <v>0</v>
      </c>
      <c r="CG191" s="306">
        <v>0</v>
      </c>
      <c r="CH191" s="306">
        <v>0</v>
      </c>
      <c r="CI191" s="306">
        <v>0</v>
      </c>
      <c r="CJ191" s="306">
        <v>0</v>
      </c>
      <c r="CK191" s="306">
        <v>0</v>
      </c>
      <c r="CL191" s="306">
        <v>0</v>
      </c>
      <c r="CM191" s="306">
        <v>0</v>
      </c>
      <c r="CN191" s="306">
        <v>0</v>
      </c>
      <c r="CO191" s="306">
        <v>0</v>
      </c>
      <c r="CP191" s="306">
        <v>0</v>
      </c>
      <c r="CQ191" s="306">
        <v>0</v>
      </c>
      <c r="CR191" s="306">
        <v>0</v>
      </c>
      <c r="CS191" s="306">
        <v>0</v>
      </c>
      <c r="CT191" s="306">
        <v>0</v>
      </c>
      <c r="CU191" s="306">
        <v>0</v>
      </c>
      <c r="CV191" s="306">
        <v>0</v>
      </c>
      <c r="CW191" s="306">
        <v>0</v>
      </c>
      <c r="CX191" s="306">
        <v>0</v>
      </c>
    </row>
    <row r="192" spans="3:102" x14ac:dyDescent="0.25">
      <c r="C192" s="305">
        <v>72</v>
      </c>
      <c r="D192" s="306">
        <v>28.05</v>
      </c>
      <c r="E192" s="306">
        <v>29.74</v>
      </c>
      <c r="F192" s="306">
        <v>31.55</v>
      </c>
      <c r="G192" s="306">
        <v>33.46</v>
      </c>
      <c r="H192" s="306">
        <v>35.43</v>
      </c>
      <c r="I192" s="306">
        <v>37.450000000000003</v>
      </c>
      <c r="J192" s="306">
        <v>39.5</v>
      </c>
      <c r="K192" s="306">
        <v>41.59</v>
      </c>
      <c r="L192" s="306">
        <v>43.73</v>
      </c>
      <c r="M192" s="306">
        <v>45.92</v>
      </c>
      <c r="N192" s="306">
        <v>48.18</v>
      </c>
      <c r="O192" s="306">
        <v>50.25</v>
      </c>
      <c r="P192" s="306">
        <v>52.15</v>
      </c>
      <c r="Q192" s="306">
        <v>53.84</v>
      </c>
      <c r="R192" s="306">
        <v>55.34</v>
      </c>
      <c r="S192" s="306">
        <v>56.63</v>
      </c>
      <c r="T192" s="306">
        <v>57.72</v>
      </c>
      <c r="U192" s="306">
        <v>58.62</v>
      </c>
      <c r="V192" s="306">
        <v>59.34</v>
      </c>
      <c r="W192" s="306">
        <v>59.91</v>
      </c>
      <c r="X192" s="306">
        <v>60.35</v>
      </c>
      <c r="Y192" s="306">
        <v>60.68</v>
      </c>
      <c r="Z192" s="306">
        <v>60.93</v>
      </c>
      <c r="AA192" s="306">
        <v>61.11</v>
      </c>
      <c r="AB192" s="306">
        <v>61.24</v>
      </c>
      <c r="AC192" s="306">
        <v>61.33</v>
      </c>
      <c r="AD192" s="306">
        <v>61.39</v>
      </c>
      <c r="AE192" s="306">
        <v>61.39</v>
      </c>
      <c r="AF192" s="306">
        <v>0</v>
      </c>
      <c r="AG192" s="306">
        <v>0</v>
      </c>
      <c r="AH192" s="306">
        <v>0</v>
      </c>
      <c r="AI192" s="306">
        <v>0</v>
      </c>
      <c r="AJ192" s="306">
        <v>0</v>
      </c>
      <c r="AK192" s="306">
        <v>0</v>
      </c>
      <c r="AL192" s="306">
        <v>0</v>
      </c>
      <c r="AM192" s="306">
        <v>0</v>
      </c>
      <c r="AN192" s="306">
        <v>0</v>
      </c>
      <c r="AO192" s="306">
        <v>0</v>
      </c>
      <c r="AP192" s="306">
        <v>0</v>
      </c>
      <c r="AQ192" s="306">
        <v>0</v>
      </c>
      <c r="AR192" s="306">
        <v>0</v>
      </c>
      <c r="AS192" s="306">
        <v>0</v>
      </c>
      <c r="AT192" s="306">
        <v>0</v>
      </c>
      <c r="AU192" s="306">
        <v>0</v>
      </c>
      <c r="AV192" s="306">
        <v>0</v>
      </c>
      <c r="AW192" s="306">
        <v>0</v>
      </c>
      <c r="AX192" s="306">
        <v>0</v>
      </c>
      <c r="AY192" s="306">
        <v>0</v>
      </c>
      <c r="AZ192" s="306">
        <v>0</v>
      </c>
      <c r="BA192" s="306">
        <v>0</v>
      </c>
      <c r="BB192" s="306">
        <v>0</v>
      </c>
      <c r="BC192" s="306">
        <v>0</v>
      </c>
      <c r="BD192" s="306">
        <v>0</v>
      </c>
      <c r="BE192" s="306">
        <v>0</v>
      </c>
      <c r="BF192" s="306">
        <v>0</v>
      </c>
      <c r="BG192" s="306">
        <v>0</v>
      </c>
      <c r="BH192" s="306">
        <v>0</v>
      </c>
      <c r="BI192" s="306">
        <v>0</v>
      </c>
      <c r="BJ192" s="306">
        <v>0</v>
      </c>
      <c r="BK192" s="306">
        <v>0</v>
      </c>
      <c r="BL192" s="306">
        <v>0</v>
      </c>
      <c r="BM192" s="306">
        <v>0</v>
      </c>
      <c r="BN192" s="306">
        <v>0</v>
      </c>
      <c r="BO192" s="306">
        <v>0</v>
      </c>
      <c r="BP192" s="306">
        <v>0</v>
      </c>
      <c r="BQ192" s="306">
        <v>0</v>
      </c>
      <c r="BR192" s="306">
        <v>0</v>
      </c>
      <c r="BS192" s="306">
        <v>0</v>
      </c>
      <c r="BT192" s="306">
        <v>0</v>
      </c>
      <c r="BU192" s="306">
        <v>0</v>
      </c>
      <c r="BV192" s="306">
        <v>0</v>
      </c>
      <c r="BW192" s="306">
        <v>0</v>
      </c>
      <c r="BX192" s="306">
        <v>0</v>
      </c>
      <c r="BY192" s="306">
        <v>0</v>
      </c>
      <c r="BZ192" s="306">
        <v>0</v>
      </c>
      <c r="CA192" s="306">
        <v>0</v>
      </c>
      <c r="CB192" s="306">
        <v>0</v>
      </c>
      <c r="CC192" s="306">
        <v>0</v>
      </c>
      <c r="CD192" s="306">
        <v>0</v>
      </c>
      <c r="CE192" s="306">
        <v>0</v>
      </c>
      <c r="CF192" s="306">
        <v>0</v>
      </c>
      <c r="CG192" s="306">
        <v>0</v>
      </c>
      <c r="CH192" s="306">
        <v>0</v>
      </c>
      <c r="CI192" s="306">
        <v>0</v>
      </c>
      <c r="CJ192" s="306">
        <v>0</v>
      </c>
      <c r="CK192" s="306">
        <v>0</v>
      </c>
      <c r="CL192" s="306">
        <v>0</v>
      </c>
      <c r="CM192" s="306">
        <v>0</v>
      </c>
      <c r="CN192" s="306">
        <v>0</v>
      </c>
      <c r="CO192" s="306">
        <v>0</v>
      </c>
      <c r="CP192" s="306">
        <v>0</v>
      </c>
      <c r="CQ192" s="306">
        <v>0</v>
      </c>
      <c r="CR192" s="306">
        <v>0</v>
      </c>
      <c r="CS192" s="306">
        <v>0</v>
      </c>
      <c r="CT192" s="306">
        <v>0</v>
      </c>
      <c r="CU192" s="306">
        <v>0</v>
      </c>
      <c r="CV192" s="306">
        <v>0</v>
      </c>
      <c r="CW192" s="306">
        <v>0</v>
      </c>
      <c r="CX192" s="306">
        <v>0</v>
      </c>
    </row>
    <row r="193" spans="3:102" x14ac:dyDescent="0.25">
      <c r="C193" s="305">
        <v>73</v>
      </c>
      <c r="D193" s="306">
        <v>31.52</v>
      </c>
      <c r="E193" s="306">
        <v>33.46</v>
      </c>
      <c r="F193" s="306">
        <v>35.49</v>
      </c>
      <c r="G193" s="306">
        <v>37.58</v>
      </c>
      <c r="H193" s="306">
        <v>39.71</v>
      </c>
      <c r="I193" s="306">
        <v>41.88</v>
      </c>
      <c r="J193" s="306">
        <v>44.09</v>
      </c>
      <c r="K193" s="306">
        <v>46.36</v>
      </c>
      <c r="L193" s="306">
        <v>48.69</v>
      </c>
      <c r="M193" s="306">
        <v>51.09</v>
      </c>
      <c r="N193" s="306">
        <v>53.54</v>
      </c>
      <c r="O193" s="306">
        <v>55.77</v>
      </c>
      <c r="P193" s="306">
        <v>57.76</v>
      </c>
      <c r="Q193" s="306">
        <v>59.52</v>
      </c>
      <c r="R193" s="306">
        <v>61.03</v>
      </c>
      <c r="S193" s="306">
        <v>62.31</v>
      </c>
      <c r="T193" s="306">
        <v>63.37</v>
      </c>
      <c r="U193" s="306">
        <v>64.23</v>
      </c>
      <c r="V193" s="306">
        <v>64.900000000000006</v>
      </c>
      <c r="W193" s="306">
        <v>65.42</v>
      </c>
      <c r="X193" s="306">
        <v>65.819999999999993</v>
      </c>
      <c r="Y193" s="306">
        <v>66.11</v>
      </c>
      <c r="Z193" s="306">
        <v>66.33</v>
      </c>
      <c r="AA193" s="306">
        <v>66.489999999999995</v>
      </c>
      <c r="AB193" s="306">
        <v>66.599999999999994</v>
      </c>
      <c r="AC193" s="306">
        <v>66.66</v>
      </c>
      <c r="AD193" s="306">
        <v>66.66</v>
      </c>
      <c r="AE193" s="306">
        <v>0</v>
      </c>
      <c r="AF193" s="306">
        <v>0</v>
      </c>
      <c r="AG193" s="306">
        <v>0</v>
      </c>
      <c r="AH193" s="306">
        <v>0</v>
      </c>
      <c r="AI193" s="306">
        <v>0</v>
      </c>
      <c r="AJ193" s="306">
        <v>0</v>
      </c>
      <c r="AK193" s="306">
        <v>0</v>
      </c>
      <c r="AL193" s="306">
        <v>0</v>
      </c>
      <c r="AM193" s="306">
        <v>0</v>
      </c>
      <c r="AN193" s="306">
        <v>0</v>
      </c>
      <c r="AO193" s="306">
        <v>0</v>
      </c>
      <c r="AP193" s="306">
        <v>0</v>
      </c>
      <c r="AQ193" s="306">
        <v>0</v>
      </c>
      <c r="AR193" s="306">
        <v>0</v>
      </c>
      <c r="AS193" s="306">
        <v>0</v>
      </c>
      <c r="AT193" s="306">
        <v>0</v>
      </c>
      <c r="AU193" s="306">
        <v>0</v>
      </c>
      <c r="AV193" s="306">
        <v>0</v>
      </c>
      <c r="AW193" s="306">
        <v>0</v>
      </c>
      <c r="AX193" s="306">
        <v>0</v>
      </c>
      <c r="AY193" s="306">
        <v>0</v>
      </c>
      <c r="AZ193" s="306">
        <v>0</v>
      </c>
      <c r="BA193" s="306">
        <v>0</v>
      </c>
      <c r="BB193" s="306">
        <v>0</v>
      </c>
      <c r="BC193" s="306">
        <v>0</v>
      </c>
      <c r="BD193" s="306">
        <v>0</v>
      </c>
      <c r="BE193" s="306">
        <v>0</v>
      </c>
      <c r="BF193" s="306">
        <v>0</v>
      </c>
      <c r="BG193" s="306">
        <v>0</v>
      </c>
      <c r="BH193" s="306">
        <v>0</v>
      </c>
      <c r="BI193" s="306">
        <v>0</v>
      </c>
      <c r="BJ193" s="306">
        <v>0</v>
      </c>
      <c r="BK193" s="306">
        <v>0</v>
      </c>
      <c r="BL193" s="306">
        <v>0</v>
      </c>
      <c r="BM193" s="306">
        <v>0</v>
      </c>
      <c r="BN193" s="306">
        <v>0</v>
      </c>
      <c r="BO193" s="306">
        <v>0</v>
      </c>
      <c r="BP193" s="306">
        <v>0</v>
      </c>
      <c r="BQ193" s="306">
        <v>0</v>
      </c>
      <c r="BR193" s="306">
        <v>0</v>
      </c>
      <c r="BS193" s="306">
        <v>0</v>
      </c>
      <c r="BT193" s="306">
        <v>0</v>
      </c>
      <c r="BU193" s="306">
        <v>0</v>
      </c>
      <c r="BV193" s="306">
        <v>0</v>
      </c>
      <c r="BW193" s="306">
        <v>0</v>
      </c>
      <c r="BX193" s="306">
        <v>0</v>
      </c>
      <c r="BY193" s="306">
        <v>0</v>
      </c>
      <c r="BZ193" s="306">
        <v>0</v>
      </c>
      <c r="CA193" s="306">
        <v>0</v>
      </c>
      <c r="CB193" s="306">
        <v>0</v>
      </c>
      <c r="CC193" s="306">
        <v>0</v>
      </c>
      <c r="CD193" s="306">
        <v>0</v>
      </c>
      <c r="CE193" s="306">
        <v>0</v>
      </c>
      <c r="CF193" s="306">
        <v>0</v>
      </c>
      <c r="CG193" s="306">
        <v>0</v>
      </c>
      <c r="CH193" s="306">
        <v>0</v>
      </c>
      <c r="CI193" s="306">
        <v>0</v>
      </c>
      <c r="CJ193" s="306">
        <v>0</v>
      </c>
      <c r="CK193" s="306">
        <v>0</v>
      </c>
      <c r="CL193" s="306">
        <v>0</v>
      </c>
      <c r="CM193" s="306">
        <v>0</v>
      </c>
      <c r="CN193" s="306">
        <v>0</v>
      </c>
      <c r="CO193" s="306">
        <v>0</v>
      </c>
      <c r="CP193" s="306">
        <v>0</v>
      </c>
      <c r="CQ193" s="306">
        <v>0</v>
      </c>
      <c r="CR193" s="306">
        <v>0</v>
      </c>
      <c r="CS193" s="306">
        <v>0</v>
      </c>
      <c r="CT193" s="306">
        <v>0</v>
      </c>
      <c r="CU193" s="306">
        <v>0</v>
      </c>
      <c r="CV193" s="306">
        <v>0</v>
      </c>
      <c r="CW193" s="306">
        <v>0</v>
      </c>
      <c r="CX193" s="306">
        <v>0</v>
      </c>
    </row>
    <row r="194" spans="3:102" x14ac:dyDescent="0.25">
      <c r="C194" s="305">
        <v>74</v>
      </c>
      <c r="D194" s="306">
        <v>35.520000000000003</v>
      </c>
      <c r="E194" s="306">
        <v>37.67</v>
      </c>
      <c r="F194" s="306">
        <v>39.880000000000003</v>
      </c>
      <c r="G194" s="306">
        <v>42.13</v>
      </c>
      <c r="H194" s="306">
        <v>44.41</v>
      </c>
      <c r="I194" s="306">
        <v>46.74</v>
      </c>
      <c r="J194" s="306">
        <v>49.14</v>
      </c>
      <c r="K194" s="306">
        <v>51.63</v>
      </c>
      <c r="L194" s="306">
        <v>54.19</v>
      </c>
      <c r="M194" s="306">
        <v>56.81</v>
      </c>
      <c r="N194" s="306">
        <v>59.45</v>
      </c>
      <c r="O194" s="306">
        <v>61.8</v>
      </c>
      <c r="P194" s="306">
        <v>63.87</v>
      </c>
      <c r="Q194" s="306">
        <v>65.66</v>
      </c>
      <c r="R194" s="306">
        <v>67.17</v>
      </c>
      <c r="S194" s="306">
        <v>68.42</v>
      </c>
      <c r="T194" s="306">
        <v>69.430000000000007</v>
      </c>
      <c r="U194" s="306">
        <v>70.23</v>
      </c>
      <c r="V194" s="306">
        <v>70.849999999999994</v>
      </c>
      <c r="W194" s="306">
        <v>71.319999999999993</v>
      </c>
      <c r="X194" s="306">
        <v>71.680000000000007</v>
      </c>
      <c r="Y194" s="306">
        <v>71.94</v>
      </c>
      <c r="Z194" s="306">
        <v>72.13</v>
      </c>
      <c r="AA194" s="306">
        <v>72.260000000000005</v>
      </c>
      <c r="AB194" s="306">
        <v>72.34</v>
      </c>
      <c r="AC194" s="306">
        <v>72.34</v>
      </c>
      <c r="AD194" s="306">
        <v>0</v>
      </c>
      <c r="AE194" s="306">
        <v>0</v>
      </c>
      <c r="AF194" s="306">
        <v>0</v>
      </c>
      <c r="AG194" s="306">
        <v>0</v>
      </c>
      <c r="AH194" s="306">
        <v>0</v>
      </c>
      <c r="AI194" s="306">
        <v>0</v>
      </c>
      <c r="AJ194" s="306">
        <v>0</v>
      </c>
      <c r="AK194" s="306">
        <v>0</v>
      </c>
      <c r="AL194" s="306">
        <v>0</v>
      </c>
      <c r="AM194" s="306">
        <v>0</v>
      </c>
      <c r="AN194" s="306">
        <v>0</v>
      </c>
      <c r="AO194" s="306">
        <v>0</v>
      </c>
      <c r="AP194" s="306">
        <v>0</v>
      </c>
      <c r="AQ194" s="306">
        <v>0</v>
      </c>
      <c r="AR194" s="306">
        <v>0</v>
      </c>
      <c r="AS194" s="306">
        <v>0</v>
      </c>
      <c r="AT194" s="306">
        <v>0</v>
      </c>
      <c r="AU194" s="306">
        <v>0</v>
      </c>
      <c r="AV194" s="306">
        <v>0</v>
      </c>
      <c r="AW194" s="306">
        <v>0</v>
      </c>
      <c r="AX194" s="306">
        <v>0</v>
      </c>
      <c r="AY194" s="306">
        <v>0</v>
      </c>
      <c r="AZ194" s="306">
        <v>0</v>
      </c>
      <c r="BA194" s="306">
        <v>0</v>
      </c>
      <c r="BB194" s="306">
        <v>0</v>
      </c>
      <c r="BC194" s="306">
        <v>0</v>
      </c>
      <c r="BD194" s="306">
        <v>0</v>
      </c>
      <c r="BE194" s="306">
        <v>0</v>
      </c>
      <c r="BF194" s="306">
        <v>0</v>
      </c>
      <c r="BG194" s="306">
        <v>0</v>
      </c>
      <c r="BH194" s="306">
        <v>0</v>
      </c>
      <c r="BI194" s="306">
        <v>0</v>
      </c>
      <c r="BJ194" s="306">
        <v>0</v>
      </c>
      <c r="BK194" s="306">
        <v>0</v>
      </c>
      <c r="BL194" s="306">
        <v>0</v>
      </c>
      <c r="BM194" s="306">
        <v>0</v>
      </c>
      <c r="BN194" s="306">
        <v>0</v>
      </c>
      <c r="BO194" s="306">
        <v>0</v>
      </c>
      <c r="BP194" s="306">
        <v>0</v>
      </c>
      <c r="BQ194" s="306">
        <v>0</v>
      </c>
      <c r="BR194" s="306">
        <v>0</v>
      </c>
      <c r="BS194" s="306">
        <v>0</v>
      </c>
      <c r="BT194" s="306">
        <v>0</v>
      </c>
      <c r="BU194" s="306">
        <v>0</v>
      </c>
      <c r="BV194" s="306">
        <v>0</v>
      </c>
      <c r="BW194" s="306">
        <v>0</v>
      </c>
      <c r="BX194" s="306">
        <v>0</v>
      </c>
      <c r="BY194" s="306">
        <v>0</v>
      </c>
      <c r="BZ194" s="306">
        <v>0</v>
      </c>
      <c r="CA194" s="306">
        <v>0</v>
      </c>
      <c r="CB194" s="306">
        <v>0</v>
      </c>
      <c r="CC194" s="306">
        <v>0</v>
      </c>
      <c r="CD194" s="306">
        <v>0</v>
      </c>
      <c r="CE194" s="306">
        <v>0</v>
      </c>
      <c r="CF194" s="306">
        <v>0</v>
      </c>
      <c r="CG194" s="306">
        <v>0</v>
      </c>
      <c r="CH194" s="306">
        <v>0</v>
      </c>
      <c r="CI194" s="306">
        <v>0</v>
      </c>
      <c r="CJ194" s="306">
        <v>0</v>
      </c>
      <c r="CK194" s="306">
        <v>0</v>
      </c>
      <c r="CL194" s="306">
        <v>0</v>
      </c>
      <c r="CM194" s="306">
        <v>0</v>
      </c>
      <c r="CN194" s="306">
        <v>0</v>
      </c>
      <c r="CO194" s="306">
        <v>0</v>
      </c>
      <c r="CP194" s="306">
        <v>0</v>
      </c>
      <c r="CQ194" s="306">
        <v>0</v>
      </c>
      <c r="CR194" s="306">
        <v>0</v>
      </c>
      <c r="CS194" s="306">
        <v>0</v>
      </c>
      <c r="CT194" s="306">
        <v>0</v>
      </c>
      <c r="CU194" s="306">
        <v>0</v>
      </c>
      <c r="CV194" s="306">
        <v>0</v>
      </c>
      <c r="CW194" s="306">
        <v>0</v>
      </c>
      <c r="CX194" s="306">
        <v>0</v>
      </c>
    </row>
    <row r="195" spans="3:102" x14ac:dyDescent="0.25">
      <c r="C195" s="305">
        <v>75</v>
      </c>
      <c r="D195" s="306">
        <v>39.96</v>
      </c>
      <c r="E195" s="306">
        <v>42.29</v>
      </c>
      <c r="F195" s="306">
        <v>44.65</v>
      </c>
      <c r="G195" s="306">
        <v>47.05</v>
      </c>
      <c r="H195" s="306">
        <v>49.52</v>
      </c>
      <c r="I195" s="306">
        <v>52.06</v>
      </c>
      <c r="J195" s="306">
        <v>54.71</v>
      </c>
      <c r="K195" s="306">
        <v>57.45</v>
      </c>
      <c r="L195" s="306">
        <v>60.26</v>
      </c>
      <c r="M195" s="306">
        <v>63.1</v>
      </c>
      <c r="N195" s="306">
        <v>65.900000000000006</v>
      </c>
      <c r="O195" s="306">
        <v>68.349999999999994</v>
      </c>
      <c r="P195" s="306">
        <v>70.47</v>
      </c>
      <c r="Q195" s="306">
        <v>72.25</v>
      </c>
      <c r="R195" s="306">
        <v>73.739999999999995</v>
      </c>
      <c r="S195" s="306">
        <v>74.94</v>
      </c>
      <c r="T195" s="306">
        <v>75.89</v>
      </c>
      <c r="U195" s="306">
        <v>76.64</v>
      </c>
      <c r="V195" s="306">
        <v>77.2</v>
      </c>
      <c r="W195" s="306">
        <v>77.62</v>
      </c>
      <c r="X195" s="306">
        <v>77.94</v>
      </c>
      <c r="Y195" s="306">
        <v>78.17</v>
      </c>
      <c r="Z195" s="306">
        <v>78.33</v>
      </c>
      <c r="AA195" s="306">
        <v>78.430000000000007</v>
      </c>
      <c r="AB195" s="306">
        <v>78.430000000000007</v>
      </c>
      <c r="AC195" s="306">
        <v>0</v>
      </c>
      <c r="AD195" s="306">
        <v>0</v>
      </c>
      <c r="AE195" s="306">
        <v>0</v>
      </c>
      <c r="AF195" s="306">
        <v>0</v>
      </c>
      <c r="AG195" s="306">
        <v>0</v>
      </c>
      <c r="AH195" s="306">
        <v>0</v>
      </c>
      <c r="AI195" s="306">
        <v>0</v>
      </c>
      <c r="AJ195" s="306">
        <v>0</v>
      </c>
      <c r="AK195" s="306">
        <v>0</v>
      </c>
      <c r="AL195" s="306">
        <v>0</v>
      </c>
      <c r="AM195" s="306">
        <v>0</v>
      </c>
      <c r="AN195" s="306">
        <v>0</v>
      </c>
      <c r="AO195" s="306">
        <v>0</v>
      </c>
      <c r="AP195" s="306">
        <v>0</v>
      </c>
      <c r="AQ195" s="306">
        <v>0</v>
      </c>
      <c r="AR195" s="306">
        <v>0</v>
      </c>
      <c r="AS195" s="306">
        <v>0</v>
      </c>
      <c r="AT195" s="306">
        <v>0</v>
      </c>
      <c r="AU195" s="306">
        <v>0</v>
      </c>
      <c r="AV195" s="306">
        <v>0</v>
      </c>
      <c r="AW195" s="306">
        <v>0</v>
      </c>
      <c r="AX195" s="306">
        <v>0</v>
      </c>
      <c r="AY195" s="306">
        <v>0</v>
      </c>
      <c r="AZ195" s="306">
        <v>0</v>
      </c>
      <c r="BA195" s="306">
        <v>0</v>
      </c>
      <c r="BB195" s="306">
        <v>0</v>
      </c>
      <c r="BC195" s="306">
        <v>0</v>
      </c>
      <c r="BD195" s="306">
        <v>0</v>
      </c>
      <c r="BE195" s="306">
        <v>0</v>
      </c>
      <c r="BF195" s="306">
        <v>0</v>
      </c>
      <c r="BG195" s="306">
        <v>0</v>
      </c>
      <c r="BH195" s="306">
        <v>0</v>
      </c>
      <c r="BI195" s="306">
        <v>0</v>
      </c>
      <c r="BJ195" s="306">
        <v>0</v>
      </c>
      <c r="BK195" s="306">
        <v>0</v>
      </c>
      <c r="BL195" s="306">
        <v>0</v>
      </c>
      <c r="BM195" s="306">
        <v>0</v>
      </c>
      <c r="BN195" s="306">
        <v>0</v>
      </c>
      <c r="BO195" s="306">
        <v>0</v>
      </c>
      <c r="BP195" s="306">
        <v>0</v>
      </c>
      <c r="BQ195" s="306">
        <v>0</v>
      </c>
      <c r="BR195" s="306">
        <v>0</v>
      </c>
      <c r="BS195" s="306">
        <v>0</v>
      </c>
      <c r="BT195" s="306">
        <v>0</v>
      </c>
      <c r="BU195" s="306">
        <v>0</v>
      </c>
      <c r="BV195" s="306">
        <v>0</v>
      </c>
      <c r="BW195" s="306">
        <v>0</v>
      </c>
      <c r="BX195" s="306">
        <v>0</v>
      </c>
      <c r="BY195" s="306">
        <v>0</v>
      </c>
      <c r="BZ195" s="306">
        <v>0</v>
      </c>
      <c r="CA195" s="306">
        <v>0</v>
      </c>
      <c r="CB195" s="306">
        <v>0</v>
      </c>
      <c r="CC195" s="306">
        <v>0</v>
      </c>
      <c r="CD195" s="306">
        <v>0</v>
      </c>
      <c r="CE195" s="306">
        <v>0</v>
      </c>
      <c r="CF195" s="306">
        <v>0</v>
      </c>
      <c r="CG195" s="306">
        <v>0</v>
      </c>
      <c r="CH195" s="306">
        <v>0</v>
      </c>
      <c r="CI195" s="306">
        <v>0</v>
      </c>
      <c r="CJ195" s="306">
        <v>0</v>
      </c>
      <c r="CK195" s="306">
        <v>0</v>
      </c>
      <c r="CL195" s="306">
        <v>0</v>
      </c>
      <c r="CM195" s="306">
        <v>0</v>
      </c>
      <c r="CN195" s="306">
        <v>0</v>
      </c>
      <c r="CO195" s="306">
        <v>0</v>
      </c>
      <c r="CP195" s="306">
        <v>0</v>
      </c>
      <c r="CQ195" s="306">
        <v>0</v>
      </c>
      <c r="CR195" s="306">
        <v>0</v>
      </c>
      <c r="CS195" s="306">
        <v>0</v>
      </c>
      <c r="CT195" s="306">
        <v>0</v>
      </c>
      <c r="CU195" s="306">
        <v>0</v>
      </c>
      <c r="CV195" s="306">
        <v>0</v>
      </c>
      <c r="CW195" s="306">
        <v>0</v>
      </c>
      <c r="CX195" s="306">
        <v>0</v>
      </c>
    </row>
    <row r="196" spans="3:102" x14ac:dyDescent="0.25">
      <c r="C196" s="305">
        <v>76</v>
      </c>
      <c r="D196" s="306">
        <v>44.78</v>
      </c>
      <c r="E196" s="306">
        <v>47.26</v>
      </c>
      <c r="F196" s="306">
        <v>49.79</v>
      </c>
      <c r="G196" s="306">
        <v>52.4</v>
      </c>
      <c r="H196" s="306">
        <v>55.1</v>
      </c>
      <c r="I196" s="306">
        <v>57.93</v>
      </c>
      <c r="J196" s="306">
        <v>60.87</v>
      </c>
      <c r="K196" s="306">
        <v>63.89</v>
      </c>
      <c r="L196" s="306">
        <v>66.95</v>
      </c>
      <c r="M196" s="306">
        <v>69.97</v>
      </c>
      <c r="N196" s="306">
        <v>72.91</v>
      </c>
      <c r="O196" s="306">
        <v>75.42</v>
      </c>
      <c r="P196" s="306">
        <v>77.55</v>
      </c>
      <c r="Q196" s="306">
        <v>79.31</v>
      </c>
      <c r="R196" s="306">
        <v>80.75</v>
      </c>
      <c r="S196" s="306">
        <v>81.89</v>
      </c>
      <c r="T196" s="306">
        <v>82.78</v>
      </c>
      <c r="U196" s="306">
        <v>83.46</v>
      </c>
      <c r="V196" s="306">
        <v>83.97</v>
      </c>
      <c r="W196" s="306">
        <v>84.35</v>
      </c>
      <c r="X196" s="306">
        <v>84.63</v>
      </c>
      <c r="Y196" s="306">
        <v>84.83</v>
      </c>
      <c r="Z196" s="306">
        <v>84.95</v>
      </c>
      <c r="AA196" s="306">
        <v>84.95</v>
      </c>
      <c r="AB196" s="306">
        <v>0</v>
      </c>
      <c r="AC196" s="306">
        <v>0</v>
      </c>
      <c r="AD196" s="306">
        <v>0</v>
      </c>
      <c r="AE196" s="306">
        <v>0</v>
      </c>
      <c r="AF196" s="306">
        <v>0</v>
      </c>
      <c r="AG196" s="306">
        <v>0</v>
      </c>
      <c r="AH196" s="306">
        <v>0</v>
      </c>
      <c r="AI196" s="306">
        <v>0</v>
      </c>
      <c r="AJ196" s="306">
        <v>0</v>
      </c>
      <c r="AK196" s="306">
        <v>0</v>
      </c>
      <c r="AL196" s="306">
        <v>0</v>
      </c>
      <c r="AM196" s="306">
        <v>0</v>
      </c>
      <c r="AN196" s="306">
        <v>0</v>
      </c>
      <c r="AO196" s="306">
        <v>0</v>
      </c>
      <c r="AP196" s="306">
        <v>0</v>
      </c>
      <c r="AQ196" s="306">
        <v>0</v>
      </c>
      <c r="AR196" s="306">
        <v>0</v>
      </c>
      <c r="AS196" s="306">
        <v>0</v>
      </c>
      <c r="AT196" s="306">
        <v>0</v>
      </c>
      <c r="AU196" s="306">
        <v>0</v>
      </c>
      <c r="AV196" s="306">
        <v>0</v>
      </c>
      <c r="AW196" s="306">
        <v>0</v>
      </c>
      <c r="AX196" s="306">
        <v>0</v>
      </c>
      <c r="AY196" s="306">
        <v>0</v>
      </c>
      <c r="AZ196" s="306">
        <v>0</v>
      </c>
      <c r="BA196" s="306">
        <v>0</v>
      </c>
      <c r="BB196" s="306">
        <v>0</v>
      </c>
      <c r="BC196" s="306">
        <v>0</v>
      </c>
      <c r="BD196" s="306">
        <v>0</v>
      </c>
      <c r="BE196" s="306">
        <v>0</v>
      </c>
      <c r="BF196" s="306">
        <v>0</v>
      </c>
      <c r="BG196" s="306">
        <v>0</v>
      </c>
      <c r="BH196" s="306">
        <v>0</v>
      </c>
      <c r="BI196" s="306">
        <v>0</v>
      </c>
      <c r="BJ196" s="306">
        <v>0</v>
      </c>
      <c r="BK196" s="306">
        <v>0</v>
      </c>
      <c r="BL196" s="306">
        <v>0</v>
      </c>
      <c r="BM196" s="306">
        <v>0</v>
      </c>
      <c r="BN196" s="306">
        <v>0</v>
      </c>
      <c r="BO196" s="306">
        <v>0</v>
      </c>
      <c r="BP196" s="306">
        <v>0</v>
      </c>
      <c r="BQ196" s="306">
        <v>0</v>
      </c>
      <c r="BR196" s="306">
        <v>0</v>
      </c>
      <c r="BS196" s="306">
        <v>0</v>
      </c>
      <c r="BT196" s="306">
        <v>0</v>
      </c>
      <c r="BU196" s="306">
        <v>0</v>
      </c>
      <c r="BV196" s="306">
        <v>0</v>
      </c>
      <c r="BW196" s="306">
        <v>0</v>
      </c>
      <c r="BX196" s="306">
        <v>0</v>
      </c>
      <c r="BY196" s="306">
        <v>0</v>
      </c>
      <c r="BZ196" s="306">
        <v>0</v>
      </c>
      <c r="CA196" s="306">
        <v>0</v>
      </c>
      <c r="CB196" s="306">
        <v>0</v>
      </c>
      <c r="CC196" s="306">
        <v>0</v>
      </c>
      <c r="CD196" s="306">
        <v>0</v>
      </c>
      <c r="CE196" s="306">
        <v>0</v>
      </c>
      <c r="CF196" s="306">
        <v>0</v>
      </c>
      <c r="CG196" s="306">
        <v>0</v>
      </c>
      <c r="CH196" s="306">
        <v>0</v>
      </c>
      <c r="CI196" s="306">
        <v>0</v>
      </c>
      <c r="CJ196" s="306">
        <v>0</v>
      </c>
      <c r="CK196" s="306">
        <v>0</v>
      </c>
      <c r="CL196" s="306">
        <v>0</v>
      </c>
      <c r="CM196" s="306">
        <v>0</v>
      </c>
      <c r="CN196" s="306">
        <v>0</v>
      </c>
      <c r="CO196" s="306">
        <v>0</v>
      </c>
      <c r="CP196" s="306">
        <v>0</v>
      </c>
      <c r="CQ196" s="306">
        <v>0</v>
      </c>
      <c r="CR196" s="306">
        <v>0</v>
      </c>
      <c r="CS196" s="306">
        <v>0</v>
      </c>
      <c r="CT196" s="306">
        <v>0</v>
      </c>
      <c r="CU196" s="306">
        <v>0</v>
      </c>
      <c r="CV196" s="306">
        <v>0</v>
      </c>
      <c r="CW196" s="306">
        <v>0</v>
      </c>
      <c r="CX196" s="306">
        <v>0</v>
      </c>
    </row>
    <row r="197" spans="3:102" x14ac:dyDescent="0.25">
      <c r="C197" s="305">
        <v>77</v>
      </c>
      <c r="D197" s="306">
        <v>49.94</v>
      </c>
      <c r="E197" s="306">
        <v>52.6</v>
      </c>
      <c r="F197" s="306">
        <v>55.36</v>
      </c>
      <c r="G197" s="306">
        <v>58.25</v>
      </c>
      <c r="H197" s="306">
        <v>61.28</v>
      </c>
      <c r="I197" s="306">
        <v>64.44</v>
      </c>
      <c r="J197" s="306">
        <v>67.709999999999994</v>
      </c>
      <c r="K197" s="306">
        <v>71.010000000000005</v>
      </c>
      <c r="L197" s="306">
        <v>74.290000000000006</v>
      </c>
      <c r="M197" s="306">
        <v>77.47</v>
      </c>
      <c r="N197" s="306">
        <v>80.489999999999995</v>
      </c>
      <c r="O197" s="306">
        <v>83.03</v>
      </c>
      <c r="P197" s="306">
        <v>85.14</v>
      </c>
      <c r="Q197" s="306">
        <v>86.86</v>
      </c>
      <c r="R197" s="306">
        <v>88.23</v>
      </c>
      <c r="S197" s="306">
        <v>89.3</v>
      </c>
      <c r="T197" s="306">
        <v>90.12</v>
      </c>
      <c r="U197" s="306">
        <v>90.74</v>
      </c>
      <c r="V197" s="306">
        <v>91.21</v>
      </c>
      <c r="W197" s="306">
        <v>91.55</v>
      </c>
      <c r="X197" s="306">
        <v>91.8</v>
      </c>
      <c r="Y197" s="306">
        <v>91.94</v>
      </c>
      <c r="Z197" s="306">
        <v>91.94</v>
      </c>
      <c r="AA197" s="306">
        <v>0</v>
      </c>
      <c r="AB197" s="306">
        <v>0</v>
      </c>
      <c r="AC197" s="306">
        <v>0</v>
      </c>
      <c r="AD197" s="306">
        <v>0</v>
      </c>
      <c r="AE197" s="306">
        <v>0</v>
      </c>
      <c r="AF197" s="306">
        <v>0</v>
      </c>
      <c r="AG197" s="306">
        <v>0</v>
      </c>
      <c r="AH197" s="306">
        <v>0</v>
      </c>
      <c r="AI197" s="306">
        <v>0</v>
      </c>
      <c r="AJ197" s="306">
        <v>0</v>
      </c>
      <c r="AK197" s="306">
        <v>0</v>
      </c>
      <c r="AL197" s="306">
        <v>0</v>
      </c>
      <c r="AM197" s="306">
        <v>0</v>
      </c>
      <c r="AN197" s="306">
        <v>0</v>
      </c>
      <c r="AO197" s="306">
        <v>0</v>
      </c>
      <c r="AP197" s="306">
        <v>0</v>
      </c>
      <c r="AQ197" s="306">
        <v>0</v>
      </c>
      <c r="AR197" s="306">
        <v>0</v>
      </c>
      <c r="AS197" s="306">
        <v>0</v>
      </c>
      <c r="AT197" s="306">
        <v>0</v>
      </c>
      <c r="AU197" s="306">
        <v>0</v>
      </c>
      <c r="AV197" s="306">
        <v>0</v>
      </c>
      <c r="AW197" s="306">
        <v>0</v>
      </c>
      <c r="AX197" s="306">
        <v>0</v>
      </c>
      <c r="AY197" s="306">
        <v>0</v>
      </c>
      <c r="AZ197" s="306">
        <v>0</v>
      </c>
      <c r="BA197" s="306">
        <v>0</v>
      </c>
      <c r="BB197" s="306">
        <v>0</v>
      </c>
      <c r="BC197" s="306">
        <v>0</v>
      </c>
      <c r="BD197" s="306">
        <v>0</v>
      </c>
      <c r="BE197" s="306">
        <v>0</v>
      </c>
      <c r="BF197" s="306">
        <v>0</v>
      </c>
      <c r="BG197" s="306">
        <v>0</v>
      </c>
      <c r="BH197" s="306">
        <v>0</v>
      </c>
      <c r="BI197" s="306">
        <v>0</v>
      </c>
      <c r="BJ197" s="306">
        <v>0</v>
      </c>
      <c r="BK197" s="306">
        <v>0</v>
      </c>
      <c r="BL197" s="306">
        <v>0</v>
      </c>
      <c r="BM197" s="306">
        <v>0</v>
      </c>
      <c r="BN197" s="306">
        <v>0</v>
      </c>
      <c r="BO197" s="306">
        <v>0</v>
      </c>
      <c r="BP197" s="306">
        <v>0</v>
      </c>
      <c r="BQ197" s="306">
        <v>0</v>
      </c>
      <c r="BR197" s="306">
        <v>0</v>
      </c>
      <c r="BS197" s="306">
        <v>0</v>
      </c>
      <c r="BT197" s="306">
        <v>0</v>
      </c>
      <c r="BU197" s="306">
        <v>0</v>
      </c>
      <c r="BV197" s="306">
        <v>0</v>
      </c>
      <c r="BW197" s="306">
        <v>0</v>
      </c>
      <c r="BX197" s="306">
        <v>0</v>
      </c>
      <c r="BY197" s="306">
        <v>0</v>
      </c>
      <c r="BZ197" s="306">
        <v>0</v>
      </c>
      <c r="CA197" s="306">
        <v>0</v>
      </c>
      <c r="CB197" s="306">
        <v>0</v>
      </c>
      <c r="CC197" s="306">
        <v>0</v>
      </c>
      <c r="CD197" s="306">
        <v>0</v>
      </c>
      <c r="CE197" s="306">
        <v>0</v>
      </c>
      <c r="CF197" s="306">
        <v>0</v>
      </c>
      <c r="CG197" s="306">
        <v>0</v>
      </c>
      <c r="CH197" s="306">
        <v>0</v>
      </c>
      <c r="CI197" s="306">
        <v>0</v>
      </c>
      <c r="CJ197" s="306">
        <v>0</v>
      </c>
      <c r="CK197" s="306">
        <v>0</v>
      </c>
      <c r="CL197" s="306">
        <v>0</v>
      </c>
      <c r="CM197" s="306">
        <v>0</v>
      </c>
      <c r="CN197" s="306">
        <v>0</v>
      </c>
      <c r="CO197" s="306">
        <v>0</v>
      </c>
      <c r="CP197" s="306">
        <v>0</v>
      </c>
      <c r="CQ197" s="306">
        <v>0</v>
      </c>
      <c r="CR197" s="306">
        <v>0</v>
      </c>
      <c r="CS197" s="306">
        <v>0</v>
      </c>
      <c r="CT197" s="306">
        <v>0</v>
      </c>
      <c r="CU197" s="306">
        <v>0</v>
      </c>
      <c r="CV197" s="306">
        <v>0</v>
      </c>
      <c r="CW197" s="306">
        <v>0</v>
      </c>
      <c r="CX197" s="306">
        <v>0</v>
      </c>
    </row>
    <row r="198" spans="3:102" x14ac:dyDescent="0.25">
      <c r="C198" s="305">
        <v>78</v>
      </c>
      <c r="D198" s="306">
        <v>55.49</v>
      </c>
      <c r="E198" s="306">
        <v>58.44</v>
      </c>
      <c r="F198" s="306">
        <v>61.53</v>
      </c>
      <c r="G198" s="306">
        <v>64.790000000000006</v>
      </c>
      <c r="H198" s="306">
        <v>68.209999999999994</v>
      </c>
      <c r="I198" s="306">
        <v>71.75</v>
      </c>
      <c r="J198" s="306">
        <v>75.33</v>
      </c>
      <c r="K198" s="306">
        <v>78.88</v>
      </c>
      <c r="L198" s="306">
        <v>82.33</v>
      </c>
      <c r="M198" s="306">
        <v>85.62</v>
      </c>
      <c r="N198" s="306">
        <v>88.69</v>
      </c>
      <c r="O198" s="306">
        <v>91.22</v>
      </c>
      <c r="P198" s="306">
        <v>93.29</v>
      </c>
      <c r="Q198" s="306">
        <v>94.94</v>
      </c>
      <c r="R198" s="306">
        <v>96.23</v>
      </c>
      <c r="S198" s="306">
        <v>97.23</v>
      </c>
      <c r="T198" s="306">
        <v>97.98</v>
      </c>
      <c r="U198" s="306">
        <v>98.56</v>
      </c>
      <c r="V198" s="306">
        <v>98.98</v>
      </c>
      <c r="W198" s="306">
        <v>99.29</v>
      </c>
      <c r="X198" s="306">
        <v>99.47</v>
      </c>
      <c r="Y198" s="306">
        <v>99.47</v>
      </c>
      <c r="Z198" s="306">
        <v>0</v>
      </c>
      <c r="AA198" s="306">
        <v>0</v>
      </c>
      <c r="AB198" s="306">
        <v>0</v>
      </c>
      <c r="AC198" s="306">
        <v>0</v>
      </c>
      <c r="AD198" s="306">
        <v>0</v>
      </c>
      <c r="AE198" s="306">
        <v>0</v>
      </c>
      <c r="AF198" s="306">
        <v>0</v>
      </c>
      <c r="AG198" s="306">
        <v>0</v>
      </c>
      <c r="AH198" s="306">
        <v>0</v>
      </c>
      <c r="AI198" s="306">
        <v>0</v>
      </c>
      <c r="AJ198" s="306">
        <v>0</v>
      </c>
      <c r="AK198" s="306">
        <v>0</v>
      </c>
      <c r="AL198" s="306">
        <v>0</v>
      </c>
      <c r="AM198" s="306">
        <v>0</v>
      </c>
      <c r="AN198" s="306">
        <v>0</v>
      </c>
      <c r="AO198" s="306">
        <v>0</v>
      </c>
      <c r="AP198" s="306">
        <v>0</v>
      </c>
      <c r="AQ198" s="306">
        <v>0</v>
      </c>
      <c r="AR198" s="306">
        <v>0</v>
      </c>
      <c r="AS198" s="306">
        <v>0</v>
      </c>
      <c r="AT198" s="306">
        <v>0</v>
      </c>
      <c r="AU198" s="306">
        <v>0</v>
      </c>
      <c r="AV198" s="306">
        <v>0</v>
      </c>
      <c r="AW198" s="306">
        <v>0</v>
      </c>
      <c r="AX198" s="306">
        <v>0</v>
      </c>
      <c r="AY198" s="306">
        <v>0</v>
      </c>
      <c r="AZ198" s="306">
        <v>0</v>
      </c>
      <c r="BA198" s="306">
        <v>0</v>
      </c>
      <c r="BB198" s="306">
        <v>0</v>
      </c>
      <c r="BC198" s="306">
        <v>0</v>
      </c>
      <c r="BD198" s="306">
        <v>0</v>
      </c>
      <c r="BE198" s="306">
        <v>0</v>
      </c>
      <c r="BF198" s="306">
        <v>0</v>
      </c>
      <c r="BG198" s="306">
        <v>0</v>
      </c>
      <c r="BH198" s="306">
        <v>0</v>
      </c>
      <c r="BI198" s="306">
        <v>0</v>
      </c>
      <c r="BJ198" s="306">
        <v>0</v>
      </c>
      <c r="BK198" s="306">
        <v>0</v>
      </c>
      <c r="BL198" s="306">
        <v>0</v>
      </c>
      <c r="BM198" s="306">
        <v>0</v>
      </c>
      <c r="BN198" s="306">
        <v>0</v>
      </c>
      <c r="BO198" s="306">
        <v>0</v>
      </c>
      <c r="BP198" s="306">
        <v>0</v>
      </c>
      <c r="BQ198" s="306">
        <v>0</v>
      </c>
      <c r="BR198" s="306">
        <v>0</v>
      </c>
      <c r="BS198" s="306">
        <v>0</v>
      </c>
      <c r="BT198" s="306">
        <v>0</v>
      </c>
      <c r="BU198" s="306">
        <v>0</v>
      </c>
      <c r="BV198" s="306">
        <v>0</v>
      </c>
      <c r="BW198" s="306">
        <v>0</v>
      </c>
      <c r="BX198" s="306">
        <v>0</v>
      </c>
      <c r="BY198" s="306">
        <v>0</v>
      </c>
      <c r="BZ198" s="306">
        <v>0</v>
      </c>
      <c r="CA198" s="306">
        <v>0</v>
      </c>
      <c r="CB198" s="306">
        <v>0</v>
      </c>
      <c r="CC198" s="306">
        <v>0</v>
      </c>
      <c r="CD198" s="306">
        <v>0</v>
      </c>
      <c r="CE198" s="306">
        <v>0</v>
      </c>
      <c r="CF198" s="306">
        <v>0</v>
      </c>
      <c r="CG198" s="306">
        <v>0</v>
      </c>
      <c r="CH198" s="306">
        <v>0</v>
      </c>
      <c r="CI198" s="306">
        <v>0</v>
      </c>
      <c r="CJ198" s="306">
        <v>0</v>
      </c>
      <c r="CK198" s="306">
        <v>0</v>
      </c>
      <c r="CL198" s="306">
        <v>0</v>
      </c>
      <c r="CM198" s="306">
        <v>0</v>
      </c>
      <c r="CN198" s="306">
        <v>0</v>
      </c>
      <c r="CO198" s="306">
        <v>0</v>
      </c>
      <c r="CP198" s="306">
        <v>0</v>
      </c>
      <c r="CQ198" s="306">
        <v>0</v>
      </c>
      <c r="CR198" s="306">
        <v>0</v>
      </c>
      <c r="CS198" s="306">
        <v>0</v>
      </c>
      <c r="CT198" s="306">
        <v>0</v>
      </c>
      <c r="CU198" s="306">
        <v>0</v>
      </c>
      <c r="CV198" s="306">
        <v>0</v>
      </c>
      <c r="CW198" s="306">
        <v>0</v>
      </c>
      <c r="CX198" s="306">
        <v>0</v>
      </c>
    </row>
    <row r="199" spans="3:102" x14ac:dyDescent="0.25">
      <c r="C199" s="305">
        <v>79</v>
      </c>
      <c r="D199" s="306">
        <v>61.65</v>
      </c>
      <c r="E199" s="306">
        <v>64.989999999999995</v>
      </c>
      <c r="F199" s="306">
        <v>68.510000000000005</v>
      </c>
      <c r="G199" s="306">
        <v>72.209999999999994</v>
      </c>
      <c r="H199" s="306">
        <v>76.05</v>
      </c>
      <c r="I199" s="306">
        <v>79.94</v>
      </c>
      <c r="J199" s="306">
        <v>83.8</v>
      </c>
      <c r="K199" s="306">
        <v>87.56</v>
      </c>
      <c r="L199" s="306">
        <v>91.14</v>
      </c>
      <c r="M199" s="306">
        <v>94.48</v>
      </c>
      <c r="N199" s="306">
        <v>97.56</v>
      </c>
      <c r="O199" s="306">
        <v>100.05</v>
      </c>
      <c r="P199" s="306">
        <v>102.05</v>
      </c>
      <c r="Q199" s="306">
        <v>103.62</v>
      </c>
      <c r="R199" s="306">
        <v>104.83</v>
      </c>
      <c r="S199" s="306">
        <v>105.76</v>
      </c>
      <c r="T199" s="306">
        <v>106.46</v>
      </c>
      <c r="U199" s="306">
        <v>106.99</v>
      </c>
      <c r="V199" s="306">
        <v>107.37</v>
      </c>
      <c r="W199" s="306">
        <v>107.6</v>
      </c>
      <c r="X199" s="306">
        <v>107.6</v>
      </c>
      <c r="Y199" s="306">
        <v>0</v>
      </c>
      <c r="Z199" s="306">
        <v>0</v>
      </c>
      <c r="AA199" s="306">
        <v>0</v>
      </c>
      <c r="AB199" s="306">
        <v>0</v>
      </c>
      <c r="AC199" s="306">
        <v>0</v>
      </c>
      <c r="AD199" s="306">
        <v>0</v>
      </c>
      <c r="AE199" s="306">
        <v>0</v>
      </c>
      <c r="AF199" s="306">
        <v>0</v>
      </c>
      <c r="AG199" s="306">
        <v>0</v>
      </c>
      <c r="AH199" s="306">
        <v>0</v>
      </c>
      <c r="AI199" s="306">
        <v>0</v>
      </c>
      <c r="AJ199" s="306">
        <v>0</v>
      </c>
      <c r="AK199" s="306">
        <v>0</v>
      </c>
      <c r="AL199" s="306">
        <v>0</v>
      </c>
      <c r="AM199" s="306">
        <v>0</v>
      </c>
      <c r="AN199" s="306">
        <v>0</v>
      </c>
      <c r="AO199" s="306">
        <v>0</v>
      </c>
      <c r="AP199" s="306">
        <v>0</v>
      </c>
      <c r="AQ199" s="306">
        <v>0</v>
      </c>
      <c r="AR199" s="306">
        <v>0</v>
      </c>
      <c r="AS199" s="306">
        <v>0</v>
      </c>
      <c r="AT199" s="306">
        <v>0</v>
      </c>
      <c r="AU199" s="306">
        <v>0</v>
      </c>
      <c r="AV199" s="306">
        <v>0</v>
      </c>
      <c r="AW199" s="306">
        <v>0</v>
      </c>
      <c r="AX199" s="306">
        <v>0</v>
      </c>
      <c r="AY199" s="306">
        <v>0</v>
      </c>
      <c r="AZ199" s="306">
        <v>0</v>
      </c>
      <c r="BA199" s="306">
        <v>0</v>
      </c>
      <c r="BB199" s="306">
        <v>0</v>
      </c>
      <c r="BC199" s="306">
        <v>0</v>
      </c>
      <c r="BD199" s="306">
        <v>0</v>
      </c>
      <c r="BE199" s="306">
        <v>0</v>
      </c>
      <c r="BF199" s="306">
        <v>0</v>
      </c>
      <c r="BG199" s="306">
        <v>0</v>
      </c>
      <c r="BH199" s="306">
        <v>0</v>
      </c>
      <c r="BI199" s="306">
        <v>0</v>
      </c>
      <c r="BJ199" s="306">
        <v>0</v>
      </c>
      <c r="BK199" s="306">
        <v>0</v>
      </c>
      <c r="BL199" s="306">
        <v>0</v>
      </c>
      <c r="BM199" s="306">
        <v>0</v>
      </c>
      <c r="BN199" s="306">
        <v>0</v>
      </c>
      <c r="BO199" s="306">
        <v>0</v>
      </c>
      <c r="BP199" s="306">
        <v>0</v>
      </c>
      <c r="BQ199" s="306">
        <v>0</v>
      </c>
      <c r="BR199" s="306">
        <v>0</v>
      </c>
      <c r="BS199" s="306">
        <v>0</v>
      </c>
      <c r="BT199" s="306">
        <v>0</v>
      </c>
      <c r="BU199" s="306">
        <v>0</v>
      </c>
      <c r="BV199" s="306">
        <v>0</v>
      </c>
      <c r="BW199" s="306">
        <v>0</v>
      </c>
      <c r="BX199" s="306">
        <v>0</v>
      </c>
      <c r="BY199" s="306">
        <v>0</v>
      </c>
      <c r="BZ199" s="306">
        <v>0</v>
      </c>
      <c r="CA199" s="306">
        <v>0</v>
      </c>
      <c r="CB199" s="306">
        <v>0</v>
      </c>
      <c r="CC199" s="306">
        <v>0</v>
      </c>
      <c r="CD199" s="306">
        <v>0</v>
      </c>
      <c r="CE199" s="306">
        <v>0</v>
      </c>
      <c r="CF199" s="306">
        <v>0</v>
      </c>
      <c r="CG199" s="306">
        <v>0</v>
      </c>
      <c r="CH199" s="306">
        <v>0</v>
      </c>
      <c r="CI199" s="306">
        <v>0</v>
      </c>
      <c r="CJ199" s="306">
        <v>0</v>
      </c>
      <c r="CK199" s="306">
        <v>0</v>
      </c>
      <c r="CL199" s="306">
        <v>0</v>
      </c>
      <c r="CM199" s="306">
        <v>0</v>
      </c>
      <c r="CN199" s="306">
        <v>0</v>
      </c>
      <c r="CO199" s="306">
        <v>0</v>
      </c>
      <c r="CP199" s="306">
        <v>0</v>
      </c>
      <c r="CQ199" s="306">
        <v>0</v>
      </c>
      <c r="CR199" s="306">
        <v>0</v>
      </c>
      <c r="CS199" s="306">
        <v>0</v>
      </c>
      <c r="CT199" s="306">
        <v>0</v>
      </c>
      <c r="CU199" s="306">
        <v>0</v>
      </c>
      <c r="CV199" s="306">
        <v>0</v>
      </c>
      <c r="CW199" s="306">
        <v>0</v>
      </c>
      <c r="CX199" s="306">
        <v>0</v>
      </c>
    </row>
    <row r="200" spans="3:102" x14ac:dyDescent="0.25">
      <c r="C200" s="305">
        <v>80</v>
      </c>
      <c r="D200" s="306">
        <v>68.650000000000006</v>
      </c>
      <c r="E200" s="306">
        <v>72.459999999999994</v>
      </c>
      <c r="F200" s="306">
        <v>76.489999999999995</v>
      </c>
      <c r="G200" s="306">
        <v>80.67</v>
      </c>
      <c r="H200" s="306">
        <v>84.9</v>
      </c>
      <c r="I200" s="306">
        <v>89.1</v>
      </c>
      <c r="J200" s="306">
        <v>93.18</v>
      </c>
      <c r="K200" s="306">
        <v>97.08</v>
      </c>
      <c r="L200" s="306">
        <v>100.74</v>
      </c>
      <c r="M200" s="306">
        <v>104.1</v>
      </c>
      <c r="N200" s="306">
        <v>107.14</v>
      </c>
      <c r="O200" s="306">
        <v>109.56</v>
      </c>
      <c r="P200" s="306">
        <v>111.48</v>
      </c>
      <c r="Q200" s="306">
        <v>112.96</v>
      </c>
      <c r="R200" s="306">
        <v>114.1</v>
      </c>
      <c r="S200" s="306">
        <v>114.97</v>
      </c>
      <c r="T200" s="306">
        <v>115.64</v>
      </c>
      <c r="U200" s="306">
        <v>116.11</v>
      </c>
      <c r="V200" s="306">
        <v>116.4</v>
      </c>
      <c r="W200" s="306">
        <v>116.4</v>
      </c>
      <c r="X200" s="306">
        <v>0</v>
      </c>
      <c r="Y200" s="306">
        <v>0</v>
      </c>
      <c r="Z200" s="306">
        <v>0</v>
      </c>
      <c r="AA200" s="306">
        <v>0</v>
      </c>
      <c r="AB200" s="306">
        <v>0</v>
      </c>
      <c r="AC200" s="306">
        <v>0</v>
      </c>
      <c r="AD200" s="306">
        <v>0</v>
      </c>
      <c r="AE200" s="306">
        <v>0</v>
      </c>
      <c r="AF200" s="306">
        <v>0</v>
      </c>
      <c r="AG200" s="306">
        <v>0</v>
      </c>
      <c r="AH200" s="306">
        <v>0</v>
      </c>
      <c r="AI200" s="306">
        <v>0</v>
      </c>
      <c r="AJ200" s="306">
        <v>0</v>
      </c>
      <c r="AK200" s="306">
        <v>0</v>
      </c>
      <c r="AL200" s="306">
        <v>0</v>
      </c>
      <c r="AM200" s="306">
        <v>0</v>
      </c>
      <c r="AN200" s="306">
        <v>0</v>
      </c>
      <c r="AO200" s="306">
        <v>0</v>
      </c>
      <c r="AP200" s="306">
        <v>0</v>
      </c>
      <c r="AQ200" s="306">
        <v>0</v>
      </c>
      <c r="AR200" s="306">
        <v>0</v>
      </c>
      <c r="AS200" s="306">
        <v>0</v>
      </c>
      <c r="AT200" s="306">
        <v>0</v>
      </c>
      <c r="AU200" s="306">
        <v>0</v>
      </c>
      <c r="AV200" s="306">
        <v>0</v>
      </c>
      <c r="AW200" s="306">
        <v>0</v>
      </c>
      <c r="AX200" s="306">
        <v>0</v>
      </c>
      <c r="AY200" s="306">
        <v>0</v>
      </c>
      <c r="AZ200" s="306">
        <v>0</v>
      </c>
      <c r="BA200" s="306">
        <v>0</v>
      </c>
      <c r="BB200" s="306">
        <v>0</v>
      </c>
      <c r="BC200" s="306">
        <v>0</v>
      </c>
      <c r="BD200" s="306">
        <v>0</v>
      </c>
      <c r="BE200" s="306">
        <v>0</v>
      </c>
      <c r="BF200" s="306">
        <v>0</v>
      </c>
      <c r="BG200" s="306">
        <v>0</v>
      </c>
      <c r="BH200" s="306">
        <v>0</v>
      </c>
      <c r="BI200" s="306">
        <v>0</v>
      </c>
      <c r="BJ200" s="306">
        <v>0</v>
      </c>
      <c r="BK200" s="306">
        <v>0</v>
      </c>
      <c r="BL200" s="306">
        <v>0</v>
      </c>
      <c r="BM200" s="306">
        <v>0</v>
      </c>
      <c r="BN200" s="306">
        <v>0</v>
      </c>
      <c r="BO200" s="306">
        <v>0</v>
      </c>
      <c r="BP200" s="306">
        <v>0</v>
      </c>
      <c r="BQ200" s="306">
        <v>0</v>
      </c>
      <c r="BR200" s="306">
        <v>0</v>
      </c>
      <c r="BS200" s="306">
        <v>0</v>
      </c>
      <c r="BT200" s="306">
        <v>0</v>
      </c>
      <c r="BU200" s="306">
        <v>0</v>
      </c>
      <c r="BV200" s="306">
        <v>0</v>
      </c>
      <c r="BW200" s="306">
        <v>0</v>
      </c>
      <c r="BX200" s="306">
        <v>0</v>
      </c>
      <c r="BY200" s="306">
        <v>0</v>
      </c>
      <c r="BZ200" s="306">
        <v>0</v>
      </c>
      <c r="CA200" s="306">
        <v>0</v>
      </c>
      <c r="CB200" s="306">
        <v>0</v>
      </c>
      <c r="CC200" s="306">
        <v>0</v>
      </c>
      <c r="CD200" s="306">
        <v>0</v>
      </c>
      <c r="CE200" s="306">
        <v>0</v>
      </c>
      <c r="CF200" s="306">
        <v>0</v>
      </c>
      <c r="CG200" s="306">
        <v>0</v>
      </c>
      <c r="CH200" s="306">
        <v>0</v>
      </c>
      <c r="CI200" s="306">
        <v>0</v>
      </c>
      <c r="CJ200" s="306">
        <v>0</v>
      </c>
      <c r="CK200" s="306">
        <v>0</v>
      </c>
      <c r="CL200" s="306">
        <v>0</v>
      </c>
      <c r="CM200" s="306">
        <v>0</v>
      </c>
      <c r="CN200" s="306">
        <v>0</v>
      </c>
      <c r="CO200" s="306">
        <v>0</v>
      </c>
      <c r="CP200" s="306">
        <v>0</v>
      </c>
      <c r="CQ200" s="306">
        <v>0</v>
      </c>
      <c r="CR200" s="306">
        <v>0</v>
      </c>
      <c r="CS200" s="306">
        <v>0</v>
      </c>
      <c r="CT200" s="306">
        <v>0</v>
      </c>
      <c r="CU200" s="306">
        <v>0</v>
      </c>
      <c r="CV200" s="306">
        <v>0</v>
      </c>
      <c r="CW200" s="306">
        <v>0</v>
      </c>
      <c r="CX200" s="306">
        <v>0</v>
      </c>
    </row>
    <row r="201" spans="3:102" x14ac:dyDescent="0.25">
      <c r="C201" s="305">
        <v>81</v>
      </c>
      <c r="D201" s="306">
        <v>76.69</v>
      </c>
      <c r="E201" s="306">
        <v>81.069999999999993</v>
      </c>
      <c r="F201" s="306">
        <v>85.61</v>
      </c>
      <c r="G201" s="306">
        <v>90.21</v>
      </c>
      <c r="H201" s="306">
        <v>94.78</v>
      </c>
      <c r="I201" s="306">
        <v>99.22</v>
      </c>
      <c r="J201" s="306">
        <v>103.48</v>
      </c>
      <c r="K201" s="306">
        <v>107.47</v>
      </c>
      <c r="L201" s="306">
        <v>111.15</v>
      </c>
      <c r="M201" s="306">
        <v>114.49</v>
      </c>
      <c r="N201" s="306">
        <v>117.46</v>
      </c>
      <c r="O201" s="306">
        <v>119.8</v>
      </c>
      <c r="P201" s="306">
        <v>121.63</v>
      </c>
      <c r="Q201" s="306">
        <v>123.04</v>
      </c>
      <c r="R201" s="306">
        <v>124.13</v>
      </c>
      <c r="S201" s="306">
        <v>124.96</v>
      </c>
      <c r="T201" s="306">
        <v>125.57</v>
      </c>
      <c r="U201" s="306">
        <v>125.94</v>
      </c>
      <c r="V201" s="306">
        <v>125.94</v>
      </c>
      <c r="W201" s="306">
        <v>0</v>
      </c>
      <c r="X201" s="306">
        <v>0</v>
      </c>
      <c r="Y201" s="306">
        <v>0</v>
      </c>
      <c r="Z201" s="306">
        <v>0</v>
      </c>
      <c r="AA201" s="306">
        <v>0</v>
      </c>
      <c r="AB201" s="306">
        <v>0</v>
      </c>
      <c r="AC201" s="306">
        <v>0</v>
      </c>
      <c r="AD201" s="306">
        <v>0</v>
      </c>
      <c r="AE201" s="306">
        <v>0</v>
      </c>
      <c r="AF201" s="306">
        <v>0</v>
      </c>
      <c r="AG201" s="306">
        <v>0</v>
      </c>
      <c r="AH201" s="306">
        <v>0</v>
      </c>
      <c r="AI201" s="306">
        <v>0</v>
      </c>
      <c r="AJ201" s="306">
        <v>0</v>
      </c>
      <c r="AK201" s="306">
        <v>0</v>
      </c>
      <c r="AL201" s="306">
        <v>0</v>
      </c>
      <c r="AM201" s="306">
        <v>0</v>
      </c>
      <c r="AN201" s="306">
        <v>0</v>
      </c>
      <c r="AO201" s="306">
        <v>0</v>
      </c>
      <c r="AP201" s="306">
        <v>0</v>
      </c>
      <c r="AQ201" s="306">
        <v>0</v>
      </c>
      <c r="AR201" s="306">
        <v>0</v>
      </c>
      <c r="AS201" s="306">
        <v>0</v>
      </c>
      <c r="AT201" s="306">
        <v>0</v>
      </c>
      <c r="AU201" s="306">
        <v>0</v>
      </c>
      <c r="AV201" s="306">
        <v>0</v>
      </c>
      <c r="AW201" s="306">
        <v>0</v>
      </c>
      <c r="AX201" s="306">
        <v>0</v>
      </c>
      <c r="AY201" s="306">
        <v>0</v>
      </c>
      <c r="AZ201" s="306">
        <v>0</v>
      </c>
      <c r="BA201" s="306">
        <v>0</v>
      </c>
      <c r="BB201" s="306">
        <v>0</v>
      </c>
      <c r="BC201" s="306">
        <v>0</v>
      </c>
      <c r="BD201" s="306">
        <v>0</v>
      </c>
      <c r="BE201" s="306">
        <v>0</v>
      </c>
      <c r="BF201" s="306">
        <v>0</v>
      </c>
      <c r="BG201" s="306">
        <v>0</v>
      </c>
      <c r="BH201" s="306">
        <v>0</v>
      </c>
      <c r="BI201" s="306">
        <v>0</v>
      </c>
      <c r="BJ201" s="306">
        <v>0</v>
      </c>
      <c r="BK201" s="306">
        <v>0</v>
      </c>
      <c r="BL201" s="306">
        <v>0</v>
      </c>
      <c r="BM201" s="306">
        <v>0</v>
      </c>
      <c r="BN201" s="306">
        <v>0</v>
      </c>
      <c r="BO201" s="306">
        <v>0</v>
      </c>
      <c r="BP201" s="306">
        <v>0</v>
      </c>
      <c r="BQ201" s="306">
        <v>0</v>
      </c>
      <c r="BR201" s="306">
        <v>0</v>
      </c>
      <c r="BS201" s="306">
        <v>0</v>
      </c>
      <c r="BT201" s="306">
        <v>0</v>
      </c>
      <c r="BU201" s="306">
        <v>0</v>
      </c>
      <c r="BV201" s="306">
        <v>0</v>
      </c>
      <c r="BW201" s="306">
        <v>0</v>
      </c>
      <c r="BX201" s="306">
        <v>0</v>
      </c>
      <c r="BY201" s="306">
        <v>0</v>
      </c>
      <c r="BZ201" s="306">
        <v>0</v>
      </c>
      <c r="CA201" s="306">
        <v>0</v>
      </c>
      <c r="CB201" s="306">
        <v>0</v>
      </c>
      <c r="CC201" s="306">
        <v>0</v>
      </c>
      <c r="CD201" s="306">
        <v>0</v>
      </c>
      <c r="CE201" s="306">
        <v>0</v>
      </c>
      <c r="CF201" s="306">
        <v>0</v>
      </c>
      <c r="CG201" s="306">
        <v>0</v>
      </c>
      <c r="CH201" s="306">
        <v>0</v>
      </c>
      <c r="CI201" s="306">
        <v>0</v>
      </c>
      <c r="CJ201" s="306">
        <v>0</v>
      </c>
      <c r="CK201" s="306">
        <v>0</v>
      </c>
      <c r="CL201" s="306">
        <v>0</v>
      </c>
      <c r="CM201" s="306">
        <v>0</v>
      </c>
      <c r="CN201" s="306">
        <v>0</v>
      </c>
      <c r="CO201" s="306">
        <v>0</v>
      </c>
      <c r="CP201" s="306">
        <v>0</v>
      </c>
      <c r="CQ201" s="306">
        <v>0</v>
      </c>
      <c r="CR201" s="306">
        <v>0</v>
      </c>
      <c r="CS201" s="306">
        <v>0</v>
      </c>
      <c r="CT201" s="306">
        <v>0</v>
      </c>
      <c r="CU201" s="306">
        <v>0</v>
      </c>
      <c r="CV201" s="306">
        <v>0</v>
      </c>
      <c r="CW201" s="306">
        <v>0</v>
      </c>
      <c r="CX201" s="306">
        <v>0</v>
      </c>
    </row>
    <row r="202" spans="3:102" x14ac:dyDescent="0.25">
      <c r="C202" s="305">
        <v>82</v>
      </c>
      <c r="D202" s="306">
        <v>85.97</v>
      </c>
      <c r="E202" s="306">
        <v>90.9</v>
      </c>
      <c r="F202" s="306">
        <v>95.89</v>
      </c>
      <c r="G202" s="306">
        <v>100.84</v>
      </c>
      <c r="H202" s="306">
        <v>105.67</v>
      </c>
      <c r="I202" s="306">
        <v>110.3</v>
      </c>
      <c r="J202" s="306">
        <v>114.66</v>
      </c>
      <c r="K202" s="306">
        <v>118.7</v>
      </c>
      <c r="L202" s="306">
        <v>122.37</v>
      </c>
      <c r="M202" s="306">
        <v>125.66</v>
      </c>
      <c r="N202" s="306">
        <v>128.55000000000001</v>
      </c>
      <c r="O202" s="306">
        <v>130.81</v>
      </c>
      <c r="P202" s="306">
        <v>132.57</v>
      </c>
      <c r="Q202" s="306">
        <v>133.93</v>
      </c>
      <c r="R202" s="306">
        <v>134.99</v>
      </c>
      <c r="S202" s="306">
        <v>135.77000000000001</v>
      </c>
      <c r="T202" s="306">
        <v>136.24</v>
      </c>
      <c r="U202" s="306">
        <v>136.24</v>
      </c>
      <c r="V202" s="306">
        <v>0</v>
      </c>
      <c r="W202" s="306">
        <v>0</v>
      </c>
      <c r="X202" s="306">
        <v>0</v>
      </c>
      <c r="Y202" s="306">
        <v>0</v>
      </c>
      <c r="Z202" s="306">
        <v>0</v>
      </c>
      <c r="AA202" s="306">
        <v>0</v>
      </c>
      <c r="AB202" s="306">
        <v>0</v>
      </c>
      <c r="AC202" s="306">
        <v>0</v>
      </c>
      <c r="AD202" s="306">
        <v>0</v>
      </c>
      <c r="AE202" s="306">
        <v>0</v>
      </c>
      <c r="AF202" s="306">
        <v>0</v>
      </c>
      <c r="AG202" s="306">
        <v>0</v>
      </c>
      <c r="AH202" s="306">
        <v>0</v>
      </c>
      <c r="AI202" s="306">
        <v>0</v>
      </c>
      <c r="AJ202" s="306">
        <v>0</v>
      </c>
      <c r="AK202" s="306">
        <v>0</v>
      </c>
      <c r="AL202" s="306">
        <v>0</v>
      </c>
      <c r="AM202" s="306">
        <v>0</v>
      </c>
      <c r="AN202" s="306">
        <v>0</v>
      </c>
      <c r="AO202" s="306">
        <v>0</v>
      </c>
      <c r="AP202" s="306">
        <v>0</v>
      </c>
      <c r="AQ202" s="306">
        <v>0</v>
      </c>
      <c r="AR202" s="306">
        <v>0</v>
      </c>
      <c r="AS202" s="306">
        <v>0</v>
      </c>
      <c r="AT202" s="306">
        <v>0</v>
      </c>
      <c r="AU202" s="306">
        <v>0</v>
      </c>
      <c r="AV202" s="306">
        <v>0</v>
      </c>
      <c r="AW202" s="306">
        <v>0</v>
      </c>
      <c r="AX202" s="306">
        <v>0</v>
      </c>
      <c r="AY202" s="306">
        <v>0</v>
      </c>
      <c r="AZ202" s="306">
        <v>0</v>
      </c>
      <c r="BA202" s="306">
        <v>0</v>
      </c>
      <c r="BB202" s="306">
        <v>0</v>
      </c>
      <c r="BC202" s="306">
        <v>0</v>
      </c>
      <c r="BD202" s="306">
        <v>0</v>
      </c>
      <c r="BE202" s="306">
        <v>0</v>
      </c>
      <c r="BF202" s="306">
        <v>0</v>
      </c>
      <c r="BG202" s="306">
        <v>0</v>
      </c>
      <c r="BH202" s="306">
        <v>0</v>
      </c>
      <c r="BI202" s="306">
        <v>0</v>
      </c>
      <c r="BJ202" s="306">
        <v>0</v>
      </c>
      <c r="BK202" s="306">
        <v>0</v>
      </c>
      <c r="BL202" s="306">
        <v>0</v>
      </c>
      <c r="BM202" s="306">
        <v>0</v>
      </c>
      <c r="BN202" s="306">
        <v>0</v>
      </c>
      <c r="BO202" s="306">
        <v>0</v>
      </c>
      <c r="BP202" s="306">
        <v>0</v>
      </c>
      <c r="BQ202" s="306">
        <v>0</v>
      </c>
      <c r="BR202" s="306">
        <v>0</v>
      </c>
      <c r="BS202" s="306">
        <v>0</v>
      </c>
      <c r="BT202" s="306">
        <v>0</v>
      </c>
      <c r="BU202" s="306">
        <v>0</v>
      </c>
      <c r="BV202" s="306">
        <v>0</v>
      </c>
      <c r="BW202" s="306">
        <v>0</v>
      </c>
      <c r="BX202" s="306">
        <v>0</v>
      </c>
      <c r="BY202" s="306">
        <v>0</v>
      </c>
      <c r="BZ202" s="306">
        <v>0</v>
      </c>
      <c r="CA202" s="306">
        <v>0</v>
      </c>
      <c r="CB202" s="306">
        <v>0</v>
      </c>
      <c r="CC202" s="306">
        <v>0</v>
      </c>
      <c r="CD202" s="306">
        <v>0</v>
      </c>
      <c r="CE202" s="306">
        <v>0</v>
      </c>
      <c r="CF202" s="306">
        <v>0</v>
      </c>
      <c r="CG202" s="306">
        <v>0</v>
      </c>
      <c r="CH202" s="306">
        <v>0</v>
      </c>
      <c r="CI202" s="306">
        <v>0</v>
      </c>
      <c r="CJ202" s="306">
        <v>0</v>
      </c>
      <c r="CK202" s="306">
        <v>0</v>
      </c>
      <c r="CL202" s="306">
        <v>0</v>
      </c>
      <c r="CM202" s="306">
        <v>0</v>
      </c>
      <c r="CN202" s="306">
        <v>0</v>
      </c>
      <c r="CO202" s="306">
        <v>0</v>
      </c>
      <c r="CP202" s="306">
        <v>0</v>
      </c>
      <c r="CQ202" s="306">
        <v>0</v>
      </c>
      <c r="CR202" s="306">
        <v>0</v>
      </c>
      <c r="CS202" s="306">
        <v>0</v>
      </c>
      <c r="CT202" s="306">
        <v>0</v>
      </c>
      <c r="CU202" s="306">
        <v>0</v>
      </c>
      <c r="CV202" s="306">
        <v>0</v>
      </c>
      <c r="CW202" s="306">
        <v>0</v>
      </c>
      <c r="CX202" s="306">
        <v>0</v>
      </c>
    </row>
    <row r="203" spans="3:102" x14ac:dyDescent="0.25">
      <c r="C203" s="305">
        <v>83</v>
      </c>
      <c r="D203" s="306">
        <v>96.46</v>
      </c>
      <c r="E203" s="306">
        <v>101.86</v>
      </c>
      <c r="F203" s="306">
        <v>107.22</v>
      </c>
      <c r="G203" s="306">
        <v>112.45</v>
      </c>
      <c r="H203" s="306">
        <v>117.49</v>
      </c>
      <c r="I203" s="306">
        <v>122.25</v>
      </c>
      <c r="J203" s="306">
        <v>126.68</v>
      </c>
      <c r="K203" s="306">
        <v>130.72999999999999</v>
      </c>
      <c r="L203" s="306">
        <v>134.37</v>
      </c>
      <c r="M203" s="306">
        <v>137.6</v>
      </c>
      <c r="N203" s="306">
        <v>140.41999999999999</v>
      </c>
      <c r="O203" s="306">
        <v>142.62</v>
      </c>
      <c r="P203" s="306">
        <v>144.35</v>
      </c>
      <c r="Q203" s="306">
        <v>145.69999999999999</v>
      </c>
      <c r="R203" s="306">
        <v>146.71</v>
      </c>
      <c r="S203" s="306">
        <v>147.32</v>
      </c>
      <c r="T203" s="306">
        <v>147.32</v>
      </c>
      <c r="U203" s="306">
        <v>0</v>
      </c>
      <c r="V203" s="306">
        <v>0</v>
      </c>
      <c r="W203" s="306">
        <v>0</v>
      </c>
      <c r="X203" s="306">
        <v>0</v>
      </c>
      <c r="Y203" s="306">
        <v>0</v>
      </c>
      <c r="Z203" s="306">
        <v>0</v>
      </c>
      <c r="AA203" s="306">
        <v>0</v>
      </c>
      <c r="AB203" s="306">
        <v>0</v>
      </c>
      <c r="AC203" s="306">
        <v>0</v>
      </c>
      <c r="AD203" s="306">
        <v>0</v>
      </c>
      <c r="AE203" s="306">
        <v>0</v>
      </c>
      <c r="AF203" s="306">
        <v>0</v>
      </c>
      <c r="AG203" s="306">
        <v>0</v>
      </c>
      <c r="AH203" s="306">
        <v>0</v>
      </c>
      <c r="AI203" s="306">
        <v>0</v>
      </c>
      <c r="AJ203" s="306">
        <v>0</v>
      </c>
      <c r="AK203" s="306">
        <v>0</v>
      </c>
      <c r="AL203" s="306">
        <v>0</v>
      </c>
      <c r="AM203" s="306">
        <v>0</v>
      </c>
      <c r="AN203" s="306">
        <v>0</v>
      </c>
      <c r="AO203" s="306">
        <v>0</v>
      </c>
      <c r="AP203" s="306">
        <v>0</v>
      </c>
      <c r="AQ203" s="306">
        <v>0</v>
      </c>
      <c r="AR203" s="306">
        <v>0</v>
      </c>
      <c r="AS203" s="306">
        <v>0</v>
      </c>
      <c r="AT203" s="306">
        <v>0</v>
      </c>
      <c r="AU203" s="306">
        <v>0</v>
      </c>
      <c r="AV203" s="306">
        <v>0</v>
      </c>
      <c r="AW203" s="306">
        <v>0</v>
      </c>
      <c r="AX203" s="306">
        <v>0</v>
      </c>
      <c r="AY203" s="306">
        <v>0</v>
      </c>
      <c r="AZ203" s="306">
        <v>0</v>
      </c>
      <c r="BA203" s="306">
        <v>0</v>
      </c>
      <c r="BB203" s="306">
        <v>0</v>
      </c>
      <c r="BC203" s="306">
        <v>0</v>
      </c>
      <c r="BD203" s="306">
        <v>0</v>
      </c>
      <c r="BE203" s="306">
        <v>0</v>
      </c>
      <c r="BF203" s="306">
        <v>0</v>
      </c>
      <c r="BG203" s="306">
        <v>0</v>
      </c>
      <c r="BH203" s="306">
        <v>0</v>
      </c>
      <c r="BI203" s="306">
        <v>0</v>
      </c>
      <c r="BJ203" s="306">
        <v>0</v>
      </c>
      <c r="BK203" s="306">
        <v>0</v>
      </c>
      <c r="BL203" s="306">
        <v>0</v>
      </c>
      <c r="BM203" s="306">
        <v>0</v>
      </c>
      <c r="BN203" s="306">
        <v>0</v>
      </c>
      <c r="BO203" s="306">
        <v>0</v>
      </c>
      <c r="BP203" s="306">
        <v>0</v>
      </c>
      <c r="BQ203" s="306">
        <v>0</v>
      </c>
      <c r="BR203" s="306">
        <v>0</v>
      </c>
      <c r="BS203" s="306">
        <v>0</v>
      </c>
      <c r="BT203" s="306">
        <v>0</v>
      </c>
      <c r="BU203" s="306">
        <v>0</v>
      </c>
      <c r="BV203" s="306">
        <v>0</v>
      </c>
      <c r="BW203" s="306">
        <v>0</v>
      </c>
      <c r="BX203" s="306">
        <v>0</v>
      </c>
      <c r="BY203" s="306">
        <v>0</v>
      </c>
      <c r="BZ203" s="306">
        <v>0</v>
      </c>
      <c r="CA203" s="306">
        <v>0</v>
      </c>
      <c r="CB203" s="306">
        <v>0</v>
      </c>
      <c r="CC203" s="306">
        <v>0</v>
      </c>
      <c r="CD203" s="306">
        <v>0</v>
      </c>
      <c r="CE203" s="306">
        <v>0</v>
      </c>
      <c r="CF203" s="306">
        <v>0</v>
      </c>
      <c r="CG203" s="306">
        <v>0</v>
      </c>
      <c r="CH203" s="306">
        <v>0</v>
      </c>
      <c r="CI203" s="306">
        <v>0</v>
      </c>
      <c r="CJ203" s="306">
        <v>0</v>
      </c>
      <c r="CK203" s="306">
        <v>0</v>
      </c>
      <c r="CL203" s="306">
        <v>0</v>
      </c>
      <c r="CM203" s="306">
        <v>0</v>
      </c>
      <c r="CN203" s="306">
        <v>0</v>
      </c>
      <c r="CO203" s="306">
        <v>0</v>
      </c>
      <c r="CP203" s="306">
        <v>0</v>
      </c>
      <c r="CQ203" s="306">
        <v>0</v>
      </c>
      <c r="CR203" s="306">
        <v>0</v>
      </c>
      <c r="CS203" s="306">
        <v>0</v>
      </c>
      <c r="CT203" s="306">
        <v>0</v>
      </c>
      <c r="CU203" s="306">
        <v>0</v>
      </c>
      <c r="CV203" s="306">
        <v>0</v>
      </c>
      <c r="CW203" s="306">
        <v>0</v>
      </c>
      <c r="CX203" s="306">
        <v>0</v>
      </c>
    </row>
    <row r="204" spans="3:102" x14ac:dyDescent="0.25">
      <c r="C204" s="305">
        <v>84</v>
      </c>
      <c r="D204" s="306">
        <v>108.01</v>
      </c>
      <c r="E204" s="306">
        <v>113.8</v>
      </c>
      <c r="F204" s="306">
        <v>119.47</v>
      </c>
      <c r="G204" s="306">
        <v>124.94</v>
      </c>
      <c r="H204" s="306">
        <v>130.13999999999999</v>
      </c>
      <c r="I204" s="306">
        <v>135</v>
      </c>
      <c r="J204" s="306">
        <v>139.47999999999999</v>
      </c>
      <c r="K204" s="306">
        <v>143.53</v>
      </c>
      <c r="L204" s="306">
        <v>147.15</v>
      </c>
      <c r="M204" s="306">
        <v>150.33000000000001</v>
      </c>
      <c r="N204" s="306">
        <v>153.12</v>
      </c>
      <c r="O204" s="306">
        <v>155.33000000000001</v>
      </c>
      <c r="P204" s="306">
        <v>157.07</v>
      </c>
      <c r="Q204" s="306">
        <v>158.38</v>
      </c>
      <c r="R204" s="306">
        <v>159.19999999999999</v>
      </c>
      <c r="S204" s="306">
        <v>159.19999999999999</v>
      </c>
      <c r="T204" s="306">
        <v>0</v>
      </c>
      <c r="U204" s="306">
        <v>0</v>
      </c>
      <c r="V204" s="306">
        <v>0</v>
      </c>
      <c r="W204" s="306">
        <v>0</v>
      </c>
      <c r="X204" s="306">
        <v>0</v>
      </c>
      <c r="Y204" s="306">
        <v>0</v>
      </c>
      <c r="Z204" s="306">
        <v>0</v>
      </c>
      <c r="AA204" s="306">
        <v>0</v>
      </c>
      <c r="AB204" s="306">
        <v>0</v>
      </c>
      <c r="AC204" s="306">
        <v>0</v>
      </c>
      <c r="AD204" s="306">
        <v>0</v>
      </c>
      <c r="AE204" s="306">
        <v>0</v>
      </c>
      <c r="AF204" s="306">
        <v>0</v>
      </c>
      <c r="AG204" s="306">
        <v>0</v>
      </c>
      <c r="AH204" s="306">
        <v>0</v>
      </c>
      <c r="AI204" s="306">
        <v>0</v>
      </c>
      <c r="AJ204" s="306">
        <v>0</v>
      </c>
      <c r="AK204" s="306">
        <v>0</v>
      </c>
      <c r="AL204" s="306">
        <v>0</v>
      </c>
      <c r="AM204" s="306">
        <v>0</v>
      </c>
      <c r="AN204" s="306">
        <v>0</v>
      </c>
      <c r="AO204" s="306">
        <v>0</v>
      </c>
      <c r="AP204" s="306">
        <v>0</v>
      </c>
      <c r="AQ204" s="306">
        <v>0</v>
      </c>
      <c r="AR204" s="306">
        <v>0</v>
      </c>
      <c r="AS204" s="306">
        <v>0</v>
      </c>
      <c r="AT204" s="306">
        <v>0</v>
      </c>
      <c r="AU204" s="306">
        <v>0</v>
      </c>
      <c r="AV204" s="306">
        <v>0</v>
      </c>
      <c r="AW204" s="306">
        <v>0</v>
      </c>
      <c r="AX204" s="306">
        <v>0</v>
      </c>
      <c r="AY204" s="306">
        <v>0</v>
      </c>
      <c r="AZ204" s="306">
        <v>0</v>
      </c>
      <c r="BA204" s="306">
        <v>0</v>
      </c>
      <c r="BB204" s="306">
        <v>0</v>
      </c>
      <c r="BC204" s="306">
        <v>0</v>
      </c>
      <c r="BD204" s="306">
        <v>0</v>
      </c>
      <c r="BE204" s="306">
        <v>0</v>
      </c>
      <c r="BF204" s="306">
        <v>0</v>
      </c>
      <c r="BG204" s="306">
        <v>0</v>
      </c>
      <c r="BH204" s="306">
        <v>0</v>
      </c>
      <c r="BI204" s="306">
        <v>0</v>
      </c>
      <c r="BJ204" s="306">
        <v>0</v>
      </c>
      <c r="BK204" s="306">
        <v>0</v>
      </c>
      <c r="BL204" s="306">
        <v>0</v>
      </c>
      <c r="BM204" s="306">
        <v>0</v>
      </c>
      <c r="BN204" s="306">
        <v>0</v>
      </c>
      <c r="BO204" s="306">
        <v>0</v>
      </c>
      <c r="BP204" s="306">
        <v>0</v>
      </c>
      <c r="BQ204" s="306">
        <v>0</v>
      </c>
      <c r="BR204" s="306">
        <v>0</v>
      </c>
      <c r="BS204" s="306">
        <v>0</v>
      </c>
      <c r="BT204" s="306">
        <v>0</v>
      </c>
      <c r="BU204" s="306">
        <v>0</v>
      </c>
      <c r="BV204" s="306">
        <v>0</v>
      </c>
      <c r="BW204" s="306">
        <v>0</v>
      </c>
      <c r="BX204" s="306">
        <v>0</v>
      </c>
      <c r="BY204" s="306">
        <v>0</v>
      </c>
      <c r="BZ204" s="306">
        <v>0</v>
      </c>
      <c r="CA204" s="306">
        <v>0</v>
      </c>
      <c r="CB204" s="306">
        <v>0</v>
      </c>
      <c r="CC204" s="306">
        <v>0</v>
      </c>
      <c r="CD204" s="306">
        <v>0</v>
      </c>
      <c r="CE204" s="306">
        <v>0</v>
      </c>
      <c r="CF204" s="306">
        <v>0</v>
      </c>
      <c r="CG204" s="306">
        <v>0</v>
      </c>
      <c r="CH204" s="306">
        <v>0</v>
      </c>
      <c r="CI204" s="306">
        <v>0</v>
      </c>
      <c r="CJ204" s="306">
        <v>0</v>
      </c>
      <c r="CK204" s="306">
        <v>0</v>
      </c>
      <c r="CL204" s="306">
        <v>0</v>
      </c>
      <c r="CM204" s="306">
        <v>0</v>
      </c>
      <c r="CN204" s="306">
        <v>0</v>
      </c>
      <c r="CO204" s="306">
        <v>0</v>
      </c>
      <c r="CP204" s="306">
        <v>0</v>
      </c>
      <c r="CQ204" s="306">
        <v>0</v>
      </c>
      <c r="CR204" s="306">
        <v>0</v>
      </c>
      <c r="CS204" s="306">
        <v>0</v>
      </c>
      <c r="CT204" s="306">
        <v>0</v>
      </c>
      <c r="CU204" s="306">
        <v>0</v>
      </c>
      <c r="CV204" s="306">
        <v>0</v>
      </c>
      <c r="CW204" s="306">
        <v>0</v>
      </c>
      <c r="CX204" s="306">
        <v>0</v>
      </c>
    </row>
    <row r="205" spans="3:102" x14ac:dyDescent="0.25">
      <c r="C205" s="305">
        <v>85</v>
      </c>
      <c r="D205" s="306">
        <v>120.5</v>
      </c>
      <c r="E205" s="306">
        <v>126.63</v>
      </c>
      <c r="F205" s="306">
        <v>132.57</v>
      </c>
      <c r="G205" s="306">
        <v>138.25</v>
      </c>
      <c r="H205" s="306">
        <v>143.59</v>
      </c>
      <c r="I205" s="306">
        <v>148.55000000000001</v>
      </c>
      <c r="J205" s="306">
        <v>153.06</v>
      </c>
      <c r="K205" s="306">
        <v>157.13</v>
      </c>
      <c r="L205" s="306">
        <v>160.74</v>
      </c>
      <c r="M205" s="306">
        <v>163.95</v>
      </c>
      <c r="N205" s="306">
        <v>166.8</v>
      </c>
      <c r="O205" s="306">
        <v>169.07</v>
      </c>
      <c r="P205" s="306">
        <v>170.81</v>
      </c>
      <c r="Q205" s="306">
        <v>171.9</v>
      </c>
      <c r="R205" s="306">
        <v>171.9</v>
      </c>
      <c r="S205" s="306">
        <v>0</v>
      </c>
      <c r="T205" s="306">
        <v>0</v>
      </c>
      <c r="U205" s="306">
        <v>0</v>
      </c>
      <c r="V205" s="306">
        <v>0</v>
      </c>
      <c r="W205" s="306">
        <v>0</v>
      </c>
      <c r="X205" s="306">
        <v>0</v>
      </c>
      <c r="Y205" s="306">
        <v>0</v>
      </c>
      <c r="Z205" s="306">
        <v>0</v>
      </c>
      <c r="AA205" s="306">
        <v>0</v>
      </c>
      <c r="AB205" s="306">
        <v>0</v>
      </c>
      <c r="AC205" s="306">
        <v>0</v>
      </c>
      <c r="AD205" s="306">
        <v>0</v>
      </c>
      <c r="AE205" s="306">
        <v>0</v>
      </c>
      <c r="AF205" s="306">
        <v>0</v>
      </c>
      <c r="AG205" s="306">
        <v>0</v>
      </c>
      <c r="AH205" s="306">
        <v>0</v>
      </c>
      <c r="AI205" s="306">
        <v>0</v>
      </c>
      <c r="AJ205" s="306">
        <v>0</v>
      </c>
      <c r="AK205" s="306">
        <v>0</v>
      </c>
      <c r="AL205" s="306">
        <v>0</v>
      </c>
      <c r="AM205" s="306">
        <v>0</v>
      </c>
      <c r="AN205" s="306">
        <v>0</v>
      </c>
      <c r="AO205" s="306">
        <v>0</v>
      </c>
      <c r="AP205" s="306">
        <v>0</v>
      </c>
      <c r="AQ205" s="306">
        <v>0</v>
      </c>
      <c r="AR205" s="306">
        <v>0</v>
      </c>
      <c r="AS205" s="306">
        <v>0</v>
      </c>
      <c r="AT205" s="306">
        <v>0</v>
      </c>
      <c r="AU205" s="306">
        <v>0</v>
      </c>
      <c r="AV205" s="306">
        <v>0</v>
      </c>
      <c r="AW205" s="306">
        <v>0</v>
      </c>
      <c r="AX205" s="306">
        <v>0</v>
      </c>
      <c r="AY205" s="306">
        <v>0</v>
      </c>
      <c r="AZ205" s="306">
        <v>0</v>
      </c>
      <c r="BA205" s="306">
        <v>0</v>
      </c>
      <c r="BB205" s="306">
        <v>0</v>
      </c>
      <c r="BC205" s="306">
        <v>0</v>
      </c>
      <c r="BD205" s="306">
        <v>0</v>
      </c>
      <c r="BE205" s="306">
        <v>0</v>
      </c>
      <c r="BF205" s="306">
        <v>0</v>
      </c>
      <c r="BG205" s="306">
        <v>0</v>
      </c>
      <c r="BH205" s="306">
        <v>0</v>
      </c>
      <c r="BI205" s="306">
        <v>0</v>
      </c>
      <c r="BJ205" s="306">
        <v>0</v>
      </c>
      <c r="BK205" s="306">
        <v>0</v>
      </c>
      <c r="BL205" s="306">
        <v>0</v>
      </c>
      <c r="BM205" s="306">
        <v>0</v>
      </c>
      <c r="BN205" s="306">
        <v>0</v>
      </c>
      <c r="BO205" s="306">
        <v>0</v>
      </c>
      <c r="BP205" s="306">
        <v>0</v>
      </c>
      <c r="BQ205" s="306">
        <v>0</v>
      </c>
      <c r="BR205" s="306">
        <v>0</v>
      </c>
      <c r="BS205" s="306">
        <v>0</v>
      </c>
      <c r="BT205" s="306">
        <v>0</v>
      </c>
      <c r="BU205" s="306">
        <v>0</v>
      </c>
      <c r="BV205" s="306">
        <v>0</v>
      </c>
      <c r="BW205" s="306">
        <v>0</v>
      </c>
      <c r="BX205" s="306">
        <v>0</v>
      </c>
      <c r="BY205" s="306">
        <v>0</v>
      </c>
      <c r="BZ205" s="306">
        <v>0</v>
      </c>
      <c r="CA205" s="306">
        <v>0</v>
      </c>
      <c r="CB205" s="306">
        <v>0</v>
      </c>
      <c r="CC205" s="306">
        <v>0</v>
      </c>
      <c r="CD205" s="306">
        <v>0</v>
      </c>
      <c r="CE205" s="306">
        <v>0</v>
      </c>
      <c r="CF205" s="306">
        <v>0</v>
      </c>
      <c r="CG205" s="306">
        <v>0</v>
      </c>
      <c r="CH205" s="306">
        <v>0</v>
      </c>
      <c r="CI205" s="306">
        <v>0</v>
      </c>
      <c r="CJ205" s="306">
        <v>0</v>
      </c>
      <c r="CK205" s="306">
        <v>0</v>
      </c>
      <c r="CL205" s="306">
        <v>0</v>
      </c>
      <c r="CM205" s="306">
        <v>0</v>
      </c>
      <c r="CN205" s="306">
        <v>0</v>
      </c>
      <c r="CO205" s="306">
        <v>0</v>
      </c>
      <c r="CP205" s="306">
        <v>0</v>
      </c>
      <c r="CQ205" s="306">
        <v>0</v>
      </c>
      <c r="CR205" s="306">
        <v>0</v>
      </c>
      <c r="CS205" s="306">
        <v>0</v>
      </c>
      <c r="CT205" s="306">
        <v>0</v>
      </c>
      <c r="CU205" s="306">
        <v>0</v>
      </c>
      <c r="CV205" s="306">
        <v>0</v>
      </c>
      <c r="CW205" s="306">
        <v>0</v>
      </c>
      <c r="CX205" s="306">
        <v>0</v>
      </c>
    </row>
    <row r="206" spans="3:102" x14ac:dyDescent="0.25">
      <c r="C206" s="305">
        <v>86</v>
      </c>
      <c r="D206" s="306">
        <v>133.83000000000001</v>
      </c>
      <c r="E206" s="306">
        <v>140.28</v>
      </c>
      <c r="F206" s="306">
        <v>146.47999999999999</v>
      </c>
      <c r="G206" s="306">
        <v>152.36000000000001</v>
      </c>
      <c r="H206" s="306">
        <v>157.85</v>
      </c>
      <c r="I206" s="306">
        <v>162.9</v>
      </c>
      <c r="J206" s="306">
        <v>167.49</v>
      </c>
      <c r="K206" s="306">
        <v>171.62</v>
      </c>
      <c r="L206" s="306">
        <v>175.32</v>
      </c>
      <c r="M206" s="306">
        <v>178.67</v>
      </c>
      <c r="N206" s="306">
        <v>181.68</v>
      </c>
      <c r="O206" s="306">
        <v>184</v>
      </c>
      <c r="P206" s="306">
        <v>185.48</v>
      </c>
      <c r="Q206" s="306">
        <v>185.48</v>
      </c>
      <c r="R206" s="306">
        <v>0</v>
      </c>
      <c r="S206" s="306">
        <v>0</v>
      </c>
      <c r="T206" s="306">
        <v>0</v>
      </c>
      <c r="U206" s="306">
        <v>0</v>
      </c>
      <c r="V206" s="306">
        <v>0</v>
      </c>
      <c r="W206" s="306">
        <v>0</v>
      </c>
      <c r="X206" s="306">
        <v>0</v>
      </c>
      <c r="Y206" s="306">
        <v>0</v>
      </c>
      <c r="Z206" s="306">
        <v>0</v>
      </c>
      <c r="AA206" s="306">
        <v>0</v>
      </c>
      <c r="AB206" s="306">
        <v>0</v>
      </c>
      <c r="AC206" s="306">
        <v>0</v>
      </c>
      <c r="AD206" s="306">
        <v>0</v>
      </c>
      <c r="AE206" s="306">
        <v>0</v>
      </c>
      <c r="AF206" s="306">
        <v>0</v>
      </c>
      <c r="AG206" s="306">
        <v>0</v>
      </c>
      <c r="AH206" s="306">
        <v>0</v>
      </c>
      <c r="AI206" s="306">
        <v>0</v>
      </c>
      <c r="AJ206" s="306">
        <v>0</v>
      </c>
      <c r="AK206" s="306">
        <v>0</v>
      </c>
      <c r="AL206" s="306">
        <v>0</v>
      </c>
      <c r="AM206" s="306">
        <v>0</v>
      </c>
      <c r="AN206" s="306">
        <v>0</v>
      </c>
      <c r="AO206" s="306">
        <v>0</v>
      </c>
      <c r="AP206" s="306">
        <v>0</v>
      </c>
      <c r="AQ206" s="306">
        <v>0</v>
      </c>
      <c r="AR206" s="306">
        <v>0</v>
      </c>
      <c r="AS206" s="306">
        <v>0</v>
      </c>
      <c r="AT206" s="306">
        <v>0</v>
      </c>
      <c r="AU206" s="306">
        <v>0</v>
      </c>
      <c r="AV206" s="306">
        <v>0</v>
      </c>
      <c r="AW206" s="306">
        <v>0</v>
      </c>
      <c r="AX206" s="306">
        <v>0</v>
      </c>
      <c r="AY206" s="306">
        <v>0</v>
      </c>
      <c r="AZ206" s="306">
        <v>0</v>
      </c>
      <c r="BA206" s="306">
        <v>0</v>
      </c>
      <c r="BB206" s="306">
        <v>0</v>
      </c>
      <c r="BC206" s="306">
        <v>0</v>
      </c>
      <c r="BD206" s="306">
        <v>0</v>
      </c>
      <c r="BE206" s="306">
        <v>0</v>
      </c>
      <c r="BF206" s="306">
        <v>0</v>
      </c>
      <c r="BG206" s="306">
        <v>0</v>
      </c>
      <c r="BH206" s="306">
        <v>0</v>
      </c>
      <c r="BI206" s="306">
        <v>0</v>
      </c>
      <c r="BJ206" s="306">
        <v>0</v>
      </c>
      <c r="BK206" s="306">
        <v>0</v>
      </c>
      <c r="BL206" s="306">
        <v>0</v>
      </c>
      <c r="BM206" s="306">
        <v>0</v>
      </c>
      <c r="BN206" s="306">
        <v>0</v>
      </c>
      <c r="BO206" s="306">
        <v>0</v>
      </c>
      <c r="BP206" s="306">
        <v>0</v>
      </c>
      <c r="BQ206" s="306">
        <v>0</v>
      </c>
      <c r="BR206" s="306">
        <v>0</v>
      </c>
      <c r="BS206" s="306">
        <v>0</v>
      </c>
      <c r="BT206" s="306">
        <v>0</v>
      </c>
      <c r="BU206" s="306">
        <v>0</v>
      </c>
      <c r="BV206" s="306">
        <v>0</v>
      </c>
      <c r="BW206" s="306">
        <v>0</v>
      </c>
      <c r="BX206" s="306">
        <v>0</v>
      </c>
      <c r="BY206" s="306">
        <v>0</v>
      </c>
      <c r="BZ206" s="306">
        <v>0</v>
      </c>
      <c r="CA206" s="306">
        <v>0</v>
      </c>
      <c r="CB206" s="306">
        <v>0</v>
      </c>
      <c r="CC206" s="306">
        <v>0</v>
      </c>
      <c r="CD206" s="306">
        <v>0</v>
      </c>
      <c r="CE206" s="306">
        <v>0</v>
      </c>
      <c r="CF206" s="306">
        <v>0</v>
      </c>
      <c r="CG206" s="306">
        <v>0</v>
      </c>
      <c r="CH206" s="306">
        <v>0</v>
      </c>
      <c r="CI206" s="306">
        <v>0</v>
      </c>
      <c r="CJ206" s="306">
        <v>0</v>
      </c>
      <c r="CK206" s="306">
        <v>0</v>
      </c>
      <c r="CL206" s="306">
        <v>0</v>
      </c>
      <c r="CM206" s="306">
        <v>0</v>
      </c>
      <c r="CN206" s="306">
        <v>0</v>
      </c>
      <c r="CO206" s="306">
        <v>0</v>
      </c>
      <c r="CP206" s="306">
        <v>0</v>
      </c>
      <c r="CQ206" s="306">
        <v>0</v>
      </c>
      <c r="CR206" s="306">
        <v>0</v>
      </c>
      <c r="CS206" s="306">
        <v>0</v>
      </c>
      <c r="CT206" s="306">
        <v>0</v>
      </c>
      <c r="CU206" s="306">
        <v>0</v>
      </c>
      <c r="CV206" s="306">
        <v>0</v>
      </c>
      <c r="CW206" s="306">
        <v>0</v>
      </c>
      <c r="CX206" s="306">
        <v>0</v>
      </c>
    </row>
    <row r="207" spans="3:102" x14ac:dyDescent="0.25">
      <c r="C207" s="305">
        <v>87</v>
      </c>
      <c r="D207" s="306">
        <v>147.97999999999999</v>
      </c>
      <c r="E207" s="306">
        <v>154.75</v>
      </c>
      <c r="F207" s="306">
        <v>161.22</v>
      </c>
      <c r="G207" s="306">
        <v>167.31</v>
      </c>
      <c r="H207" s="306">
        <v>172.98</v>
      </c>
      <c r="I207" s="306">
        <v>178.19</v>
      </c>
      <c r="J207" s="306">
        <v>182.92</v>
      </c>
      <c r="K207" s="306">
        <v>187.24</v>
      </c>
      <c r="L207" s="306">
        <v>191.2</v>
      </c>
      <c r="M207" s="306">
        <v>194.83</v>
      </c>
      <c r="N207" s="306">
        <v>197.99</v>
      </c>
      <c r="O207" s="306">
        <v>200.02</v>
      </c>
      <c r="P207" s="306">
        <v>200.02</v>
      </c>
      <c r="Q207" s="306">
        <v>0</v>
      </c>
      <c r="R207" s="306">
        <v>0</v>
      </c>
      <c r="S207" s="306">
        <v>0</v>
      </c>
      <c r="T207" s="306">
        <v>0</v>
      </c>
      <c r="U207" s="306">
        <v>0</v>
      </c>
      <c r="V207" s="306">
        <v>0</v>
      </c>
      <c r="W207" s="306">
        <v>0</v>
      </c>
      <c r="X207" s="306">
        <v>0</v>
      </c>
      <c r="Y207" s="306">
        <v>0</v>
      </c>
      <c r="Z207" s="306">
        <v>0</v>
      </c>
      <c r="AA207" s="306">
        <v>0</v>
      </c>
      <c r="AB207" s="306">
        <v>0</v>
      </c>
      <c r="AC207" s="306">
        <v>0</v>
      </c>
      <c r="AD207" s="306">
        <v>0</v>
      </c>
      <c r="AE207" s="306">
        <v>0</v>
      </c>
      <c r="AF207" s="306">
        <v>0</v>
      </c>
      <c r="AG207" s="306">
        <v>0</v>
      </c>
      <c r="AH207" s="306">
        <v>0</v>
      </c>
      <c r="AI207" s="306">
        <v>0</v>
      </c>
      <c r="AJ207" s="306">
        <v>0</v>
      </c>
      <c r="AK207" s="306">
        <v>0</v>
      </c>
      <c r="AL207" s="306">
        <v>0</v>
      </c>
      <c r="AM207" s="306">
        <v>0</v>
      </c>
      <c r="AN207" s="306">
        <v>0</v>
      </c>
      <c r="AO207" s="306">
        <v>0</v>
      </c>
      <c r="AP207" s="306">
        <v>0</v>
      </c>
      <c r="AQ207" s="306">
        <v>0</v>
      </c>
      <c r="AR207" s="306">
        <v>0</v>
      </c>
      <c r="AS207" s="306">
        <v>0</v>
      </c>
      <c r="AT207" s="306">
        <v>0</v>
      </c>
      <c r="AU207" s="306">
        <v>0</v>
      </c>
      <c r="AV207" s="306">
        <v>0</v>
      </c>
      <c r="AW207" s="306">
        <v>0</v>
      </c>
      <c r="AX207" s="306">
        <v>0</v>
      </c>
      <c r="AY207" s="306">
        <v>0</v>
      </c>
      <c r="AZ207" s="306">
        <v>0</v>
      </c>
      <c r="BA207" s="306">
        <v>0</v>
      </c>
      <c r="BB207" s="306">
        <v>0</v>
      </c>
      <c r="BC207" s="306">
        <v>0</v>
      </c>
      <c r="BD207" s="306">
        <v>0</v>
      </c>
      <c r="BE207" s="306">
        <v>0</v>
      </c>
      <c r="BF207" s="306">
        <v>0</v>
      </c>
      <c r="BG207" s="306">
        <v>0</v>
      </c>
      <c r="BH207" s="306">
        <v>0</v>
      </c>
      <c r="BI207" s="306">
        <v>0</v>
      </c>
      <c r="BJ207" s="306">
        <v>0</v>
      </c>
      <c r="BK207" s="306">
        <v>0</v>
      </c>
      <c r="BL207" s="306">
        <v>0</v>
      </c>
      <c r="BM207" s="306">
        <v>0</v>
      </c>
      <c r="BN207" s="306">
        <v>0</v>
      </c>
      <c r="BO207" s="306">
        <v>0</v>
      </c>
      <c r="BP207" s="306">
        <v>0</v>
      </c>
      <c r="BQ207" s="306">
        <v>0</v>
      </c>
      <c r="BR207" s="306">
        <v>0</v>
      </c>
      <c r="BS207" s="306">
        <v>0</v>
      </c>
      <c r="BT207" s="306">
        <v>0</v>
      </c>
      <c r="BU207" s="306">
        <v>0</v>
      </c>
      <c r="BV207" s="306">
        <v>0</v>
      </c>
      <c r="BW207" s="306">
        <v>0</v>
      </c>
      <c r="BX207" s="306">
        <v>0</v>
      </c>
      <c r="BY207" s="306">
        <v>0</v>
      </c>
      <c r="BZ207" s="306">
        <v>0</v>
      </c>
      <c r="CA207" s="306">
        <v>0</v>
      </c>
      <c r="CB207" s="306">
        <v>0</v>
      </c>
      <c r="CC207" s="306">
        <v>0</v>
      </c>
      <c r="CD207" s="306">
        <v>0</v>
      </c>
      <c r="CE207" s="306">
        <v>0</v>
      </c>
      <c r="CF207" s="306">
        <v>0</v>
      </c>
      <c r="CG207" s="306">
        <v>0</v>
      </c>
      <c r="CH207" s="306">
        <v>0</v>
      </c>
      <c r="CI207" s="306">
        <v>0</v>
      </c>
      <c r="CJ207" s="306">
        <v>0</v>
      </c>
      <c r="CK207" s="306">
        <v>0</v>
      </c>
      <c r="CL207" s="306">
        <v>0</v>
      </c>
      <c r="CM207" s="306">
        <v>0</v>
      </c>
      <c r="CN207" s="306">
        <v>0</v>
      </c>
      <c r="CO207" s="306">
        <v>0</v>
      </c>
      <c r="CP207" s="306">
        <v>0</v>
      </c>
      <c r="CQ207" s="306">
        <v>0</v>
      </c>
      <c r="CR207" s="306">
        <v>0</v>
      </c>
      <c r="CS207" s="306">
        <v>0</v>
      </c>
      <c r="CT207" s="306">
        <v>0</v>
      </c>
      <c r="CU207" s="306">
        <v>0</v>
      </c>
      <c r="CV207" s="306">
        <v>0</v>
      </c>
      <c r="CW207" s="306">
        <v>0</v>
      </c>
      <c r="CX207" s="306">
        <v>0</v>
      </c>
    </row>
    <row r="208" spans="3:102" x14ac:dyDescent="0.25">
      <c r="C208" s="305">
        <v>88</v>
      </c>
      <c r="D208" s="306">
        <v>162.94999999999999</v>
      </c>
      <c r="E208" s="306">
        <v>170.08</v>
      </c>
      <c r="F208" s="306">
        <v>176.86</v>
      </c>
      <c r="G208" s="306">
        <v>183.24</v>
      </c>
      <c r="H208" s="306">
        <v>189.16</v>
      </c>
      <c r="I208" s="306">
        <v>194.64</v>
      </c>
      <c r="J208" s="306">
        <v>199.71</v>
      </c>
      <c r="K208" s="306">
        <v>204.45</v>
      </c>
      <c r="L208" s="306">
        <v>208.87</v>
      </c>
      <c r="M208" s="306">
        <v>212.8</v>
      </c>
      <c r="N208" s="306">
        <v>215.64</v>
      </c>
      <c r="O208" s="306">
        <v>215.64</v>
      </c>
      <c r="P208" s="306">
        <v>0</v>
      </c>
      <c r="Q208" s="306">
        <v>0</v>
      </c>
      <c r="R208" s="306">
        <v>0</v>
      </c>
      <c r="S208" s="306">
        <v>0</v>
      </c>
      <c r="T208" s="306">
        <v>0</v>
      </c>
      <c r="U208" s="306">
        <v>0</v>
      </c>
      <c r="V208" s="306">
        <v>0</v>
      </c>
      <c r="W208" s="306">
        <v>0</v>
      </c>
      <c r="X208" s="306">
        <v>0</v>
      </c>
      <c r="Y208" s="306">
        <v>0</v>
      </c>
      <c r="Z208" s="306">
        <v>0</v>
      </c>
      <c r="AA208" s="306">
        <v>0</v>
      </c>
      <c r="AB208" s="306">
        <v>0</v>
      </c>
      <c r="AC208" s="306">
        <v>0</v>
      </c>
      <c r="AD208" s="306">
        <v>0</v>
      </c>
      <c r="AE208" s="306">
        <v>0</v>
      </c>
      <c r="AF208" s="306">
        <v>0</v>
      </c>
      <c r="AG208" s="306">
        <v>0</v>
      </c>
      <c r="AH208" s="306">
        <v>0</v>
      </c>
      <c r="AI208" s="306">
        <v>0</v>
      </c>
      <c r="AJ208" s="306">
        <v>0</v>
      </c>
      <c r="AK208" s="306">
        <v>0</v>
      </c>
      <c r="AL208" s="306">
        <v>0</v>
      </c>
      <c r="AM208" s="306">
        <v>0</v>
      </c>
      <c r="AN208" s="306">
        <v>0</v>
      </c>
      <c r="AO208" s="306">
        <v>0</v>
      </c>
      <c r="AP208" s="306">
        <v>0</v>
      </c>
      <c r="AQ208" s="306">
        <v>0</v>
      </c>
      <c r="AR208" s="306">
        <v>0</v>
      </c>
      <c r="AS208" s="306">
        <v>0</v>
      </c>
      <c r="AT208" s="306">
        <v>0</v>
      </c>
      <c r="AU208" s="306">
        <v>0</v>
      </c>
      <c r="AV208" s="306">
        <v>0</v>
      </c>
      <c r="AW208" s="306">
        <v>0</v>
      </c>
      <c r="AX208" s="306">
        <v>0</v>
      </c>
      <c r="AY208" s="306">
        <v>0</v>
      </c>
      <c r="AZ208" s="306">
        <v>0</v>
      </c>
      <c r="BA208" s="306">
        <v>0</v>
      </c>
      <c r="BB208" s="306">
        <v>0</v>
      </c>
      <c r="BC208" s="306">
        <v>0</v>
      </c>
      <c r="BD208" s="306">
        <v>0</v>
      </c>
      <c r="BE208" s="306">
        <v>0</v>
      </c>
      <c r="BF208" s="306">
        <v>0</v>
      </c>
      <c r="BG208" s="306">
        <v>0</v>
      </c>
      <c r="BH208" s="306">
        <v>0</v>
      </c>
      <c r="BI208" s="306">
        <v>0</v>
      </c>
      <c r="BJ208" s="306">
        <v>0</v>
      </c>
      <c r="BK208" s="306">
        <v>0</v>
      </c>
      <c r="BL208" s="306">
        <v>0</v>
      </c>
      <c r="BM208" s="306">
        <v>0</v>
      </c>
      <c r="BN208" s="306">
        <v>0</v>
      </c>
      <c r="BO208" s="306">
        <v>0</v>
      </c>
      <c r="BP208" s="306">
        <v>0</v>
      </c>
      <c r="BQ208" s="306">
        <v>0</v>
      </c>
      <c r="BR208" s="306">
        <v>0</v>
      </c>
      <c r="BS208" s="306">
        <v>0</v>
      </c>
      <c r="BT208" s="306">
        <v>0</v>
      </c>
      <c r="BU208" s="306">
        <v>0</v>
      </c>
      <c r="BV208" s="306">
        <v>0</v>
      </c>
      <c r="BW208" s="306">
        <v>0</v>
      </c>
      <c r="BX208" s="306">
        <v>0</v>
      </c>
      <c r="BY208" s="306">
        <v>0</v>
      </c>
      <c r="BZ208" s="306">
        <v>0</v>
      </c>
      <c r="CA208" s="306">
        <v>0</v>
      </c>
      <c r="CB208" s="306">
        <v>0</v>
      </c>
      <c r="CC208" s="306">
        <v>0</v>
      </c>
      <c r="CD208" s="306">
        <v>0</v>
      </c>
      <c r="CE208" s="306">
        <v>0</v>
      </c>
      <c r="CF208" s="306">
        <v>0</v>
      </c>
      <c r="CG208" s="306">
        <v>0</v>
      </c>
      <c r="CH208" s="306">
        <v>0</v>
      </c>
      <c r="CI208" s="306">
        <v>0</v>
      </c>
      <c r="CJ208" s="306">
        <v>0</v>
      </c>
      <c r="CK208" s="306">
        <v>0</v>
      </c>
      <c r="CL208" s="306">
        <v>0</v>
      </c>
      <c r="CM208" s="306">
        <v>0</v>
      </c>
      <c r="CN208" s="306">
        <v>0</v>
      </c>
      <c r="CO208" s="306">
        <v>0</v>
      </c>
      <c r="CP208" s="306">
        <v>0</v>
      </c>
      <c r="CQ208" s="306">
        <v>0</v>
      </c>
      <c r="CR208" s="306">
        <v>0</v>
      </c>
      <c r="CS208" s="306">
        <v>0</v>
      </c>
      <c r="CT208" s="306">
        <v>0</v>
      </c>
      <c r="CU208" s="306">
        <v>0</v>
      </c>
      <c r="CV208" s="306">
        <v>0</v>
      </c>
      <c r="CW208" s="306">
        <v>0</v>
      </c>
      <c r="CX208" s="306">
        <v>0</v>
      </c>
    </row>
    <row r="209" spans="3:102" x14ac:dyDescent="0.25">
      <c r="C209" s="305">
        <v>89</v>
      </c>
      <c r="D209" s="306">
        <v>178.88</v>
      </c>
      <c r="E209" s="306">
        <v>186.43</v>
      </c>
      <c r="F209" s="306">
        <v>193.62</v>
      </c>
      <c r="G209" s="306">
        <v>200.39</v>
      </c>
      <c r="H209" s="306">
        <v>206.74</v>
      </c>
      <c r="I209" s="306">
        <v>212.75</v>
      </c>
      <c r="J209" s="306">
        <v>218.49</v>
      </c>
      <c r="K209" s="306">
        <v>223.96</v>
      </c>
      <c r="L209" s="306">
        <v>228.91</v>
      </c>
      <c r="M209" s="306">
        <v>232.55</v>
      </c>
      <c r="N209" s="306">
        <v>232.55</v>
      </c>
      <c r="O209" s="306">
        <v>0</v>
      </c>
      <c r="P209" s="306">
        <v>0</v>
      </c>
      <c r="Q209" s="306">
        <v>0</v>
      </c>
      <c r="R209" s="306">
        <v>0</v>
      </c>
      <c r="S209" s="306">
        <v>0</v>
      </c>
      <c r="T209" s="306">
        <v>0</v>
      </c>
      <c r="U209" s="306">
        <v>0</v>
      </c>
      <c r="V209" s="306">
        <v>0</v>
      </c>
      <c r="W209" s="306">
        <v>0</v>
      </c>
      <c r="X209" s="306">
        <v>0</v>
      </c>
      <c r="Y209" s="306">
        <v>0</v>
      </c>
      <c r="Z209" s="306">
        <v>0</v>
      </c>
      <c r="AA209" s="306">
        <v>0</v>
      </c>
      <c r="AB209" s="306">
        <v>0</v>
      </c>
      <c r="AC209" s="306">
        <v>0</v>
      </c>
      <c r="AD209" s="306">
        <v>0</v>
      </c>
      <c r="AE209" s="306">
        <v>0</v>
      </c>
      <c r="AF209" s="306">
        <v>0</v>
      </c>
      <c r="AG209" s="306">
        <v>0</v>
      </c>
      <c r="AH209" s="306">
        <v>0</v>
      </c>
      <c r="AI209" s="306">
        <v>0</v>
      </c>
      <c r="AJ209" s="306">
        <v>0</v>
      </c>
      <c r="AK209" s="306">
        <v>0</v>
      </c>
      <c r="AL209" s="306">
        <v>0</v>
      </c>
      <c r="AM209" s="306">
        <v>0</v>
      </c>
      <c r="AN209" s="306">
        <v>0</v>
      </c>
      <c r="AO209" s="306">
        <v>0</v>
      </c>
      <c r="AP209" s="306">
        <v>0</v>
      </c>
      <c r="AQ209" s="306">
        <v>0</v>
      </c>
      <c r="AR209" s="306">
        <v>0</v>
      </c>
      <c r="AS209" s="306">
        <v>0</v>
      </c>
      <c r="AT209" s="306">
        <v>0</v>
      </c>
      <c r="AU209" s="306">
        <v>0</v>
      </c>
      <c r="AV209" s="306">
        <v>0</v>
      </c>
      <c r="AW209" s="306">
        <v>0</v>
      </c>
      <c r="AX209" s="306">
        <v>0</v>
      </c>
      <c r="AY209" s="306">
        <v>0</v>
      </c>
      <c r="AZ209" s="306">
        <v>0</v>
      </c>
      <c r="BA209" s="306">
        <v>0</v>
      </c>
      <c r="BB209" s="306">
        <v>0</v>
      </c>
      <c r="BC209" s="306">
        <v>0</v>
      </c>
      <c r="BD209" s="306">
        <v>0</v>
      </c>
      <c r="BE209" s="306">
        <v>0</v>
      </c>
      <c r="BF209" s="306">
        <v>0</v>
      </c>
      <c r="BG209" s="306">
        <v>0</v>
      </c>
      <c r="BH209" s="306">
        <v>0</v>
      </c>
      <c r="BI209" s="306">
        <v>0</v>
      </c>
      <c r="BJ209" s="306">
        <v>0</v>
      </c>
      <c r="BK209" s="306">
        <v>0</v>
      </c>
      <c r="BL209" s="306">
        <v>0</v>
      </c>
      <c r="BM209" s="306">
        <v>0</v>
      </c>
      <c r="BN209" s="306">
        <v>0</v>
      </c>
      <c r="BO209" s="306">
        <v>0</v>
      </c>
      <c r="BP209" s="306">
        <v>0</v>
      </c>
      <c r="BQ209" s="306">
        <v>0</v>
      </c>
      <c r="BR209" s="306">
        <v>0</v>
      </c>
      <c r="BS209" s="306">
        <v>0</v>
      </c>
      <c r="BT209" s="306">
        <v>0</v>
      </c>
      <c r="BU209" s="306">
        <v>0</v>
      </c>
      <c r="BV209" s="306">
        <v>0</v>
      </c>
      <c r="BW209" s="306">
        <v>0</v>
      </c>
      <c r="BX209" s="306">
        <v>0</v>
      </c>
      <c r="BY209" s="306">
        <v>0</v>
      </c>
      <c r="BZ209" s="306">
        <v>0</v>
      </c>
      <c r="CA209" s="306">
        <v>0</v>
      </c>
      <c r="CB209" s="306">
        <v>0</v>
      </c>
      <c r="CC209" s="306">
        <v>0</v>
      </c>
      <c r="CD209" s="306">
        <v>0</v>
      </c>
      <c r="CE209" s="306">
        <v>0</v>
      </c>
      <c r="CF209" s="306">
        <v>0</v>
      </c>
      <c r="CG209" s="306">
        <v>0</v>
      </c>
      <c r="CH209" s="306">
        <v>0</v>
      </c>
      <c r="CI209" s="306">
        <v>0</v>
      </c>
      <c r="CJ209" s="306">
        <v>0</v>
      </c>
      <c r="CK209" s="306">
        <v>0</v>
      </c>
      <c r="CL209" s="306">
        <v>0</v>
      </c>
      <c r="CM209" s="306">
        <v>0</v>
      </c>
      <c r="CN209" s="306">
        <v>0</v>
      </c>
      <c r="CO209" s="306">
        <v>0</v>
      </c>
      <c r="CP209" s="306">
        <v>0</v>
      </c>
      <c r="CQ209" s="306">
        <v>0</v>
      </c>
      <c r="CR209" s="306">
        <v>0</v>
      </c>
      <c r="CS209" s="306">
        <v>0</v>
      </c>
      <c r="CT209" s="306">
        <v>0</v>
      </c>
      <c r="CU209" s="306">
        <v>0</v>
      </c>
      <c r="CV209" s="306">
        <v>0</v>
      </c>
      <c r="CW209" s="306">
        <v>0</v>
      </c>
      <c r="CX209" s="306">
        <v>0</v>
      </c>
    </row>
    <row r="210" spans="3:102" x14ac:dyDescent="0.25">
      <c r="C210" s="305">
        <v>90</v>
      </c>
      <c r="D210" s="306">
        <v>195.93</v>
      </c>
      <c r="E210" s="306">
        <v>204.05</v>
      </c>
      <c r="F210" s="306">
        <v>211.82</v>
      </c>
      <c r="G210" s="306">
        <v>219.25</v>
      </c>
      <c r="H210" s="306">
        <v>226.42</v>
      </c>
      <c r="I210" s="306">
        <v>233.45</v>
      </c>
      <c r="J210" s="306">
        <v>240.33</v>
      </c>
      <c r="K210" s="306">
        <v>246.67</v>
      </c>
      <c r="L210" s="306">
        <v>251.41</v>
      </c>
      <c r="M210" s="306">
        <v>251.41</v>
      </c>
      <c r="N210" s="306">
        <v>0</v>
      </c>
      <c r="O210" s="306">
        <v>0</v>
      </c>
      <c r="P210" s="306">
        <v>0</v>
      </c>
      <c r="Q210" s="306">
        <v>0</v>
      </c>
      <c r="R210" s="306">
        <v>0</v>
      </c>
      <c r="S210" s="306">
        <v>0</v>
      </c>
      <c r="T210" s="306">
        <v>0</v>
      </c>
      <c r="U210" s="306">
        <v>0</v>
      </c>
      <c r="V210" s="306">
        <v>0</v>
      </c>
      <c r="W210" s="306">
        <v>0</v>
      </c>
      <c r="X210" s="306">
        <v>0</v>
      </c>
      <c r="Y210" s="306">
        <v>0</v>
      </c>
      <c r="Z210" s="306">
        <v>0</v>
      </c>
      <c r="AA210" s="306">
        <v>0</v>
      </c>
      <c r="AB210" s="306">
        <v>0</v>
      </c>
      <c r="AC210" s="306">
        <v>0</v>
      </c>
      <c r="AD210" s="306">
        <v>0</v>
      </c>
      <c r="AE210" s="306">
        <v>0</v>
      </c>
      <c r="AF210" s="306">
        <v>0</v>
      </c>
      <c r="AG210" s="306">
        <v>0</v>
      </c>
      <c r="AH210" s="306">
        <v>0</v>
      </c>
      <c r="AI210" s="306">
        <v>0</v>
      </c>
      <c r="AJ210" s="306">
        <v>0</v>
      </c>
      <c r="AK210" s="306">
        <v>0</v>
      </c>
      <c r="AL210" s="306">
        <v>0</v>
      </c>
      <c r="AM210" s="306">
        <v>0</v>
      </c>
      <c r="AN210" s="306">
        <v>0</v>
      </c>
      <c r="AO210" s="306">
        <v>0</v>
      </c>
      <c r="AP210" s="306">
        <v>0</v>
      </c>
      <c r="AQ210" s="306">
        <v>0</v>
      </c>
      <c r="AR210" s="306">
        <v>0</v>
      </c>
      <c r="AS210" s="306">
        <v>0</v>
      </c>
      <c r="AT210" s="306">
        <v>0</v>
      </c>
      <c r="AU210" s="306">
        <v>0</v>
      </c>
      <c r="AV210" s="306">
        <v>0</v>
      </c>
      <c r="AW210" s="306">
        <v>0</v>
      </c>
      <c r="AX210" s="306">
        <v>0</v>
      </c>
      <c r="AY210" s="306">
        <v>0</v>
      </c>
      <c r="AZ210" s="306">
        <v>0</v>
      </c>
      <c r="BA210" s="306">
        <v>0</v>
      </c>
      <c r="BB210" s="306">
        <v>0</v>
      </c>
      <c r="BC210" s="306">
        <v>0</v>
      </c>
      <c r="BD210" s="306">
        <v>0</v>
      </c>
      <c r="BE210" s="306">
        <v>0</v>
      </c>
      <c r="BF210" s="306">
        <v>0</v>
      </c>
      <c r="BG210" s="306">
        <v>0</v>
      </c>
      <c r="BH210" s="306">
        <v>0</v>
      </c>
      <c r="BI210" s="306">
        <v>0</v>
      </c>
      <c r="BJ210" s="306">
        <v>0</v>
      </c>
      <c r="BK210" s="306">
        <v>0</v>
      </c>
      <c r="BL210" s="306">
        <v>0</v>
      </c>
      <c r="BM210" s="306">
        <v>0</v>
      </c>
      <c r="BN210" s="306">
        <v>0</v>
      </c>
      <c r="BO210" s="306">
        <v>0</v>
      </c>
      <c r="BP210" s="306">
        <v>0</v>
      </c>
      <c r="BQ210" s="306">
        <v>0</v>
      </c>
      <c r="BR210" s="306">
        <v>0</v>
      </c>
      <c r="BS210" s="306">
        <v>0</v>
      </c>
      <c r="BT210" s="306">
        <v>0</v>
      </c>
      <c r="BU210" s="306">
        <v>0</v>
      </c>
      <c r="BV210" s="306">
        <v>0</v>
      </c>
      <c r="BW210" s="306">
        <v>0</v>
      </c>
      <c r="BX210" s="306">
        <v>0</v>
      </c>
      <c r="BY210" s="306">
        <v>0</v>
      </c>
      <c r="BZ210" s="306">
        <v>0</v>
      </c>
      <c r="CA210" s="306">
        <v>0</v>
      </c>
      <c r="CB210" s="306">
        <v>0</v>
      </c>
      <c r="CC210" s="306">
        <v>0</v>
      </c>
      <c r="CD210" s="306">
        <v>0</v>
      </c>
      <c r="CE210" s="306">
        <v>0</v>
      </c>
      <c r="CF210" s="306">
        <v>0</v>
      </c>
      <c r="CG210" s="306">
        <v>0</v>
      </c>
      <c r="CH210" s="306">
        <v>0</v>
      </c>
      <c r="CI210" s="306">
        <v>0</v>
      </c>
      <c r="CJ210" s="306">
        <v>0</v>
      </c>
      <c r="CK210" s="306">
        <v>0</v>
      </c>
      <c r="CL210" s="306">
        <v>0</v>
      </c>
      <c r="CM210" s="306">
        <v>0</v>
      </c>
      <c r="CN210" s="306">
        <v>0</v>
      </c>
      <c r="CO210" s="306">
        <v>0</v>
      </c>
      <c r="CP210" s="306">
        <v>0</v>
      </c>
      <c r="CQ210" s="306">
        <v>0</v>
      </c>
      <c r="CR210" s="306">
        <v>0</v>
      </c>
      <c r="CS210" s="306">
        <v>0</v>
      </c>
      <c r="CT210" s="306">
        <v>0</v>
      </c>
      <c r="CU210" s="306">
        <v>0</v>
      </c>
      <c r="CV210" s="306">
        <v>0</v>
      </c>
      <c r="CW210" s="306">
        <v>0</v>
      </c>
      <c r="CX210" s="306">
        <v>0</v>
      </c>
    </row>
    <row r="211" spans="3:102" x14ac:dyDescent="0.25">
      <c r="C211" s="305">
        <v>91</v>
      </c>
      <c r="D211" s="306">
        <v>214.49</v>
      </c>
      <c r="E211" s="306">
        <v>223.42</v>
      </c>
      <c r="F211" s="306">
        <v>232.16</v>
      </c>
      <c r="G211" s="306">
        <v>240.82</v>
      </c>
      <c r="H211" s="306">
        <v>249.55</v>
      </c>
      <c r="I211" s="306">
        <v>258.31</v>
      </c>
      <c r="J211" s="306">
        <v>266.60000000000002</v>
      </c>
      <c r="K211" s="306">
        <v>272.91000000000003</v>
      </c>
      <c r="L211" s="306">
        <v>272.91000000000003</v>
      </c>
      <c r="M211" s="306">
        <v>0</v>
      </c>
      <c r="N211" s="306">
        <v>0</v>
      </c>
      <c r="O211" s="306">
        <v>0</v>
      </c>
      <c r="P211" s="306">
        <v>0</v>
      </c>
      <c r="Q211" s="306">
        <v>0</v>
      </c>
      <c r="R211" s="306">
        <v>0</v>
      </c>
      <c r="S211" s="306">
        <v>0</v>
      </c>
      <c r="T211" s="306">
        <v>0</v>
      </c>
      <c r="U211" s="306">
        <v>0</v>
      </c>
      <c r="V211" s="306">
        <v>0</v>
      </c>
      <c r="W211" s="306">
        <v>0</v>
      </c>
      <c r="X211" s="306">
        <v>0</v>
      </c>
      <c r="Y211" s="306">
        <v>0</v>
      </c>
      <c r="Z211" s="306">
        <v>0</v>
      </c>
      <c r="AA211" s="306">
        <v>0</v>
      </c>
      <c r="AB211" s="306">
        <v>0</v>
      </c>
      <c r="AC211" s="306">
        <v>0</v>
      </c>
      <c r="AD211" s="306">
        <v>0</v>
      </c>
      <c r="AE211" s="306">
        <v>0</v>
      </c>
      <c r="AF211" s="306">
        <v>0</v>
      </c>
      <c r="AG211" s="306">
        <v>0</v>
      </c>
      <c r="AH211" s="306">
        <v>0</v>
      </c>
      <c r="AI211" s="306">
        <v>0</v>
      </c>
      <c r="AJ211" s="306">
        <v>0</v>
      </c>
      <c r="AK211" s="306">
        <v>0</v>
      </c>
      <c r="AL211" s="306">
        <v>0</v>
      </c>
      <c r="AM211" s="306">
        <v>0</v>
      </c>
      <c r="AN211" s="306">
        <v>0</v>
      </c>
      <c r="AO211" s="306">
        <v>0</v>
      </c>
      <c r="AP211" s="306">
        <v>0</v>
      </c>
      <c r="AQ211" s="306">
        <v>0</v>
      </c>
      <c r="AR211" s="306">
        <v>0</v>
      </c>
      <c r="AS211" s="306">
        <v>0</v>
      </c>
      <c r="AT211" s="306">
        <v>0</v>
      </c>
      <c r="AU211" s="306">
        <v>0</v>
      </c>
      <c r="AV211" s="306">
        <v>0</v>
      </c>
      <c r="AW211" s="306">
        <v>0</v>
      </c>
      <c r="AX211" s="306">
        <v>0</v>
      </c>
      <c r="AY211" s="306">
        <v>0</v>
      </c>
      <c r="AZ211" s="306">
        <v>0</v>
      </c>
      <c r="BA211" s="306">
        <v>0</v>
      </c>
      <c r="BB211" s="306">
        <v>0</v>
      </c>
      <c r="BC211" s="306">
        <v>0</v>
      </c>
      <c r="BD211" s="306">
        <v>0</v>
      </c>
      <c r="BE211" s="306">
        <v>0</v>
      </c>
      <c r="BF211" s="306">
        <v>0</v>
      </c>
      <c r="BG211" s="306">
        <v>0</v>
      </c>
      <c r="BH211" s="306">
        <v>0</v>
      </c>
      <c r="BI211" s="306">
        <v>0</v>
      </c>
      <c r="BJ211" s="306">
        <v>0</v>
      </c>
      <c r="BK211" s="306">
        <v>0</v>
      </c>
      <c r="BL211" s="306">
        <v>0</v>
      </c>
      <c r="BM211" s="306">
        <v>0</v>
      </c>
      <c r="BN211" s="306">
        <v>0</v>
      </c>
      <c r="BO211" s="306">
        <v>0</v>
      </c>
      <c r="BP211" s="306">
        <v>0</v>
      </c>
      <c r="BQ211" s="306">
        <v>0</v>
      </c>
      <c r="BR211" s="306">
        <v>0</v>
      </c>
      <c r="BS211" s="306">
        <v>0</v>
      </c>
      <c r="BT211" s="306">
        <v>0</v>
      </c>
      <c r="BU211" s="306">
        <v>0</v>
      </c>
      <c r="BV211" s="306">
        <v>0</v>
      </c>
      <c r="BW211" s="306">
        <v>0</v>
      </c>
      <c r="BX211" s="306">
        <v>0</v>
      </c>
      <c r="BY211" s="306">
        <v>0</v>
      </c>
      <c r="BZ211" s="306">
        <v>0</v>
      </c>
      <c r="CA211" s="306">
        <v>0</v>
      </c>
      <c r="CB211" s="306">
        <v>0</v>
      </c>
      <c r="CC211" s="306">
        <v>0</v>
      </c>
      <c r="CD211" s="306">
        <v>0</v>
      </c>
      <c r="CE211" s="306">
        <v>0</v>
      </c>
      <c r="CF211" s="306">
        <v>0</v>
      </c>
      <c r="CG211" s="306">
        <v>0</v>
      </c>
      <c r="CH211" s="306">
        <v>0</v>
      </c>
      <c r="CI211" s="306">
        <v>0</v>
      </c>
      <c r="CJ211" s="306">
        <v>0</v>
      </c>
      <c r="CK211" s="306">
        <v>0</v>
      </c>
      <c r="CL211" s="306">
        <v>0</v>
      </c>
      <c r="CM211" s="306">
        <v>0</v>
      </c>
      <c r="CN211" s="306">
        <v>0</v>
      </c>
      <c r="CO211" s="306">
        <v>0</v>
      </c>
      <c r="CP211" s="306">
        <v>0</v>
      </c>
      <c r="CQ211" s="306">
        <v>0</v>
      </c>
      <c r="CR211" s="306">
        <v>0</v>
      </c>
      <c r="CS211" s="306">
        <v>0</v>
      </c>
      <c r="CT211" s="306">
        <v>0</v>
      </c>
      <c r="CU211" s="306">
        <v>0</v>
      </c>
      <c r="CV211" s="306">
        <v>0</v>
      </c>
      <c r="CW211" s="306">
        <v>0</v>
      </c>
      <c r="CX211" s="306">
        <v>0</v>
      </c>
    </row>
    <row r="212" spans="3:102" x14ac:dyDescent="0.25">
      <c r="C212" s="305">
        <v>92</v>
      </c>
      <c r="D212" s="306">
        <v>235.19</v>
      </c>
      <c r="E212" s="306">
        <v>245.54</v>
      </c>
      <c r="F212" s="306">
        <v>256.11</v>
      </c>
      <c r="G212" s="306">
        <v>267.10000000000002</v>
      </c>
      <c r="H212" s="306">
        <v>278.48</v>
      </c>
      <c r="I212" s="306">
        <v>289.52</v>
      </c>
      <c r="J212" s="306">
        <v>298.12</v>
      </c>
      <c r="K212" s="306">
        <v>298.12</v>
      </c>
      <c r="L212" s="306">
        <v>0</v>
      </c>
      <c r="M212" s="306">
        <v>0</v>
      </c>
      <c r="N212" s="306">
        <v>0</v>
      </c>
      <c r="O212" s="306">
        <v>0</v>
      </c>
      <c r="P212" s="306">
        <v>0</v>
      </c>
      <c r="Q212" s="306">
        <v>0</v>
      </c>
      <c r="R212" s="306">
        <v>0</v>
      </c>
      <c r="S212" s="306">
        <v>0</v>
      </c>
      <c r="T212" s="306">
        <v>0</v>
      </c>
      <c r="U212" s="306">
        <v>0</v>
      </c>
      <c r="V212" s="306">
        <v>0</v>
      </c>
      <c r="W212" s="306">
        <v>0</v>
      </c>
      <c r="X212" s="306">
        <v>0</v>
      </c>
      <c r="Y212" s="306">
        <v>0</v>
      </c>
      <c r="Z212" s="306">
        <v>0</v>
      </c>
      <c r="AA212" s="306">
        <v>0</v>
      </c>
      <c r="AB212" s="306">
        <v>0</v>
      </c>
      <c r="AC212" s="306">
        <v>0</v>
      </c>
      <c r="AD212" s="306">
        <v>0</v>
      </c>
      <c r="AE212" s="306">
        <v>0</v>
      </c>
      <c r="AF212" s="306">
        <v>0</v>
      </c>
      <c r="AG212" s="306">
        <v>0</v>
      </c>
      <c r="AH212" s="306">
        <v>0</v>
      </c>
      <c r="AI212" s="306">
        <v>0</v>
      </c>
      <c r="AJ212" s="306">
        <v>0</v>
      </c>
      <c r="AK212" s="306">
        <v>0</v>
      </c>
      <c r="AL212" s="306">
        <v>0</v>
      </c>
      <c r="AM212" s="306">
        <v>0</v>
      </c>
      <c r="AN212" s="306">
        <v>0</v>
      </c>
      <c r="AO212" s="306">
        <v>0</v>
      </c>
      <c r="AP212" s="306">
        <v>0</v>
      </c>
      <c r="AQ212" s="306">
        <v>0</v>
      </c>
      <c r="AR212" s="306">
        <v>0</v>
      </c>
      <c r="AS212" s="306">
        <v>0</v>
      </c>
      <c r="AT212" s="306">
        <v>0</v>
      </c>
      <c r="AU212" s="306">
        <v>0</v>
      </c>
      <c r="AV212" s="306">
        <v>0</v>
      </c>
      <c r="AW212" s="306">
        <v>0</v>
      </c>
      <c r="AX212" s="306">
        <v>0</v>
      </c>
      <c r="AY212" s="306">
        <v>0</v>
      </c>
      <c r="AZ212" s="306">
        <v>0</v>
      </c>
      <c r="BA212" s="306">
        <v>0</v>
      </c>
      <c r="BB212" s="306">
        <v>0</v>
      </c>
      <c r="BC212" s="306">
        <v>0</v>
      </c>
      <c r="BD212" s="306">
        <v>0</v>
      </c>
      <c r="BE212" s="306">
        <v>0</v>
      </c>
      <c r="BF212" s="306">
        <v>0</v>
      </c>
      <c r="BG212" s="306">
        <v>0</v>
      </c>
      <c r="BH212" s="306">
        <v>0</v>
      </c>
      <c r="BI212" s="306">
        <v>0</v>
      </c>
      <c r="BJ212" s="306">
        <v>0</v>
      </c>
      <c r="BK212" s="306">
        <v>0</v>
      </c>
      <c r="BL212" s="306">
        <v>0</v>
      </c>
      <c r="BM212" s="306">
        <v>0</v>
      </c>
      <c r="BN212" s="306">
        <v>0</v>
      </c>
      <c r="BO212" s="306">
        <v>0</v>
      </c>
      <c r="BP212" s="306">
        <v>0</v>
      </c>
      <c r="BQ212" s="306">
        <v>0</v>
      </c>
      <c r="BR212" s="306">
        <v>0</v>
      </c>
      <c r="BS212" s="306">
        <v>0</v>
      </c>
      <c r="BT212" s="306">
        <v>0</v>
      </c>
      <c r="BU212" s="306">
        <v>0</v>
      </c>
      <c r="BV212" s="306">
        <v>0</v>
      </c>
      <c r="BW212" s="306">
        <v>0</v>
      </c>
      <c r="BX212" s="306">
        <v>0</v>
      </c>
      <c r="BY212" s="306">
        <v>0</v>
      </c>
      <c r="BZ212" s="306">
        <v>0</v>
      </c>
      <c r="CA212" s="306">
        <v>0</v>
      </c>
      <c r="CB212" s="306">
        <v>0</v>
      </c>
      <c r="CC212" s="306">
        <v>0</v>
      </c>
      <c r="CD212" s="306">
        <v>0</v>
      </c>
      <c r="CE212" s="306">
        <v>0</v>
      </c>
      <c r="CF212" s="306">
        <v>0</v>
      </c>
      <c r="CG212" s="306">
        <v>0</v>
      </c>
      <c r="CH212" s="306">
        <v>0</v>
      </c>
      <c r="CI212" s="306">
        <v>0</v>
      </c>
      <c r="CJ212" s="306">
        <v>0</v>
      </c>
      <c r="CK212" s="306">
        <v>0</v>
      </c>
      <c r="CL212" s="306">
        <v>0</v>
      </c>
      <c r="CM212" s="306">
        <v>0</v>
      </c>
      <c r="CN212" s="306">
        <v>0</v>
      </c>
      <c r="CO212" s="306">
        <v>0</v>
      </c>
      <c r="CP212" s="306">
        <v>0</v>
      </c>
      <c r="CQ212" s="306">
        <v>0</v>
      </c>
      <c r="CR212" s="306">
        <v>0</v>
      </c>
      <c r="CS212" s="306">
        <v>0</v>
      </c>
      <c r="CT212" s="306">
        <v>0</v>
      </c>
      <c r="CU212" s="306">
        <v>0</v>
      </c>
      <c r="CV212" s="306">
        <v>0</v>
      </c>
      <c r="CW212" s="306">
        <v>0</v>
      </c>
      <c r="CX212" s="306">
        <v>0</v>
      </c>
    </row>
    <row r="213" spans="3:102" x14ac:dyDescent="0.25">
      <c r="C213" s="305">
        <v>93</v>
      </c>
      <c r="D213" s="306">
        <v>259.55</v>
      </c>
      <c r="E213" s="306">
        <v>272.62</v>
      </c>
      <c r="F213" s="306">
        <v>286.69</v>
      </c>
      <c r="G213" s="306">
        <v>301.75</v>
      </c>
      <c r="H213" s="306">
        <v>316.79000000000002</v>
      </c>
      <c r="I213" s="306">
        <v>328.8</v>
      </c>
      <c r="J213" s="306">
        <v>328.8</v>
      </c>
      <c r="K213" s="306">
        <v>0</v>
      </c>
      <c r="L213" s="306">
        <v>0</v>
      </c>
      <c r="M213" s="306">
        <v>0</v>
      </c>
      <c r="N213" s="306">
        <v>0</v>
      </c>
      <c r="O213" s="306">
        <v>0</v>
      </c>
      <c r="P213" s="306">
        <v>0</v>
      </c>
      <c r="Q213" s="306">
        <v>0</v>
      </c>
      <c r="R213" s="306">
        <v>0</v>
      </c>
      <c r="S213" s="306">
        <v>0</v>
      </c>
      <c r="T213" s="306">
        <v>0</v>
      </c>
      <c r="U213" s="306">
        <v>0</v>
      </c>
      <c r="V213" s="306">
        <v>0</v>
      </c>
      <c r="W213" s="306">
        <v>0</v>
      </c>
      <c r="X213" s="306">
        <v>0</v>
      </c>
      <c r="Y213" s="306">
        <v>0</v>
      </c>
      <c r="Z213" s="306">
        <v>0</v>
      </c>
      <c r="AA213" s="306">
        <v>0</v>
      </c>
      <c r="AB213" s="306">
        <v>0</v>
      </c>
      <c r="AC213" s="306">
        <v>0</v>
      </c>
      <c r="AD213" s="306">
        <v>0</v>
      </c>
      <c r="AE213" s="306">
        <v>0</v>
      </c>
      <c r="AF213" s="306">
        <v>0</v>
      </c>
      <c r="AG213" s="306">
        <v>0</v>
      </c>
      <c r="AH213" s="306">
        <v>0</v>
      </c>
      <c r="AI213" s="306">
        <v>0</v>
      </c>
      <c r="AJ213" s="306">
        <v>0</v>
      </c>
      <c r="AK213" s="306">
        <v>0</v>
      </c>
      <c r="AL213" s="306">
        <v>0</v>
      </c>
      <c r="AM213" s="306">
        <v>0</v>
      </c>
      <c r="AN213" s="306">
        <v>0</v>
      </c>
      <c r="AO213" s="306">
        <v>0</v>
      </c>
      <c r="AP213" s="306">
        <v>0</v>
      </c>
      <c r="AQ213" s="306">
        <v>0</v>
      </c>
      <c r="AR213" s="306">
        <v>0</v>
      </c>
      <c r="AS213" s="306">
        <v>0</v>
      </c>
      <c r="AT213" s="306">
        <v>0</v>
      </c>
      <c r="AU213" s="306">
        <v>0</v>
      </c>
      <c r="AV213" s="306">
        <v>0</v>
      </c>
      <c r="AW213" s="306">
        <v>0</v>
      </c>
      <c r="AX213" s="306">
        <v>0</v>
      </c>
      <c r="AY213" s="306">
        <v>0</v>
      </c>
      <c r="AZ213" s="306">
        <v>0</v>
      </c>
      <c r="BA213" s="306">
        <v>0</v>
      </c>
      <c r="BB213" s="306">
        <v>0</v>
      </c>
      <c r="BC213" s="306">
        <v>0</v>
      </c>
      <c r="BD213" s="306">
        <v>0</v>
      </c>
      <c r="BE213" s="306">
        <v>0</v>
      </c>
      <c r="BF213" s="306">
        <v>0</v>
      </c>
      <c r="BG213" s="306">
        <v>0</v>
      </c>
      <c r="BH213" s="306">
        <v>0</v>
      </c>
      <c r="BI213" s="306">
        <v>0</v>
      </c>
      <c r="BJ213" s="306">
        <v>0</v>
      </c>
      <c r="BK213" s="306">
        <v>0</v>
      </c>
      <c r="BL213" s="306">
        <v>0</v>
      </c>
      <c r="BM213" s="306">
        <v>0</v>
      </c>
      <c r="BN213" s="306">
        <v>0</v>
      </c>
      <c r="BO213" s="306">
        <v>0</v>
      </c>
      <c r="BP213" s="306">
        <v>0</v>
      </c>
      <c r="BQ213" s="306">
        <v>0</v>
      </c>
      <c r="BR213" s="306">
        <v>0</v>
      </c>
      <c r="BS213" s="306">
        <v>0</v>
      </c>
      <c r="BT213" s="306">
        <v>0</v>
      </c>
      <c r="BU213" s="306">
        <v>0</v>
      </c>
      <c r="BV213" s="306">
        <v>0</v>
      </c>
      <c r="BW213" s="306">
        <v>0</v>
      </c>
      <c r="BX213" s="306">
        <v>0</v>
      </c>
      <c r="BY213" s="306">
        <v>0</v>
      </c>
      <c r="BZ213" s="306">
        <v>0</v>
      </c>
      <c r="CA213" s="306">
        <v>0</v>
      </c>
      <c r="CB213" s="306">
        <v>0</v>
      </c>
      <c r="CC213" s="306">
        <v>0</v>
      </c>
      <c r="CD213" s="306">
        <v>0</v>
      </c>
      <c r="CE213" s="306">
        <v>0</v>
      </c>
      <c r="CF213" s="306">
        <v>0</v>
      </c>
      <c r="CG213" s="306">
        <v>0</v>
      </c>
      <c r="CH213" s="306">
        <v>0</v>
      </c>
      <c r="CI213" s="306">
        <v>0</v>
      </c>
      <c r="CJ213" s="306">
        <v>0</v>
      </c>
      <c r="CK213" s="306">
        <v>0</v>
      </c>
      <c r="CL213" s="306">
        <v>0</v>
      </c>
      <c r="CM213" s="306">
        <v>0</v>
      </c>
      <c r="CN213" s="306">
        <v>0</v>
      </c>
      <c r="CO213" s="306">
        <v>0</v>
      </c>
      <c r="CP213" s="306">
        <v>0</v>
      </c>
      <c r="CQ213" s="306">
        <v>0</v>
      </c>
      <c r="CR213" s="306">
        <v>0</v>
      </c>
      <c r="CS213" s="306">
        <v>0</v>
      </c>
      <c r="CT213" s="306">
        <v>0</v>
      </c>
      <c r="CU213" s="306">
        <v>0</v>
      </c>
      <c r="CV213" s="306">
        <v>0</v>
      </c>
      <c r="CW213" s="306">
        <v>0</v>
      </c>
      <c r="CX213" s="306">
        <v>0</v>
      </c>
    </row>
    <row r="214" spans="3:102" x14ac:dyDescent="0.25">
      <c r="C214" s="305">
        <v>94</v>
      </c>
      <c r="D214" s="306">
        <v>290.89999999999998</v>
      </c>
      <c r="E214" s="306">
        <v>309.23</v>
      </c>
      <c r="F214" s="306">
        <v>329.57</v>
      </c>
      <c r="G214" s="306">
        <v>350.56</v>
      </c>
      <c r="H214" s="306">
        <v>367.8</v>
      </c>
      <c r="I214" s="306">
        <v>367.8</v>
      </c>
      <c r="J214" s="306">
        <v>0</v>
      </c>
      <c r="K214" s="306">
        <v>0</v>
      </c>
      <c r="L214" s="306">
        <v>0</v>
      </c>
      <c r="M214" s="306">
        <v>0</v>
      </c>
      <c r="N214" s="306">
        <v>0</v>
      </c>
      <c r="O214" s="306">
        <v>0</v>
      </c>
      <c r="P214" s="306">
        <v>0</v>
      </c>
      <c r="Q214" s="306">
        <v>0</v>
      </c>
      <c r="R214" s="306">
        <v>0</v>
      </c>
      <c r="S214" s="306">
        <v>0</v>
      </c>
      <c r="T214" s="306">
        <v>0</v>
      </c>
      <c r="U214" s="306">
        <v>0</v>
      </c>
      <c r="V214" s="306">
        <v>0</v>
      </c>
      <c r="W214" s="306">
        <v>0</v>
      </c>
      <c r="X214" s="306">
        <v>0</v>
      </c>
      <c r="Y214" s="306">
        <v>0</v>
      </c>
      <c r="Z214" s="306">
        <v>0</v>
      </c>
      <c r="AA214" s="306">
        <v>0</v>
      </c>
      <c r="AB214" s="306">
        <v>0</v>
      </c>
      <c r="AC214" s="306">
        <v>0</v>
      </c>
      <c r="AD214" s="306">
        <v>0</v>
      </c>
      <c r="AE214" s="306">
        <v>0</v>
      </c>
      <c r="AF214" s="306">
        <v>0</v>
      </c>
      <c r="AG214" s="306">
        <v>0</v>
      </c>
      <c r="AH214" s="306">
        <v>0</v>
      </c>
      <c r="AI214" s="306">
        <v>0</v>
      </c>
      <c r="AJ214" s="306">
        <v>0</v>
      </c>
      <c r="AK214" s="306">
        <v>0</v>
      </c>
      <c r="AL214" s="306">
        <v>0</v>
      </c>
      <c r="AM214" s="306">
        <v>0</v>
      </c>
      <c r="AN214" s="306">
        <v>0</v>
      </c>
      <c r="AO214" s="306">
        <v>0</v>
      </c>
      <c r="AP214" s="306">
        <v>0</v>
      </c>
      <c r="AQ214" s="306">
        <v>0</v>
      </c>
      <c r="AR214" s="306">
        <v>0</v>
      </c>
      <c r="AS214" s="306">
        <v>0</v>
      </c>
      <c r="AT214" s="306">
        <v>0</v>
      </c>
      <c r="AU214" s="306">
        <v>0</v>
      </c>
      <c r="AV214" s="306">
        <v>0</v>
      </c>
      <c r="AW214" s="306">
        <v>0</v>
      </c>
      <c r="AX214" s="306">
        <v>0</v>
      </c>
      <c r="AY214" s="306">
        <v>0</v>
      </c>
      <c r="AZ214" s="306">
        <v>0</v>
      </c>
      <c r="BA214" s="306">
        <v>0</v>
      </c>
      <c r="BB214" s="306">
        <v>0</v>
      </c>
      <c r="BC214" s="306">
        <v>0</v>
      </c>
      <c r="BD214" s="306">
        <v>0</v>
      </c>
      <c r="BE214" s="306">
        <v>0</v>
      </c>
      <c r="BF214" s="306">
        <v>0</v>
      </c>
      <c r="BG214" s="306">
        <v>0</v>
      </c>
      <c r="BH214" s="306">
        <v>0</v>
      </c>
      <c r="BI214" s="306">
        <v>0</v>
      </c>
      <c r="BJ214" s="306">
        <v>0</v>
      </c>
      <c r="BK214" s="306">
        <v>0</v>
      </c>
      <c r="BL214" s="306">
        <v>0</v>
      </c>
      <c r="BM214" s="306">
        <v>0</v>
      </c>
      <c r="BN214" s="306">
        <v>0</v>
      </c>
      <c r="BO214" s="306">
        <v>0</v>
      </c>
      <c r="BP214" s="306">
        <v>0</v>
      </c>
      <c r="BQ214" s="306">
        <v>0</v>
      </c>
      <c r="BR214" s="306">
        <v>0</v>
      </c>
      <c r="BS214" s="306">
        <v>0</v>
      </c>
      <c r="BT214" s="306">
        <v>0</v>
      </c>
      <c r="BU214" s="306">
        <v>0</v>
      </c>
      <c r="BV214" s="306">
        <v>0</v>
      </c>
      <c r="BW214" s="306">
        <v>0</v>
      </c>
      <c r="BX214" s="306">
        <v>0</v>
      </c>
      <c r="BY214" s="306">
        <v>0</v>
      </c>
      <c r="BZ214" s="306">
        <v>0</v>
      </c>
      <c r="CA214" s="306">
        <v>0</v>
      </c>
      <c r="CB214" s="306">
        <v>0</v>
      </c>
      <c r="CC214" s="306">
        <v>0</v>
      </c>
      <c r="CD214" s="306">
        <v>0</v>
      </c>
      <c r="CE214" s="306">
        <v>0</v>
      </c>
      <c r="CF214" s="306">
        <v>0</v>
      </c>
      <c r="CG214" s="306">
        <v>0</v>
      </c>
      <c r="CH214" s="306">
        <v>0</v>
      </c>
      <c r="CI214" s="306">
        <v>0</v>
      </c>
      <c r="CJ214" s="306">
        <v>0</v>
      </c>
      <c r="CK214" s="306">
        <v>0</v>
      </c>
      <c r="CL214" s="306">
        <v>0</v>
      </c>
      <c r="CM214" s="306">
        <v>0</v>
      </c>
      <c r="CN214" s="306">
        <v>0</v>
      </c>
      <c r="CO214" s="306">
        <v>0</v>
      </c>
      <c r="CP214" s="306">
        <v>0</v>
      </c>
      <c r="CQ214" s="306">
        <v>0</v>
      </c>
      <c r="CR214" s="306">
        <v>0</v>
      </c>
      <c r="CS214" s="306">
        <v>0</v>
      </c>
      <c r="CT214" s="306">
        <v>0</v>
      </c>
      <c r="CU214" s="306">
        <v>0</v>
      </c>
      <c r="CV214" s="306">
        <v>0</v>
      </c>
      <c r="CW214" s="306">
        <v>0</v>
      </c>
      <c r="CX214" s="306">
        <v>0</v>
      </c>
    </row>
    <row r="215" spans="3:102" x14ac:dyDescent="0.25">
      <c r="C215" s="305">
        <v>95</v>
      </c>
      <c r="D215" s="306">
        <v>336.02</v>
      </c>
      <c r="E215" s="306">
        <v>364.03</v>
      </c>
      <c r="F215" s="306">
        <v>394.07</v>
      </c>
      <c r="G215" s="306">
        <v>419.65</v>
      </c>
      <c r="H215" s="306">
        <v>419.65</v>
      </c>
      <c r="I215" s="306">
        <v>0</v>
      </c>
      <c r="J215" s="306">
        <v>0</v>
      </c>
      <c r="K215" s="306">
        <v>0</v>
      </c>
      <c r="L215" s="306">
        <v>0</v>
      </c>
      <c r="M215" s="306">
        <v>0</v>
      </c>
      <c r="N215" s="306">
        <v>0</v>
      </c>
      <c r="O215" s="306">
        <v>0</v>
      </c>
      <c r="P215" s="306">
        <v>0</v>
      </c>
      <c r="Q215" s="306">
        <v>0</v>
      </c>
      <c r="R215" s="306">
        <v>0</v>
      </c>
      <c r="S215" s="306">
        <v>0</v>
      </c>
      <c r="T215" s="306">
        <v>0</v>
      </c>
      <c r="U215" s="306">
        <v>0</v>
      </c>
      <c r="V215" s="306">
        <v>0</v>
      </c>
      <c r="W215" s="306">
        <v>0</v>
      </c>
      <c r="X215" s="306">
        <v>0</v>
      </c>
      <c r="Y215" s="306">
        <v>0</v>
      </c>
      <c r="Z215" s="306">
        <v>0</v>
      </c>
      <c r="AA215" s="306">
        <v>0</v>
      </c>
      <c r="AB215" s="306">
        <v>0</v>
      </c>
      <c r="AC215" s="306">
        <v>0</v>
      </c>
      <c r="AD215" s="306">
        <v>0</v>
      </c>
      <c r="AE215" s="306">
        <v>0</v>
      </c>
      <c r="AF215" s="306">
        <v>0</v>
      </c>
      <c r="AG215" s="306">
        <v>0</v>
      </c>
      <c r="AH215" s="306">
        <v>0</v>
      </c>
      <c r="AI215" s="306">
        <v>0</v>
      </c>
      <c r="AJ215" s="306">
        <v>0</v>
      </c>
      <c r="AK215" s="306">
        <v>0</v>
      </c>
      <c r="AL215" s="306">
        <v>0</v>
      </c>
      <c r="AM215" s="306">
        <v>0</v>
      </c>
      <c r="AN215" s="306">
        <v>0</v>
      </c>
      <c r="AO215" s="306">
        <v>0</v>
      </c>
      <c r="AP215" s="306">
        <v>0</v>
      </c>
      <c r="AQ215" s="306">
        <v>0</v>
      </c>
      <c r="AR215" s="306">
        <v>0</v>
      </c>
      <c r="AS215" s="306">
        <v>0</v>
      </c>
      <c r="AT215" s="306">
        <v>0</v>
      </c>
      <c r="AU215" s="306">
        <v>0</v>
      </c>
      <c r="AV215" s="306">
        <v>0</v>
      </c>
      <c r="AW215" s="306">
        <v>0</v>
      </c>
      <c r="AX215" s="306">
        <v>0</v>
      </c>
      <c r="AY215" s="306">
        <v>0</v>
      </c>
      <c r="AZ215" s="306">
        <v>0</v>
      </c>
      <c r="BA215" s="306">
        <v>0</v>
      </c>
      <c r="BB215" s="306">
        <v>0</v>
      </c>
      <c r="BC215" s="306">
        <v>0</v>
      </c>
      <c r="BD215" s="306">
        <v>0</v>
      </c>
      <c r="BE215" s="306">
        <v>0</v>
      </c>
      <c r="BF215" s="306">
        <v>0</v>
      </c>
      <c r="BG215" s="306">
        <v>0</v>
      </c>
      <c r="BH215" s="306">
        <v>0</v>
      </c>
      <c r="BI215" s="306">
        <v>0</v>
      </c>
      <c r="BJ215" s="306">
        <v>0</v>
      </c>
      <c r="BK215" s="306">
        <v>0</v>
      </c>
      <c r="BL215" s="306">
        <v>0</v>
      </c>
      <c r="BM215" s="306">
        <v>0</v>
      </c>
      <c r="BN215" s="306">
        <v>0</v>
      </c>
      <c r="BO215" s="306">
        <v>0</v>
      </c>
      <c r="BP215" s="306">
        <v>0</v>
      </c>
      <c r="BQ215" s="306">
        <v>0</v>
      </c>
      <c r="BR215" s="306">
        <v>0</v>
      </c>
      <c r="BS215" s="306">
        <v>0</v>
      </c>
      <c r="BT215" s="306">
        <v>0</v>
      </c>
      <c r="BU215" s="306">
        <v>0</v>
      </c>
      <c r="BV215" s="306">
        <v>0</v>
      </c>
      <c r="BW215" s="306">
        <v>0</v>
      </c>
      <c r="BX215" s="306">
        <v>0</v>
      </c>
      <c r="BY215" s="306">
        <v>0</v>
      </c>
      <c r="BZ215" s="306">
        <v>0</v>
      </c>
      <c r="CA215" s="306">
        <v>0</v>
      </c>
      <c r="CB215" s="306">
        <v>0</v>
      </c>
      <c r="CC215" s="306">
        <v>0</v>
      </c>
      <c r="CD215" s="306">
        <v>0</v>
      </c>
      <c r="CE215" s="306">
        <v>0</v>
      </c>
      <c r="CF215" s="306">
        <v>0</v>
      </c>
      <c r="CG215" s="306">
        <v>0</v>
      </c>
      <c r="CH215" s="306">
        <v>0</v>
      </c>
      <c r="CI215" s="306">
        <v>0</v>
      </c>
      <c r="CJ215" s="306">
        <v>0</v>
      </c>
      <c r="CK215" s="306">
        <v>0</v>
      </c>
      <c r="CL215" s="306">
        <v>0</v>
      </c>
      <c r="CM215" s="306">
        <v>0</v>
      </c>
      <c r="CN215" s="306">
        <v>0</v>
      </c>
      <c r="CO215" s="306">
        <v>0</v>
      </c>
      <c r="CP215" s="306">
        <v>0</v>
      </c>
      <c r="CQ215" s="306">
        <v>0</v>
      </c>
      <c r="CR215" s="306">
        <v>0</v>
      </c>
      <c r="CS215" s="306">
        <v>0</v>
      </c>
      <c r="CT215" s="306">
        <v>0</v>
      </c>
      <c r="CU215" s="306">
        <v>0</v>
      </c>
      <c r="CV215" s="306">
        <v>0</v>
      </c>
      <c r="CW215" s="306">
        <v>0</v>
      </c>
      <c r="CX215" s="306">
        <v>0</v>
      </c>
    </row>
    <row r="216" spans="3:102" x14ac:dyDescent="0.25">
      <c r="C216" s="305">
        <v>96</v>
      </c>
      <c r="D216" s="306">
        <v>407.81</v>
      </c>
      <c r="E216" s="306">
        <v>451.89</v>
      </c>
      <c r="F216" s="306">
        <v>491.28</v>
      </c>
      <c r="G216" s="306">
        <v>491.28</v>
      </c>
      <c r="H216" s="306">
        <v>0</v>
      </c>
      <c r="I216" s="306">
        <v>0</v>
      </c>
      <c r="J216" s="306">
        <v>0</v>
      </c>
      <c r="K216" s="306">
        <v>0</v>
      </c>
      <c r="L216" s="306">
        <v>0</v>
      </c>
      <c r="M216" s="306">
        <v>0</v>
      </c>
      <c r="N216" s="306">
        <v>0</v>
      </c>
      <c r="O216" s="306">
        <v>0</v>
      </c>
      <c r="P216" s="306">
        <v>0</v>
      </c>
      <c r="Q216" s="306">
        <v>0</v>
      </c>
      <c r="R216" s="306">
        <v>0</v>
      </c>
      <c r="S216" s="306">
        <v>0</v>
      </c>
      <c r="T216" s="306">
        <v>0</v>
      </c>
      <c r="U216" s="306">
        <v>0</v>
      </c>
      <c r="V216" s="306">
        <v>0</v>
      </c>
      <c r="W216" s="306">
        <v>0</v>
      </c>
      <c r="X216" s="306">
        <v>0</v>
      </c>
      <c r="Y216" s="306">
        <v>0</v>
      </c>
      <c r="Z216" s="306">
        <v>0</v>
      </c>
      <c r="AA216" s="306">
        <v>0</v>
      </c>
      <c r="AB216" s="306">
        <v>0</v>
      </c>
      <c r="AC216" s="306">
        <v>0</v>
      </c>
      <c r="AD216" s="306">
        <v>0</v>
      </c>
      <c r="AE216" s="306">
        <v>0</v>
      </c>
      <c r="AF216" s="306">
        <v>0</v>
      </c>
      <c r="AG216" s="306">
        <v>0</v>
      </c>
      <c r="AH216" s="306">
        <v>0</v>
      </c>
      <c r="AI216" s="306">
        <v>0</v>
      </c>
      <c r="AJ216" s="306">
        <v>0</v>
      </c>
      <c r="AK216" s="306">
        <v>0</v>
      </c>
      <c r="AL216" s="306">
        <v>0</v>
      </c>
      <c r="AM216" s="306">
        <v>0</v>
      </c>
      <c r="AN216" s="306">
        <v>0</v>
      </c>
      <c r="AO216" s="306">
        <v>0</v>
      </c>
      <c r="AP216" s="306">
        <v>0</v>
      </c>
      <c r="AQ216" s="306">
        <v>0</v>
      </c>
      <c r="AR216" s="306">
        <v>0</v>
      </c>
      <c r="AS216" s="306">
        <v>0</v>
      </c>
      <c r="AT216" s="306">
        <v>0</v>
      </c>
      <c r="AU216" s="306">
        <v>0</v>
      </c>
      <c r="AV216" s="306">
        <v>0</v>
      </c>
      <c r="AW216" s="306">
        <v>0</v>
      </c>
      <c r="AX216" s="306">
        <v>0</v>
      </c>
      <c r="AY216" s="306">
        <v>0</v>
      </c>
      <c r="AZ216" s="306">
        <v>0</v>
      </c>
      <c r="BA216" s="306">
        <v>0</v>
      </c>
      <c r="BB216" s="306">
        <v>0</v>
      </c>
      <c r="BC216" s="306">
        <v>0</v>
      </c>
      <c r="BD216" s="306">
        <v>0</v>
      </c>
      <c r="BE216" s="306">
        <v>0</v>
      </c>
      <c r="BF216" s="306">
        <v>0</v>
      </c>
      <c r="BG216" s="306">
        <v>0</v>
      </c>
      <c r="BH216" s="306">
        <v>0</v>
      </c>
      <c r="BI216" s="306">
        <v>0</v>
      </c>
      <c r="BJ216" s="306">
        <v>0</v>
      </c>
      <c r="BK216" s="306">
        <v>0</v>
      </c>
      <c r="BL216" s="306">
        <v>0</v>
      </c>
      <c r="BM216" s="306">
        <v>0</v>
      </c>
      <c r="BN216" s="306">
        <v>0</v>
      </c>
      <c r="BO216" s="306">
        <v>0</v>
      </c>
      <c r="BP216" s="306">
        <v>0</v>
      </c>
      <c r="BQ216" s="306">
        <v>0</v>
      </c>
      <c r="BR216" s="306">
        <v>0</v>
      </c>
      <c r="BS216" s="306">
        <v>0</v>
      </c>
      <c r="BT216" s="306">
        <v>0</v>
      </c>
      <c r="BU216" s="306">
        <v>0</v>
      </c>
      <c r="BV216" s="306">
        <v>0</v>
      </c>
      <c r="BW216" s="306">
        <v>0</v>
      </c>
      <c r="BX216" s="306">
        <v>0</v>
      </c>
      <c r="BY216" s="306">
        <v>0</v>
      </c>
      <c r="BZ216" s="306">
        <v>0</v>
      </c>
      <c r="CA216" s="306">
        <v>0</v>
      </c>
      <c r="CB216" s="306">
        <v>0</v>
      </c>
      <c r="CC216" s="306">
        <v>0</v>
      </c>
      <c r="CD216" s="306">
        <v>0</v>
      </c>
      <c r="CE216" s="306">
        <v>0</v>
      </c>
      <c r="CF216" s="306">
        <v>0</v>
      </c>
      <c r="CG216" s="306">
        <v>0</v>
      </c>
      <c r="CH216" s="306">
        <v>0</v>
      </c>
      <c r="CI216" s="306">
        <v>0</v>
      </c>
      <c r="CJ216" s="306">
        <v>0</v>
      </c>
      <c r="CK216" s="306">
        <v>0</v>
      </c>
      <c r="CL216" s="306">
        <v>0</v>
      </c>
      <c r="CM216" s="306">
        <v>0</v>
      </c>
      <c r="CN216" s="306">
        <v>0</v>
      </c>
      <c r="CO216" s="306">
        <v>0</v>
      </c>
      <c r="CP216" s="306">
        <v>0</v>
      </c>
      <c r="CQ216" s="306">
        <v>0</v>
      </c>
      <c r="CR216" s="306">
        <v>0</v>
      </c>
      <c r="CS216" s="306">
        <v>0</v>
      </c>
      <c r="CT216" s="306">
        <v>0</v>
      </c>
      <c r="CU216" s="306">
        <v>0</v>
      </c>
      <c r="CV216" s="306">
        <v>0</v>
      </c>
      <c r="CW216" s="306">
        <v>0</v>
      </c>
      <c r="CX216" s="306">
        <v>0</v>
      </c>
    </row>
    <row r="217" spans="3:102" x14ac:dyDescent="0.25">
      <c r="C217" s="305">
        <v>97</v>
      </c>
      <c r="D217" s="306">
        <v>529.36</v>
      </c>
      <c r="E217" s="306">
        <v>592.5</v>
      </c>
      <c r="F217" s="306">
        <v>592.5</v>
      </c>
      <c r="G217" s="306">
        <v>0</v>
      </c>
      <c r="H217" s="306">
        <v>0</v>
      </c>
      <c r="I217" s="306">
        <v>0</v>
      </c>
      <c r="J217" s="306">
        <v>0</v>
      </c>
      <c r="K217" s="306">
        <v>0</v>
      </c>
      <c r="L217" s="306">
        <v>0</v>
      </c>
      <c r="M217" s="306">
        <v>0</v>
      </c>
      <c r="N217" s="306">
        <v>0</v>
      </c>
      <c r="O217" s="306">
        <v>0</v>
      </c>
      <c r="P217" s="306">
        <v>0</v>
      </c>
      <c r="Q217" s="306">
        <v>0</v>
      </c>
      <c r="R217" s="306">
        <v>0</v>
      </c>
      <c r="S217" s="306">
        <v>0</v>
      </c>
      <c r="T217" s="306">
        <v>0</v>
      </c>
      <c r="U217" s="306">
        <v>0</v>
      </c>
      <c r="V217" s="306">
        <v>0</v>
      </c>
      <c r="W217" s="306">
        <v>0</v>
      </c>
      <c r="X217" s="306">
        <v>0</v>
      </c>
      <c r="Y217" s="306">
        <v>0</v>
      </c>
      <c r="Z217" s="306">
        <v>0</v>
      </c>
      <c r="AA217" s="306">
        <v>0</v>
      </c>
      <c r="AB217" s="306">
        <v>0</v>
      </c>
      <c r="AC217" s="306">
        <v>0</v>
      </c>
      <c r="AD217" s="306">
        <v>0</v>
      </c>
      <c r="AE217" s="306">
        <v>0</v>
      </c>
      <c r="AF217" s="306">
        <v>0</v>
      </c>
      <c r="AG217" s="306">
        <v>0</v>
      </c>
      <c r="AH217" s="306">
        <v>0</v>
      </c>
      <c r="AI217" s="306">
        <v>0</v>
      </c>
      <c r="AJ217" s="306">
        <v>0</v>
      </c>
      <c r="AK217" s="306">
        <v>0</v>
      </c>
      <c r="AL217" s="306">
        <v>0</v>
      </c>
      <c r="AM217" s="306">
        <v>0</v>
      </c>
      <c r="AN217" s="306">
        <v>0</v>
      </c>
      <c r="AO217" s="306">
        <v>0</v>
      </c>
      <c r="AP217" s="306">
        <v>0</v>
      </c>
      <c r="AQ217" s="306">
        <v>0</v>
      </c>
      <c r="AR217" s="306">
        <v>0</v>
      </c>
      <c r="AS217" s="306">
        <v>0</v>
      </c>
      <c r="AT217" s="306">
        <v>0</v>
      </c>
      <c r="AU217" s="306">
        <v>0</v>
      </c>
      <c r="AV217" s="306">
        <v>0</v>
      </c>
      <c r="AW217" s="306">
        <v>0</v>
      </c>
      <c r="AX217" s="306">
        <v>0</v>
      </c>
      <c r="AY217" s="306">
        <v>0</v>
      </c>
      <c r="AZ217" s="306">
        <v>0</v>
      </c>
      <c r="BA217" s="306">
        <v>0</v>
      </c>
      <c r="BB217" s="306">
        <v>0</v>
      </c>
      <c r="BC217" s="306">
        <v>0</v>
      </c>
      <c r="BD217" s="306">
        <v>0</v>
      </c>
      <c r="BE217" s="306">
        <v>0</v>
      </c>
      <c r="BF217" s="306">
        <v>0</v>
      </c>
      <c r="BG217" s="306">
        <v>0</v>
      </c>
      <c r="BH217" s="306">
        <v>0</v>
      </c>
      <c r="BI217" s="306">
        <v>0</v>
      </c>
      <c r="BJ217" s="306">
        <v>0</v>
      </c>
      <c r="BK217" s="306">
        <v>0</v>
      </c>
      <c r="BL217" s="306">
        <v>0</v>
      </c>
      <c r="BM217" s="306">
        <v>0</v>
      </c>
      <c r="BN217" s="306">
        <v>0</v>
      </c>
      <c r="BO217" s="306">
        <v>0</v>
      </c>
      <c r="BP217" s="306">
        <v>0</v>
      </c>
      <c r="BQ217" s="306">
        <v>0</v>
      </c>
      <c r="BR217" s="306">
        <v>0</v>
      </c>
      <c r="BS217" s="306">
        <v>0</v>
      </c>
      <c r="BT217" s="306">
        <v>0</v>
      </c>
      <c r="BU217" s="306">
        <v>0</v>
      </c>
      <c r="BV217" s="306">
        <v>0</v>
      </c>
      <c r="BW217" s="306">
        <v>0</v>
      </c>
      <c r="BX217" s="306">
        <v>0</v>
      </c>
      <c r="BY217" s="306">
        <v>0</v>
      </c>
      <c r="BZ217" s="306">
        <v>0</v>
      </c>
      <c r="CA217" s="306">
        <v>0</v>
      </c>
      <c r="CB217" s="306">
        <v>0</v>
      </c>
      <c r="CC217" s="306">
        <v>0</v>
      </c>
      <c r="CD217" s="306">
        <v>0</v>
      </c>
      <c r="CE217" s="306">
        <v>0</v>
      </c>
      <c r="CF217" s="306">
        <v>0</v>
      </c>
      <c r="CG217" s="306">
        <v>0</v>
      </c>
      <c r="CH217" s="306">
        <v>0</v>
      </c>
      <c r="CI217" s="306">
        <v>0</v>
      </c>
      <c r="CJ217" s="306">
        <v>0</v>
      </c>
      <c r="CK217" s="306">
        <v>0</v>
      </c>
      <c r="CL217" s="306">
        <v>0</v>
      </c>
      <c r="CM217" s="306">
        <v>0</v>
      </c>
      <c r="CN217" s="306">
        <v>0</v>
      </c>
      <c r="CO217" s="306">
        <v>0</v>
      </c>
      <c r="CP217" s="306">
        <v>0</v>
      </c>
      <c r="CQ217" s="306">
        <v>0</v>
      </c>
      <c r="CR217" s="306">
        <v>0</v>
      </c>
      <c r="CS217" s="306">
        <v>0</v>
      </c>
      <c r="CT217" s="306">
        <v>0</v>
      </c>
      <c r="CU217" s="306">
        <v>0</v>
      </c>
      <c r="CV217" s="306">
        <v>0</v>
      </c>
      <c r="CW217" s="306">
        <v>0</v>
      </c>
      <c r="CX217" s="306">
        <v>0</v>
      </c>
    </row>
    <row r="218" spans="3:102" x14ac:dyDescent="0.25">
      <c r="C218" s="305">
        <v>98</v>
      </c>
      <c r="D218" s="306">
        <v>733.05</v>
      </c>
      <c r="E218" s="306">
        <v>733.05</v>
      </c>
      <c r="F218" s="306">
        <v>0</v>
      </c>
      <c r="G218" s="306">
        <v>0</v>
      </c>
      <c r="H218" s="306">
        <v>0</v>
      </c>
      <c r="I218" s="306">
        <v>0</v>
      </c>
      <c r="J218" s="306">
        <v>0</v>
      </c>
      <c r="K218" s="306">
        <v>0</v>
      </c>
      <c r="L218" s="306">
        <v>0</v>
      </c>
      <c r="M218" s="306">
        <v>0</v>
      </c>
      <c r="N218" s="306">
        <v>0</v>
      </c>
      <c r="O218" s="306">
        <v>0</v>
      </c>
      <c r="P218" s="306">
        <v>0</v>
      </c>
      <c r="Q218" s="306">
        <v>0</v>
      </c>
      <c r="R218" s="306">
        <v>0</v>
      </c>
      <c r="S218" s="306">
        <v>0</v>
      </c>
      <c r="T218" s="306">
        <v>0</v>
      </c>
      <c r="U218" s="306">
        <v>0</v>
      </c>
      <c r="V218" s="306">
        <v>0</v>
      </c>
      <c r="W218" s="306">
        <v>0</v>
      </c>
      <c r="X218" s="306">
        <v>0</v>
      </c>
      <c r="Y218" s="306">
        <v>0</v>
      </c>
      <c r="Z218" s="306">
        <v>0</v>
      </c>
      <c r="AA218" s="306">
        <v>0</v>
      </c>
      <c r="AB218" s="306">
        <v>0</v>
      </c>
      <c r="AC218" s="306">
        <v>0</v>
      </c>
      <c r="AD218" s="306">
        <v>0</v>
      </c>
      <c r="AE218" s="306">
        <v>0</v>
      </c>
      <c r="AF218" s="306">
        <v>0</v>
      </c>
      <c r="AG218" s="306">
        <v>0</v>
      </c>
      <c r="AH218" s="306">
        <v>0</v>
      </c>
      <c r="AI218" s="306">
        <v>0</v>
      </c>
      <c r="AJ218" s="306">
        <v>0</v>
      </c>
      <c r="AK218" s="306">
        <v>0</v>
      </c>
      <c r="AL218" s="306">
        <v>0</v>
      </c>
      <c r="AM218" s="306">
        <v>0</v>
      </c>
      <c r="AN218" s="306">
        <v>0</v>
      </c>
      <c r="AO218" s="306">
        <v>0</v>
      </c>
      <c r="AP218" s="306">
        <v>0</v>
      </c>
      <c r="AQ218" s="306">
        <v>0</v>
      </c>
      <c r="AR218" s="306">
        <v>0</v>
      </c>
      <c r="AS218" s="306">
        <v>0</v>
      </c>
      <c r="AT218" s="306">
        <v>0</v>
      </c>
      <c r="AU218" s="306">
        <v>0</v>
      </c>
      <c r="AV218" s="306">
        <v>0</v>
      </c>
      <c r="AW218" s="306">
        <v>0</v>
      </c>
      <c r="AX218" s="306">
        <v>0</v>
      </c>
      <c r="AY218" s="306">
        <v>0</v>
      </c>
      <c r="AZ218" s="306">
        <v>0</v>
      </c>
      <c r="BA218" s="306">
        <v>0</v>
      </c>
      <c r="BB218" s="306">
        <v>0</v>
      </c>
      <c r="BC218" s="306">
        <v>0</v>
      </c>
      <c r="BD218" s="306">
        <v>0</v>
      </c>
      <c r="BE218" s="306">
        <v>0</v>
      </c>
      <c r="BF218" s="306">
        <v>0</v>
      </c>
      <c r="BG218" s="306">
        <v>0</v>
      </c>
      <c r="BH218" s="306">
        <v>0</v>
      </c>
      <c r="BI218" s="306">
        <v>0</v>
      </c>
      <c r="BJ218" s="306">
        <v>0</v>
      </c>
      <c r="BK218" s="306">
        <v>0</v>
      </c>
      <c r="BL218" s="306">
        <v>0</v>
      </c>
      <c r="BM218" s="306">
        <v>0</v>
      </c>
      <c r="BN218" s="306">
        <v>0</v>
      </c>
      <c r="BO218" s="306">
        <v>0</v>
      </c>
      <c r="BP218" s="306">
        <v>0</v>
      </c>
      <c r="BQ218" s="306">
        <v>0</v>
      </c>
      <c r="BR218" s="306">
        <v>0</v>
      </c>
      <c r="BS218" s="306">
        <v>0</v>
      </c>
      <c r="BT218" s="306">
        <v>0</v>
      </c>
      <c r="BU218" s="306">
        <v>0</v>
      </c>
      <c r="BV218" s="306">
        <v>0</v>
      </c>
      <c r="BW218" s="306">
        <v>0</v>
      </c>
      <c r="BX218" s="306">
        <v>0</v>
      </c>
      <c r="BY218" s="306">
        <v>0</v>
      </c>
      <c r="BZ218" s="306">
        <v>0</v>
      </c>
      <c r="CA218" s="306">
        <v>0</v>
      </c>
      <c r="CB218" s="306">
        <v>0</v>
      </c>
      <c r="CC218" s="306">
        <v>0</v>
      </c>
      <c r="CD218" s="306">
        <v>0</v>
      </c>
      <c r="CE218" s="306">
        <v>0</v>
      </c>
      <c r="CF218" s="306">
        <v>0</v>
      </c>
      <c r="CG218" s="306">
        <v>0</v>
      </c>
      <c r="CH218" s="306">
        <v>0</v>
      </c>
      <c r="CI218" s="306">
        <v>0</v>
      </c>
      <c r="CJ218" s="306">
        <v>0</v>
      </c>
      <c r="CK218" s="306">
        <v>0</v>
      </c>
      <c r="CL218" s="306">
        <v>0</v>
      </c>
      <c r="CM218" s="306">
        <v>0</v>
      </c>
      <c r="CN218" s="306">
        <v>0</v>
      </c>
      <c r="CO218" s="306">
        <v>0</v>
      </c>
      <c r="CP218" s="306">
        <v>0</v>
      </c>
      <c r="CQ218" s="306">
        <v>0</v>
      </c>
      <c r="CR218" s="306">
        <v>0</v>
      </c>
      <c r="CS218" s="306">
        <v>0</v>
      </c>
      <c r="CT218" s="306">
        <v>0</v>
      </c>
      <c r="CU218" s="306">
        <v>0</v>
      </c>
      <c r="CV218" s="306">
        <v>0</v>
      </c>
      <c r="CW218" s="306">
        <v>0</v>
      </c>
      <c r="CX218" s="306">
        <v>0</v>
      </c>
    </row>
    <row r="219" spans="3:102" x14ac:dyDescent="0.25">
      <c r="C219" s="305">
        <v>99</v>
      </c>
      <c r="D219" s="306" t="e">
        <f>#DIV/0!</f>
        <v>#DIV/0!</v>
      </c>
      <c r="E219" s="306">
        <v>0</v>
      </c>
      <c r="F219" s="306">
        <v>0</v>
      </c>
      <c r="G219" s="306">
        <v>0</v>
      </c>
      <c r="H219" s="306">
        <v>0</v>
      </c>
      <c r="I219" s="306">
        <v>0</v>
      </c>
      <c r="J219" s="306">
        <v>0</v>
      </c>
      <c r="K219" s="306">
        <v>0</v>
      </c>
      <c r="L219" s="306">
        <v>0</v>
      </c>
      <c r="M219" s="306">
        <v>0</v>
      </c>
      <c r="N219" s="306">
        <v>0</v>
      </c>
      <c r="O219" s="306">
        <v>0</v>
      </c>
      <c r="P219" s="306">
        <v>0</v>
      </c>
      <c r="Q219" s="306">
        <v>0</v>
      </c>
      <c r="R219" s="306">
        <v>0</v>
      </c>
      <c r="S219" s="306">
        <v>0</v>
      </c>
      <c r="T219" s="306">
        <v>0</v>
      </c>
      <c r="U219" s="306">
        <v>0</v>
      </c>
      <c r="V219" s="306">
        <v>0</v>
      </c>
      <c r="W219" s="306">
        <v>0</v>
      </c>
      <c r="X219" s="306">
        <v>0</v>
      </c>
      <c r="Y219" s="306">
        <v>0</v>
      </c>
      <c r="Z219" s="306">
        <v>0</v>
      </c>
      <c r="AA219" s="306">
        <v>0</v>
      </c>
      <c r="AB219" s="306">
        <v>0</v>
      </c>
      <c r="AC219" s="306">
        <v>0</v>
      </c>
      <c r="AD219" s="306">
        <v>0</v>
      </c>
      <c r="AE219" s="306">
        <v>0</v>
      </c>
      <c r="AF219" s="306">
        <v>0</v>
      </c>
      <c r="AG219" s="306">
        <v>0</v>
      </c>
      <c r="AH219" s="306">
        <v>0</v>
      </c>
      <c r="AI219" s="306">
        <v>0</v>
      </c>
      <c r="AJ219" s="306">
        <v>0</v>
      </c>
      <c r="AK219" s="306">
        <v>0</v>
      </c>
      <c r="AL219" s="306">
        <v>0</v>
      </c>
      <c r="AM219" s="306">
        <v>0</v>
      </c>
      <c r="AN219" s="306">
        <v>0</v>
      </c>
      <c r="AO219" s="306">
        <v>0</v>
      </c>
      <c r="AP219" s="306">
        <v>0</v>
      </c>
      <c r="AQ219" s="306">
        <v>0</v>
      </c>
      <c r="AR219" s="306">
        <v>0</v>
      </c>
      <c r="AS219" s="306">
        <v>0</v>
      </c>
      <c r="AT219" s="306">
        <v>0</v>
      </c>
      <c r="AU219" s="306">
        <v>0</v>
      </c>
      <c r="AV219" s="306">
        <v>0</v>
      </c>
      <c r="AW219" s="306">
        <v>0</v>
      </c>
      <c r="AX219" s="306">
        <v>0</v>
      </c>
      <c r="AY219" s="306">
        <v>0</v>
      </c>
      <c r="AZ219" s="306">
        <v>0</v>
      </c>
      <c r="BA219" s="306">
        <v>0</v>
      </c>
      <c r="BB219" s="306">
        <v>0</v>
      </c>
      <c r="BC219" s="306">
        <v>0</v>
      </c>
      <c r="BD219" s="306">
        <v>0</v>
      </c>
      <c r="BE219" s="306">
        <v>0</v>
      </c>
      <c r="BF219" s="306">
        <v>0</v>
      </c>
      <c r="BG219" s="306">
        <v>0</v>
      </c>
      <c r="BH219" s="306">
        <v>0</v>
      </c>
      <c r="BI219" s="306">
        <v>0</v>
      </c>
      <c r="BJ219" s="306">
        <v>0</v>
      </c>
      <c r="BK219" s="306">
        <v>0</v>
      </c>
      <c r="BL219" s="306">
        <v>0</v>
      </c>
      <c r="BM219" s="306">
        <v>0</v>
      </c>
      <c r="BN219" s="306">
        <v>0</v>
      </c>
      <c r="BO219" s="306">
        <v>0</v>
      </c>
      <c r="BP219" s="306">
        <v>0</v>
      </c>
      <c r="BQ219" s="306">
        <v>0</v>
      </c>
      <c r="BR219" s="306">
        <v>0</v>
      </c>
      <c r="BS219" s="306">
        <v>0</v>
      </c>
      <c r="BT219" s="306">
        <v>0</v>
      </c>
      <c r="BU219" s="306">
        <v>0</v>
      </c>
      <c r="BV219" s="306">
        <v>0</v>
      </c>
      <c r="BW219" s="306">
        <v>0</v>
      </c>
      <c r="BX219" s="306">
        <v>0</v>
      </c>
      <c r="BY219" s="306">
        <v>0</v>
      </c>
      <c r="BZ219" s="306">
        <v>0</v>
      </c>
      <c r="CA219" s="306">
        <v>0</v>
      </c>
      <c r="CB219" s="306">
        <v>0</v>
      </c>
      <c r="CC219" s="306">
        <v>0</v>
      </c>
      <c r="CD219" s="306">
        <v>0</v>
      </c>
      <c r="CE219" s="306">
        <v>0</v>
      </c>
      <c r="CF219" s="306">
        <v>0</v>
      </c>
      <c r="CG219" s="306">
        <v>0</v>
      </c>
      <c r="CH219" s="306">
        <v>0</v>
      </c>
      <c r="CI219" s="306">
        <v>0</v>
      </c>
      <c r="CJ219" s="306">
        <v>0</v>
      </c>
      <c r="CK219" s="306">
        <v>0</v>
      </c>
      <c r="CL219" s="306">
        <v>0</v>
      </c>
      <c r="CM219" s="306">
        <v>0</v>
      </c>
      <c r="CN219" s="306">
        <v>0</v>
      </c>
      <c r="CO219" s="306">
        <v>0</v>
      </c>
      <c r="CP219" s="306">
        <v>0</v>
      </c>
      <c r="CQ219" s="306">
        <v>0</v>
      </c>
      <c r="CR219" s="306">
        <v>0</v>
      </c>
      <c r="CS219" s="306">
        <v>0</v>
      </c>
      <c r="CT219" s="306">
        <v>0</v>
      </c>
      <c r="CU219" s="306">
        <v>0</v>
      </c>
      <c r="CV219" s="306">
        <v>0</v>
      </c>
      <c r="CW219" s="306">
        <v>0</v>
      </c>
      <c r="CX219" s="30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CDDEA-F611-499E-8A5F-AF8AA8329977}">
  <sheetPr codeName="Sheet10">
    <tabColor rgb="FF7030A0"/>
  </sheetPr>
  <dimension ref="A2:R105"/>
  <sheetViews>
    <sheetView zoomScaleNormal="100" workbookViewId="0">
      <selection activeCell="J12" sqref="J12"/>
    </sheetView>
  </sheetViews>
  <sheetFormatPr defaultColWidth="8.7109375" defaultRowHeight="15" customHeight="1" x14ac:dyDescent="0.25"/>
  <cols>
    <col min="1" max="3" width="8.7109375" style="154"/>
    <col min="4" max="4" width="10.5703125" style="154" customWidth="1"/>
    <col min="5" max="5" width="16.5703125" style="154" customWidth="1"/>
    <col min="6" max="6" width="12.42578125" style="154" customWidth="1"/>
    <col min="7" max="8" width="11.28515625" style="154" customWidth="1"/>
    <col min="9" max="10" width="8.7109375" style="154"/>
    <col min="11" max="11" width="11.85546875" style="154" bestFit="1" customWidth="1"/>
    <col min="12" max="12" width="12" style="154" customWidth="1"/>
    <col min="13" max="13" width="10.28515625" style="154" customWidth="1"/>
    <col min="14" max="15" width="8.7109375" style="154"/>
    <col min="16" max="16" width="11.85546875" style="154" bestFit="1" customWidth="1"/>
    <col min="17" max="16384" width="8.7109375" style="154"/>
  </cols>
  <sheetData>
    <row r="2" spans="1:18" x14ac:dyDescent="0.25">
      <c r="D2" s="154" t="s">
        <v>492</v>
      </c>
      <c r="E2" s="308">
        <v>0.05</v>
      </c>
      <c r="J2" s="154" t="s">
        <v>443</v>
      </c>
      <c r="K2" s="308">
        <v>0.05</v>
      </c>
    </row>
    <row r="3" spans="1:18" x14ac:dyDescent="0.25">
      <c r="D3" s="154" t="s">
        <v>444</v>
      </c>
      <c r="E3" s="309">
        <f>NPV(E$2,D$7:D$11)</f>
        <v>738.28242739344375</v>
      </c>
      <c r="F3" s="309">
        <f>E3*(1+$E$2)</f>
        <v>775.19654876311597</v>
      </c>
      <c r="G3" s="309">
        <f>E$3*(1+$E$2)^5</f>
        <v>942.25624999999729</v>
      </c>
      <c r="H3" s="309">
        <f>F$3*(1+$E$2)^5</f>
        <v>989.3690624999972</v>
      </c>
      <c r="L3" s="309"/>
      <c r="M3" s="310"/>
      <c r="O3" s="309"/>
    </row>
    <row r="4" spans="1:18" x14ac:dyDescent="0.25">
      <c r="D4" s="154" t="s">
        <v>445</v>
      </c>
    </row>
    <row r="5" spans="1:18" x14ac:dyDescent="0.25">
      <c r="E5" s="311">
        <f>SUM(E$7:E$11)</f>
        <v>738.2824273934466</v>
      </c>
      <c r="F5" s="311">
        <f>SUM(F$7:F$11)</f>
        <v>775.19654876311688</v>
      </c>
      <c r="G5" s="311">
        <f>SUM(G$7:G$11)</f>
        <v>942.25624999999854</v>
      </c>
      <c r="H5" s="311">
        <f>SUM(H$7:H$11)</f>
        <v>989.36906249999811</v>
      </c>
    </row>
    <row r="6" spans="1:18" x14ac:dyDescent="0.25">
      <c r="A6" s="154">
        <v>1</v>
      </c>
      <c r="C6" s="165" t="s">
        <v>446</v>
      </c>
      <c r="D6" s="165" t="s">
        <v>447</v>
      </c>
      <c r="E6" s="165" t="s">
        <v>448</v>
      </c>
      <c r="F6" s="165" t="s">
        <v>449</v>
      </c>
      <c r="G6" s="165" t="s">
        <v>450</v>
      </c>
      <c r="H6" s="165" t="s">
        <v>451</v>
      </c>
      <c r="J6" s="165" t="s">
        <v>446</v>
      </c>
      <c r="K6" s="165" t="s">
        <v>452</v>
      </c>
      <c r="L6" s="165" t="s">
        <v>453</v>
      </c>
      <c r="M6" s="165" t="s">
        <v>454</v>
      </c>
      <c r="O6" s="165" t="s">
        <v>446</v>
      </c>
      <c r="P6" s="165" t="s">
        <v>452</v>
      </c>
      <c r="Q6" s="165" t="s">
        <v>453</v>
      </c>
      <c r="R6" s="165" t="s">
        <v>454</v>
      </c>
    </row>
    <row r="7" spans="1:18" x14ac:dyDescent="0.25">
      <c r="A7" s="154">
        <v>2</v>
      </c>
      <c r="C7" s="154">
        <v>1</v>
      </c>
      <c r="D7" s="311">
        <v>-19000</v>
      </c>
      <c r="E7" s="311">
        <f>$D7/(1+$E$2)^$C7</f>
        <v>-18095.238095238095</v>
      </c>
      <c r="F7" s="311">
        <f>$D7/(1+$E$2)^($C7-1)</f>
        <v>-19000</v>
      </c>
      <c r="G7" s="312">
        <f>$D7*(1+$E$2)^(5-$C7)</f>
        <v>-23094.618750000001</v>
      </c>
      <c r="H7" s="312">
        <f>$D7*(1+$E$2)^(5-$C7+1)</f>
        <v>-24249.349687500002</v>
      </c>
      <c r="J7" s="154">
        <v>1</v>
      </c>
      <c r="K7" s="154">
        <v>1</v>
      </c>
      <c r="L7" s="154">
        <f>(1+$K$2)^(-J7)</f>
        <v>0.95238095238095233</v>
      </c>
      <c r="M7" s="154">
        <f>(1+$K$2)^(5-J7)</f>
        <v>1.21550625</v>
      </c>
      <c r="O7" s="154">
        <f>J7-1</f>
        <v>0</v>
      </c>
      <c r="P7" s="154">
        <v>1</v>
      </c>
      <c r="Q7" s="154">
        <f>(1+$K$2)^(-O7)</f>
        <v>1</v>
      </c>
      <c r="R7" s="154">
        <f>(1+$K$2)^(5-O7)</f>
        <v>1.2762815625000001</v>
      </c>
    </row>
    <row r="8" spans="1:18" x14ac:dyDescent="0.25">
      <c r="A8" s="154">
        <v>3</v>
      </c>
      <c r="C8" s="154">
        <v>2</v>
      </c>
      <c r="D8" s="311">
        <v>5000</v>
      </c>
      <c r="E8" s="311">
        <f>$D8/(1+$E$2)^$C8</f>
        <v>4535.1473922902496</v>
      </c>
      <c r="F8" s="311">
        <f>$D8/(1+$E$2)^($C8-1)</f>
        <v>4761.9047619047615</v>
      </c>
      <c r="G8" s="312">
        <f>$D8*(1+$E$2)^(5-$C8)</f>
        <v>5788.1250000000009</v>
      </c>
      <c r="H8" s="312">
        <f>$D8*(1+$E$2)^(5-$C8+1)</f>
        <v>6077.53125</v>
      </c>
      <c r="J8" s="154">
        <v>2</v>
      </c>
      <c r="K8" s="154">
        <v>1</v>
      </c>
      <c r="L8" s="154">
        <f>(1+$K$2)^(-J8)</f>
        <v>0.90702947845804982</v>
      </c>
      <c r="M8" s="154">
        <f>(1+$K$2)^(5-J8)</f>
        <v>1.1576250000000001</v>
      </c>
      <c r="O8" s="154">
        <f>J8-1</f>
        <v>1</v>
      </c>
      <c r="P8" s="154">
        <v>1</v>
      </c>
      <c r="Q8" s="154">
        <f>(1+$K$2)^(-O8)</f>
        <v>0.95238095238095233</v>
      </c>
      <c r="R8" s="154">
        <f>(1+$K$2)^(5-O8)</f>
        <v>1.21550625</v>
      </c>
    </row>
    <row r="9" spans="1:18" x14ac:dyDescent="0.25">
      <c r="A9" s="154">
        <v>4</v>
      </c>
      <c r="C9" s="154">
        <v>3</v>
      </c>
      <c r="D9" s="311">
        <v>5500</v>
      </c>
      <c r="E9" s="311">
        <f>$D9/(1+$E$2)^$C9</f>
        <v>4751.1067919231182</v>
      </c>
      <c r="F9" s="311">
        <f>$D9/(1+$E$2)^($C9-1)</f>
        <v>4988.6621315192742</v>
      </c>
      <c r="G9" s="312">
        <f>$D9*(1+$E$2)^(5-$C9)</f>
        <v>6063.75</v>
      </c>
      <c r="H9" s="312">
        <f>$D9*(1+$E$2)^(5-$C9+1)</f>
        <v>6366.9375000000009</v>
      </c>
      <c r="J9" s="154">
        <v>3</v>
      </c>
      <c r="K9" s="154">
        <v>1</v>
      </c>
      <c r="L9" s="154">
        <f>(1+$K$2)^(-J9)</f>
        <v>0.86383759853147601</v>
      </c>
      <c r="M9" s="154">
        <f>(1+$K$2)^(5-J9)</f>
        <v>1.1025</v>
      </c>
      <c r="O9" s="154">
        <f>J9-1</f>
        <v>2</v>
      </c>
      <c r="P9" s="154">
        <v>1</v>
      </c>
      <c r="Q9" s="154">
        <f>(1+$K$2)^(-O9)</f>
        <v>0.90702947845804982</v>
      </c>
      <c r="R9" s="154">
        <f>(1+$K$2)^(5-O9)</f>
        <v>1.1576250000000001</v>
      </c>
    </row>
    <row r="10" spans="1:18" x14ac:dyDescent="0.25">
      <c r="A10" s="154">
        <v>5</v>
      </c>
      <c r="C10" s="154">
        <v>4</v>
      </c>
      <c r="D10" s="311">
        <v>5700</v>
      </c>
      <c r="E10" s="311">
        <f>$D10/(1+$E$2)^$C10</f>
        <v>4689.4041063137274</v>
      </c>
      <c r="F10" s="311">
        <f>$D10/(1+$E$2)^($C10-1)</f>
        <v>4923.8743116294136</v>
      </c>
      <c r="G10" s="312">
        <f>$D10*(1+$E$2)^(5-$C10)</f>
        <v>5985</v>
      </c>
      <c r="H10" s="312">
        <f>$D10*(1+$E$2)^(5-$C10+1)</f>
        <v>6284.25</v>
      </c>
      <c r="J10" s="154">
        <v>4</v>
      </c>
      <c r="K10" s="154">
        <v>1</v>
      </c>
      <c r="L10" s="154">
        <f>(1+$K$2)^(-J10)</f>
        <v>0.82270247479188197</v>
      </c>
      <c r="M10" s="154">
        <f>(1+$K$2)^(5-J10)</f>
        <v>1.05</v>
      </c>
      <c r="O10" s="154">
        <f>J10-1</f>
        <v>3</v>
      </c>
      <c r="P10" s="154">
        <v>1</v>
      </c>
      <c r="Q10" s="154">
        <f>(1+$K$2)^(-O10)</f>
        <v>0.86383759853147601</v>
      </c>
      <c r="R10" s="154">
        <f>(1+$K$2)^(5-O10)</f>
        <v>1.1025</v>
      </c>
    </row>
    <row r="11" spans="1:18" x14ac:dyDescent="0.25">
      <c r="A11" s="154">
        <v>6</v>
      </c>
      <c r="C11" s="154">
        <v>5</v>
      </c>
      <c r="D11" s="311">
        <v>6200</v>
      </c>
      <c r="E11" s="311">
        <f>$D11/(1+$E$2)^$C11</f>
        <v>4857.8622321044459</v>
      </c>
      <c r="F11" s="311">
        <f>$D11/(1+$E$2)^($C11-1)</f>
        <v>5100.7553437096685</v>
      </c>
      <c r="G11" s="312">
        <f>$D11*(1+$E$2)^(5-$C11)</f>
        <v>6200</v>
      </c>
      <c r="H11" s="312">
        <f>$D11*(1+$E$2)^(5-$C11+1)</f>
        <v>6510</v>
      </c>
      <c r="J11" s="154">
        <v>5</v>
      </c>
      <c r="K11" s="154">
        <v>1</v>
      </c>
      <c r="L11" s="154">
        <f>(1+$K$2)^(-J11)</f>
        <v>0.78352616646845896</v>
      </c>
      <c r="M11" s="154">
        <f>(1+$K$2)^(5-J11)</f>
        <v>1</v>
      </c>
      <c r="O11" s="154">
        <f>J11-1</f>
        <v>4</v>
      </c>
      <c r="P11" s="154">
        <v>1</v>
      </c>
      <c r="Q11" s="154">
        <f>(1+$K$2)^(-O11)</f>
        <v>0.82270247479188197</v>
      </c>
      <c r="R11" s="154">
        <f>(1+$K$2)^(5-O11)</f>
        <v>1.05</v>
      </c>
    </row>
    <row r="12" spans="1:18" x14ac:dyDescent="0.25">
      <c r="A12" s="154">
        <v>7</v>
      </c>
    </row>
    <row r="13" spans="1:18" x14ac:dyDescent="0.25">
      <c r="A13" s="154">
        <v>8</v>
      </c>
      <c r="K13" s="154" t="s">
        <v>493</v>
      </c>
      <c r="L13" s="313">
        <f>SUM(L7:L11)</f>
        <v>4.329476670630819</v>
      </c>
      <c r="M13" s="313">
        <f>SUM(M6:M11)</f>
        <v>5.52563125</v>
      </c>
      <c r="P13" s="154" t="s">
        <v>493</v>
      </c>
      <c r="Q13" s="313">
        <f>SUM(Q7:Q11)</f>
        <v>4.5459505041623602</v>
      </c>
      <c r="R13" s="313">
        <f>SUM(R6:R11)</f>
        <v>5.8019128125000003</v>
      </c>
    </row>
    <row r="14" spans="1:18" x14ac:dyDescent="0.25">
      <c r="A14" s="154">
        <v>9</v>
      </c>
      <c r="K14" s="154" t="s">
        <v>455</v>
      </c>
      <c r="L14" s="313">
        <f>NPV($K$2,$K$7:$K$11)</f>
        <v>4.329476670630819</v>
      </c>
      <c r="M14" s="313">
        <f>FV($K$2,$J$11,-1,,0)</f>
        <v>5.5256312500000027</v>
      </c>
      <c r="P14" s="154" t="s">
        <v>455</v>
      </c>
      <c r="Q14" s="313">
        <f>NPV($K$2,$P$7:$P$11)*(1+$K$2)</f>
        <v>4.5459505041623602</v>
      </c>
      <c r="R14" s="313">
        <f>FV($K$2,5,-1,,1)</f>
        <v>5.801912812500003</v>
      </c>
    </row>
    <row r="15" spans="1:18" x14ac:dyDescent="0.25">
      <c r="A15" s="154">
        <v>10</v>
      </c>
      <c r="L15" s="314">
        <f>L13-L14</f>
        <v>0</v>
      </c>
      <c r="M15" s="314">
        <f>M13-M14</f>
        <v>0</v>
      </c>
      <c r="Q15" s="314">
        <f>Q13-Q14</f>
        <v>0</v>
      </c>
      <c r="R15" s="314">
        <f>R13-R14</f>
        <v>0</v>
      </c>
    </row>
    <row r="16" spans="1:18" x14ac:dyDescent="0.25">
      <c r="A16" s="154">
        <v>11</v>
      </c>
    </row>
    <row r="17" spans="1:1" x14ac:dyDescent="0.25">
      <c r="A17" s="154">
        <v>12</v>
      </c>
    </row>
    <row r="18" spans="1:1" x14ac:dyDescent="0.25">
      <c r="A18" s="154">
        <v>13</v>
      </c>
    </row>
    <row r="19" spans="1:1" x14ac:dyDescent="0.25">
      <c r="A19" s="154">
        <v>14</v>
      </c>
    </row>
    <row r="20" spans="1:1" x14ac:dyDescent="0.25">
      <c r="A20" s="154">
        <v>15</v>
      </c>
    </row>
    <row r="21" spans="1:1" x14ac:dyDescent="0.25">
      <c r="A21" s="154">
        <v>16</v>
      </c>
    </row>
    <row r="22" spans="1:1" x14ac:dyDescent="0.25">
      <c r="A22" s="154">
        <v>17</v>
      </c>
    </row>
    <row r="23" spans="1:1" x14ac:dyDescent="0.25">
      <c r="A23" s="154">
        <v>18</v>
      </c>
    </row>
    <row r="24" spans="1:1" x14ac:dyDescent="0.25">
      <c r="A24" s="154">
        <v>19</v>
      </c>
    </row>
    <row r="25" spans="1:1" x14ac:dyDescent="0.25">
      <c r="A25" s="154">
        <v>20</v>
      </c>
    </row>
    <row r="26" spans="1:1" x14ac:dyDescent="0.25">
      <c r="A26" s="154">
        <v>21</v>
      </c>
    </row>
    <row r="27" spans="1:1" x14ac:dyDescent="0.25">
      <c r="A27" s="154">
        <v>22</v>
      </c>
    </row>
    <row r="28" spans="1:1" x14ac:dyDescent="0.25">
      <c r="A28" s="154">
        <v>23</v>
      </c>
    </row>
    <row r="29" spans="1:1" x14ac:dyDescent="0.25">
      <c r="A29" s="154">
        <v>24</v>
      </c>
    </row>
    <row r="30" spans="1:1" x14ac:dyDescent="0.25">
      <c r="A30" s="154">
        <v>25</v>
      </c>
    </row>
    <row r="31" spans="1:1" x14ac:dyDescent="0.25">
      <c r="A31" s="154">
        <v>26</v>
      </c>
    </row>
    <row r="32" spans="1:1" x14ac:dyDescent="0.25">
      <c r="A32" s="154">
        <v>27</v>
      </c>
    </row>
    <row r="33" spans="1:1" x14ac:dyDescent="0.25">
      <c r="A33" s="154">
        <v>28</v>
      </c>
    </row>
    <row r="34" spans="1:1" x14ac:dyDescent="0.25">
      <c r="A34" s="154">
        <v>29</v>
      </c>
    </row>
    <row r="35" spans="1:1" x14ac:dyDescent="0.25">
      <c r="A35" s="154">
        <v>30</v>
      </c>
    </row>
    <row r="36" spans="1:1" x14ac:dyDescent="0.25">
      <c r="A36" s="154">
        <v>31</v>
      </c>
    </row>
    <row r="37" spans="1:1" x14ac:dyDescent="0.25">
      <c r="A37" s="154">
        <v>32</v>
      </c>
    </row>
    <row r="38" spans="1:1" x14ac:dyDescent="0.25">
      <c r="A38" s="154">
        <v>33</v>
      </c>
    </row>
    <row r="39" spans="1:1" x14ac:dyDescent="0.25">
      <c r="A39" s="154">
        <v>34</v>
      </c>
    </row>
    <row r="40" spans="1:1" x14ac:dyDescent="0.25">
      <c r="A40" s="154">
        <v>35</v>
      </c>
    </row>
    <row r="41" spans="1:1" x14ac:dyDescent="0.25">
      <c r="A41" s="154">
        <v>36</v>
      </c>
    </row>
    <row r="42" spans="1:1" x14ac:dyDescent="0.25">
      <c r="A42" s="154">
        <v>37</v>
      </c>
    </row>
    <row r="43" spans="1:1" x14ac:dyDescent="0.25">
      <c r="A43" s="154">
        <v>38</v>
      </c>
    </row>
    <row r="44" spans="1:1" x14ac:dyDescent="0.25">
      <c r="A44" s="154">
        <v>39</v>
      </c>
    </row>
    <row r="45" spans="1:1" x14ac:dyDescent="0.25">
      <c r="A45" s="154">
        <v>40</v>
      </c>
    </row>
    <row r="46" spans="1:1" x14ac:dyDescent="0.25">
      <c r="A46" s="154">
        <v>41</v>
      </c>
    </row>
    <row r="47" spans="1:1" x14ac:dyDescent="0.25">
      <c r="A47" s="154">
        <v>42</v>
      </c>
    </row>
    <row r="48" spans="1:1" x14ac:dyDescent="0.25">
      <c r="A48" s="154">
        <v>43</v>
      </c>
    </row>
    <row r="49" spans="1:1" x14ac:dyDescent="0.25">
      <c r="A49" s="154">
        <v>44</v>
      </c>
    </row>
    <row r="50" spans="1:1" x14ac:dyDescent="0.25">
      <c r="A50" s="154">
        <v>45</v>
      </c>
    </row>
    <row r="51" spans="1:1" x14ac:dyDescent="0.25">
      <c r="A51" s="154">
        <v>46</v>
      </c>
    </row>
    <row r="52" spans="1:1" x14ac:dyDescent="0.25">
      <c r="A52" s="154">
        <v>47</v>
      </c>
    </row>
    <row r="53" spans="1:1" x14ac:dyDescent="0.25">
      <c r="A53" s="154">
        <v>48</v>
      </c>
    </row>
    <row r="54" spans="1:1" x14ac:dyDescent="0.25">
      <c r="A54" s="154">
        <v>49</v>
      </c>
    </row>
    <row r="55" spans="1:1" x14ac:dyDescent="0.25">
      <c r="A55" s="154">
        <v>50</v>
      </c>
    </row>
    <row r="56" spans="1:1" x14ac:dyDescent="0.25">
      <c r="A56" s="154">
        <v>51</v>
      </c>
    </row>
    <row r="57" spans="1:1" x14ac:dyDescent="0.25">
      <c r="A57" s="154">
        <v>52</v>
      </c>
    </row>
    <row r="58" spans="1:1" x14ac:dyDescent="0.25">
      <c r="A58" s="154">
        <v>53</v>
      </c>
    </row>
    <row r="59" spans="1:1" x14ac:dyDescent="0.25">
      <c r="A59" s="154">
        <v>54</v>
      </c>
    </row>
    <row r="60" spans="1:1" x14ac:dyDescent="0.25">
      <c r="A60" s="154">
        <v>55</v>
      </c>
    </row>
    <row r="61" spans="1:1" x14ac:dyDescent="0.25">
      <c r="A61" s="154">
        <v>56</v>
      </c>
    </row>
    <row r="62" spans="1:1" x14ac:dyDescent="0.25">
      <c r="A62" s="154">
        <v>57</v>
      </c>
    </row>
    <row r="63" spans="1:1" x14ac:dyDescent="0.25">
      <c r="A63" s="154">
        <v>58</v>
      </c>
    </row>
    <row r="64" spans="1:1" x14ac:dyDescent="0.25">
      <c r="A64" s="154">
        <v>59</v>
      </c>
    </row>
    <row r="65" spans="1:1" x14ac:dyDescent="0.25">
      <c r="A65" s="154">
        <v>60</v>
      </c>
    </row>
    <row r="66" spans="1:1" x14ac:dyDescent="0.25">
      <c r="A66" s="154">
        <v>61</v>
      </c>
    </row>
    <row r="67" spans="1:1" x14ac:dyDescent="0.25">
      <c r="A67" s="154">
        <v>62</v>
      </c>
    </row>
    <row r="68" spans="1:1" x14ac:dyDescent="0.25">
      <c r="A68" s="154">
        <v>63</v>
      </c>
    </row>
    <row r="69" spans="1:1" x14ac:dyDescent="0.25">
      <c r="A69" s="154">
        <v>64</v>
      </c>
    </row>
    <row r="70" spans="1:1" x14ac:dyDescent="0.25">
      <c r="A70" s="154">
        <v>65</v>
      </c>
    </row>
    <row r="71" spans="1:1" x14ac:dyDescent="0.25">
      <c r="A71" s="154">
        <v>66</v>
      </c>
    </row>
    <row r="72" spans="1:1" x14ac:dyDescent="0.25">
      <c r="A72" s="154">
        <v>67</v>
      </c>
    </row>
    <row r="73" spans="1:1" x14ac:dyDescent="0.25">
      <c r="A73" s="154">
        <v>68</v>
      </c>
    </row>
    <row r="74" spans="1:1" x14ac:dyDescent="0.25">
      <c r="A74" s="154">
        <v>69</v>
      </c>
    </row>
    <row r="75" spans="1:1" x14ac:dyDescent="0.25">
      <c r="A75" s="154">
        <v>70</v>
      </c>
    </row>
    <row r="76" spans="1:1" x14ac:dyDescent="0.25">
      <c r="A76" s="154">
        <v>71</v>
      </c>
    </row>
    <row r="77" spans="1:1" x14ac:dyDescent="0.25">
      <c r="A77" s="154">
        <v>72</v>
      </c>
    </row>
    <row r="78" spans="1:1" x14ac:dyDescent="0.25">
      <c r="A78" s="154">
        <v>73</v>
      </c>
    </row>
    <row r="79" spans="1:1" x14ac:dyDescent="0.25">
      <c r="A79" s="154">
        <v>74</v>
      </c>
    </row>
    <row r="80" spans="1:1" x14ac:dyDescent="0.25">
      <c r="A80" s="154">
        <v>75</v>
      </c>
    </row>
    <row r="81" spans="1:1" x14ac:dyDescent="0.25">
      <c r="A81" s="154">
        <v>76</v>
      </c>
    </row>
    <row r="82" spans="1:1" x14ac:dyDescent="0.25">
      <c r="A82" s="154">
        <v>77</v>
      </c>
    </row>
    <row r="83" spans="1:1" x14ac:dyDescent="0.25">
      <c r="A83" s="154">
        <v>78</v>
      </c>
    </row>
    <row r="84" spans="1:1" x14ac:dyDescent="0.25">
      <c r="A84" s="154">
        <v>79</v>
      </c>
    </row>
    <row r="85" spans="1:1" x14ac:dyDescent="0.25">
      <c r="A85" s="154">
        <v>80</v>
      </c>
    </row>
    <row r="86" spans="1:1" x14ac:dyDescent="0.25">
      <c r="A86" s="154">
        <v>81</v>
      </c>
    </row>
    <row r="87" spans="1:1" x14ac:dyDescent="0.25">
      <c r="A87" s="154">
        <v>82</v>
      </c>
    </row>
    <row r="88" spans="1:1" x14ac:dyDescent="0.25">
      <c r="A88" s="154">
        <v>83</v>
      </c>
    </row>
    <row r="89" spans="1:1" x14ac:dyDescent="0.25">
      <c r="A89" s="154">
        <v>84</v>
      </c>
    </row>
    <row r="90" spans="1:1" x14ac:dyDescent="0.25">
      <c r="A90" s="154">
        <v>85</v>
      </c>
    </row>
    <row r="91" spans="1:1" x14ac:dyDescent="0.25">
      <c r="A91" s="154">
        <v>86</v>
      </c>
    </row>
    <row r="92" spans="1:1" x14ac:dyDescent="0.25">
      <c r="A92" s="154">
        <v>87</v>
      </c>
    </row>
    <row r="93" spans="1:1" x14ac:dyDescent="0.25">
      <c r="A93" s="154">
        <v>88</v>
      </c>
    </row>
    <row r="94" spans="1:1" x14ac:dyDescent="0.25">
      <c r="A94" s="154">
        <v>89</v>
      </c>
    </row>
    <row r="95" spans="1:1" x14ac:dyDescent="0.25">
      <c r="A95" s="154">
        <v>90</v>
      </c>
    </row>
    <row r="96" spans="1:1" x14ac:dyDescent="0.25">
      <c r="A96" s="154">
        <v>91</v>
      </c>
    </row>
    <row r="97" spans="1:1" x14ac:dyDescent="0.25">
      <c r="A97" s="154">
        <v>92</v>
      </c>
    </row>
    <row r="98" spans="1:1" x14ac:dyDescent="0.25">
      <c r="A98" s="154">
        <v>93</v>
      </c>
    </row>
    <row r="99" spans="1:1" x14ac:dyDescent="0.25">
      <c r="A99" s="154">
        <v>94</v>
      </c>
    </row>
    <row r="100" spans="1:1" x14ac:dyDescent="0.25">
      <c r="A100" s="154">
        <v>95</v>
      </c>
    </row>
    <row r="101" spans="1:1" x14ac:dyDescent="0.25">
      <c r="A101" s="154">
        <v>96</v>
      </c>
    </row>
    <row r="102" spans="1:1" x14ac:dyDescent="0.25">
      <c r="A102" s="154">
        <v>97</v>
      </c>
    </row>
    <row r="103" spans="1:1" x14ac:dyDescent="0.25">
      <c r="A103" s="154">
        <v>98</v>
      </c>
    </row>
    <row r="104" spans="1:1" x14ac:dyDescent="0.25">
      <c r="A104" s="154">
        <v>99</v>
      </c>
    </row>
    <row r="105" spans="1:1" x14ac:dyDescent="0.25">
      <c r="A105" s="154">
        <v>100</v>
      </c>
    </row>
  </sheetData>
  <pageMargins left="0.7" right="0.7" top="0.75" bottom="0.75" header="0.511811023622047" footer="0.511811023622047"/>
  <pageSetup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91e2556-b811-4944-a74f-4a1f3e7d4c86">
      <Terms xmlns="http://schemas.microsoft.com/office/infopath/2007/PartnerControls"/>
    </lcf76f155ced4ddcb4097134ff3c332f>
    <TaxCatchAll xmlns="cd120a2c-c11f-4301-9ab6-214178993a8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4CE6511FDCEB4293E086F2F0312B55" ma:contentTypeVersion="11" ma:contentTypeDescription="Create a new document." ma:contentTypeScope="" ma:versionID="ec5037eef0f7d874bab188dafe6b9581">
  <xsd:schema xmlns:xsd="http://www.w3.org/2001/XMLSchema" xmlns:xs="http://www.w3.org/2001/XMLSchema" xmlns:p="http://schemas.microsoft.com/office/2006/metadata/properties" xmlns:ns2="d91e2556-b811-4944-a74f-4a1f3e7d4c86" xmlns:ns3="cd120a2c-c11f-4301-9ab6-214178993a84" targetNamespace="http://schemas.microsoft.com/office/2006/metadata/properties" ma:root="true" ma:fieldsID="10c0ee501cf30f9210b6e9725601c567" ns2:_="" ns3:_="">
    <xsd:import namespace="d91e2556-b811-4944-a74f-4a1f3e7d4c86"/>
    <xsd:import namespace="cd120a2c-c11f-4301-9ab6-214178993a8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1e2556-b811-4944-a74f-4a1f3e7d4c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60f49a9-7fce-4b42-8df3-51bd86bffb0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120a2c-c11f-4301-9ab6-214178993a84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b046da28-7bfe-43b5-9e49-e0888eb7676c}" ma:internalName="TaxCatchAll" ma:showField="CatchAllData" ma:web="cd120a2c-c11f-4301-9ab6-214178993a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E1BF05E2-46ED-429E-BBC1-A528A7C7E7B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E76A042-E3D0-4844-9B20-96E936387DB4}">
  <ds:schemaRefs>
    <ds:schemaRef ds:uri="http://schemas.microsoft.com/office/2006/metadata/properties"/>
    <ds:schemaRef ds:uri="http://schemas.microsoft.com/office/infopath/2007/PartnerControls"/>
    <ds:schemaRef ds:uri="d91e2556-b811-4944-a74f-4a1f3e7d4c86"/>
    <ds:schemaRef ds:uri="cd120a2c-c11f-4301-9ab6-214178993a84"/>
  </ds:schemaRefs>
</ds:datastoreItem>
</file>

<file path=customXml/itemProps3.xml><?xml version="1.0" encoding="utf-8"?>
<ds:datastoreItem xmlns:ds="http://schemas.openxmlformats.org/officeDocument/2006/customXml" ds:itemID="{D1EEC028-20B7-4573-9EF3-F42E9D9D5E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91e2556-b811-4944-a74f-4a1f3e7d4c86"/>
    <ds:schemaRef ds:uri="cd120a2c-c11f-4301-9ab6-214178993a8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F3B65AB4-2FA3-4E57-AE63-C90D73024562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B95F256F-8A7E-4C14-A50B-139AF13C0D48}">
  <ds:schemaRefs/>
</ds:datastoreItem>
</file>

<file path=customXml/itemProps6.xml><?xml version="1.0" encoding="utf-8"?>
<ds:datastoreItem xmlns:ds="http://schemas.openxmlformats.org/officeDocument/2006/customXml" ds:itemID="{AC377A97-9AEF-4610-B164-F2057FBD28F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62</vt:i4>
      </vt:variant>
    </vt:vector>
  </HeadingPairs>
  <TitlesOfParts>
    <vt:vector size="71" baseType="lpstr">
      <vt:lpstr>Input</vt:lpstr>
      <vt:lpstr>Base_CF</vt:lpstr>
      <vt:lpstr>Rider_CF</vt:lpstr>
      <vt:lpstr>UVL</vt:lpstr>
      <vt:lpstr>ILP</vt:lpstr>
      <vt:lpstr>Setting</vt:lpstr>
      <vt:lpstr>Tariff</vt:lpstr>
      <vt:lpstr>Extra_Prem_Rate</vt:lpstr>
      <vt:lpstr>FormulaTest</vt:lpstr>
      <vt:lpstr>acc_ben_coeff</vt:lpstr>
      <vt:lpstr>Base_CF!acc_ben_term</vt:lpstr>
      <vt:lpstr>add_rate</vt:lpstr>
      <vt:lpstr>Base_CF!base</vt:lpstr>
      <vt:lpstr>base</vt:lpstr>
      <vt:lpstr>base_term</vt:lpstr>
      <vt:lpstr>Base_CF!big_case_bonus_tp</vt:lpstr>
      <vt:lpstr>channel</vt:lpstr>
      <vt:lpstr>customer_type</vt:lpstr>
      <vt:lpstr>death_tpd_option</vt:lpstr>
      <vt:lpstr>Base_CF!em_load</vt:lpstr>
      <vt:lpstr>Base_CF!em_load_term</vt:lpstr>
      <vt:lpstr>Rider_CF!entry_age</vt:lpstr>
      <vt:lpstr>ep</vt:lpstr>
      <vt:lpstr>Base_CF!ep_term</vt:lpstr>
      <vt:lpstr>extra_prem_rate</vt:lpstr>
      <vt:lpstr>Rider_CF!gender</vt:lpstr>
      <vt:lpstr>Rider_CF!hop2_option</vt:lpstr>
      <vt:lpstr>Rider_CF!input</vt:lpstr>
      <vt:lpstr>Input!input_validation</vt:lpstr>
      <vt:lpstr>Rider_CF!insured</vt:lpstr>
      <vt:lpstr>Base_CF!int_rate</vt:lpstr>
      <vt:lpstr>Base_CF!int_rate_scenario</vt:lpstr>
      <vt:lpstr>is_waiver</vt:lpstr>
      <vt:lpstr>lb_review_period</vt:lpstr>
      <vt:lpstr>mainLI_entry_age</vt:lpstr>
      <vt:lpstr>mainLI_gender</vt:lpstr>
      <vt:lpstr>Rider_CF!maturity_age</vt:lpstr>
      <vt:lpstr>maturity_option</vt:lpstr>
      <vt:lpstr>max_ep</vt:lpstr>
      <vt:lpstr>min_base_si</vt:lpstr>
      <vt:lpstr>min_ep</vt:lpstr>
      <vt:lpstr>min_pav_after_withdrawal</vt:lpstr>
      <vt:lpstr>min_withdrawal_amount</vt:lpstr>
      <vt:lpstr>monthly_acc_coi</vt:lpstr>
      <vt:lpstr>must_pay_period</vt:lpstr>
      <vt:lpstr>opted_ep_term</vt:lpstr>
      <vt:lpstr>opted_tp_term</vt:lpstr>
      <vt:lpstr>pay_freq</vt:lpstr>
      <vt:lpstr>Base_CF!pm_load</vt:lpstr>
      <vt:lpstr>Rider_CF!pm_load</vt:lpstr>
      <vt:lpstr>Base_CF!pm_load_term</vt:lpstr>
      <vt:lpstr>Rider_CF!pm_load_term</vt:lpstr>
      <vt:lpstr>Rider_CF!prem_load</vt:lpstr>
      <vt:lpstr>Rider_CF!prem_load_term</vt:lpstr>
      <vt:lpstr>Base_CF!prem_term_scenario</vt:lpstr>
      <vt:lpstr>print_dir</vt:lpstr>
      <vt:lpstr>rcd</vt:lpstr>
      <vt:lpstr>Rider_CF!rider</vt:lpstr>
      <vt:lpstr>Rider_CF!risk</vt:lpstr>
      <vt:lpstr>Base_CF!risk_scenario</vt:lpstr>
      <vt:lpstr>sb_review_period</vt:lpstr>
      <vt:lpstr>Base_CF!si</vt:lpstr>
      <vt:lpstr>Rider_CF!si</vt:lpstr>
      <vt:lpstr>Base_CF!term</vt:lpstr>
      <vt:lpstr>Rider_CF!term</vt:lpstr>
      <vt:lpstr>Base_CF!tp</vt:lpstr>
      <vt:lpstr>Rider_CF!tp</vt:lpstr>
      <vt:lpstr>Base_CF!tp_rate</vt:lpstr>
      <vt:lpstr>Base_CF!tp_term</vt:lpstr>
      <vt:lpstr>Input!version</vt:lpstr>
      <vt:lpstr>withdrawal_start_year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Trung-Hieu Nguyen</dc:creator>
  <cp:lastModifiedBy>Trung-Hieu Nguyen</cp:lastModifiedBy>
  <dcterms:created xsi:type="dcterms:W3CDTF">2015-06-05T18:17:20Z</dcterms:created>
  <dcterms:modified xsi:type="dcterms:W3CDTF">2025-06-28T21:34:52Z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0x010100104CE6511FDCEB4293E086F2F0312B55</vt:lpwstr>
  </property>
  <property fmtid="{D5CDD505-2E9C-101B-9397-08002B2CF9AE}" pid="3" name="MediaServiceImageTags">
    <vt:lpwstr/>
  </property>
</Properties>
</file>