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python\excel_examples\"/>
    </mc:Choice>
  </mc:AlternateContent>
  <bookViews>
    <workbookView xWindow="0" yWindow="0" windowWidth="28800" windowHeight="12465"/>
  </bookViews>
  <sheets>
    <sheet name="模板" sheetId="5" r:id="rId1"/>
    <sheet name="台账" sheetId="3" r:id="rId2"/>
    <sheet name="2021-4" sheetId="1" r:id="rId3"/>
    <sheet name="投资人账户信息" sheetId="4" r:id="rId4"/>
    <sheet name="费用账户信息" sheetId="2" r:id="rId5"/>
  </sheets>
  <calcPr calcId="152511"/>
</workbook>
</file>

<file path=xl/calcChain.xml><?xml version="1.0" encoding="utf-8"?>
<calcChain xmlns="http://schemas.openxmlformats.org/spreadsheetml/2006/main">
  <c r="B130" i="1" l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D95" i="1"/>
  <c r="C95" i="1"/>
  <c r="B95" i="1"/>
  <c r="A95" i="1"/>
  <c r="B86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B58" i="1"/>
  <c r="E45" i="1"/>
  <c r="D45" i="1"/>
  <c r="D145" i="1" s="1"/>
  <c r="D146" i="1" s="1"/>
  <c r="D148" i="1" s="1"/>
  <c r="B45" i="1"/>
  <c r="B57" i="1" s="1"/>
  <c r="J44" i="1"/>
  <c r="G44" i="1"/>
  <c r="F44" i="1"/>
  <c r="J43" i="1"/>
  <c r="G43" i="1"/>
  <c r="F43" i="1"/>
  <c r="J42" i="1"/>
  <c r="G42" i="1"/>
  <c r="F42" i="1"/>
  <c r="J41" i="1"/>
  <c r="G41" i="1"/>
  <c r="F41" i="1"/>
  <c r="J40" i="1"/>
  <c r="G40" i="1"/>
  <c r="G45" i="1" s="1"/>
  <c r="E57" i="1" s="1"/>
  <c r="F40" i="1"/>
  <c r="E39" i="1"/>
  <c r="B39" i="1"/>
  <c r="B56" i="1" s="1"/>
  <c r="J38" i="1"/>
  <c r="G38" i="1"/>
  <c r="J37" i="1"/>
  <c r="G37" i="1"/>
  <c r="J36" i="1"/>
  <c r="G36" i="1"/>
  <c r="J35" i="1"/>
  <c r="G35" i="1"/>
  <c r="G39" i="1" s="1"/>
  <c r="E56" i="1" s="1"/>
  <c r="B34" i="1"/>
  <c r="B55" i="1" s="1"/>
  <c r="J33" i="1"/>
  <c r="J32" i="1"/>
  <c r="J31" i="1"/>
  <c r="J30" i="1"/>
  <c r="J29" i="1"/>
  <c r="J28" i="1"/>
  <c r="J27" i="1"/>
  <c r="B6" i="1"/>
  <c r="B85" i="1" s="1"/>
  <c r="B88" i="1" s="1"/>
  <c r="G2" i="1"/>
  <c r="D33" i="1" s="1"/>
  <c r="B2" i="1"/>
  <c r="B13" i="1" s="1"/>
  <c r="D13" i="1" s="1"/>
  <c r="S4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K4" i="3"/>
  <c r="K5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D4" i="3"/>
  <c r="H4" i="3" s="1"/>
  <c r="C63" i="5"/>
  <c r="C62" i="5"/>
  <c r="G56" i="5"/>
  <c r="F56" i="5"/>
  <c r="E56" i="5"/>
  <c r="C56" i="5"/>
  <c r="H55" i="5"/>
  <c r="G55" i="5"/>
  <c r="H54" i="5"/>
  <c r="G54" i="5"/>
  <c r="H53" i="5"/>
  <c r="G53" i="5"/>
  <c r="H52" i="5"/>
  <c r="G52" i="5"/>
  <c r="H51" i="5"/>
  <c r="H56" i="5" s="1"/>
  <c r="F63" i="5" s="1"/>
  <c r="G51" i="5"/>
  <c r="F50" i="5"/>
  <c r="C50" i="5"/>
  <c r="H49" i="5"/>
  <c r="H48" i="5"/>
  <c r="E48" i="5"/>
  <c r="G48" i="5" s="1"/>
  <c r="H47" i="5"/>
  <c r="H46" i="5"/>
  <c r="H50" i="5" s="1"/>
  <c r="F62" i="5" s="1"/>
  <c r="C45" i="5"/>
  <c r="C23" i="5"/>
  <c r="E23" i="5" s="1"/>
  <c r="C15" i="5"/>
  <c r="C12" i="5"/>
  <c r="C68" i="5" s="1"/>
  <c r="C10" i="5"/>
  <c r="G4" i="5"/>
  <c r="E49" i="5" s="1"/>
  <c r="G49" i="5" s="1"/>
  <c r="E24" i="5" l="1"/>
  <c r="C24" i="5"/>
  <c r="K6" i="3"/>
  <c r="O5" i="3"/>
  <c r="D5" i="3"/>
  <c r="B22" i="1"/>
  <c r="D22" i="1" s="1"/>
  <c r="B20" i="1"/>
  <c r="D20" i="1" s="1"/>
  <c r="B21" i="1"/>
  <c r="D21" i="1" s="1"/>
  <c r="B18" i="1"/>
  <c r="D18" i="1" s="1"/>
  <c r="E38" i="5"/>
  <c r="E39" i="5"/>
  <c r="E40" i="5"/>
  <c r="E41" i="5"/>
  <c r="E42" i="5"/>
  <c r="E43" i="5"/>
  <c r="E44" i="5"/>
  <c r="E47" i="5"/>
  <c r="G47" i="5" s="1"/>
  <c r="C61" i="5"/>
  <c r="C64" i="5" s="1"/>
  <c r="O4" i="3"/>
  <c r="P4" i="3" s="1"/>
  <c r="D14" i="1"/>
  <c r="D23" i="1" s="1"/>
  <c r="D29" i="1"/>
  <c r="E46" i="5"/>
  <c r="D32" i="1"/>
  <c r="D28" i="1"/>
  <c r="D38" i="1"/>
  <c r="F38" i="1" s="1"/>
  <c r="D37" i="1"/>
  <c r="F37" i="1" s="1"/>
  <c r="D36" i="1"/>
  <c r="F36" i="1" s="1"/>
  <c r="D35" i="1"/>
  <c r="D31" i="1"/>
  <c r="D27" i="1"/>
  <c r="D30" i="1"/>
  <c r="J45" i="1"/>
  <c r="F45" i="1"/>
  <c r="B4" i="1"/>
  <c r="G4" i="1" s="1"/>
  <c r="G11" i="1" l="1"/>
  <c r="F136" i="1" s="1"/>
  <c r="D39" i="1"/>
  <c r="C145" i="1" s="1"/>
  <c r="C146" i="1" s="1"/>
  <c r="C148" i="1" s="1"/>
  <c r="F35" i="1"/>
  <c r="F39" i="1" s="1"/>
  <c r="E14" i="1"/>
  <c r="F134" i="1" s="1"/>
  <c r="K7" i="3"/>
  <c r="O6" i="3"/>
  <c r="C31" i="5"/>
  <c r="E31" i="5" s="1"/>
  <c r="C32" i="5"/>
  <c r="E32" i="5" s="1"/>
  <c r="E33" i="5" s="1"/>
  <c r="C30" i="5"/>
  <c r="E30" i="5" s="1"/>
  <c r="C28" i="5"/>
  <c r="E28" i="5" s="1"/>
  <c r="E45" i="5"/>
  <c r="D34" i="1"/>
  <c r="E50" i="5"/>
  <c r="G46" i="5"/>
  <c r="G50" i="5" s="1"/>
  <c r="D6" i="3"/>
  <c r="H5" i="3"/>
  <c r="P5" i="3" s="1"/>
  <c r="D7" i="3" l="1"/>
  <c r="H6" i="3"/>
  <c r="P6" i="3" s="1"/>
  <c r="E57" i="5"/>
  <c r="C17" i="5" s="1"/>
  <c r="C18" i="5" s="1"/>
  <c r="O7" i="3"/>
  <c r="K8" i="3"/>
  <c r="B145" i="1"/>
  <c r="B146" i="1" s="1"/>
  <c r="D46" i="1"/>
  <c r="F138" i="1"/>
  <c r="F43" i="5" l="1"/>
  <c r="F42" i="5"/>
  <c r="F41" i="5"/>
  <c r="F40" i="5"/>
  <c r="F39" i="5"/>
  <c r="F38" i="5"/>
  <c r="F44" i="5"/>
  <c r="K9" i="3"/>
  <c r="O8" i="3"/>
  <c r="H7" i="3"/>
  <c r="P7" i="3" s="1"/>
  <c r="D8" i="3"/>
  <c r="G14" i="1"/>
  <c r="B8" i="1"/>
  <c r="H44" i="5" l="1"/>
  <c r="G44" i="5"/>
  <c r="H40" i="5"/>
  <c r="G40" i="5"/>
  <c r="H8" i="3"/>
  <c r="P8" i="3" s="1"/>
  <c r="D9" i="3"/>
  <c r="H41" i="5"/>
  <c r="G41" i="5"/>
  <c r="F45" i="5"/>
  <c r="F57" i="5" s="1"/>
  <c r="H38" i="5"/>
  <c r="G38" i="5"/>
  <c r="H42" i="5"/>
  <c r="G42" i="5"/>
  <c r="K10" i="3"/>
  <c r="O9" i="3"/>
  <c r="G9" i="1"/>
  <c r="B10" i="1"/>
  <c r="H39" i="5"/>
  <c r="G39" i="5"/>
  <c r="H43" i="5"/>
  <c r="G43" i="5"/>
  <c r="H45" i="5" l="1"/>
  <c r="F61" i="5" s="1"/>
  <c r="D10" i="3"/>
  <c r="H9" i="3"/>
  <c r="P9" i="3" s="1"/>
  <c r="O10" i="3"/>
  <c r="K11" i="3"/>
  <c r="G45" i="5"/>
  <c r="G57" i="5" s="1"/>
  <c r="C69" i="5" s="1"/>
  <c r="C70" i="5" s="1"/>
  <c r="E31" i="1"/>
  <c r="E27" i="1"/>
  <c r="E30" i="1"/>
  <c r="E33" i="1"/>
  <c r="E29" i="1"/>
  <c r="E32" i="1"/>
  <c r="E28" i="1"/>
  <c r="G29" i="1" l="1"/>
  <c r="F29" i="1"/>
  <c r="G31" i="1"/>
  <c r="F31" i="1"/>
  <c r="G32" i="1"/>
  <c r="F32" i="1"/>
  <c r="D11" i="3"/>
  <c r="H10" i="3"/>
  <c r="P10" i="3" s="1"/>
  <c r="E34" i="1"/>
  <c r="G27" i="1"/>
  <c r="F27" i="1"/>
  <c r="G33" i="1"/>
  <c r="F33" i="1"/>
  <c r="G28" i="1"/>
  <c r="F28" i="1"/>
  <c r="G30" i="1"/>
  <c r="F30" i="1"/>
  <c r="O11" i="3"/>
  <c r="K12" i="3"/>
  <c r="F64" i="5"/>
  <c r="G63" i="5" l="1"/>
  <c r="G62" i="5"/>
  <c r="D12" i="3"/>
  <c r="H11" i="3"/>
  <c r="P11" i="3" s="1"/>
  <c r="K13" i="3"/>
  <c r="O12" i="3"/>
  <c r="G34" i="1"/>
  <c r="E55" i="1" s="1"/>
  <c r="F34" i="1"/>
  <c r="F46" i="1" s="1"/>
  <c r="G5" i="1" s="1"/>
  <c r="G6" i="1" s="1"/>
  <c r="G61" i="5"/>
  <c r="G64" i="5" s="1"/>
  <c r="B138" i="1"/>
  <c r="B139" i="1" s="1"/>
  <c r="E46" i="1"/>
  <c r="G15" i="1" s="1"/>
  <c r="G16" i="1" s="1"/>
  <c r="H12" i="3" l="1"/>
  <c r="P12" i="3" s="1"/>
  <c r="D13" i="3"/>
  <c r="E58" i="1"/>
  <c r="F55" i="1"/>
  <c r="B143" i="1"/>
  <c r="B148" i="1"/>
  <c r="B140" i="1"/>
  <c r="K14" i="3"/>
  <c r="O13" i="3"/>
  <c r="K15" i="3" l="1"/>
  <c r="O14" i="3"/>
  <c r="F56" i="1"/>
  <c r="F58" i="1" s="1"/>
  <c r="F57" i="1"/>
  <c r="D14" i="3"/>
  <c r="H13" i="3"/>
  <c r="P13" i="3" s="1"/>
  <c r="D15" i="3" l="1"/>
  <c r="H14" i="3"/>
  <c r="P14" i="3" s="1"/>
  <c r="O15" i="3"/>
  <c r="K16" i="3"/>
  <c r="K17" i="3" l="1"/>
  <c r="O16" i="3"/>
  <c r="H15" i="3"/>
  <c r="P15" i="3" s="1"/>
  <c r="D16" i="3"/>
  <c r="H16" i="3" l="1"/>
  <c r="P16" i="3" s="1"/>
  <c r="D17" i="3"/>
  <c r="K18" i="3"/>
  <c r="O17" i="3"/>
  <c r="D18" i="3" l="1"/>
  <c r="H17" i="3"/>
  <c r="P17" i="3" s="1"/>
  <c r="O18" i="3"/>
  <c r="K19" i="3"/>
  <c r="K20" i="3" l="1"/>
  <c r="O19" i="3"/>
  <c r="D19" i="3"/>
  <c r="H18" i="3"/>
  <c r="P18" i="3" s="1"/>
  <c r="H19" i="3" l="1"/>
  <c r="P19" i="3" s="1"/>
  <c r="D20" i="3"/>
  <c r="K21" i="3"/>
  <c r="O20" i="3"/>
  <c r="K22" i="3" l="1"/>
  <c r="O21" i="3"/>
  <c r="D21" i="3"/>
  <c r="H20" i="3"/>
  <c r="P20" i="3" s="1"/>
  <c r="D22" i="3" l="1"/>
  <c r="H21" i="3"/>
  <c r="P21" i="3" s="1"/>
  <c r="O22" i="3"/>
  <c r="K23" i="3"/>
  <c r="K24" i="3" l="1"/>
  <c r="O23" i="3"/>
  <c r="D23" i="3"/>
  <c r="H22" i="3"/>
  <c r="P22" i="3" s="1"/>
  <c r="H23" i="3" l="1"/>
  <c r="P23" i="3" s="1"/>
  <c r="D24" i="3"/>
  <c r="K25" i="3"/>
  <c r="O24" i="3"/>
  <c r="K26" i="3" l="1"/>
  <c r="O25" i="3"/>
  <c r="D25" i="3"/>
  <c r="H24" i="3"/>
  <c r="P24" i="3" s="1"/>
  <c r="D26" i="3" l="1"/>
  <c r="H25" i="3"/>
  <c r="P25" i="3" s="1"/>
  <c r="O26" i="3"/>
  <c r="K27" i="3"/>
  <c r="K28" i="3" l="1"/>
  <c r="O27" i="3"/>
  <c r="D27" i="3"/>
  <c r="H26" i="3"/>
  <c r="P26" i="3" s="1"/>
  <c r="H27" i="3" l="1"/>
  <c r="P27" i="3" s="1"/>
  <c r="D28" i="3"/>
  <c r="K29" i="3"/>
  <c r="O28" i="3"/>
  <c r="K30" i="3" l="1"/>
  <c r="O29" i="3"/>
  <c r="D29" i="3"/>
  <c r="H28" i="3"/>
  <c r="P28" i="3" s="1"/>
  <c r="D30" i="3" l="1"/>
  <c r="H29" i="3"/>
  <c r="P29" i="3" s="1"/>
  <c r="O30" i="3"/>
  <c r="K31" i="3"/>
  <c r="K32" i="3" l="1"/>
  <c r="O31" i="3"/>
  <c r="D31" i="3"/>
  <c r="H30" i="3"/>
  <c r="P30" i="3" s="1"/>
  <c r="H31" i="3" l="1"/>
  <c r="P31" i="3" s="1"/>
  <c r="D32" i="3"/>
  <c r="K33" i="3"/>
  <c r="O32" i="3"/>
  <c r="K34" i="3" l="1"/>
  <c r="O33" i="3"/>
  <c r="D33" i="3"/>
  <c r="H32" i="3"/>
  <c r="P32" i="3" s="1"/>
  <c r="D34" i="3" l="1"/>
  <c r="H33" i="3"/>
  <c r="P33" i="3" s="1"/>
  <c r="O34" i="3"/>
  <c r="K35" i="3"/>
  <c r="K36" i="3" l="1"/>
  <c r="O35" i="3"/>
  <c r="D35" i="3"/>
  <c r="H34" i="3"/>
  <c r="P34" i="3" s="1"/>
  <c r="H35" i="3" l="1"/>
  <c r="P35" i="3" s="1"/>
  <c r="D36" i="3"/>
  <c r="K37" i="3"/>
  <c r="O36" i="3"/>
  <c r="K38" i="3" l="1"/>
  <c r="O37" i="3"/>
  <c r="D37" i="3"/>
  <c r="H36" i="3"/>
  <c r="P36" i="3" s="1"/>
  <c r="D38" i="3" l="1"/>
  <c r="H37" i="3"/>
  <c r="P37" i="3" s="1"/>
  <c r="O38" i="3"/>
  <c r="K39" i="3"/>
  <c r="K40" i="3" l="1"/>
  <c r="O39" i="3"/>
  <c r="D39" i="3"/>
  <c r="H38" i="3"/>
  <c r="P38" i="3" s="1"/>
  <c r="H39" i="3" l="1"/>
  <c r="P39" i="3" s="1"/>
  <c r="D40" i="3"/>
  <c r="K41" i="3"/>
  <c r="O40" i="3"/>
  <c r="K42" i="3" l="1"/>
  <c r="O41" i="3"/>
  <c r="D41" i="3"/>
  <c r="H40" i="3"/>
  <c r="P40" i="3" s="1"/>
  <c r="D42" i="3" l="1"/>
  <c r="H41" i="3"/>
  <c r="P41" i="3" s="1"/>
  <c r="O42" i="3"/>
  <c r="K43" i="3"/>
  <c r="O43" i="3" l="1"/>
  <c r="K44" i="3"/>
  <c r="K45" i="3" s="1"/>
  <c r="K46" i="3" s="1"/>
  <c r="D43" i="3"/>
  <c r="H43" i="3" s="1"/>
  <c r="P43" i="3" s="1"/>
  <c r="H42" i="3"/>
  <c r="P42" i="3" s="1"/>
</calcChain>
</file>

<file path=xl/comments1.xml><?xml version="1.0" encoding="utf-8"?>
<comments xmlns="http://schemas.openxmlformats.org/spreadsheetml/2006/main">
  <authors>
    <author>zhaoy</author>
  </authors>
  <commentList>
    <comment ref="D4" authorId="0" shapeId="0">
      <text>
        <r>
          <rPr>
            <b/>
            <sz val="9"/>
            <rFont val="宋体"/>
            <charset val="134"/>
          </rPr>
          <t>zhaoy:</t>
        </r>
        <r>
          <rPr>
            <sz val="9"/>
            <rFont val="宋体"/>
            <charset val="134"/>
          </rPr>
          <t xml:space="preserve">
设置自定义数据格式方便显示，直接输入实际起息日结息日即可</t>
        </r>
      </text>
    </comment>
    <comment ref="B66" authorId="0" shapeId="0">
      <text>
        <r>
          <rPr>
            <b/>
            <sz val="9"/>
            <rFont val="宋体"/>
            <charset val="134"/>
          </rPr>
          <t>zhaoy:</t>
        </r>
        <r>
          <rPr>
            <sz val="9"/>
            <rFont val="宋体"/>
            <charset val="134"/>
          </rPr>
          <t xml:space="preserve">
可根据实际情况，适当增加需要验算的事项</t>
        </r>
      </text>
    </comment>
    <comment ref="C70" authorId="0" shapeId="0">
      <text>
        <r>
          <rPr>
            <b/>
            <sz val="9"/>
            <rFont val="宋体"/>
            <charset val="134"/>
          </rPr>
          <t>zhaoy:</t>
        </r>
        <r>
          <rPr>
            <sz val="9"/>
            <rFont val="宋体"/>
            <charset val="134"/>
          </rPr>
          <t xml:space="preserve">
设置条件格式，可以通过颜色提示是否正确无误</t>
        </r>
      </text>
    </comment>
  </commentList>
</comments>
</file>

<file path=xl/sharedStrings.xml><?xml version="1.0" encoding="utf-8"?>
<sst xmlns="http://schemas.openxmlformats.org/spreadsheetml/2006/main" count="255" uniqueCount="152">
  <si>
    <t>XX项目分配表</t>
  </si>
  <si>
    <t>本次分配区间为：</t>
  </si>
  <si>
    <t>至</t>
  </si>
  <si>
    <t>一、当期回收款情况</t>
  </si>
  <si>
    <t>收入分账户余额</t>
  </si>
  <si>
    <t>收入回收款</t>
  </si>
  <si>
    <t>活期利息/合格投资收益</t>
  </si>
  <si>
    <t>小计</t>
  </si>
  <si>
    <t>本金分账户余额</t>
  </si>
  <si>
    <t>本金回收款</t>
  </si>
  <si>
    <t>从收入分账户转入金额</t>
  </si>
  <si>
    <t>转到收入分账户金额</t>
  </si>
  <si>
    <t>可供分配本金金额</t>
  </si>
  <si>
    <t>二、当期信托财产承担的税及费用情况</t>
  </si>
  <si>
    <t>计算基数</t>
  </si>
  <si>
    <t>费率</t>
  </si>
  <si>
    <t>金额</t>
  </si>
  <si>
    <t>增值税</t>
  </si>
  <si>
    <t>增值税附加</t>
  </si>
  <si>
    <t>评级费</t>
  </si>
  <si>
    <t>法律服务费</t>
  </si>
  <si>
    <t>会计服务费</t>
  </si>
  <si>
    <t>财务顾问费</t>
  </si>
  <si>
    <t>银登中心费用</t>
  </si>
  <si>
    <t>信托报酬</t>
  </si>
  <si>
    <t>保管费</t>
  </si>
  <si>
    <t>贷款管理服务报酬</t>
  </si>
  <si>
    <t>合计</t>
  </si>
  <si>
    <t>三、当期各投资者应分配的收益及本金</t>
  </si>
  <si>
    <t>期初本金余额</t>
  </si>
  <si>
    <t>收益率</t>
  </si>
  <si>
    <t>利息</t>
  </si>
  <si>
    <t>兑付本金</t>
  </si>
  <si>
    <t>划款金额</t>
  </si>
  <si>
    <t>期末本金余额</t>
  </si>
  <si>
    <t>北京银行</t>
  </si>
  <si>
    <t>兴业银行</t>
  </si>
  <si>
    <t>中信银行</t>
  </si>
  <si>
    <t>上饶银行</t>
  </si>
  <si>
    <t>长沙银行</t>
  </si>
  <si>
    <t>广州银行</t>
  </si>
  <si>
    <t>台州银行</t>
  </si>
  <si>
    <t>招商证券</t>
  </si>
  <si>
    <t>兴业银行长春分行</t>
  </si>
  <si>
    <t>东莞银行</t>
  </si>
  <si>
    <t>国泰君安证券</t>
  </si>
  <si>
    <t>国盛证券</t>
  </si>
  <si>
    <t>越秀金控资本管理公司</t>
  </si>
  <si>
    <t>中金公司</t>
  </si>
  <si>
    <t>兴业资产管理公司</t>
  </si>
  <si>
    <t>四、产品份额当期期初及期末存续情况</t>
  </si>
  <si>
    <t>优先A期初份额</t>
  </si>
  <si>
    <t>优先A期末份额</t>
  </si>
  <si>
    <t>优先B期初份额</t>
  </si>
  <si>
    <t>优先B期末份额</t>
  </si>
  <si>
    <t>次级期初份额</t>
  </si>
  <si>
    <t>次级期末份额</t>
  </si>
  <si>
    <t>五、验算及复核</t>
  </si>
  <si>
    <t>可分配总金额</t>
  </si>
  <si>
    <t>实际分配总金额</t>
  </si>
  <si>
    <t>是否正常</t>
  </si>
  <si>
    <t>日期</t>
  </si>
  <si>
    <t>收款账户</t>
  </si>
  <si>
    <t>付款账户</t>
  </si>
  <si>
    <t>信托账户余额</t>
  </si>
  <si>
    <t>备注</t>
  </si>
  <si>
    <t>收入分账户</t>
  </si>
  <si>
    <t>本金分账户</t>
  </si>
  <si>
    <t>余额</t>
  </si>
  <si>
    <t>费用和开支账户</t>
  </si>
  <si>
    <t>分配账户</t>
  </si>
  <si>
    <t>收入</t>
  </si>
  <si>
    <t>支出</t>
  </si>
  <si>
    <t>回收款</t>
  </si>
  <si>
    <t>本金账转收入账</t>
  </si>
  <si>
    <t>账内分配</t>
  </si>
  <si>
    <t>增值税及附加</t>
  </si>
  <si>
    <t>北京银行-优先A</t>
  </si>
  <si>
    <t>兴业银行-优先A</t>
  </si>
  <si>
    <t>中信银行-优先A</t>
  </si>
  <si>
    <t>上饶银行-优先A</t>
  </si>
  <si>
    <t>长沙银行-优先A</t>
  </si>
  <si>
    <t>广州银行-优先A</t>
  </si>
  <si>
    <t>台州银行-优先A</t>
  </si>
  <si>
    <t>台州银行-优先B</t>
  </si>
  <si>
    <t>招商证券-优先B</t>
  </si>
  <si>
    <t>兴业银行长春分行-优先B</t>
  </si>
  <si>
    <t>东莞银行-优先B</t>
  </si>
  <si>
    <t>起息日</t>
  </si>
  <si>
    <t>结息日</t>
  </si>
  <si>
    <t>天数</t>
  </si>
  <si>
    <t>从本金账转到收入账余额</t>
  </si>
  <si>
    <t>收入账转入费用和开支账户</t>
  </si>
  <si>
    <t>收入账转入分配账户</t>
  </si>
  <si>
    <t>本金账转入分配账户</t>
  </si>
  <si>
    <t>初始起算日</t>
  </si>
  <si>
    <t>收款期间起始日</t>
  </si>
  <si>
    <t>收款期间终止日</t>
  </si>
  <si>
    <t>上一期期末</t>
  </si>
  <si>
    <t>本期期末</t>
  </si>
  <si>
    <t>未偿本金余额（万元）</t>
  </si>
  <si>
    <t>总笔数</t>
  </si>
  <si>
    <t>资产笔数（笔）</t>
  </si>
  <si>
    <t>总户数</t>
  </si>
  <si>
    <t>借款人户数（户）</t>
  </si>
  <si>
    <t>未偿本金余额</t>
  </si>
  <si>
    <t>单户借款人最高未偿本金余额（万元）</t>
  </si>
  <si>
    <t>单户借款人最高未偿本金余额</t>
  </si>
  <si>
    <t>单笔资产最高未偿本金余额（万元）</t>
  </si>
  <si>
    <t>单笔贷款最高本金余额</t>
  </si>
  <si>
    <t>单笔资产平均未偿本金余额（万元）</t>
  </si>
  <si>
    <t>单笔贷款平均本金余额</t>
  </si>
  <si>
    <r>
      <rPr>
        <sz val="9"/>
        <color theme="1"/>
        <rFont val="楷体_GB2312"/>
        <charset val="134"/>
      </rPr>
      <t>加权平均利率（</t>
    </r>
    <r>
      <rPr>
        <sz val="9"/>
        <color theme="1"/>
        <rFont val="Times New Roman"/>
        <family val="1"/>
      </rPr>
      <t>%</t>
    </r>
    <r>
      <rPr>
        <sz val="9"/>
        <color theme="1"/>
        <rFont val="楷体_GB2312"/>
        <charset val="134"/>
      </rPr>
      <t>）</t>
    </r>
  </si>
  <si>
    <t>担保贷款本金余额</t>
  </si>
  <si>
    <r>
      <rPr>
        <sz val="9"/>
        <color theme="1"/>
        <rFont val="楷体_GB2312"/>
        <charset val="134"/>
      </rPr>
      <t>单笔资产最高利率（</t>
    </r>
    <r>
      <rPr>
        <sz val="9"/>
        <color theme="1"/>
        <rFont val="Times New Roman"/>
        <family val="1"/>
      </rPr>
      <t>%</t>
    </r>
    <r>
      <rPr>
        <sz val="9"/>
        <color theme="1"/>
        <rFont val="楷体_GB2312"/>
        <charset val="134"/>
      </rPr>
      <t>）</t>
    </r>
  </si>
  <si>
    <r>
      <rPr>
        <sz val="9"/>
        <color theme="1"/>
        <rFont val="楷体_GB2312"/>
        <charset val="134"/>
      </rPr>
      <t>单笔资产最低利率（</t>
    </r>
    <r>
      <rPr>
        <sz val="9"/>
        <color theme="1"/>
        <rFont val="Times New Roman"/>
        <family val="1"/>
      </rPr>
      <t>%</t>
    </r>
    <r>
      <rPr>
        <sz val="9"/>
        <color theme="1"/>
        <rFont val="楷体_GB2312"/>
        <charset val="134"/>
      </rPr>
      <t>）</t>
    </r>
  </si>
  <si>
    <t>加权平均合同期限</t>
  </si>
  <si>
    <t>加权平均剩余期限（年）</t>
  </si>
  <si>
    <t>加权平均剩余期限</t>
  </si>
  <si>
    <t>加权平均期限（年）</t>
  </si>
  <si>
    <t>加权平均账龄</t>
  </si>
  <si>
    <t>加权平均账龄（年）</t>
  </si>
  <si>
    <t>贷款最长到期期限</t>
  </si>
  <si>
    <t>单笔资产最长剩余期限（年）</t>
  </si>
  <si>
    <t>贷款最短到期期限</t>
  </si>
  <si>
    <t>单笔资产最短剩余期限（年）</t>
  </si>
  <si>
    <t>加权平均贷款利率</t>
  </si>
  <si>
    <t>最高贷款利率</t>
  </si>
  <si>
    <t>最低贷款利率</t>
  </si>
  <si>
    <t>-</t>
  </si>
  <si>
    <r>
      <rPr>
        <b/>
        <sz val="12"/>
        <color theme="1"/>
        <rFont val="楷体_GB2312"/>
        <charset val="134"/>
      </rPr>
      <t>优先</t>
    </r>
    <r>
      <rPr>
        <b/>
        <sz val="12"/>
        <color theme="1"/>
        <rFont val="Times New Roman"/>
        <family val="1"/>
      </rPr>
      <t>A</t>
    </r>
    <r>
      <rPr>
        <b/>
        <sz val="12"/>
        <color theme="1"/>
        <rFont val="楷体_GB2312"/>
        <charset val="134"/>
      </rPr>
      <t>级</t>
    </r>
  </si>
  <si>
    <r>
      <rPr>
        <b/>
        <sz val="12"/>
        <color theme="1"/>
        <rFont val="楷体_GB2312"/>
        <charset val="134"/>
      </rPr>
      <t>优先</t>
    </r>
    <r>
      <rPr>
        <b/>
        <sz val="12"/>
        <color theme="1"/>
        <rFont val="Times New Roman"/>
        <family val="1"/>
      </rPr>
      <t>B</t>
    </r>
    <r>
      <rPr>
        <b/>
        <sz val="12"/>
        <color theme="1"/>
        <rFont val="楷体_GB2312"/>
        <charset val="134"/>
      </rPr>
      <t>级</t>
    </r>
  </si>
  <si>
    <t>次级</t>
  </si>
  <si>
    <r>
      <rPr>
        <sz val="9"/>
        <color theme="1"/>
        <rFont val="Times New Roman"/>
        <family val="1"/>
      </rPr>
      <t>1.</t>
    </r>
    <r>
      <rPr>
        <sz val="9"/>
        <color theme="1"/>
        <rFont val="楷体_GB2312"/>
        <charset val="134"/>
      </rPr>
      <t>本金初始金额（元）</t>
    </r>
  </si>
  <si>
    <r>
      <rPr>
        <sz val="9"/>
        <color theme="1"/>
        <rFont val="Times New Roman"/>
        <family val="1"/>
      </rPr>
      <t>2.</t>
    </r>
    <r>
      <rPr>
        <sz val="9"/>
        <color theme="1"/>
        <rFont val="楷体_GB2312"/>
        <charset val="134"/>
      </rPr>
      <t>本金期初金额（元）</t>
    </r>
  </si>
  <si>
    <r>
      <rPr>
        <sz val="9"/>
        <color theme="1"/>
        <rFont val="Times New Roman"/>
        <family val="1"/>
      </rPr>
      <t>3.</t>
    </r>
    <r>
      <rPr>
        <sz val="9"/>
        <color theme="1"/>
        <rFont val="楷体_GB2312"/>
        <charset val="134"/>
      </rPr>
      <t>上期转存本金金额（元）</t>
    </r>
  </si>
  <si>
    <r>
      <rPr>
        <sz val="9"/>
        <color theme="1"/>
        <rFont val="Times New Roman"/>
        <family val="1"/>
      </rPr>
      <t>4.</t>
    </r>
    <r>
      <rPr>
        <sz val="9"/>
        <color theme="1"/>
        <rFont val="楷体_GB2312"/>
        <charset val="134"/>
      </rPr>
      <t>本期可分配本金金额（元）</t>
    </r>
  </si>
  <si>
    <r>
      <rPr>
        <sz val="9"/>
        <color theme="1"/>
        <rFont val="Times New Roman"/>
        <family val="1"/>
      </rPr>
      <t>5.</t>
    </r>
    <r>
      <rPr>
        <sz val="9"/>
        <color theme="1"/>
        <rFont val="楷体_GB2312"/>
        <charset val="134"/>
      </rPr>
      <t>本期兑付本金总额（元）</t>
    </r>
  </si>
  <si>
    <r>
      <rPr>
        <sz val="9"/>
        <color theme="1"/>
        <rFont val="Times New Roman"/>
        <family val="1"/>
      </rPr>
      <t>6.</t>
    </r>
    <r>
      <rPr>
        <sz val="9"/>
        <color theme="1"/>
        <rFont val="楷体_GB2312"/>
        <charset val="134"/>
      </rPr>
      <t>还款比例（</t>
    </r>
    <r>
      <rPr>
        <sz val="9"/>
        <color theme="1"/>
        <rFont val="Times New Roman"/>
        <family val="1"/>
      </rPr>
      <t>%</t>
    </r>
    <r>
      <rPr>
        <sz val="9"/>
        <color theme="1"/>
        <rFont val="楷体_GB2312"/>
        <charset val="134"/>
      </rPr>
      <t>）</t>
    </r>
  </si>
  <si>
    <r>
      <rPr>
        <sz val="9"/>
        <color theme="1"/>
        <rFont val="Times New Roman"/>
        <family val="1"/>
      </rPr>
      <t>7.</t>
    </r>
    <r>
      <rPr>
        <sz val="9"/>
        <color theme="1"/>
        <rFont val="楷体_GB2312"/>
        <charset val="134"/>
      </rPr>
      <t>转存下期本金金额（元）</t>
    </r>
  </si>
  <si>
    <r>
      <rPr>
        <sz val="9"/>
        <color theme="1"/>
        <rFont val="Times New Roman"/>
        <family val="1"/>
      </rPr>
      <t>8.</t>
    </r>
    <r>
      <rPr>
        <sz val="9"/>
        <color theme="1"/>
        <rFont val="楷体_GB2312"/>
        <charset val="134"/>
      </rPr>
      <t>本期本金损失金额（元）</t>
    </r>
  </si>
  <si>
    <r>
      <rPr>
        <sz val="9"/>
        <color theme="1"/>
        <rFont val="Times New Roman"/>
        <family val="1"/>
      </rPr>
      <t>9.</t>
    </r>
    <r>
      <rPr>
        <sz val="9"/>
        <color theme="1"/>
        <rFont val="楷体_GB2312"/>
        <charset val="134"/>
      </rPr>
      <t>本金期末余额（元）</t>
    </r>
  </si>
  <si>
    <r>
      <rPr>
        <sz val="9"/>
        <color theme="1"/>
        <rFont val="Times New Roman"/>
        <family val="1"/>
      </rPr>
      <t>10.</t>
    </r>
    <r>
      <rPr>
        <sz val="9"/>
        <color theme="1"/>
        <rFont val="楷体_GB2312"/>
        <charset val="134"/>
      </rPr>
      <t>预期收益率（</t>
    </r>
    <r>
      <rPr>
        <sz val="9"/>
        <color theme="1"/>
        <rFont val="Times New Roman"/>
        <family val="1"/>
      </rPr>
      <t>%</t>
    </r>
    <r>
      <rPr>
        <sz val="9"/>
        <color theme="1"/>
        <rFont val="楷体_GB2312"/>
        <charset val="134"/>
      </rPr>
      <t>）</t>
    </r>
  </si>
  <si>
    <r>
      <rPr>
        <sz val="9"/>
        <color theme="1"/>
        <rFont val="Times New Roman"/>
        <family val="1"/>
      </rPr>
      <t>11.</t>
    </r>
    <r>
      <rPr>
        <sz val="9"/>
        <color theme="1"/>
        <rFont val="楷体_GB2312"/>
        <charset val="134"/>
      </rPr>
      <t>本期应支付的预期收益金额（元）</t>
    </r>
  </si>
  <si>
    <r>
      <rPr>
        <sz val="9"/>
        <color theme="1"/>
        <rFont val="Times New Roman"/>
        <family val="1"/>
      </rPr>
      <t>12.</t>
    </r>
    <r>
      <rPr>
        <sz val="9"/>
        <color theme="1"/>
        <rFont val="楷体_GB2312"/>
        <charset val="134"/>
      </rPr>
      <t>本期实际支付的收益金额（元）</t>
    </r>
  </si>
  <si>
    <r>
      <rPr>
        <sz val="9"/>
        <color theme="1"/>
        <rFont val="Times New Roman"/>
        <family val="1"/>
      </rPr>
      <t>13.</t>
    </r>
    <r>
      <rPr>
        <sz val="9"/>
        <color theme="1"/>
        <rFont val="楷体_GB2312"/>
        <charset val="134"/>
      </rPr>
      <t>本支付日日终时累计应支付未付的预期收益金额（元）</t>
    </r>
  </si>
  <si>
    <r>
      <rPr>
        <sz val="9"/>
        <color theme="1"/>
        <rFont val="Times New Roman"/>
        <family val="1"/>
      </rPr>
      <t>14.</t>
    </r>
    <r>
      <rPr>
        <sz val="9"/>
        <color theme="1"/>
        <rFont val="楷体_GB2312"/>
        <charset val="134"/>
      </rPr>
      <t>本期总支付金额（元）</t>
    </r>
  </si>
  <si>
    <r>
      <rPr>
        <sz val="9"/>
        <color theme="1"/>
        <rFont val="Times New Roman"/>
        <family val="1"/>
      </rPr>
      <t>15.</t>
    </r>
    <r>
      <rPr>
        <sz val="9"/>
        <color theme="1"/>
        <rFont val="楷体_GB2312"/>
        <charset val="134"/>
      </rPr>
      <t>信用评级结果</t>
    </r>
  </si>
  <si>
    <t>AAA</t>
  </si>
  <si>
    <t>AA+</t>
  </si>
  <si>
    <t>不予评级</t>
  </si>
  <si>
    <t>投资者名称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</si>
</sst>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#,##0.00_ "/>
    <numFmt numFmtId="165" formatCode="#,##0_ "/>
    <numFmt numFmtId="166" formatCode="&quot;结&quot;&quot;息&quot;&quot;日&quot;&quot;：&quot;yyyy/m/d;@"/>
    <numFmt numFmtId="167" formatCode="yyyy\-mm\-dd;@"/>
    <numFmt numFmtId="168" formatCode="&quot;起&quot;&quot;息&quot;&quot;日&quot;&quot;：&quot;yyyy/m/d;@"/>
    <numFmt numFmtId="169" formatCode="&quot;共&quot;&quot;计&quot;General&quot;天&quot;"/>
  </numFmts>
  <fonts count="17">
    <font>
      <sz val="11"/>
      <color theme="1"/>
      <name val="Calibri"/>
      <charset val="134"/>
      <scheme val="minor"/>
    </font>
    <font>
      <b/>
      <sz val="12"/>
      <color theme="1"/>
      <name val="Times New Roman"/>
      <family val="1"/>
    </font>
    <font>
      <b/>
      <sz val="9"/>
      <color theme="1"/>
      <name val="楷体_GB2312"/>
      <charset val="134"/>
    </font>
    <font>
      <sz val="9"/>
      <color theme="1"/>
      <name val="Times New Roman"/>
      <family val="1"/>
    </font>
    <font>
      <sz val="9"/>
      <color theme="1"/>
      <name val="楷体_GB2312"/>
      <charset val="134"/>
    </font>
    <font>
      <sz val="12"/>
      <color theme="1"/>
      <name val="Times New Roman"/>
      <family val="1"/>
    </font>
    <font>
      <sz val="9"/>
      <color rgb="FF000000"/>
      <name val="Tahoma"/>
      <family val="2"/>
    </font>
    <font>
      <sz val="9"/>
      <color theme="1"/>
      <name val="Tahoma"/>
      <family val="2"/>
    </font>
    <font>
      <b/>
      <sz val="12"/>
      <color theme="1"/>
      <name val="楷体_GB2312"/>
      <charset val="134"/>
    </font>
    <font>
      <sz val="11"/>
      <color theme="1"/>
      <name val="华文楷体"/>
      <charset val="134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b/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0" borderId="1" xfId="0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43" fontId="0" fillId="3" borderId="1" xfId="1" applyFont="1" applyFill="1" applyBorder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1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64" fontId="5" fillId="0" borderId="6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165" fontId="5" fillId="0" borderId="6" xfId="0" applyNumberFormat="1" applyFont="1" applyBorder="1" applyAlignment="1">
      <alignment vertical="center" wrapText="1"/>
    </xf>
    <xf numFmtId="4" fontId="6" fillId="0" borderId="7" xfId="0" applyNumberFormat="1" applyFont="1" applyBorder="1" applyAlignment="1">
      <alignment vertical="center" wrapText="1"/>
    </xf>
    <xf numFmtId="10" fontId="5" fillId="0" borderId="6" xfId="0" applyNumberFormat="1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10" fontId="6" fillId="0" borderId="7" xfId="0" applyNumberFormat="1" applyFont="1" applyBorder="1" applyAlignment="1">
      <alignment horizontal="right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4" fontId="6" fillId="0" borderId="3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horizontal="center" vertical="center" wrapText="1"/>
    </xf>
    <xf numFmtId="10" fontId="6" fillId="0" borderId="6" xfId="0" applyNumberFormat="1" applyFont="1" applyBorder="1" applyAlignment="1">
      <alignment horizontal="center" vertical="center" wrapText="1"/>
    </xf>
    <xf numFmtId="4" fontId="6" fillId="0" borderId="6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center" vertical="center" wrapText="1"/>
    </xf>
    <xf numFmtId="3" fontId="0" fillId="0" borderId="0" xfId="0" applyNumberFormat="1" applyAlignment="1">
      <alignment vertical="center"/>
    </xf>
    <xf numFmtId="14" fontId="6" fillId="0" borderId="2" xfId="0" applyNumberFormat="1" applyFont="1" applyBorder="1" applyAlignment="1">
      <alignment horizontal="center" vertical="center" wrapText="1"/>
    </xf>
    <xf numFmtId="4" fontId="7" fillId="0" borderId="3" xfId="0" applyNumberFormat="1" applyFont="1" applyBorder="1" applyAlignment="1">
      <alignment horizontal="right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4" fontId="7" fillId="0" borderId="6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3" fontId="6" fillId="0" borderId="5" xfId="0" applyNumberFormat="1" applyFont="1" applyBorder="1" applyAlignment="1">
      <alignment horizontal="right" vertical="center" wrapText="1"/>
    </xf>
    <xf numFmtId="4" fontId="6" fillId="0" borderId="5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10" fontId="6" fillId="0" borderId="5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4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64" fontId="3" fillId="0" borderId="6" xfId="0" applyNumberFormat="1" applyFont="1" applyBorder="1" applyAlignment="1">
      <alignment vertical="center" wrapText="1"/>
    </xf>
    <xf numFmtId="43" fontId="3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167" fontId="9" fillId="0" borderId="1" xfId="0" applyNumberFormat="1" applyFont="1" applyBorder="1" applyAlignment="1">
      <alignment vertical="center"/>
    </xf>
    <xf numFmtId="43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43" fontId="9" fillId="0" borderId="1" xfId="1" applyFont="1" applyBorder="1" applyAlignment="1">
      <alignment horizontal="center" vertical="center"/>
    </xf>
    <xf numFmtId="164" fontId="9" fillId="0" borderId="1" xfId="0" applyNumberFormat="1" applyFont="1" applyBorder="1" applyAlignment="1">
      <alignment vertical="center"/>
    </xf>
    <xf numFmtId="43" fontId="9" fillId="0" borderId="0" xfId="1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8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left" vertical="center"/>
    </xf>
    <xf numFmtId="169" fontId="0" fillId="0" borderId="0" xfId="0" applyNumberFormat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3" borderId="15" xfId="0" applyNumberFormat="1" applyFill="1" applyBorder="1" applyAlignment="1">
      <alignment vertical="center"/>
    </xf>
    <xf numFmtId="164" fontId="0" fillId="3" borderId="16" xfId="0" applyNumberFormat="1" applyFill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3" borderId="15" xfId="0" applyFill="1" applyBorder="1" applyAlignment="1">
      <alignment vertical="center"/>
    </xf>
    <xf numFmtId="43" fontId="0" fillId="3" borderId="16" xfId="1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43" fontId="0" fillId="0" borderId="14" xfId="1" applyFont="1" applyBorder="1" applyAlignment="1">
      <alignment vertical="center"/>
    </xf>
    <xf numFmtId="0" fontId="0" fillId="3" borderId="18" xfId="0" applyFill="1" applyBorder="1" applyAlignment="1">
      <alignment vertical="center"/>
    </xf>
    <xf numFmtId="43" fontId="0" fillId="0" borderId="14" xfId="0" applyNumberFormat="1" applyBorder="1" applyAlignment="1">
      <alignment vertical="center"/>
    </xf>
    <xf numFmtId="0" fontId="0" fillId="3" borderId="13" xfId="0" applyFill="1" applyBorder="1" applyAlignment="1">
      <alignment vertical="center"/>
    </xf>
    <xf numFmtId="43" fontId="0" fillId="3" borderId="14" xfId="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43" fontId="0" fillId="0" borderId="20" xfId="1" applyFont="1" applyBorder="1" applyAlignment="1">
      <alignment vertical="center"/>
    </xf>
    <xf numFmtId="10" fontId="0" fillId="0" borderId="20" xfId="0" applyNumberFormat="1" applyBorder="1" applyAlignment="1">
      <alignment vertical="center"/>
    </xf>
    <xf numFmtId="164" fontId="0" fillId="0" borderId="20" xfId="0" applyNumberFormat="1" applyBorder="1" applyAlignment="1">
      <alignment vertical="center"/>
    </xf>
    <xf numFmtId="43" fontId="0" fillId="0" borderId="21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vertical="center"/>
    </xf>
    <xf numFmtId="43" fontId="0" fillId="0" borderId="18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1" xfId="0" applyBorder="1" applyAlignment="1">
      <alignment vertical="center"/>
    </xf>
    <xf numFmtId="4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0" fontId="0" fillId="0" borderId="12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0" fontId="0" fillId="0" borderId="14" xfId="0" applyNumberFormat="1" applyBorder="1" applyAlignment="1">
      <alignment vertical="center"/>
    </xf>
    <xf numFmtId="43" fontId="0" fillId="3" borderId="18" xfId="1" applyFont="1" applyFill="1" applyBorder="1" applyAlignment="1">
      <alignment vertical="center"/>
    </xf>
    <xf numFmtId="10" fontId="0" fillId="3" borderId="18" xfId="2" applyNumberFormat="1" applyFont="1" applyFill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370914</xdr:colOff>
      <xdr:row>14</xdr:row>
      <xdr:rowOff>133033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85640" cy="253301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494724</xdr:colOff>
      <xdr:row>14</xdr:row>
      <xdr:rowOff>171129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0"/>
          <a:ext cx="4609465" cy="2571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6</xdr:col>
      <xdr:colOff>304248</xdr:colOff>
      <xdr:row>32</xdr:row>
      <xdr:rowOff>37774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14650"/>
          <a:ext cx="4418965" cy="260921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13</xdr:col>
      <xdr:colOff>418533</xdr:colOff>
      <xdr:row>32</xdr:row>
      <xdr:rowOff>37774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0600" y="2914650"/>
          <a:ext cx="4533265" cy="2609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6</xdr:col>
      <xdr:colOff>361390</xdr:colOff>
      <xdr:row>49</xdr:row>
      <xdr:rowOff>18726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829300"/>
          <a:ext cx="4476115" cy="259016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13</xdr:col>
      <xdr:colOff>266152</xdr:colOff>
      <xdr:row>48</xdr:row>
      <xdr:rowOff>94938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00600" y="5829300"/>
          <a:ext cx="4380865" cy="2494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570743</xdr:colOff>
      <xdr:row>5</xdr:row>
      <xdr:rowOff>171321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6630" cy="102806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15</xdr:col>
      <xdr:colOff>504248</xdr:colOff>
      <xdr:row>7</xdr:row>
      <xdr:rowOff>95088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0"/>
          <a:ext cx="4618990" cy="1294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8</xdr:col>
      <xdr:colOff>456457</xdr:colOff>
      <xdr:row>20</xdr:row>
      <xdr:rowOff>75955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43050"/>
          <a:ext cx="5942330" cy="19615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16</xdr:col>
      <xdr:colOff>542257</xdr:colOff>
      <xdr:row>17</xdr:row>
      <xdr:rowOff>114114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72200" y="1543050"/>
          <a:ext cx="5342255" cy="1485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284943</xdr:colOff>
      <xdr:row>27</xdr:row>
      <xdr:rowOff>85607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771900"/>
          <a:ext cx="6456680" cy="9423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16</xdr:col>
      <xdr:colOff>685200</xdr:colOff>
      <xdr:row>30</xdr:row>
      <xdr:rowOff>37924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3771900"/>
          <a:ext cx="479996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8</xdr:col>
      <xdr:colOff>304076</xdr:colOff>
      <xdr:row>39</xdr:row>
      <xdr:rowOff>28421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486400"/>
          <a:ext cx="5789930" cy="122809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17</xdr:col>
      <xdr:colOff>199400</xdr:colOff>
      <xdr:row>41</xdr:row>
      <xdr:rowOff>75998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0" y="5486400"/>
          <a:ext cx="4999990" cy="1618615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247650</xdr:colOff>
      <xdr:row>42</xdr:row>
      <xdr:rowOff>95250</xdr:rowOff>
    </xdr:from>
    <xdr:to>
      <xdr:col>17</xdr:col>
      <xdr:colOff>532764</xdr:colOff>
      <xdr:row>55</xdr:row>
      <xdr:rowOff>9257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05650" y="7296150"/>
          <a:ext cx="5085080" cy="2142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10</xdr:col>
      <xdr:colOff>170571</xdr:colOff>
      <xdr:row>57</xdr:row>
      <xdr:rowOff>9224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372350"/>
          <a:ext cx="7028180" cy="2409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11</xdr:col>
      <xdr:colOff>246676</xdr:colOff>
      <xdr:row>78</xdr:row>
      <xdr:rowOff>113857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944100"/>
          <a:ext cx="7790180" cy="35426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19</xdr:col>
      <xdr:colOff>170829</xdr:colOff>
      <xdr:row>70</xdr:row>
      <xdr:rowOff>9267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29600" y="9944100"/>
          <a:ext cx="4971415" cy="20662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5</xdr:col>
      <xdr:colOff>609095</xdr:colOff>
      <xdr:row>86</xdr:row>
      <xdr:rowOff>133226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3887450"/>
          <a:ext cx="4037965" cy="989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showGridLines="0" tabSelected="1" topLeftCell="A37" zoomScale="85" zoomScaleNormal="85" workbookViewId="0">
      <selection activeCell="B56" sqref="B56"/>
    </sheetView>
  </sheetViews>
  <sheetFormatPr defaultColWidth="9" defaultRowHeight="15"/>
  <cols>
    <col min="1" max="1" width="1.7109375" customWidth="1"/>
    <col min="2" max="2" width="22.42578125" style="2" customWidth="1"/>
    <col min="3" max="3" width="20.42578125" style="2" customWidth="1"/>
    <col min="4" max="4" width="18.7109375" style="2" customWidth="1"/>
    <col min="5" max="5" width="16" style="2" customWidth="1"/>
    <col min="6" max="6" width="18.7109375" style="2" customWidth="1"/>
    <col min="7" max="7" width="18.28515625" style="2" customWidth="1"/>
    <col min="8" max="8" width="20.42578125" style="2" customWidth="1"/>
    <col min="9" max="9" width="14.42578125" style="2" customWidth="1"/>
    <col min="10" max="10" width="9" style="2"/>
    <col min="11" max="11" width="14.42578125" style="2" customWidth="1"/>
    <col min="12" max="12" width="10.42578125" style="2"/>
    <col min="13" max="13" width="18.28515625" style="2"/>
    <col min="14" max="16384" width="9" style="2"/>
  </cols>
  <sheetData>
    <row r="1" spans="2:13" ht="6.95" customHeight="1"/>
    <row r="2" spans="2:13" ht="21" customHeight="1">
      <c r="B2" s="120" t="s">
        <v>0</v>
      </c>
      <c r="C2" s="121"/>
      <c r="D2" s="121"/>
      <c r="E2" s="121"/>
      <c r="F2" s="121"/>
      <c r="G2" s="121"/>
      <c r="H2" s="122"/>
    </row>
    <row r="3" spans="2:13" ht="5.0999999999999996" customHeight="1">
      <c r="B3" s="70"/>
      <c r="C3" s="70"/>
      <c r="D3" s="70"/>
      <c r="E3" s="70"/>
      <c r="F3" s="70"/>
      <c r="G3" s="70"/>
      <c r="H3" s="70"/>
    </row>
    <row r="4" spans="2:13" ht="15.95" customHeight="1">
      <c r="C4" s="71" t="s">
        <v>1</v>
      </c>
      <c r="D4" s="72">
        <v>44285</v>
      </c>
      <c r="E4" s="73" t="s">
        <v>2</v>
      </c>
      <c r="F4" s="74">
        <v>44301</v>
      </c>
      <c r="G4" s="75">
        <f>F4-D4</f>
        <v>16</v>
      </c>
    </row>
    <row r="5" spans="2:13" ht="6.95" customHeight="1">
      <c r="C5" s="76"/>
      <c r="D5" s="77"/>
      <c r="E5" s="77"/>
      <c r="F5" s="77"/>
      <c r="G5" s="77"/>
      <c r="H5" s="78"/>
    </row>
    <row r="6" spans="2:13" ht="8.1" customHeight="1">
      <c r="B6" s="79"/>
    </row>
    <row r="7" spans="2:13">
      <c r="B7" s="80" t="s">
        <v>3</v>
      </c>
    </row>
    <row r="8" spans="2:13" ht="5.0999999999999996" customHeight="1">
      <c r="B8" s="80"/>
    </row>
    <row r="9" spans="2:13">
      <c r="B9" s="81" t="s">
        <v>4</v>
      </c>
      <c r="C9" s="82">
        <v>0</v>
      </c>
      <c r="K9" s="1"/>
      <c r="L9" s="1"/>
      <c r="M9" s="1"/>
    </row>
    <row r="10" spans="2:13">
      <c r="B10" s="83" t="s">
        <v>5</v>
      </c>
      <c r="C10" s="84">
        <f>台账!B4</f>
        <v>2626917.0499999998</v>
      </c>
      <c r="K10" s="5"/>
      <c r="L10" s="5"/>
    </row>
    <row r="11" spans="2:13">
      <c r="B11" s="83" t="s">
        <v>6</v>
      </c>
      <c r="C11" s="84">
        <v>0</v>
      </c>
    </row>
    <row r="12" spans="2:13">
      <c r="B12" s="85" t="s">
        <v>7</v>
      </c>
      <c r="C12" s="86">
        <f>SUM(C9:C11)</f>
        <v>2626917.0499999998</v>
      </c>
    </row>
    <row r="13" spans="2:13">
      <c r="B13" s="87"/>
      <c r="C13" s="88"/>
    </row>
    <row r="14" spans="2:13">
      <c r="B14" s="81" t="s">
        <v>8</v>
      </c>
      <c r="C14" s="82">
        <v>0</v>
      </c>
    </row>
    <row r="15" spans="2:13">
      <c r="B15" s="83" t="s">
        <v>9</v>
      </c>
      <c r="C15" s="84">
        <f>台账!E4</f>
        <v>859510379.75</v>
      </c>
      <c r="M15" s="7"/>
    </row>
    <row r="16" spans="2:13">
      <c r="B16" s="83" t="s">
        <v>10</v>
      </c>
      <c r="C16" s="84"/>
    </row>
    <row r="17" spans="2:13">
      <c r="B17" s="83" t="s">
        <v>11</v>
      </c>
      <c r="C17" s="84">
        <f>E33+E57-C10</f>
        <v>14732694.819999997</v>
      </c>
    </row>
    <row r="18" spans="2:13">
      <c r="B18" s="89" t="s">
        <v>12</v>
      </c>
      <c r="C18" s="90">
        <f>C15+C16-C17</f>
        <v>844777684.92999995</v>
      </c>
    </row>
    <row r="19" spans="2:13">
      <c r="M19" s="6"/>
    </row>
    <row r="20" spans="2:13" customFormat="1" ht="24" customHeight="1">
      <c r="B20" s="80" t="s">
        <v>13</v>
      </c>
      <c r="C20" s="2"/>
      <c r="D20" s="2"/>
      <c r="E20" s="2"/>
      <c r="F20" s="2"/>
      <c r="L20" s="2"/>
      <c r="M20" s="6"/>
    </row>
    <row r="21" spans="2:13" customFormat="1" ht="6" customHeight="1">
      <c r="B21" s="80"/>
      <c r="C21" s="2"/>
      <c r="D21" s="2"/>
      <c r="E21" s="2"/>
      <c r="F21" s="2"/>
      <c r="L21" s="2"/>
      <c r="M21" s="6"/>
    </row>
    <row r="22" spans="2:13" s="1" customFormat="1">
      <c r="B22" s="91"/>
      <c r="C22" s="92" t="s">
        <v>14</v>
      </c>
      <c r="D22" s="92" t="s">
        <v>15</v>
      </c>
      <c r="E22" s="93" t="s">
        <v>16</v>
      </c>
    </row>
    <row r="23" spans="2:13">
      <c r="B23" s="83" t="s">
        <v>17</v>
      </c>
      <c r="C23" s="4">
        <f>C10</f>
        <v>2626917.0499999998</v>
      </c>
      <c r="D23" s="94">
        <v>0.03</v>
      </c>
      <c r="E23" s="84">
        <f>ROUND(C23/(1+D23)*D23,2)</f>
        <v>76512.149999999994</v>
      </c>
    </row>
    <row r="24" spans="2:13">
      <c r="B24" s="83" t="s">
        <v>18</v>
      </c>
      <c r="C24" s="4">
        <f>E23</f>
        <v>76512.149999999994</v>
      </c>
      <c r="D24" s="94">
        <v>0.12</v>
      </c>
      <c r="E24" s="84">
        <f>ROUND(E23*0.02,2)+ROUND(E23*0.03,2)+ROUND(E23*0.07,2)</f>
        <v>9181.4500000000007</v>
      </c>
      <c r="K24" s="6"/>
      <c r="L24" s="1"/>
      <c r="M24" s="10"/>
    </row>
    <row r="25" spans="2:13">
      <c r="B25" s="83" t="s">
        <v>19</v>
      </c>
      <c r="C25" s="3"/>
      <c r="D25" s="3"/>
      <c r="E25" s="84">
        <v>150000</v>
      </c>
      <c r="L25" s="1"/>
      <c r="M25" s="10"/>
    </row>
    <row r="26" spans="2:13">
      <c r="B26" s="83" t="s">
        <v>20</v>
      </c>
      <c r="C26" s="3"/>
      <c r="D26" s="3"/>
      <c r="E26" s="84">
        <v>350000</v>
      </c>
      <c r="M26" s="7"/>
    </row>
    <row r="27" spans="2:13">
      <c r="B27" s="83" t="s">
        <v>21</v>
      </c>
      <c r="C27" s="3"/>
      <c r="D27" s="3"/>
      <c r="E27" s="84">
        <v>230000</v>
      </c>
    </row>
    <row r="28" spans="2:13">
      <c r="B28" s="83" t="s">
        <v>22</v>
      </c>
      <c r="C28" s="11">
        <f>C64</f>
        <v>4965317366.0500002</v>
      </c>
      <c r="D28" s="12">
        <v>6.9999999999999999E-4</v>
      </c>
      <c r="E28" s="84">
        <f>ROUND(C28*D28,2)</f>
        <v>3475722.16</v>
      </c>
    </row>
    <row r="29" spans="2:13">
      <c r="B29" s="83" t="s">
        <v>23</v>
      </c>
      <c r="C29" s="3"/>
      <c r="D29" s="3"/>
      <c r="E29" s="95">
        <v>1092369.82</v>
      </c>
    </row>
    <row r="30" spans="2:13">
      <c r="B30" s="83" t="s">
        <v>24</v>
      </c>
      <c r="C30" s="11">
        <f>C64</f>
        <v>4965317366.0500002</v>
      </c>
      <c r="D30" s="12">
        <v>5.0000000000000001E-4</v>
      </c>
      <c r="E30" s="84">
        <f>ROUND(C30*D30*$G$4/365,2)</f>
        <v>108828.87</v>
      </c>
    </row>
    <row r="31" spans="2:13">
      <c r="B31" s="83" t="s">
        <v>25</v>
      </c>
      <c r="C31" s="11">
        <f>C64</f>
        <v>4965317366.0500002</v>
      </c>
      <c r="D31" s="12">
        <v>1E-4</v>
      </c>
      <c r="E31" s="84">
        <f>ROUND(C31*D31*$G$4/365,2)</f>
        <v>21765.77</v>
      </c>
    </row>
    <row r="32" spans="2:13">
      <c r="B32" s="83" t="s">
        <v>26</v>
      </c>
      <c r="C32" s="11">
        <f>C64</f>
        <v>4965317366.0500002</v>
      </c>
      <c r="D32" s="12">
        <v>0.02</v>
      </c>
      <c r="E32" s="84">
        <f>ROUND(C32*D32*$G$4/365,2)</f>
        <v>4353154.95</v>
      </c>
    </row>
    <row r="33" spans="2:8">
      <c r="B33" s="89" t="s">
        <v>27</v>
      </c>
      <c r="C33" s="96"/>
      <c r="D33" s="96"/>
      <c r="E33" s="86">
        <f>SUM(E23:E32)</f>
        <v>9867535.1699999999</v>
      </c>
    </row>
    <row r="35" spans="2:8" ht="21.95" customHeight="1">
      <c r="B35" s="80" t="s">
        <v>28</v>
      </c>
    </row>
    <row r="36" spans="2:8" customFormat="1" ht="6.95" customHeight="1">
      <c r="B36" s="80"/>
      <c r="C36" s="2"/>
      <c r="D36" s="2"/>
      <c r="E36" s="2"/>
      <c r="F36" s="2"/>
      <c r="G36" s="2"/>
      <c r="H36" s="2"/>
    </row>
    <row r="37" spans="2:8" s="1" customFormat="1">
      <c r="B37" s="119" t="s">
        <v>151</v>
      </c>
      <c r="C37" s="92" t="s">
        <v>29</v>
      </c>
      <c r="D37" s="92" t="s">
        <v>30</v>
      </c>
      <c r="E37" s="92" t="s">
        <v>31</v>
      </c>
      <c r="F37" s="92" t="s">
        <v>32</v>
      </c>
      <c r="G37" s="92" t="s">
        <v>33</v>
      </c>
      <c r="H37" s="93" t="s">
        <v>34</v>
      </c>
    </row>
    <row r="38" spans="2:8">
      <c r="B38" s="83" t="s">
        <v>35</v>
      </c>
      <c r="C38" s="13">
        <v>990000000</v>
      </c>
      <c r="D38" s="12">
        <v>3.8899999999999997E-2</v>
      </c>
      <c r="E38" s="4">
        <f t="shared" ref="E38:E44" si="0">ROUND(C38*D38*$G$4/365,2)</f>
        <v>1688153.42</v>
      </c>
      <c r="F38" s="13">
        <f t="shared" ref="F38:F44" si="1">ROUND(C38/$C$45*$C$18,2)</f>
        <v>210662445.36000001</v>
      </c>
      <c r="G38" s="13">
        <f t="shared" ref="G38:G44" si="2">E38+F38</f>
        <v>212350598.78</v>
      </c>
      <c r="H38" s="97">
        <f t="shared" ref="H38:H44" si="3">C38-F38</f>
        <v>779337554.63999999</v>
      </c>
    </row>
    <row r="39" spans="2:8">
      <c r="B39" s="83" t="s">
        <v>36</v>
      </c>
      <c r="C39" s="13">
        <v>920000000</v>
      </c>
      <c r="D39" s="12">
        <v>3.8899999999999997E-2</v>
      </c>
      <c r="E39" s="4">
        <f t="shared" si="0"/>
        <v>1568789.04</v>
      </c>
      <c r="F39" s="13">
        <f t="shared" si="1"/>
        <v>195767120.94</v>
      </c>
      <c r="G39" s="13">
        <f t="shared" si="2"/>
        <v>197335909.97999999</v>
      </c>
      <c r="H39" s="97">
        <f t="shared" si="3"/>
        <v>724232879.05999994</v>
      </c>
    </row>
    <row r="40" spans="2:8">
      <c r="B40" s="83" t="s">
        <v>37</v>
      </c>
      <c r="C40" s="13">
        <v>920000000</v>
      </c>
      <c r="D40" s="12">
        <v>3.8899999999999997E-2</v>
      </c>
      <c r="E40" s="4">
        <f t="shared" si="0"/>
        <v>1568789.04</v>
      </c>
      <c r="F40" s="13">
        <f t="shared" si="1"/>
        <v>195767120.94</v>
      </c>
      <c r="G40" s="13">
        <f t="shared" si="2"/>
        <v>197335909.97999999</v>
      </c>
      <c r="H40" s="97">
        <f t="shared" si="3"/>
        <v>724232879.05999994</v>
      </c>
    </row>
    <row r="41" spans="2:8">
      <c r="B41" s="83" t="s">
        <v>38</v>
      </c>
      <c r="C41" s="13">
        <v>490000000</v>
      </c>
      <c r="D41" s="12">
        <v>3.8899999999999997E-2</v>
      </c>
      <c r="E41" s="4">
        <f t="shared" si="0"/>
        <v>835550.68</v>
      </c>
      <c r="F41" s="13">
        <f t="shared" si="1"/>
        <v>104267270.94</v>
      </c>
      <c r="G41" s="13">
        <f t="shared" si="2"/>
        <v>105102821.62</v>
      </c>
      <c r="H41" s="97">
        <f t="shared" si="3"/>
        <v>385732729.06</v>
      </c>
    </row>
    <row r="42" spans="2:8">
      <c r="B42" s="83" t="s">
        <v>39</v>
      </c>
      <c r="C42" s="13">
        <v>300000000</v>
      </c>
      <c r="D42" s="12">
        <v>3.8899999999999997E-2</v>
      </c>
      <c r="E42" s="4">
        <f t="shared" si="0"/>
        <v>511561.64</v>
      </c>
      <c r="F42" s="13">
        <f t="shared" si="1"/>
        <v>63837104.649999999</v>
      </c>
      <c r="G42" s="13">
        <f t="shared" si="2"/>
        <v>64348666.289999999</v>
      </c>
      <c r="H42" s="97">
        <f t="shared" si="3"/>
        <v>236162895.34999999</v>
      </c>
    </row>
    <row r="43" spans="2:8">
      <c r="B43" s="83" t="s">
        <v>40</v>
      </c>
      <c r="C43" s="13">
        <v>200000000</v>
      </c>
      <c r="D43" s="12">
        <v>3.8899999999999997E-2</v>
      </c>
      <c r="E43" s="4">
        <f t="shared" si="0"/>
        <v>341041.1</v>
      </c>
      <c r="F43" s="13">
        <f t="shared" si="1"/>
        <v>42558069.770000003</v>
      </c>
      <c r="G43" s="13">
        <f t="shared" si="2"/>
        <v>42899110.870000005</v>
      </c>
      <c r="H43" s="97">
        <f t="shared" si="3"/>
        <v>157441930.22999999</v>
      </c>
    </row>
    <row r="44" spans="2:8">
      <c r="B44" s="83" t="s">
        <v>41</v>
      </c>
      <c r="C44" s="13">
        <v>150000000</v>
      </c>
      <c r="D44" s="12">
        <v>3.8899999999999997E-2</v>
      </c>
      <c r="E44" s="4">
        <f t="shared" si="0"/>
        <v>255780.82</v>
      </c>
      <c r="F44" s="13">
        <f t="shared" si="1"/>
        <v>31918552.329999998</v>
      </c>
      <c r="G44" s="13">
        <f t="shared" si="2"/>
        <v>32174333.149999999</v>
      </c>
      <c r="H44" s="97">
        <f t="shared" si="3"/>
        <v>118081447.67</v>
      </c>
    </row>
    <row r="45" spans="2:8">
      <c r="B45" s="98" t="s">
        <v>7</v>
      </c>
      <c r="C45" s="17">
        <f t="shared" ref="C45:H45" si="4">SUM(C38:C44)</f>
        <v>3970000000</v>
      </c>
      <c r="D45" s="14"/>
      <c r="E45" s="17">
        <f t="shared" si="4"/>
        <v>6769665.7399999993</v>
      </c>
      <c r="F45" s="17">
        <f t="shared" si="4"/>
        <v>844777684.93000007</v>
      </c>
      <c r="G45" s="17">
        <f t="shared" si="4"/>
        <v>851547350.66999996</v>
      </c>
      <c r="H45" s="99">
        <f t="shared" si="4"/>
        <v>3125222315.0699997</v>
      </c>
    </row>
    <row r="46" spans="2:8">
      <c r="B46" s="83" t="s">
        <v>41</v>
      </c>
      <c r="C46" s="13">
        <v>200000000</v>
      </c>
      <c r="D46" s="12">
        <v>4.1200000000000001E-2</v>
      </c>
      <c r="E46" s="4">
        <f>ROUND(C46*D46*$G$4/365,2)</f>
        <v>361205.48</v>
      </c>
      <c r="F46" s="13"/>
      <c r="G46" s="13">
        <f t="shared" ref="G46:G49" si="5">E46+F46</f>
        <v>361205.48</v>
      </c>
      <c r="H46" s="97">
        <f t="shared" ref="H46:H49" si="6">C46-F46</f>
        <v>200000000</v>
      </c>
    </row>
    <row r="47" spans="2:8">
      <c r="B47" s="83" t="s">
        <v>42</v>
      </c>
      <c r="C47" s="13">
        <v>30000000</v>
      </c>
      <c r="D47" s="12">
        <v>4.1200000000000001E-2</v>
      </c>
      <c r="E47" s="4">
        <f>ROUND(C47*D47*$G$4/365,2)</f>
        <v>54180.82</v>
      </c>
      <c r="F47" s="13"/>
      <c r="G47" s="13">
        <f t="shared" si="5"/>
        <v>54180.82</v>
      </c>
      <c r="H47" s="97">
        <f t="shared" si="6"/>
        <v>30000000</v>
      </c>
    </row>
    <row r="48" spans="2:8">
      <c r="B48" s="83" t="s">
        <v>43</v>
      </c>
      <c r="C48" s="13">
        <v>120000000</v>
      </c>
      <c r="D48" s="12">
        <v>4.1200000000000001E-2</v>
      </c>
      <c r="E48" s="4">
        <f>ROUND(C48*D48*$G$4/365,2)</f>
        <v>216723.29</v>
      </c>
      <c r="F48" s="13"/>
      <c r="G48" s="13">
        <f t="shared" si="5"/>
        <v>216723.29</v>
      </c>
      <c r="H48" s="97">
        <f t="shared" si="6"/>
        <v>120000000</v>
      </c>
    </row>
    <row r="49" spans="2:8">
      <c r="B49" s="83" t="s">
        <v>44</v>
      </c>
      <c r="C49" s="13">
        <v>50000000</v>
      </c>
      <c r="D49" s="12">
        <v>4.1200000000000001E-2</v>
      </c>
      <c r="E49" s="4">
        <f>ROUND(C49*D49*$G$4/365,2)</f>
        <v>90301.37</v>
      </c>
      <c r="F49" s="13"/>
      <c r="G49" s="13">
        <f t="shared" si="5"/>
        <v>90301.37</v>
      </c>
      <c r="H49" s="97">
        <f t="shared" si="6"/>
        <v>50000000</v>
      </c>
    </row>
    <row r="50" spans="2:8">
      <c r="B50" s="98" t="s">
        <v>7</v>
      </c>
      <c r="C50" s="17">
        <f t="shared" ref="C50:H50" si="7">SUM(C46:C49)</f>
        <v>400000000</v>
      </c>
      <c r="D50" s="14"/>
      <c r="E50" s="17">
        <f t="shared" si="7"/>
        <v>722410.96</v>
      </c>
      <c r="F50" s="17">
        <f t="shared" si="7"/>
        <v>0</v>
      </c>
      <c r="G50" s="17">
        <f t="shared" si="7"/>
        <v>722410.96</v>
      </c>
      <c r="H50" s="99">
        <f t="shared" si="7"/>
        <v>400000000</v>
      </c>
    </row>
    <row r="51" spans="2:8">
      <c r="B51" s="83" t="s">
        <v>45</v>
      </c>
      <c r="C51" s="13">
        <v>75000000</v>
      </c>
      <c r="D51" s="12">
        <v>7.4999999999999997E-2</v>
      </c>
      <c r="E51" s="4"/>
      <c r="F51" s="13"/>
      <c r="G51" s="13">
        <f t="shared" ref="G51:G55" si="8">E51+F51</f>
        <v>0</v>
      </c>
      <c r="H51" s="97">
        <f t="shared" ref="H51:H55" si="9">C51-F51</f>
        <v>75000000</v>
      </c>
    </row>
    <row r="52" spans="2:8">
      <c r="B52" s="83" t="s">
        <v>46</v>
      </c>
      <c r="C52" s="13">
        <v>20000000</v>
      </c>
      <c r="D52" s="12">
        <v>7.4999999999999997E-2</v>
      </c>
      <c r="E52" s="4"/>
      <c r="F52" s="13"/>
      <c r="G52" s="13">
        <f t="shared" si="8"/>
        <v>0</v>
      </c>
      <c r="H52" s="97">
        <f t="shared" si="9"/>
        <v>20000000</v>
      </c>
    </row>
    <row r="53" spans="2:8">
      <c r="B53" s="83" t="s">
        <v>47</v>
      </c>
      <c r="C53" s="13">
        <v>220317366.05000001</v>
      </c>
      <c r="D53" s="12">
        <v>7.4999999999999997E-2</v>
      </c>
      <c r="E53" s="4"/>
      <c r="F53" s="13"/>
      <c r="G53" s="13">
        <f t="shared" si="8"/>
        <v>0</v>
      </c>
      <c r="H53" s="97">
        <f t="shared" si="9"/>
        <v>220317366.05000001</v>
      </c>
    </row>
    <row r="54" spans="2:8">
      <c r="B54" s="83" t="s">
        <v>48</v>
      </c>
      <c r="C54" s="13">
        <v>20000000</v>
      </c>
      <c r="D54" s="12">
        <v>7.4999999999999997E-2</v>
      </c>
      <c r="E54" s="4"/>
      <c r="F54" s="13"/>
      <c r="G54" s="13">
        <f t="shared" si="8"/>
        <v>0</v>
      </c>
      <c r="H54" s="97">
        <f t="shared" si="9"/>
        <v>20000000</v>
      </c>
    </row>
    <row r="55" spans="2:8">
      <c r="B55" s="100" t="s">
        <v>49</v>
      </c>
      <c r="C55" s="101">
        <v>260000000</v>
      </c>
      <c r="D55" s="102">
        <v>7.4999999999999997E-2</v>
      </c>
      <c r="E55" s="103"/>
      <c r="F55" s="101"/>
      <c r="G55" s="101">
        <f t="shared" si="8"/>
        <v>0</v>
      </c>
      <c r="H55" s="104">
        <f t="shared" si="9"/>
        <v>260000000</v>
      </c>
    </row>
    <row r="56" spans="2:8">
      <c r="B56" s="98"/>
      <c r="C56" s="17">
        <f t="shared" ref="C56:H56" si="10">SUM(C51:C55)</f>
        <v>595317366.04999995</v>
      </c>
      <c r="D56" s="14"/>
      <c r="E56" s="17">
        <f t="shared" si="10"/>
        <v>0</v>
      </c>
      <c r="F56" s="17">
        <f t="shared" si="10"/>
        <v>0</v>
      </c>
      <c r="G56" s="17">
        <f t="shared" si="10"/>
        <v>0</v>
      </c>
      <c r="H56" s="99">
        <f t="shared" si="10"/>
        <v>595317366.04999995</v>
      </c>
    </row>
    <row r="57" spans="2:8">
      <c r="B57" s="105" t="s">
        <v>27</v>
      </c>
      <c r="C57" s="106"/>
      <c r="D57" s="106"/>
      <c r="E57" s="107">
        <f t="shared" ref="E57:G57" si="11">E45+E50+E56</f>
        <v>7492076.6999999993</v>
      </c>
      <c r="F57" s="107">
        <f t="shared" si="11"/>
        <v>844777684.93000007</v>
      </c>
      <c r="G57" s="107">
        <f t="shared" si="11"/>
        <v>852269761.63</v>
      </c>
      <c r="H57" s="108"/>
    </row>
    <row r="58" spans="2:8">
      <c r="E58" s="7"/>
      <c r="F58" s="7"/>
      <c r="G58" s="7"/>
    </row>
    <row r="59" spans="2:8" ht="15.95" customHeight="1">
      <c r="B59" s="80" t="s">
        <v>50</v>
      </c>
    </row>
    <row r="60" spans="2:8" ht="8.1" customHeight="1"/>
    <row r="61" spans="2:8" ht="15" customHeight="1">
      <c r="B61" s="109" t="s">
        <v>51</v>
      </c>
      <c r="C61" s="110">
        <f>C45</f>
        <v>3970000000</v>
      </c>
      <c r="D61" s="111"/>
      <c r="E61" s="111" t="s">
        <v>52</v>
      </c>
      <c r="F61" s="110">
        <f>H45</f>
        <v>3125222315.0699997</v>
      </c>
      <c r="G61" s="112">
        <f t="shared" ref="G61:G63" si="12">ROUND(F61/$F$64,4)</f>
        <v>0.75839999999999996</v>
      </c>
    </row>
    <row r="62" spans="2:8" ht="15" customHeight="1">
      <c r="B62" s="113" t="s">
        <v>53</v>
      </c>
      <c r="C62" s="114">
        <f>C50</f>
        <v>400000000</v>
      </c>
      <c r="D62" s="115"/>
      <c r="E62" s="115" t="s">
        <v>54</v>
      </c>
      <c r="F62" s="114">
        <f>H50</f>
        <v>400000000</v>
      </c>
      <c r="G62" s="116">
        <f t="shared" si="12"/>
        <v>9.7100000000000006E-2</v>
      </c>
    </row>
    <row r="63" spans="2:8" ht="15" customHeight="1">
      <c r="B63" s="113" t="s">
        <v>55</v>
      </c>
      <c r="C63" s="114">
        <f>C56</f>
        <v>595317366.04999995</v>
      </c>
      <c r="D63" s="115"/>
      <c r="E63" s="115" t="s">
        <v>56</v>
      </c>
      <c r="F63" s="114">
        <f>H56</f>
        <v>595317366.04999995</v>
      </c>
      <c r="G63" s="116">
        <f t="shared" si="12"/>
        <v>0.14449999999999999</v>
      </c>
    </row>
    <row r="64" spans="2:8">
      <c r="B64" s="117" t="s">
        <v>27</v>
      </c>
      <c r="C64" s="117">
        <f t="shared" ref="C64:G64" si="13">SUM(C61:C63)</f>
        <v>4965317366.0500002</v>
      </c>
      <c r="D64" s="117"/>
      <c r="E64" s="117"/>
      <c r="F64" s="117">
        <f t="shared" si="13"/>
        <v>4120539681.1199999</v>
      </c>
      <c r="G64" s="118">
        <f t="shared" si="13"/>
        <v>0.99999999999999989</v>
      </c>
    </row>
    <row r="66" spans="2:3" ht="17.100000000000001" customHeight="1">
      <c r="B66" s="80" t="s">
        <v>57</v>
      </c>
    </row>
    <row r="68" spans="2:3" ht="15" customHeight="1">
      <c r="B68" s="2" t="s">
        <v>58</v>
      </c>
      <c r="C68" s="6">
        <f>C12+C15</f>
        <v>862137296.79999995</v>
      </c>
    </row>
    <row r="69" spans="2:3" ht="20.100000000000001" customHeight="1">
      <c r="B69" s="2" t="s">
        <v>59</v>
      </c>
      <c r="C69" s="7">
        <f>E33+G57</f>
        <v>862137296.79999995</v>
      </c>
    </row>
    <row r="70" spans="2:3" ht="17.100000000000001" customHeight="1">
      <c r="B70" s="2" t="s">
        <v>60</v>
      </c>
      <c r="C70" s="1" t="str">
        <f>IF(C68-C69=0,"正确","有异常，请检查")</f>
        <v>正确</v>
      </c>
    </row>
  </sheetData>
  <mergeCells count="1">
    <mergeCell ref="B2:H2"/>
  </mergeCells>
  <conditionalFormatting sqref="C70">
    <cfRule type="expression" dxfId="1" priority="1">
      <formula>$C$70="有异常，请检查"</formula>
    </cfRule>
    <cfRule type="expression" dxfId="0" priority="2">
      <formula>$C$70="正确"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E17" sqref="E17"/>
    </sheetView>
  </sheetViews>
  <sheetFormatPr defaultColWidth="9" defaultRowHeight="16.5"/>
  <cols>
    <col min="1" max="1" width="9.7109375" style="62" customWidth="1"/>
    <col min="2" max="4" width="12.5703125" style="63" customWidth="1"/>
    <col min="5" max="8" width="13.5703125" style="63" customWidth="1"/>
    <col min="9" max="11" width="11.5703125" style="63" customWidth="1"/>
    <col min="12" max="15" width="13.5703125" style="63" customWidth="1"/>
    <col min="16" max="16" width="13" style="64" customWidth="1"/>
    <col min="17" max="17" width="23.28515625" style="64" customWidth="1"/>
    <col min="18" max="18" width="9" style="65"/>
    <col min="19" max="19" width="15" style="65" customWidth="1"/>
    <col min="20" max="16384" width="9" style="65"/>
  </cols>
  <sheetData>
    <row r="1" spans="1:19">
      <c r="A1" s="123" t="s">
        <v>61</v>
      </c>
      <c r="B1" s="124" t="s">
        <v>62</v>
      </c>
      <c r="C1" s="124"/>
      <c r="D1" s="124"/>
      <c r="E1" s="124"/>
      <c r="F1" s="124"/>
      <c r="G1" s="124"/>
      <c r="H1" s="124"/>
      <c r="I1" s="124" t="s">
        <v>63</v>
      </c>
      <c r="J1" s="124"/>
      <c r="K1" s="124"/>
      <c r="L1" s="124"/>
      <c r="M1" s="124"/>
      <c r="N1" s="124"/>
      <c r="O1" s="124"/>
      <c r="P1" s="125" t="s">
        <v>64</v>
      </c>
      <c r="Q1" s="126" t="s">
        <v>65</v>
      </c>
    </row>
    <row r="2" spans="1:19">
      <c r="A2" s="123"/>
      <c r="B2" s="124" t="s">
        <v>66</v>
      </c>
      <c r="C2" s="124"/>
      <c r="D2" s="124"/>
      <c r="E2" s="124" t="s">
        <v>67</v>
      </c>
      <c r="F2" s="124"/>
      <c r="G2" s="124"/>
      <c r="H2" s="124" t="s">
        <v>68</v>
      </c>
      <c r="I2" s="124" t="s">
        <v>69</v>
      </c>
      <c r="J2" s="124"/>
      <c r="K2" s="124"/>
      <c r="L2" s="124" t="s">
        <v>70</v>
      </c>
      <c r="M2" s="124"/>
      <c r="N2" s="124"/>
      <c r="O2" s="124" t="s">
        <v>68</v>
      </c>
      <c r="P2" s="125"/>
      <c r="Q2" s="126"/>
    </row>
    <row r="3" spans="1:19" s="61" customFormat="1">
      <c r="A3" s="123"/>
      <c r="B3" s="66" t="s">
        <v>71</v>
      </c>
      <c r="C3" s="66" t="s">
        <v>72</v>
      </c>
      <c r="D3" s="66" t="s">
        <v>68</v>
      </c>
      <c r="E3" s="66" t="s">
        <v>71</v>
      </c>
      <c r="F3" s="66" t="s">
        <v>72</v>
      </c>
      <c r="G3" s="66" t="s">
        <v>68</v>
      </c>
      <c r="H3" s="124"/>
      <c r="I3" s="66" t="s">
        <v>71</v>
      </c>
      <c r="J3" s="66" t="s">
        <v>72</v>
      </c>
      <c r="K3" s="66" t="s">
        <v>68</v>
      </c>
      <c r="L3" s="66" t="s">
        <v>71</v>
      </c>
      <c r="M3" s="66" t="s">
        <v>72</v>
      </c>
      <c r="N3" s="66" t="s">
        <v>68</v>
      </c>
      <c r="O3" s="124"/>
      <c r="P3" s="125"/>
      <c r="Q3" s="126"/>
      <c r="S3" s="68">
        <v>4965317366.0500002</v>
      </c>
    </row>
    <row r="4" spans="1:19">
      <c r="A4" s="62">
        <v>44294</v>
      </c>
      <c r="B4" s="63">
        <v>2626917.0499999998</v>
      </c>
      <c r="D4" s="63">
        <f>B4-C4</f>
        <v>2626917.0499999998</v>
      </c>
      <c r="E4" s="63">
        <v>859510379.75</v>
      </c>
      <c r="G4" s="63">
        <f>E4-F4</f>
        <v>859510379.75</v>
      </c>
      <c r="H4" s="63">
        <f>D4+G4</f>
        <v>862137296.79999995</v>
      </c>
      <c r="K4" s="63">
        <f>I4-J4</f>
        <v>0</v>
      </c>
      <c r="N4" s="63">
        <f>L4-M4</f>
        <v>0</v>
      </c>
      <c r="O4" s="63">
        <f>K4+N4</f>
        <v>0</v>
      </c>
      <c r="P4" s="67">
        <f>H4+O4</f>
        <v>862137296.79999995</v>
      </c>
      <c r="Q4" s="64" t="s">
        <v>73</v>
      </c>
      <c r="S4" s="69">
        <f>S3-E4</f>
        <v>4105806986.3000002</v>
      </c>
    </row>
    <row r="5" spans="1:19">
      <c r="A5" s="62">
        <v>44298</v>
      </c>
      <c r="B5" s="63">
        <v>14732694.82</v>
      </c>
      <c r="D5" s="63">
        <f>D4+B5-C5</f>
        <v>17359611.870000001</v>
      </c>
      <c r="F5" s="63">
        <v>14732694.82</v>
      </c>
      <c r="G5" s="63">
        <f>G4+E5-F5</f>
        <v>844777684.92999995</v>
      </c>
      <c r="H5" s="63">
        <f t="shared" ref="H5:H43" si="0">D5+G5</f>
        <v>862137296.79999995</v>
      </c>
      <c r="K5" s="63">
        <f>K4+I5-J5</f>
        <v>0</v>
      </c>
      <c r="N5" s="63">
        <f>N4+L5-M5</f>
        <v>0</v>
      </c>
      <c r="O5" s="63">
        <f t="shared" ref="O5:O43" si="1">K5+N5</f>
        <v>0</v>
      </c>
      <c r="P5" s="67">
        <f t="shared" ref="P5:P43" si="2">H5+O5</f>
        <v>862137296.79999995</v>
      </c>
      <c r="Q5" s="64" t="s">
        <v>74</v>
      </c>
    </row>
    <row r="6" spans="1:19">
      <c r="A6" s="62">
        <v>44298</v>
      </c>
      <c r="C6" s="63">
        <v>17273918.27</v>
      </c>
      <c r="D6" s="63">
        <f t="shared" ref="D6:D43" si="3">D5+B6-C6</f>
        <v>85693.60000000149</v>
      </c>
      <c r="F6" s="63">
        <v>844777684.92999995</v>
      </c>
      <c r="G6" s="63">
        <f t="shared" ref="G6:G43" si="4">G5+E6-F6</f>
        <v>0</v>
      </c>
      <c r="H6" s="63">
        <f t="shared" si="0"/>
        <v>85693.60000000149</v>
      </c>
      <c r="I6" s="63">
        <v>9781841.5700000003</v>
      </c>
      <c r="K6" s="63">
        <f t="shared" ref="K6:K43" si="5">K5+I6-J6</f>
        <v>9781841.5700000003</v>
      </c>
      <c r="L6" s="63">
        <v>852269761.63</v>
      </c>
      <c r="N6" s="63">
        <f t="shared" ref="N6:N43" si="6">N5+L6-M6</f>
        <v>852269761.63</v>
      </c>
      <c r="O6" s="63">
        <f t="shared" si="1"/>
        <v>862051603.20000005</v>
      </c>
      <c r="P6" s="67">
        <f t="shared" si="2"/>
        <v>862137296.80000007</v>
      </c>
      <c r="Q6" s="64" t="s">
        <v>75</v>
      </c>
    </row>
    <row r="7" spans="1:19">
      <c r="A7" s="62">
        <v>44301</v>
      </c>
      <c r="C7" s="63">
        <v>85693.599999997794</v>
      </c>
      <c r="D7" s="63">
        <f t="shared" si="3"/>
        <v>3.6961864680051804E-9</v>
      </c>
      <c r="G7" s="63">
        <f t="shared" si="4"/>
        <v>0</v>
      </c>
      <c r="H7" s="63">
        <f t="shared" si="0"/>
        <v>3.6961864680051804E-9</v>
      </c>
      <c r="K7" s="63">
        <f t="shared" si="5"/>
        <v>9781841.5700000003</v>
      </c>
      <c r="N7" s="63">
        <f t="shared" si="6"/>
        <v>852269761.63</v>
      </c>
      <c r="O7" s="63">
        <f t="shared" si="1"/>
        <v>862051603.20000005</v>
      </c>
      <c r="P7" s="67">
        <f t="shared" si="2"/>
        <v>862051603.20000005</v>
      </c>
      <c r="Q7" s="64" t="s">
        <v>76</v>
      </c>
    </row>
    <row r="8" spans="1:19">
      <c r="A8" s="62">
        <v>44301</v>
      </c>
      <c r="D8" s="63">
        <f t="shared" si="3"/>
        <v>3.6961864680051804E-9</v>
      </c>
      <c r="G8" s="63">
        <f t="shared" si="4"/>
        <v>0</v>
      </c>
      <c r="H8" s="63">
        <f t="shared" si="0"/>
        <v>3.6961864680051804E-9</v>
      </c>
      <c r="J8" s="63">
        <v>150000</v>
      </c>
      <c r="K8" s="63">
        <f t="shared" si="5"/>
        <v>9631841.5700000003</v>
      </c>
      <c r="N8" s="63">
        <f t="shared" si="6"/>
        <v>852269761.63</v>
      </c>
      <c r="O8" s="63">
        <f t="shared" si="1"/>
        <v>861901603.20000005</v>
      </c>
      <c r="P8" s="67">
        <f t="shared" si="2"/>
        <v>861901603.20000005</v>
      </c>
      <c r="Q8" s="64" t="s">
        <v>19</v>
      </c>
    </row>
    <row r="9" spans="1:19">
      <c r="A9" s="62">
        <v>44301</v>
      </c>
      <c r="D9" s="63">
        <f t="shared" si="3"/>
        <v>3.6961864680051804E-9</v>
      </c>
      <c r="G9" s="63">
        <f t="shared" si="4"/>
        <v>0</v>
      </c>
      <c r="H9" s="63">
        <f t="shared" si="0"/>
        <v>3.6961864680051804E-9</v>
      </c>
      <c r="J9" s="63">
        <v>350000</v>
      </c>
      <c r="K9" s="63">
        <f t="shared" si="5"/>
        <v>9281841.5700000003</v>
      </c>
      <c r="N9" s="63">
        <f t="shared" si="6"/>
        <v>852269761.63</v>
      </c>
      <c r="O9" s="63">
        <f t="shared" si="1"/>
        <v>861551603.20000005</v>
      </c>
      <c r="P9" s="67">
        <f t="shared" si="2"/>
        <v>861551603.20000005</v>
      </c>
      <c r="Q9" s="64" t="s">
        <v>20</v>
      </c>
    </row>
    <row r="10" spans="1:19">
      <c r="A10" s="62">
        <v>44301</v>
      </c>
      <c r="D10" s="63">
        <f t="shared" si="3"/>
        <v>3.6961864680051804E-9</v>
      </c>
      <c r="G10" s="63">
        <f t="shared" si="4"/>
        <v>0</v>
      </c>
      <c r="H10" s="63">
        <f t="shared" si="0"/>
        <v>3.6961864680051804E-9</v>
      </c>
      <c r="J10" s="63">
        <v>230000</v>
      </c>
      <c r="K10" s="63">
        <f t="shared" si="5"/>
        <v>9051841.5700000003</v>
      </c>
      <c r="N10" s="63">
        <f t="shared" si="6"/>
        <v>852269761.63</v>
      </c>
      <c r="O10" s="63">
        <f t="shared" si="1"/>
        <v>861321603.20000005</v>
      </c>
      <c r="P10" s="67">
        <f t="shared" si="2"/>
        <v>861321603.20000005</v>
      </c>
      <c r="Q10" s="64" t="s">
        <v>21</v>
      </c>
    </row>
    <row r="11" spans="1:19">
      <c r="A11" s="62">
        <v>44301</v>
      </c>
      <c r="D11" s="63">
        <f t="shared" si="3"/>
        <v>3.6961864680051804E-9</v>
      </c>
      <c r="G11" s="63">
        <f t="shared" si="4"/>
        <v>0</v>
      </c>
      <c r="H11" s="63">
        <f t="shared" si="0"/>
        <v>3.6961864680051804E-9</v>
      </c>
      <c r="J11" s="63">
        <v>3475722.16</v>
      </c>
      <c r="K11" s="63">
        <f t="shared" si="5"/>
        <v>5576119.4100000001</v>
      </c>
      <c r="N11" s="63">
        <f t="shared" si="6"/>
        <v>852269761.63</v>
      </c>
      <c r="O11" s="63">
        <f t="shared" si="1"/>
        <v>857845881.03999996</v>
      </c>
      <c r="P11" s="67">
        <f t="shared" si="2"/>
        <v>857845881.03999996</v>
      </c>
      <c r="Q11" s="64" t="s">
        <v>22</v>
      </c>
    </row>
    <row r="12" spans="1:19">
      <c r="A12" s="62">
        <v>44301</v>
      </c>
      <c r="D12" s="63">
        <f t="shared" si="3"/>
        <v>3.6961864680051804E-9</v>
      </c>
      <c r="G12" s="63">
        <f t="shared" si="4"/>
        <v>0</v>
      </c>
      <c r="H12" s="63">
        <f t="shared" si="0"/>
        <v>3.6961864680051804E-9</v>
      </c>
      <c r="J12" s="63">
        <v>1092369.82</v>
      </c>
      <c r="K12" s="63">
        <f t="shared" si="5"/>
        <v>4483749.59</v>
      </c>
      <c r="N12" s="63">
        <f t="shared" si="6"/>
        <v>852269761.63</v>
      </c>
      <c r="O12" s="63">
        <f t="shared" si="1"/>
        <v>856753511.22000003</v>
      </c>
      <c r="P12" s="67">
        <f t="shared" si="2"/>
        <v>856753511.22000003</v>
      </c>
      <c r="Q12" s="64" t="s">
        <v>23</v>
      </c>
    </row>
    <row r="13" spans="1:19">
      <c r="A13" s="62">
        <v>44301</v>
      </c>
      <c r="D13" s="63">
        <f t="shared" si="3"/>
        <v>3.6961864680051804E-9</v>
      </c>
      <c r="G13" s="63">
        <f t="shared" si="4"/>
        <v>0</v>
      </c>
      <c r="H13" s="63">
        <f t="shared" si="0"/>
        <v>3.6961864680051804E-9</v>
      </c>
      <c r="J13" s="63">
        <v>108828.87</v>
      </c>
      <c r="K13" s="63">
        <f t="shared" si="5"/>
        <v>4374920.72</v>
      </c>
      <c r="N13" s="63">
        <f t="shared" si="6"/>
        <v>852269761.63</v>
      </c>
      <c r="O13" s="63">
        <f t="shared" si="1"/>
        <v>856644682.35000002</v>
      </c>
      <c r="P13" s="67">
        <f t="shared" si="2"/>
        <v>856644682.35000002</v>
      </c>
      <c r="Q13" s="64" t="s">
        <v>24</v>
      </c>
    </row>
    <row r="14" spans="1:19">
      <c r="A14" s="62">
        <v>44301</v>
      </c>
      <c r="D14" s="63">
        <f t="shared" si="3"/>
        <v>3.6961864680051804E-9</v>
      </c>
      <c r="G14" s="63">
        <f t="shared" si="4"/>
        <v>0</v>
      </c>
      <c r="H14" s="63">
        <f t="shared" si="0"/>
        <v>3.6961864680051804E-9</v>
      </c>
      <c r="J14" s="63">
        <v>21765.77</v>
      </c>
      <c r="K14" s="63">
        <f t="shared" si="5"/>
        <v>4353154.95</v>
      </c>
      <c r="N14" s="63">
        <f t="shared" si="6"/>
        <v>852269761.63</v>
      </c>
      <c r="O14" s="63">
        <f t="shared" si="1"/>
        <v>856622916.58000004</v>
      </c>
      <c r="P14" s="67">
        <f t="shared" si="2"/>
        <v>856622916.58000004</v>
      </c>
      <c r="Q14" s="64" t="s">
        <v>25</v>
      </c>
    </row>
    <row r="15" spans="1:19">
      <c r="A15" s="62">
        <v>44301</v>
      </c>
      <c r="D15" s="63">
        <f t="shared" si="3"/>
        <v>3.6961864680051804E-9</v>
      </c>
      <c r="G15" s="63">
        <f t="shared" si="4"/>
        <v>0</v>
      </c>
      <c r="H15" s="63">
        <f t="shared" si="0"/>
        <v>3.6961864680051804E-9</v>
      </c>
      <c r="J15" s="63">
        <v>4353154.95</v>
      </c>
      <c r="K15" s="63">
        <f t="shared" si="5"/>
        <v>0</v>
      </c>
      <c r="N15" s="63">
        <f t="shared" si="6"/>
        <v>852269761.63</v>
      </c>
      <c r="O15" s="63">
        <f t="shared" si="1"/>
        <v>852269761.63</v>
      </c>
      <c r="P15" s="67">
        <f t="shared" si="2"/>
        <v>852269761.63</v>
      </c>
      <c r="Q15" s="64" t="s">
        <v>26</v>
      </c>
    </row>
    <row r="16" spans="1:19">
      <c r="A16" s="62">
        <v>44301</v>
      </c>
      <c r="D16" s="63">
        <f t="shared" si="3"/>
        <v>3.6961864680051804E-9</v>
      </c>
      <c r="G16" s="63">
        <f t="shared" si="4"/>
        <v>0</v>
      </c>
      <c r="H16" s="63">
        <f t="shared" si="0"/>
        <v>3.6961864680051804E-9</v>
      </c>
      <c r="K16" s="63">
        <f t="shared" si="5"/>
        <v>0</v>
      </c>
      <c r="M16" s="63">
        <v>212350598.78</v>
      </c>
      <c r="N16" s="63">
        <f t="shared" si="6"/>
        <v>639919162.85000002</v>
      </c>
      <c r="O16" s="63">
        <f t="shared" si="1"/>
        <v>639919162.85000002</v>
      </c>
      <c r="P16" s="67">
        <f t="shared" si="2"/>
        <v>639919162.85000002</v>
      </c>
      <c r="Q16" s="64" t="s">
        <v>77</v>
      </c>
    </row>
    <row r="17" spans="1:17">
      <c r="A17" s="62">
        <v>44301</v>
      </c>
      <c r="D17" s="63">
        <f t="shared" si="3"/>
        <v>3.6961864680051804E-9</v>
      </c>
      <c r="G17" s="63">
        <f t="shared" si="4"/>
        <v>0</v>
      </c>
      <c r="H17" s="63">
        <f t="shared" si="0"/>
        <v>3.6961864680051804E-9</v>
      </c>
      <c r="K17" s="63">
        <f t="shared" si="5"/>
        <v>0</v>
      </c>
      <c r="M17" s="63">
        <v>197335909.97999999</v>
      </c>
      <c r="N17" s="63">
        <f t="shared" si="6"/>
        <v>442583252.87</v>
      </c>
      <c r="O17" s="63">
        <f t="shared" si="1"/>
        <v>442583252.87</v>
      </c>
      <c r="P17" s="67">
        <f t="shared" si="2"/>
        <v>442583252.87</v>
      </c>
      <c r="Q17" s="64" t="s">
        <v>78</v>
      </c>
    </row>
    <row r="18" spans="1:17">
      <c r="A18" s="62">
        <v>44301</v>
      </c>
      <c r="D18" s="63">
        <f t="shared" si="3"/>
        <v>3.6961864680051804E-9</v>
      </c>
      <c r="G18" s="63">
        <f t="shared" si="4"/>
        <v>0</v>
      </c>
      <c r="H18" s="63">
        <f t="shared" si="0"/>
        <v>3.6961864680051804E-9</v>
      </c>
      <c r="K18" s="63">
        <f t="shared" si="5"/>
        <v>0</v>
      </c>
      <c r="M18" s="63">
        <v>197335909.97999999</v>
      </c>
      <c r="N18" s="63">
        <f t="shared" si="6"/>
        <v>245247342.89000002</v>
      </c>
      <c r="O18" s="63">
        <f t="shared" si="1"/>
        <v>245247342.89000002</v>
      </c>
      <c r="P18" s="67">
        <f t="shared" si="2"/>
        <v>245247342.89000002</v>
      </c>
      <c r="Q18" s="64" t="s">
        <v>79</v>
      </c>
    </row>
    <row r="19" spans="1:17">
      <c r="A19" s="62">
        <v>44301</v>
      </c>
      <c r="D19" s="63">
        <f t="shared" si="3"/>
        <v>3.6961864680051804E-9</v>
      </c>
      <c r="G19" s="63">
        <f t="shared" si="4"/>
        <v>0</v>
      </c>
      <c r="H19" s="63">
        <f t="shared" si="0"/>
        <v>3.6961864680051804E-9</v>
      </c>
      <c r="K19" s="63">
        <f t="shared" si="5"/>
        <v>0</v>
      </c>
      <c r="M19" s="63">
        <v>105102821.62</v>
      </c>
      <c r="N19" s="63">
        <f t="shared" si="6"/>
        <v>140144521.27000001</v>
      </c>
      <c r="O19" s="63">
        <f t="shared" si="1"/>
        <v>140144521.27000001</v>
      </c>
      <c r="P19" s="67">
        <f t="shared" si="2"/>
        <v>140144521.27000001</v>
      </c>
      <c r="Q19" s="64" t="s">
        <v>80</v>
      </c>
    </row>
    <row r="20" spans="1:17">
      <c r="A20" s="62">
        <v>44301</v>
      </c>
      <c r="D20" s="63">
        <f t="shared" si="3"/>
        <v>3.6961864680051804E-9</v>
      </c>
      <c r="G20" s="63">
        <f t="shared" si="4"/>
        <v>0</v>
      </c>
      <c r="H20" s="63">
        <f t="shared" si="0"/>
        <v>3.6961864680051804E-9</v>
      </c>
      <c r="K20" s="63">
        <f t="shared" si="5"/>
        <v>0</v>
      </c>
      <c r="M20" s="63">
        <v>64348666.289999999</v>
      </c>
      <c r="N20" s="63">
        <f t="shared" si="6"/>
        <v>75795854.980000019</v>
      </c>
      <c r="O20" s="63">
        <f t="shared" si="1"/>
        <v>75795854.980000019</v>
      </c>
      <c r="P20" s="67">
        <f t="shared" si="2"/>
        <v>75795854.980000019</v>
      </c>
      <c r="Q20" s="64" t="s">
        <v>81</v>
      </c>
    </row>
    <row r="21" spans="1:17">
      <c r="A21" s="62">
        <v>44301</v>
      </c>
      <c r="D21" s="63">
        <f t="shared" si="3"/>
        <v>3.6961864680051804E-9</v>
      </c>
      <c r="G21" s="63">
        <f t="shared" si="4"/>
        <v>0</v>
      </c>
      <c r="H21" s="63">
        <f t="shared" si="0"/>
        <v>3.6961864680051804E-9</v>
      </c>
      <c r="K21" s="63">
        <f t="shared" si="5"/>
        <v>0</v>
      </c>
      <c r="M21" s="63">
        <v>42899110.869999997</v>
      </c>
      <c r="N21" s="63">
        <f t="shared" si="6"/>
        <v>32896744.110000022</v>
      </c>
      <c r="O21" s="63">
        <f t="shared" si="1"/>
        <v>32896744.110000022</v>
      </c>
      <c r="P21" s="67">
        <f t="shared" si="2"/>
        <v>32896744.110000025</v>
      </c>
      <c r="Q21" s="64" t="s">
        <v>82</v>
      </c>
    </row>
    <row r="22" spans="1:17">
      <c r="A22" s="62">
        <v>44301</v>
      </c>
      <c r="D22" s="63">
        <f t="shared" si="3"/>
        <v>3.6961864680051804E-9</v>
      </c>
      <c r="G22" s="63">
        <f t="shared" si="4"/>
        <v>0</v>
      </c>
      <c r="H22" s="63">
        <f t="shared" si="0"/>
        <v>3.6961864680051804E-9</v>
      </c>
      <c r="K22" s="63">
        <f t="shared" si="5"/>
        <v>0</v>
      </c>
      <c r="M22" s="63">
        <v>32174333.149999999</v>
      </c>
      <c r="N22" s="63">
        <f t="shared" si="6"/>
        <v>722410.96000002325</v>
      </c>
      <c r="O22" s="63">
        <f t="shared" si="1"/>
        <v>722410.96000002325</v>
      </c>
      <c r="P22" s="67">
        <f t="shared" si="2"/>
        <v>722410.96000002697</v>
      </c>
      <c r="Q22" s="64" t="s">
        <v>83</v>
      </c>
    </row>
    <row r="23" spans="1:17">
      <c r="A23" s="62">
        <v>44301</v>
      </c>
      <c r="D23" s="63">
        <f t="shared" si="3"/>
        <v>3.6961864680051804E-9</v>
      </c>
      <c r="G23" s="63">
        <f t="shared" si="4"/>
        <v>0</v>
      </c>
      <c r="H23" s="63">
        <f t="shared" si="0"/>
        <v>3.6961864680051804E-9</v>
      </c>
      <c r="K23" s="63">
        <f t="shared" si="5"/>
        <v>0</v>
      </c>
      <c r="M23" s="63">
        <v>361205.48</v>
      </c>
      <c r="N23" s="63">
        <f t="shared" si="6"/>
        <v>361205.48000002326</v>
      </c>
      <c r="O23" s="63">
        <f t="shared" si="1"/>
        <v>361205.48000002326</v>
      </c>
      <c r="P23" s="67">
        <f t="shared" si="2"/>
        <v>361205.48000002699</v>
      </c>
      <c r="Q23" s="64" t="s">
        <v>84</v>
      </c>
    </row>
    <row r="24" spans="1:17">
      <c r="A24" s="62">
        <v>44301</v>
      </c>
      <c r="D24" s="63">
        <f t="shared" si="3"/>
        <v>3.6961864680051804E-9</v>
      </c>
      <c r="G24" s="63">
        <f t="shared" si="4"/>
        <v>0</v>
      </c>
      <c r="H24" s="63">
        <f t="shared" si="0"/>
        <v>3.6961864680051804E-9</v>
      </c>
      <c r="K24" s="63">
        <f t="shared" si="5"/>
        <v>0</v>
      </c>
      <c r="M24" s="63">
        <v>54180.82</v>
      </c>
      <c r="N24" s="63">
        <f t="shared" si="6"/>
        <v>307024.66000002326</v>
      </c>
      <c r="O24" s="63">
        <f t="shared" si="1"/>
        <v>307024.66000002326</v>
      </c>
      <c r="P24" s="67">
        <f t="shared" si="2"/>
        <v>307024.66000002692</v>
      </c>
      <c r="Q24" s="64" t="s">
        <v>85</v>
      </c>
    </row>
    <row r="25" spans="1:17">
      <c r="A25" s="62">
        <v>44301</v>
      </c>
      <c r="D25" s="63">
        <f t="shared" si="3"/>
        <v>3.6961864680051804E-9</v>
      </c>
      <c r="G25" s="63">
        <f t="shared" si="4"/>
        <v>0</v>
      </c>
      <c r="H25" s="63">
        <f t="shared" si="0"/>
        <v>3.6961864680051804E-9</v>
      </c>
      <c r="K25" s="63">
        <f t="shared" si="5"/>
        <v>0</v>
      </c>
      <c r="M25" s="63">
        <v>216723.29</v>
      </c>
      <c r="N25" s="63">
        <f t="shared" si="6"/>
        <v>90301.370000023249</v>
      </c>
      <c r="O25" s="63">
        <f t="shared" si="1"/>
        <v>90301.370000023249</v>
      </c>
      <c r="P25" s="67">
        <f t="shared" si="2"/>
        <v>90301.370000026945</v>
      </c>
      <c r="Q25" s="64" t="s">
        <v>86</v>
      </c>
    </row>
    <row r="26" spans="1:17">
      <c r="A26" s="62">
        <v>44301</v>
      </c>
      <c r="D26" s="63">
        <f t="shared" si="3"/>
        <v>3.6961864680051804E-9</v>
      </c>
      <c r="G26" s="63">
        <f t="shared" si="4"/>
        <v>0</v>
      </c>
      <c r="H26" s="63">
        <f t="shared" si="0"/>
        <v>3.6961864680051804E-9</v>
      </c>
      <c r="K26" s="63">
        <f t="shared" si="5"/>
        <v>0</v>
      </c>
      <c r="M26" s="63">
        <v>90301.37</v>
      </c>
      <c r="N26" s="63">
        <f t="shared" si="6"/>
        <v>2.3253960534930229E-8</v>
      </c>
      <c r="O26" s="63">
        <f t="shared" si="1"/>
        <v>2.3253960534930229E-8</v>
      </c>
      <c r="P26" s="67">
        <f t="shared" si="2"/>
        <v>2.695014700293541E-8</v>
      </c>
      <c r="Q26" s="64" t="s">
        <v>87</v>
      </c>
    </row>
    <row r="27" spans="1:17">
      <c r="D27" s="63">
        <f t="shared" si="3"/>
        <v>3.6961864680051804E-9</v>
      </c>
      <c r="G27" s="63">
        <f t="shared" si="4"/>
        <v>0</v>
      </c>
      <c r="H27" s="63">
        <f t="shared" si="0"/>
        <v>3.6961864680051804E-9</v>
      </c>
      <c r="K27" s="63">
        <f t="shared" si="5"/>
        <v>0</v>
      </c>
      <c r="N27" s="63">
        <f t="shared" si="6"/>
        <v>2.3253960534930229E-8</v>
      </c>
      <c r="O27" s="63">
        <f t="shared" si="1"/>
        <v>2.3253960534930229E-8</v>
      </c>
      <c r="P27" s="67">
        <f t="shared" si="2"/>
        <v>2.695014700293541E-8</v>
      </c>
    </row>
    <row r="28" spans="1:17">
      <c r="D28" s="63">
        <f t="shared" si="3"/>
        <v>3.6961864680051804E-9</v>
      </c>
      <c r="G28" s="63">
        <f t="shared" si="4"/>
        <v>0</v>
      </c>
      <c r="H28" s="63">
        <f t="shared" si="0"/>
        <v>3.6961864680051804E-9</v>
      </c>
      <c r="K28" s="63">
        <f t="shared" si="5"/>
        <v>0</v>
      </c>
      <c r="N28" s="63">
        <f t="shared" si="6"/>
        <v>2.3253960534930229E-8</v>
      </c>
      <c r="O28" s="63">
        <f t="shared" si="1"/>
        <v>2.3253960534930229E-8</v>
      </c>
      <c r="P28" s="67">
        <f t="shared" si="2"/>
        <v>2.695014700293541E-8</v>
      </c>
    </row>
    <row r="29" spans="1:17">
      <c r="D29" s="63">
        <f t="shared" si="3"/>
        <v>3.6961864680051804E-9</v>
      </c>
      <c r="G29" s="63">
        <f t="shared" si="4"/>
        <v>0</v>
      </c>
      <c r="H29" s="63">
        <f t="shared" si="0"/>
        <v>3.6961864680051804E-9</v>
      </c>
      <c r="K29" s="63">
        <f t="shared" si="5"/>
        <v>0</v>
      </c>
      <c r="N29" s="63">
        <f t="shared" si="6"/>
        <v>2.3253960534930229E-8</v>
      </c>
      <c r="O29" s="63">
        <f t="shared" si="1"/>
        <v>2.3253960534930229E-8</v>
      </c>
      <c r="P29" s="67">
        <f t="shared" si="2"/>
        <v>2.695014700293541E-8</v>
      </c>
    </row>
    <row r="30" spans="1:17">
      <c r="D30" s="63">
        <f t="shared" si="3"/>
        <v>3.6961864680051804E-9</v>
      </c>
      <c r="G30" s="63">
        <f t="shared" si="4"/>
        <v>0</v>
      </c>
      <c r="H30" s="63">
        <f t="shared" si="0"/>
        <v>3.6961864680051804E-9</v>
      </c>
      <c r="K30" s="63">
        <f t="shared" si="5"/>
        <v>0</v>
      </c>
      <c r="N30" s="63">
        <f t="shared" si="6"/>
        <v>2.3253960534930229E-8</v>
      </c>
      <c r="O30" s="63">
        <f t="shared" si="1"/>
        <v>2.3253960534930229E-8</v>
      </c>
      <c r="P30" s="67">
        <f t="shared" si="2"/>
        <v>2.695014700293541E-8</v>
      </c>
    </row>
    <row r="31" spans="1:17">
      <c r="D31" s="63">
        <f t="shared" si="3"/>
        <v>3.6961864680051804E-9</v>
      </c>
      <c r="G31" s="63">
        <f t="shared" si="4"/>
        <v>0</v>
      </c>
      <c r="H31" s="63">
        <f t="shared" si="0"/>
        <v>3.6961864680051804E-9</v>
      </c>
      <c r="K31" s="63">
        <f t="shared" si="5"/>
        <v>0</v>
      </c>
      <c r="N31" s="63">
        <f t="shared" si="6"/>
        <v>2.3253960534930229E-8</v>
      </c>
      <c r="O31" s="63">
        <f t="shared" si="1"/>
        <v>2.3253960534930229E-8</v>
      </c>
      <c r="P31" s="67">
        <f t="shared" si="2"/>
        <v>2.695014700293541E-8</v>
      </c>
    </row>
    <row r="32" spans="1:17">
      <c r="D32" s="63">
        <f t="shared" si="3"/>
        <v>3.6961864680051804E-9</v>
      </c>
      <c r="G32" s="63">
        <f t="shared" si="4"/>
        <v>0</v>
      </c>
      <c r="H32" s="63">
        <f t="shared" si="0"/>
        <v>3.6961864680051804E-9</v>
      </c>
      <c r="K32" s="63">
        <f t="shared" si="5"/>
        <v>0</v>
      </c>
      <c r="N32" s="63">
        <f t="shared" si="6"/>
        <v>2.3253960534930229E-8</v>
      </c>
      <c r="O32" s="63">
        <f t="shared" si="1"/>
        <v>2.3253960534930229E-8</v>
      </c>
      <c r="P32" s="67">
        <f t="shared" si="2"/>
        <v>2.695014700293541E-8</v>
      </c>
    </row>
    <row r="33" spans="4:16">
      <c r="D33" s="63">
        <f t="shared" si="3"/>
        <v>3.6961864680051804E-9</v>
      </c>
      <c r="G33" s="63">
        <f t="shared" si="4"/>
        <v>0</v>
      </c>
      <c r="H33" s="63">
        <f t="shared" si="0"/>
        <v>3.6961864680051804E-9</v>
      </c>
      <c r="K33" s="63">
        <f t="shared" si="5"/>
        <v>0</v>
      </c>
      <c r="N33" s="63">
        <f t="shared" si="6"/>
        <v>2.3253960534930229E-8</v>
      </c>
      <c r="O33" s="63">
        <f t="shared" si="1"/>
        <v>2.3253960534930229E-8</v>
      </c>
      <c r="P33" s="67">
        <f t="shared" si="2"/>
        <v>2.695014700293541E-8</v>
      </c>
    </row>
    <row r="34" spans="4:16">
      <c r="D34" s="63">
        <f t="shared" si="3"/>
        <v>3.6961864680051804E-9</v>
      </c>
      <c r="G34" s="63">
        <f t="shared" si="4"/>
        <v>0</v>
      </c>
      <c r="H34" s="63">
        <f t="shared" si="0"/>
        <v>3.6961864680051804E-9</v>
      </c>
      <c r="K34" s="63">
        <f t="shared" si="5"/>
        <v>0</v>
      </c>
      <c r="N34" s="63">
        <f t="shared" si="6"/>
        <v>2.3253960534930229E-8</v>
      </c>
      <c r="O34" s="63">
        <f t="shared" si="1"/>
        <v>2.3253960534930229E-8</v>
      </c>
      <c r="P34" s="67">
        <f t="shared" si="2"/>
        <v>2.695014700293541E-8</v>
      </c>
    </row>
    <row r="35" spans="4:16">
      <c r="D35" s="63">
        <f t="shared" si="3"/>
        <v>3.6961864680051804E-9</v>
      </c>
      <c r="G35" s="63">
        <f t="shared" si="4"/>
        <v>0</v>
      </c>
      <c r="H35" s="63">
        <f t="shared" si="0"/>
        <v>3.6961864680051804E-9</v>
      </c>
      <c r="K35" s="63">
        <f t="shared" si="5"/>
        <v>0</v>
      </c>
      <c r="N35" s="63">
        <f t="shared" si="6"/>
        <v>2.3253960534930229E-8</v>
      </c>
      <c r="O35" s="63">
        <f t="shared" si="1"/>
        <v>2.3253960534930229E-8</v>
      </c>
      <c r="P35" s="67">
        <f t="shared" si="2"/>
        <v>2.695014700293541E-8</v>
      </c>
    </row>
    <row r="36" spans="4:16">
      <c r="D36" s="63">
        <f t="shared" si="3"/>
        <v>3.6961864680051804E-9</v>
      </c>
      <c r="G36" s="63">
        <f t="shared" si="4"/>
        <v>0</v>
      </c>
      <c r="H36" s="63">
        <f t="shared" si="0"/>
        <v>3.6961864680051804E-9</v>
      </c>
      <c r="K36" s="63">
        <f t="shared" si="5"/>
        <v>0</v>
      </c>
      <c r="N36" s="63">
        <f t="shared" si="6"/>
        <v>2.3253960534930229E-8</v>
      </c>
      <c r="O36" s="63">
        <f t="shared" si="1"/>
        <v>2.3253960534930229E-8</v>
      </c>
      <c r="P36" s="67">
        <f t="shared" si="2"/>
        <v>2.695014700293541E-8</v>
      </c>
    </row>
    <row r="37" spans="4:16">
      <c r="D37" s="63">
        <f t="shared" si="3"/>
        <v>3.6961864680051804E-9</v>
      </c>
      <c r="G37" s="63">
        <f t="shared" si="4"/>
        <v>0</v>
      </c>
      <c r="H37" s="63">
        <f t="shared" si="0"/>
        <v>3.6961864680051804E-9</v>
      </c>
      <c r="K37" s="63">
        <f t="shared" si="5"/>
        <v>0</v>
      </c>
      <c r="N37" s="63">
        <f t="shared" si="6"/>
        <v>2.3253960534930229E-8</v>
      </c>
      <c r="O37" s="63">
        <f t="shared" si="1"/>
        <v>2.3253960534930229E-8</v>
      </c>
      <c r="P37" s="67">
        <f t="shared" si="2"/>
        <v>2.695014700293541E-8</v>
      </c>
    </row>
    <row r="38" spans="4:16">
      <c r="D38" s="63">
        <f t="shared" si="3"/>
        <v>3.6961864680051804E-9</v>
      </c>
      <c r="G38" s="63">
        <f t="shared" si="4"/>
        <v>0</v>
      </c>
      <c r="H38" s="63">
        <f t="shared" si="0"/>
        <v>3.6961864680051804E-9</v>
      </c>
      <c r="K38" s="63">
        <f t="shared" si="5"/>
        <v>0</v>
      </c>
      <c r="N38" s="63">
        <f t="shared" si="6"/>
        <v>2.3253960534930229E-8</v>
      </c>
      <c r="O38" s="63">
        <f t="shared" si="1"/>
        <v>2.3253960534930229E-8</v>
      </c>
      <c r="P38" s="67">
        <f t="shared" si="2"/>
        <v>2.695014700293541E-8</v>
      </c>
    </row>
    <row r="39" spans="4:16">
      <c r="D39" s="63">
        <f t="shared" si="3"/>
        <v>3.6961864680051804E-9</v>
      </c>
      <c r="G39" s="63">
        <f t="shared" si="4"/>
        <v>0</v>
      </c>
      <c r="H39" s="63">
        <f t="shared" si="0"/>
        <v>3.6961864680051804E-9</v>
      </c>
      <c r="K39" s="63">
        <f t="shared" si="5"/>
        <v>0</v>
      </c>
      <c r="N39" s="63">
        <f t="shared" si="6"/>
        <v>2.3253960534930229E-8</v>
      </c>
      <c r="O39" s="63">
        <f t="shared" si="1"/>
        <v>2.3253960534930229E-8</v>
      </c>
      <c r="P39" s="67">
        <f t="shared" si="2"/>
        <v>2.695014700293541E-8</v>
      </c>
    </row>
    <row r="40" spans="4:16">
      <c r="D40" s="63">
        <f t="shared" si="3"/>
        <v>3.6961864680051804E-9</v>
      </c>
      <c r="G40" s="63">
        <f t="shared" si="4"/>
        <v>0</v>
      </c>
      <c r="H40" s="63">
        <f t="shared" si="0"/>
        <v>3.6961864680051804E-9</v>
      </c>
      <c r="K40" s="63">
        <f t="shared" si="5"/>
        <v>0</v>
      </c>
      <c r="N40" s="63">
        <f t="shared" si="6"/>
        <v>2.3253960534930229E-8</v>
      </c>
      <c r="O40" s="63">
        <f t="shared" si="1"/>
        <v>2.3253960534930229E-8</v>
      </c>
      <c r="P40" s="67">
        <f t="shared" si="2"/>
        <v>2.695014700293541E-8</v>
      </c>
    </row>
    <row r="41" spans="4:16">
      <c r="D41" s="63">
        <f t="shared" si="3"/>
        <v>3.6961864680051804E-9</v>
      </c>
      <c r="G41" s="63">
        <f t="shared" si="4"/>
        <v>0</v>
      </c>
      <c r="H41" s="63">
        <f t="shared" si="0"/>
        <v>3.6961864680051804E-9</v>
      </c>
      <c r="K41" s="63">
        <f t="shared" si="5"/>
        <v>0</v>
      </c>
      <c r="N41" s="63">
        <f t="shared" si="6"/>
        <v>2.3253960534930229E-8</v>
      </c>
      <c r="O41" s="63">
        <f t="shared" si="1"/>
        <v>2.3253960534930229E-8</v>
      </c>
      <c r="P41" s="67">
        <f t="shared" si="2"/>
        <v>2.695014700293541E-8</v>
      </c>
    </row>
    <row r="42" spans="4:16">
      <c r="D42" s="63">
        <f t="shared" si="3"/>
        <v>3.6961864680051804E-9</v>
      </c>
      <c r="G42" s="63">
        <f t="shared" si="4"/>
        <v>0</v>
      </c>
      <c r="H42" s="63">
        <f t="shared" si="0"/>
        <v>3.6961864680051804E-9</v>
      </c>
      <c r="K42" s="63">
        <f t="shared" si="5"/>
        <v>0</v>
      </c>
      <c r="N42" s="63">
        <f t="shared" si="6"/>
        <v>2.3253960534930229E-8</v>
      </c>
      <c r="O42" s="63">
        <f t="shared" si="1"/>
        <v>2.3253960534930229E-8</v>
      </c>
      <c r="P42" s="67">
        <f t="shared" si="2"/>
        <v>2.695014700293541E-8</v>
      </c>
    </row>
    <row r="43" spans="4:16">
      <c r="D43" s="63">
        <f t="shared" si="3"/>
        <v>3.6961864680051804E-9</v>
      </c>
      <c r="G43" s="63">
        <f t="shared" si="4"/>
        <v>0</v>
      </c>
      <c r="H43" s="63">
        <f t="shared" si="0"/>
        <v>3.6961864680051804E-9</v>
      </c>
      <c r="K43" s="63">
        <f t="shared" si="5"/>
        <v>0</v>
      </c>
      <c r="N43" s="63">
        <f t="shared" si="6"/>
        <v>2.3253960534930229E-8</v>
      </c>
      <c r="O43" s="63">
        <f t="shared" si="1"/>
        <v>2.3253960534930229E-8</v>
      </c>
      <c r="P43" s="67">
        <f t="shared" si="2"/>
        <v>2.695014700293541E-8</v>
      </c>
    </row>
    <row r="44" spans="4:16">
      <c r="K44" s="63">
        <f t="shared" ref="K44:K46" si="7">K43+I44-J44</f>
        <v>0</v>
      </c>
    </row>
    <row r="45" spans="4:16">
      <c r="K45" s="63">
        <f t="shared" si="7"/>
        <v>0</v>
      </c>
    </row>
    <row r="46" spans="4:16">
      <c r="K46" s="63">
        <f t="shared" si="7"/>
        <v>0</v>
      </c>
    </row>
  </sheetData>
  <mergeCells count="11">
    <mergeCell ref="A1:A3"/>
    <mergeCell ref="H2:H3"/>
    <mergeCell ref="O2:O3"/>
    <mergeCell ref="P1:P3"/>
    <mergeCell ref="Q1:Q3"/>
    <mergeCell ref="B1:H1"/>
    <mergeCell ref="I1:O1"/>
    <mergeCell ref="B2:D2"/>
    <mergeCell ref="E2:G2"/>
    <mergeCell ref="I2:K2"/>
    <mergeCell ref="L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selection activeCell="B4" sqref="B4"/>
    </sheetView>
  </sheetViews>
  <sheetFormatPr defaultColWidth="9" defaultRowHeight="15"/>
  <cols>
    <col min="1" max="1" width="22.42578125" style="2" customWidth="1"/>
    <col min="2" max="2" width="20.42578125" style="2" customWidth="1"/>
    <col min="3" max="3" width="15" style="2" customWidth="1"/>
    <col min="4" max="4" width="16.140625" style="2" customWidth="1"/>
    <col min="5" max="5" width="18.42578125" style="2" customWidth="1"/>
    <col min="6" max="6" width="25.42578125" style="2" customWidth="1"/>
    <col min="7" max="7" width="20.42578125" style="2" customWidth="1"/>
    <col min="8" max="8" width="14.42578125" style="2" customWidth="1"/>
    <col min="9" max="9" width="9" style="2"/>
    <col min="10" max="10" width="14.42578125" style="2" customWidth="1"/>
    <col min="11" max="16384" width="9" style="2"/>
  </cols>
  <sheetData>
    <row r="1" spans="1:7">
      <c r="A1" s="3" t="s">
        <v>4</v>
      </c>
      <c r="B1" s="4">
        <v>0</v>
      </c>
      <c r="E1" s="1" t="s">
        <v>88</v>
      </c>
      <c r="F1" s="1" t="s">
        <v>89</v>
      </c>
      <c r="G1" s="1" t="s">
        <v>90</v>
      </c>
    </row>
    <row r="2" spans="1:7">
      <c r="A2" s="3" t="s">
        <v>5</v>
      </c>
      <c r="B2" s="4">
        <f>台账!B4</f>
        <v>2626917.0499999998</v>
      </c>
      <c r="E2" s="5">
        <v>44285</v>
      </c>
      <c r="F2" s="5">
        <v>44301</v>
      </c>
      <c r="G2" s="2">
        <f>F2-E2</f>
        <v>16</v>
      </c>
    </row>
    <row r="3" spans="1:7">
      <c r="A3" s="3" t="s">
        <v>6</v>
      </c>
      <c r="B3" s="4">
        <v>0</v>
      </c>
    </row>
    <row r="4" spans="1:7">
      <c r="A4" s="3"/>
      <c r="B4" s="4">
        <f>SUM(B1:B3)</f>
        <v>2626917.0499999998</v>
      </c>
      <c r="F4" s="2" t="s">
        <v>58</v>
      </c>
      <c r="G4" s="6">
        <f>B4+B6</f>
        <v>862137296.79999995</v>
      </c>
    </row>
    <row r="5" spans="1:7">
      <c r="A5" s="3" t="s">
        <v>8</v>
      </c>
      <c r="B5" s="4">
        <v>0</v>
      </c>
      <c r="F5" s="2" t="s">
        <v>59</v>
      </c>
      <c r="G5" s="7">
        <f>D23+F46</f>
        <v>862137296.79999995</v>
      </c>
    </row>
    <row r="6" spans="1:7">
      <c r="A6" s="3" t="s">
        <v>9</v>
      </c>
      <c r="B6" s="4">
        <f>台账!E4</f>
        <v>859510379.75</v>
      </c>
      <c r="G6" s="7">
        <f>G4-G5</f>
        <v>0</v>
      </c>
    </row>
    <row r="7" spans="1:7">
      <c r="A7" s="3" t="s">
        <v>10</v>
      </c>
      <c r="B7" s="4"/>
    </row>
    <row r="8" spans="1:7">
      <c r="A8" s="3" t="s">
        <v>11</v>
      </c>
      <c r="B8" s="4">
        <f>D23+D46-B2</f>
        <v>14732694.819999997</v>
      </c>
    </row>
    <row r="9" spans="1:7">
      <c r="A9" s="3"/>
      <c r="B9" s="3"/>
      <c r="F9" s="2" t="s">
        <v>91</v>
      </c>
      <c r="G9" s="8">
        <f>B8</f>
        <v>14732694.819999997</v>
      </c>
    </row>
    <row r="10" spans="1:7">
      <c r="A10" s="3" t="s">
        <v>12</v>
      </c>
      <c r="B10" s="4">
        <f>B6+B7-B8</f>
        <v>844777684.92999995</v>
      </c>
    </row>
    <row r="11" spans="1:7">
      <c r="F11" s="2" t="s">
        <v>92</v>
      </c>
      <c r="G11" s="6">
        <f>D23-D13-D14</f>
        <v>9781841.5700000003</v>
      </c>
    </row>
    <row r="12" spans="1:7" s="1" customFormat="1">
      <c r="A12" s="9"/>
      <c r="B12" s="9" t="s">
        <v>14</v>
      </c>
      <c r="C12" s="9" t="s">
        <v>15</v>
      </c>
      <c r="D12" s="9" t="s">
        <v>16</v>
      </c>
    </row>
    <row r="13" spans="1:7">
      <c r="A13" s="3" t="s">
        <v>17</v>
      </c>
      <c r="B13" s="4">
        <f>B2</f>
        <v>2626917.0499999998</v>
      </c>
      <c r="C13" s="3"/>
      <c r="D13" s="4">
        <f>ROUND(B13/1.03*0.03,2)</f>
        <v>76512.149999999994</v>
      </c>
    </row>
    <row r="14" spans="1:7">
      <c r="A14" s="3" t="s">
        <v>18</v>
      </c>
      <c r="B14" s="4"/>
      <c r="C14" s="3"/>
      <c r="D14" s="4">
        <f>ROUND(D13*0.02,2)+ROUND(D13*0.03,2)+ROUND(D13*0.07,2)</f>
        <v>9181.4500000000007</v>
      </c>
      <c r="E14" s="6">
        <f>D13+D14</f>
        <v>85693.599999999991</v>
      </c>
      <c r="F14" s="1" t="s">
        <v>93</v>
      </c>
      <c r="G14" s="10">
        <f>D46</f>
        <v>7492076.6999999993</v>
      </c>
    </row>
    <row r="15" spans="1:7">
      <c r="A15" s="3" t="s">
        <v>19</v>
      </c>
      <c r="B15" s="3"/>
      <c r="C15" s="3"/>
      <c r="D15" s="4">
        <v>150000</v>
      </c>
      <c r="F15" s="1" t="s">
        <v>94</v>
      </c>
      <c r="G15" s="10">
        <f>E46</f>
        <v>844777684.93000007</v>
      </c>
    </row>
    <row r="16" spans="1:7">
      <c r="A16" s="3" t="s">
        <v>20</v>
      </c>
      <c r="B16" s="3"/>
      <c r="C16" s="3"/>
      <c r="D16" s="4">
        <v>350000</v>
      </c>
      <c r="G16" s="7">
        <f>SUM(G14:G15)</f>
        <v>852269761.63000011</v>
      </c>
    </row>
    <row r="17" spans="1:10">
      <c r="A17" s="3" t="s">
        <v>21</v>
      </c>
      <c r="B17" s="3"/>
      <c r="C17" s="3"/>
      <c r="D17" s="4">
        <v>230000</v>
      </c>
    </row>
    <row r="18" spans="1:10">
      <c r="A18" s="3" t="s">
        <v>22</v>
      </c>
      <c r="B18" s="11">
        <f>B58</f>
        <v>4965317366.0500002</v>
      </c>
      <c r="C18" s="12">
        <v>6.9999999999999999E-4</v>
      </c>
      <c r="D18" s="4">
        <f>ROUND(B18*C18,2)</f>
        <v>3475722.16</v>
      </c>
    </row>
    <row r="19" spans="1:10">
      <c r="A19" s="3" t="s">
        <v>23</v>
      </c>
      <c r="B19" s="3"/>
      <c r="C19" s="3"/>
      <c r="D19" s="13">
        <v>1092369.82</v>
      </c>
    </row>
    <row r="20" spans="1:10">
      <c r="A20" s="3" t="s">
        <v>24</v>
      </c>
      <c r="B20" s="11">
        <f>B58</f>
        <v>4965317366.0500002</v>
      </c>
      <c r="C20" s="12">
        <v>5.0000000000000001E-4</v>
      </c>
      <c r="D20" s="4">
        <f>ROUND(B20*C20*$G$2/365,2)</f>
        <v>108828.87</v>
      </c>
    </row>
    <row r="21" spans="1:10">
      <c r="A21" s="3" t="s">
        <v>25</v>
      </c>
      <c r="B21" s="11">
        <f>B58</f>
        <v>4965317366.0500002</v>
      </c>
      <c r="C21" s="12">
        <v>1E-4</v>
      </c>
      <c r="D21" s="4">
        <f t="shared" ref="D21:D22" si="0">ROUND(B21*C21*$G$2/365,2)</f>
        <v>21765.77</v>
      </c>
    </row>
    <row r="22" spans="1:10">
      <c r="A22" s="3" t="s">
        <v>26</v>
      </c>
      <c r="B22" s="11">
        <f>B58</f>
        <v>4965317366.0500002</v>
      </c>
      <c r="C22" s="12">
        <v>0.02</v>
      </c>
      <c r="D22" s="4">
        <f t="shared" si="0"/>
        <v>4353154.95</v>
      </c>
    </row>
    <row r="23" spans="1:10">
      <c r="A23" s="14"/>
      <c r="B23" s="14"/>
      <c r="C23" s="14"/>
      <c r="D23" s="15">
        <f>SUM(D13:D22)</f>
        <v>9867535.1699999999</v>
      </c>
    </row>
    <row r="26" spans="1:10" s="1" customFormat="1">
      <c r="A26" s="9"/>
      <c r="B26" s="9" t="s">
        <v>29</v>
      </c>
      <c r="C26" s="9" t="s">
        <v>30</v>
      </c>
      <c r="D26" s="9" t="s">
        <v>31</v>
      </c>
      <c r="E26" s="9" t="s">
        <v>32</v>
      </c>
      <c r="F26" s="9" t="s">
        <v>33</v>
      </c>
      <c r="G26" s="9" t="s">
        <v>34</v>
      </c>
    </row>
    <row r="27" spans="1:10">
      <c r="A27" s="3" t="s">
        <v>35</v>
      </c>
      <c r="B27" s="13">
        <v>990000000</v>
      </c>
      <c r="C27" s="12">
        <v>3.8899999999999997E-2</v>
      </c>
      <c r="D27" s="4">
        <f>ROUND(B27*C27*$G$2/365,2)</f>
        <v>1688153.42</v>
      </c>
      <c r="E27" s="13">
        <f>ROUND(B27/$B$34*$B$10,2)</f>
        <v>210662445.36000001</v>
      </c>
      <c r="F27" s="13">
        <f>D27+E27</f>
        <v>212350598.78</v>
      </c>
      <c r="G27" s="16">
        <f>B27-E27</f>
        <v>779337554.63999999</v>
      </c>
      <c r="J27" s="2">
        <f>ROUND(B27*0.022%,2)</f>
        <v>217800</v>
      </c>
    </row>
    <row r="28" spans="1:10">
      <c r="A28" s="3" t="s">
        <v>36</v>
      </c>
      <c r="B28" s="13">
        <v>920000000</v>
      </c>
      <c r="C28" s="12">
        <v>3.8899999999999997E-2</v>
      </c>
      <c r="D28" s="4">
        <f t="shared" ref="D28" si="1">ROUND(B28*C28*$G$2/365,2)</f>
        <v>1568789.04</v>
      </c>
      <c r="E28" s="13">
        <f t="shared" ref="E28:E33" si="2">ROUND(B28/$B$34*$B$10,2)</f>
        <v>195767120.94</v>
      </c>
      <c r="F28" s="13">
        <f t="shared" ref="F28:F44" si="3">D28+E28</f>
        <v>197335909.97999999</v>
      </c>
      <c r="G28" s="16">
        <f t="shared" ref="G28:G33" si="4">B28-E28</f>
        <v>724232879.05999994</v>
      </c>
      <c r="J28" s="2">
        <f t="shared" ref="J28:J33" si="5">ROUND(B28*0.022%,2)</f>
        <v>202400</v>
      </c>
    </row>
    <row r="29" spans="1:10">
      <c r="A29" s="3" t="s">
        <v>37</v>
      </c>
      <c r="B29" s="13">
        <v>920000000</v>
      </c>
      <c r="C29" s="12">
        <v>3.8899999999999997E-2</v>
      </c>
      <c r="D29" s="4">
        <f t="shared" ref="D29:D33" si="6">ROUND(B29*C29*$G$2/365,2)</f>
        <v>1568789.04</v>
      </c>
      <c r="E29" s="13">
        <f t="shared" si="2"/>
        <v>195767120.94</v>
      </c>
      <c r="F29" s="13">
        <f t="shared" si="3"/>
        <v>197335909.97999999</v>
      </c>
      <c r="G29" s="16">
        <f t="shared" si="4"/>
        <v>724232879.05999994</v>
      </c>
      <c r="J29" s="2">
        <f t="shared" si="5"/>
        <v>202400</v>
      </c>
    </row>
    <row r="30" spans="1:10">
      <c r="A30" s="3" t="s">
        <v>38</v>
      </c>
      <c r="B30" s="13">
        <v>490000000</v>
      </c>
      <c r="C30" s="12">
        <v>3.8899999999999997E-2</v>
      </c>
      <c r="D30" s="4">
        <f t="shared" si="6"/>
        <v>835550.68</v>
      </c>
      <c r="E30" s="13">
        <f t="shared" si="2"/>
        <v>104267270.94</v>
      </c>
      <c r="F30" s="13">
        <f t="shared" si="3"/>
        <v>105102821.62</v>
      </c>
      <c r="G30" s="16">
        <f t="shared" si="4"/>
        <v>385732729.06</v>
      </c>
      <c r="J30" s="2">
        <f t="shared" si="5"/>
        <v>107800</v>
      </c>
    </row>
    <row r="31" spans="1:10">
      <c r="A31" s="3" t="s">
        <v>39</v>
      </c>
      <c r="B31" s="13">
        <v>300000000</v>
      </c>
      <c r="C31" s="12">
        <v>3.8899999999999997E-2</v>
      </c>
      <c r="D31" s="4">
        <f t="shared" si="6"/>
        <v>511561.64</v>
      </c>
      <c r="E31" s="13">
        <f t="shared" si="2"/>
        <v>63837104.649999999</v>
      </c>
      <c r="F31" s="13">
        <f t="shared" si="3"/>
        <v>64348666.289999999</v>
      </c>
      <c r="G31" s="16">
        <f t="shared" si="4"/>
        <v>236162895.34999999</v>
      </c>
      <c r="J31" s="2">
        <f t="shared" si="5"/>
        <v>66000</v>
      </c>
    </row>
    <row r="32" spans="1:10">
      <c r="A32" s="3" t="s">
        <v>40</v>
      </c>
      <c r="B32" s="13">
        <v>200000000</v>
      </c>
      <c r="C32" s="12">
        <v>3.8899999999999997E-2</v>
      </c>
      <c r="D32" s="4">
        <f t="shared" si="6"/>
        <v>341041.1</v>
      </c>
      <c r="E32" s="13">
        <f t="shared" si="2"/>
        <v>42558069.770000003</v>
      </c>
      <c r="F32" s="13">
        <f t="shared" si="3"/>
        <v>42899110.870000005</v>
      </c>
      <c r="G32" s="16">
        <f t="shared" si="4"/>
        <v>157441930.22999999</v>
      </c>
      <c r="J32" s="2">
        <f t="shared" si="5"/>
        <v>44000</v>
      </c>
    </row>
    <row r="33" spans="1:10">
      <c r="A33" s="3" t="s">
        <v>41</v>
      </c>
      <c r="B33" s="13">
        <v>150000000</v>
      </c>
      <c r="C33" s="12">
        <v>3.8899999999999997E-2</v>
      </c>
      <c r="D33" s="4">
        <f t="shared" si="6"/>
        <v>255780.82</v>
      </c>
      <c r="E33" s="13">
        <f t="shared" si="2"/>
        <v>31918552.329999998</v>
      </c>
      <c r="F33" s="13">
        <f t="shared" si="3"/>
        <v>32174333.149999999</v>
      </c>
      <c r="G33" s="16">
        <f t="shared" si="4"/>
        <v>118081447.67</v>
      </c>
      <c r="J33" s="2">
        <f t="shared" si="5"/>
        <v>33000</v>
      </c>
    </row>
    <row r="34" spans="1:10">
      <c r="A34" s="14"/>
      <c r="B34" s="17">
        <f>SUM(B27:B33)</f>
        <v>3970000000</v>
      </c>
      <c r="C34" s="14"/>
      <c r="D34" s="17">
        <f>SUM(D27:D33)</f>
        <v>6769665.7399999993</v>
      </c>
      <c r="E34" s="17">
        <f t="shared" ref="E34:G34" si="7">SUM(E27:E33)</f>
        <v>844777684.93000007</v>
      </c>
      <c r="F34" s="17">
        <f t="shared" si="7"/>
        <v>851547350.66999996</v>
      </c>
      <c r="G34" s="17">
        <f t="shared" si="7"/>
        <v>3125222315.0699997</v>
      </c>
    </row>
    <row r="35" spans="1:10">
      <c r="A35" s="3" t="s">
        <v>41</v>
      </c>
      <c r="B35" s="13">
        <v>200000000</v>
      </c>
      <c r="C35" s="12">
        <v>4.1200000000000001E-2</v>
      </c>
      <c r="D35" s="4">
        <f t="shared" ref="D35" si="8">ROUND(B35*C35*$G$2/365,2)</f>
        <v>361205.48</v>
      </c>
      <c r="E35" s="13"/>
      <c r="F35" s="13">
        <f t="shared" si="3"/>
        <v>361205.48</v>
      </c>
      <c r="G35" s="16">
        <f t="shared" ref="G35:G38" si="9">B35-E35</f>
        <v>200000000</v>
      </c>
      <c r="J35" s="2">
        <f t="shared" ref="J35:J38" si="10">ROUND(B35*0.022%,2)</f>
        <v>44000</v>
      </c>
    </row>
    <row r="36" spans="1:10">
      <c r="A36" s="3" t="s">
        <v>42</v>
      </c>
      <c r="B36" s="13">
        <v>30000000</v>
      </c>
      <c r="C36" s="12">
        <v>4.1200000000000001E-2</v>
      </c>
      <c r="D36" s="4">
        <f t="shared" ref="D36:D38" si="11">ROUND(B36*C36*$G$2/365,2)</f>
        <v>54180.82</v>
      </c>
      <c r="E36" s="13"/>
      <c r="F36" s="13">
        <f t="shared" si="3"/>
        <v>54180.82</v>
      </c>
      <c r="G36" s="16">
        <f t="shared" si="9"/>
        <v>30000000</v>
      </c>
      <c r="J36" s="2">
        <f t="shared" si="10"/>
        <v>6600</v>
      </c>
    </row>
    <row r="37" spans="1:10">
      <c r="A37" s="3" t="s">
        <v>43</v>
      </c>
      <c r="B37" s="13">
        <v>120000000</v>
      </c>
      <c r="C37" s="12">
        <v>4.1200000000000001E-2</v>
      </c>
      <c r="D37" s="4">
        <f t="shared" si="11"/>
        <v>216723.29</v>
      </c>
      <c r="E37" s="13"/>
      <c r="F37" s="13">
        <f t="shared" si="3"/>
        <v>216723.29</v>
      </c>
      <c r="G37" s="16">
        <f t="shared" si="9"/>
        <v>120000000</v>
      </c>
      <c r="J37" s="2">
        <f t="shared" si="10"/>
        <v>26400</v>
      </c>
    </row>
    <row r="38" spans="1:10">
      <c r="A38" s="3" t="s">
        <v>44</v>
      </c>
      <c r="B38" s="13">
        <v>50000000</v>
      </c>
      <c r="C38" s="12">
        <v>4.1200000000000001E-2</v>
      </c>
      <c r="D38" s="4">
        <f t="shared" si="11"/>
        <v>90301.37</v>
      </c>
      <c r="E38" s="13"/>
      <c r="F38" s="13">
        <f t="shared" si="3"/>
        <v>90301.37</v>
      </c>
      <c r="G38" s="16">
        <f t="shared" si="9"/>
        <v>50000000</v>
      </c>
      <c r="J38" s="2">
        <f t="shared" si="10"/>
        <v>11000</v>
      </c>
    </row>
    <row r="39" spans="1:10">
      <c r="A39" s="14"/>
      <c r="B39" s="17">
        <f>SUM(B35:B38)</f>
        <v>400000000</v>
      </c>
      <c r="C39" s="14"/>
      <c r="D39" s="17">
        <f>SUM(D35:D38)</f>
        <v>722410.96</v>
      </c>
      <c r="E39" s="17">
        <f t="shared" ref="E39:G39" si="12">SUM(E35:E38)</f>
        <v>0</v>
      </c>
      <c r="F39" s="17">
        <f t="shared" si="12"/>
        <v>722410.96</v>
      </c>
      <c r="G39" s="17">
        <f t="shared" si="12"/>
        <v>400000000</v>
      </c>
    </row>
    <row r="40" spans="1:10">
      <c r="A40" s="3" t="s">
        <v>45</v>
      </c>
      <c r="B40" s="13">
        <v>75000000</v>
      </c>
      <c r="C40" s="12">
        <v>7.4999999999999997E-2</v>
      </c>
      <c r="D40" s="4"/>
      <c r="E40" s="13"/>
      <c r="F40" s="13">
        <f t="shared" si="3"/>
        <v>0</v>
      </c>
      <c r="G40" s="16">
        <f t="shared" ref="G40:G44" si="13">B40-E40</f>
        <v>75000000</v>
      </c>
      <c r="J40" s="2">
        <f t="shared" ref="J40:J44" si="14">ROUND(B40*0.022%,2)</f>
        <v>16500</v>
      </c>
    </row>
    <row r="41" spans="1:10">
      <c r="A41" s="3" t="s">
        <v>46</v>
      </c>
      <c r="B41" s="13">
        <v>20000000</v>
      </c>
      <c r="C41" s="12">
        <v>7.4999999999999997E-2</v>
      </c>
      <c r="D41" s="4"/>
      <c r="E41" s="13"/>
      <c r="F41" s="13">
        <f t="shared" si="3"/>
        <v>0</v>
      </c>
      <c r="G41" s="16">
        <f t="shared" si="13"/>
        <v>20000000</v>
      </c>
      <c r="J41" s="2">
        <f t="shared" si="14"/>
        <v>4400</v>
      </c>
    </row>
    <row r="42" spans="1:10">
      <c r="A42" s="3" t="s">
        <v>47</v>
      </c>
      <c r="B42" s="13">
        <v>220317366.05000001</v>
      </c>
      <c r="C42" s="12">
        <v>7.4999999999999997E-2</v>
      </c>
      <c r="D42" s="4"/>
      <c r="E42" s="13"/>
      <c r="F42" s="13">
        <f t="shared" si="3"/>
        <v>0</v>
      </c>
      <c r="G42" s="16">
        <f t="shared" si="13"/>
        <v>220317366.05000001</v>
      </c>
      <c r="J42" s="2">
        <f t="shared" si="14"/>
        <v>48469.82</v>
      </c>
    </row>
    <row r="43" spans="1:10">
      <c r="A43" s="3" t="s">
        <v>48</v>
      </c>
      <c r="B43" s="13">
        <v>20000000</v>
      </c>
      <c r="C43" s="12">
        <v>7.4999999999999997E-2</v>
      </c>
      <c r="D43" s="4"/>
      <c r="E43" s="13"/>
      <c r="F43" s="13">
        <f t="shared" si="3"/>
        <v>0</v>
      </c>
      <c r="G43" s="16">
        <f t="shared" si="13"/>
        <v>20000000</v>
      </c>
      <c r="J43" s="2">
        <f t="shared" si="14"/>
        <v>4400</v>
      </c>
    </row>
    <row r="44" spans="1:10">
      <c r="A44" s="3" t="s">
        <v>49</v>
      </c>
      <c r="B44" s="13">
        <v>260000000</v>
      </c>
      <c r="C44" s="12">
        <v>7.4999999999999997E-2</v>
      </c>
      <c r="D44" s="4"/>
      <c r="E44" s="13"/>
      <c r="F44" s="13">
        <f t="shared" si="3"/>
        <v>0</v>
      </c>
      <c r="G44" s="16">
        <f t="shared" si="13"/>
        <v>260000000</v>
      </c>
      <c r="J44" s="2">
        <f t="shared" si="14"/>
        <v>57200</v>
      </c>
    </row>
    <row r="45" spans="1:10">
      <c r="A45" s="14"/>
      <c r="B45" s="17">
        <f>SUM(B40:B44)</f>
        <v>595317366.04999995</v>
      </c>
      <c r="C45" s="14"/>
      <c r="D45" s="17">
        <f>SUM(D40:D44)</f>
        <v>0</v>
      </c>
      <c r="E45" s="17">
        <f t="shared" ref="E45:G45" si="15">SUM(E40:E44)</f>
        <v>0</v>
      </c>
      <c r="F45" s="17">
        <f t="shared" si="15"/>
        <v>0</v>
      </c>
      <c r="G45" s="17">
        <f t="shared" si="15"/>
        <v>595317366.04999995</v>
      </c>
      <c r="J45" s="2">
        <f>SUM(J27:J44)</f>
        <v>1092369.8199999998</v>
      </c>
    </row>
    <row r="46" spans="1:10">
      <c r="D46" s="7">
        <f>D34+D39+D45</f>
        <v>7492076.6999999993</v>
      </c>
      <c r="E46" s="7">
        <f>E34+E39+E45</f>
        <v>844777684.93000007</v>
      </c>
      <c r="F46" s="7">
        <f>F34+F39+F45</f>
        <v>852269761.63</v>
      </c>
    </row>
    <row r="55" spans="1:6">
      <c r="A55" s="2" t="s">
        <v>51</v>
      </c>
      <c r="B55" s="18">
        <f>B34</f>
        <v>3970000000</v>
      </c>
      <c r="D55" s="2" t="s">
        <v>52</v>
      </c>
      <c r="E55" s="18">
        <f>G34</f>
        <v>3125222315.0699997</v>
      </c>
      <c r="F55" s="19">
        <f>ROUND(E55/$E$58,4)</f>
        <v>0.75839999999999996</v>
      </c>
    </row>
    <row r="56" spans="1:6">
      <c r="A56" s="2" t="s">
        <v>53</v>
      </c>
      <c r="B56" s="18">
        <f>B39</f>
        <v>400000000</v>
      </c>
      <c r="D56" s="2" t="s">
        <v>54</v>
      </c>
      <c r="E56" s="18">
        <f>G39</f>
        <v>400000000</v>
      </c>
      <c r="F56" s="19">
        <f t="shared" ref="F56:F57" si="16">ROUND(E56/$E$58,4)</f>
        <v>9.7100000000000006E-2</v>
      </c>
    </row>
    <row r="57" spans="1:6">
      <c r="A57" s="2" t="s">
        <v>55</v>
      </c>
      <c r="B57" s="18">
        <f>B45</f>
        <v>595317366.04999995</v>
      </c>
      <c r="D57" s="2" t="s">
        <v>56</v>
      </c>
      <c r="E57" s="18">
        <f>G45</f>
        <v>595317366.04999995</v>
      </c>
      <c r="F57" s="19">
        <f t="shared" si="16"/>
        <v>0.14449999999999999</v>
      </c>
    </row>
    <row r="58" spans="1:6">
      <c r="B58" s="18">
        <f>SUM(B55:B57)</f>
        <v>4965317366.0500002</v>
      </c>
      <c r="E58" s="18">
        <f>SUM(E55:E57)</f>
        <v>4120539681.1199999</v>
      </c>
      <c r="F58" s="19">
        <f>SUM(F55:F57)</f>
        <v>0.99999999999999989</v>
      </c>
    </row>
    <row r="69" spans="1:10" ht="22.5">
      <c r="A69" s="20"/>
      <c r="B69" s="21" t="s">
        <v>95</v>
      </c>
      <c r="C69" s="21" t="s">
        <v>96</v>
      </c>
      <c r="D69" s="21" t="s">
        <v>97</v>
      </c>
      <c r="G69" s="22"/>
      <c r="H69" s="23" t="s">
        <v>95</v>
      </c>
      <c r="I69" s="45" t="s">
        <v>98</v>
      </c>
      <c r="J69" s="46" t="s">
        <v>99</v>
      </c>
    </row>
    <row r="70" spans="1:10" ht="15.75">
      <c r="A70" s="24" t="s">
        <v>100</v>
      </c>
      <c r="B70" s="25">
        <f>ROUND(H72/10000,2)</f>
        <v>496531.74</v>
      </c>
      <c r="C70" s="26"/>
      <c r="D70" s="25">
        <f>ROUND(J72/10000,2)</f>
        <v>410580.7</v>
      </c>
      <c r="G70" s="24" t="s">
        <v>101</v>
      </c>
      <c r="H70" s="27">
        <v>45909</v>
      </c>
      <c r="I70" s="47"/>
      <c r="J70" s="48">
        <v>43033</v>
      </c>
    </row>
    <row r="71" spans="1:10" ht="15.75">
      <c r="A71" s="24" t="s">
        <v>102</v>
      </c>
      <c r="B71" s="28">
        <f>H70</f>
        <v>45909</v>
      </c>
      <c r="C71" s="26"/>
      <c r="D71" s="28">
        <f>J70</f>
        <v>43033</v>
      </c>
      <c r="G71" s="24" t="s">
        <v>103</v>
      </c>
      <c r="H71" s="27">
        <v>45874</v>
      </c>
      <c r="I71" s="47"/>
      <c r="J71" s="48">
        <v>42999</v>
      </c>
    </row>
    <row r="72" spans="1:10" ht="15.75">
      <c r="A72" s="24" t="s">
        <v>104</v>
      </c>
      <c r="B72" s="28">
        <f>H71</f>
        <v>45874</v>
      </c>
      <c r="C72" s="26"/>
      <c r="D72" s="28">
        <f>J71</f>
        <v>42999</v>
      </c>
      <c r="G72" s="24" t="s">
        <v>105</v>
      </c>
      <c r="H72" s="29">
        <v>4965317366.0500002</v>
      </c>
      <c r="I72" s="47"/>
      <c r="J72" s="49">
        <v>4105806986.3000002</v>
      </c>
    </row>
    <row r="73" spans="1:10" ht="22.5">
      <c r="A73" s="24" t="s">
        <v>106</v>
      </c>
      <c r="B73" s="25">
        <f>ROUND(H73/10000,2)</f>
        <v>43.77</v>
      </c>
      <c r="C73" s="26"/>
      <c r="D73" s="25">
        <f>ROUND(J73/10000,2)</f>
        <v>40.200000000000003</v>
      </c>
      <c r="G73" s="24" t="s">
        <v>107</v>
      </c>
      <c r="H73" s="29">
        <v>437670.45</v>
      </c>
      <c r="I73" s="47"/>
      <c r="J73" s="49">
        <v>401969.89</v>
      </c>
    </row>
    <row r="74" spans="1:10" ht="22.5">
      <c r="A74" s="24" t="s">
        <v>108</v>
      </c>
      <c r="B74" s="25">
        <f>ROUND(H74/10000,2)</f>
        <v>28.68</v>
      </c>
      <c r="C74" s="26"/>
      <c r="D74" s="25">
        <f>ROUND(J74/10000,2)</f>
        <v>26.64</v>
      </c>
      <c r="G74" s="24" t="s">
        <v>109</v>
      </c>
      <c r="H74" s="29">
        <v>286818.49</v>
      </c>
      <c r="I74" s="47"/>
      <c r="J74" s="49">
        <v>266379.8</v>
      </c>
    </row>
    <row r="75" spans="1:10" ht="22.5">
      <c r="A75" s="24" t="s">
        <v>110</v>
      </c>
      <c r="B75" s="25">
        <f>ROUND(H75/10000,2)</f>
        <v>10.82</v>
      </c>
      <c r="C75" s="26"/>
      <c r="D75" s="25">
        <f>ROUND(J75/10000,2)</f>
        <v>9.5399999999999991</v>
      </c>
      <c r="G75" s="24" t="s">
        <v>111</v>
      </c>
      <c r="H75" s="29">
        <v>108155.64</v>
      </c>
      <c r="I75" s="47"/>
      <c r="J75" s="49">
        <v>95410.66</v>
      </c>
    </row>
    <row r="76" spans="1:10" ht="15.75">
      <c r="A76" s="24" t="s">
        <v>112</v>
      </c>
      <c r="B76" s="30">
        <f>H84</f>
        <v>0.15010000000000001</v>
      </c>
      <c r="C76" s="26"/>
      <c r="D76" s="30">
        <f t="shared" ref="D76:D78" si="17">J84</f>
        <v>0.1502</v>
      </c>
      <c r="G76" s="24" t="s">
        <v>113</v>
      </c>
      <c r="H76" s="29">
        <v>4965317366.0500002</v>
      </c>
      <c r="I76" s="47"/>
      <c r="J76" s="49">
        <v>4105806986.3000002</v>
      </c>
    </row>
    <row r="77" spans="1:10" ht="22.5">
      <c r="A77" s="24" t="s">
        <v>114</v>
      </c>
      <c r="B77" s="30">
        <f t="shared" ref="B77:B78" si="18">H85</f>
        <v>0.16</v>
      </c>
      <c r="C77" s="26"/>
      <c r="D77" s="30">
        <f t="shared" si="17"/>
        <v>0.16</v>
      </c>
      <c r="G77" s="22"/>
      <c r="H77" s="23" t="s">
        <v>95</v>
      </c>
      <c r="I77" s="45" t="s">
        <v>98</v>
      </c>
      <c r="J77" s="46" t="s">
        <v>99</v>
      </c>
    </row>
    <row r="78" spans="1:10" ht="15.75">
      <c r="A78" s="24" t="s">
        <v>115</v>
      </c>
      <c r="B78" s="30">
        <f t="shared" si="18"/>
        <v>0.1</v>
      </c>
      <c r="C78" s="26"/>
      <c r="D78" s="30">
        <f t="shared" si="17"/>
        <v>0.1</v>
      </c>
      <c r="G78" s="24" t="s">
        <v>116</v>
      </c>
      <c r="H78" s="31">
        <v>37.36</v>
      </c>
      <c r="I78" s="47"/>
      <c r="J78" s="50">
        <v>37.68</v>
      </c>
    </row>
    <row r="79" spans="1:10" ht="15.75">
      <c r="A79" s="24" t="s">
        <v>117</v>
      </c>
      <c r="B79" s="25">
        <f>H79</f>
        <v>25.22</v>
      </c>
      <c r="C79" s="26"/>
      <c r="D79" s="25">
        <f t="shared" ref="D79" si="19">J79</f>
        <v>22.79</v>
      </c>
      <c r="G79" s="24" t="s">
        <v>118</v>
      </c>
      <c r="H79" s="31">
        <v>25.22</v>
      </c>
      <c r="I79" s="47"/>
      <c r="J79" s="50">
        <v>22.79</v>
      </c>
    </row>
    <row r="80" spans="1:10" ht="15.75">
      <c r="A80" s="24" t="s">
        <v>119</v>
      </c>
      <c r="B80" s="25">
        <f>H78</f>
        <v>37.36</v>
      </c>
      <c r="C80" s="26"/>
      <c r="D80" s="25">
        <f>J78</f>
        <v>37.68</v>
      </c>
      <c r="G80" s="24" t="s">
        <v>120</v>
      </c>
      <c r="H80" s="31">
        <v>12.17</v>
      </c>
      <c r="I80" s="47"/>
      <c r="J80" s="50">
        <v>14.92</v>
      </c>
    </row>
    <row r="81" spans="1:10" ht="15.75">
      <c r="A81" s="24" t="s">
        <v>121</v>
      </c>
      <c r="B81" s="25">
        <f>H80</f>
        <v>12.17</v>
      </c>
      <c r="C81" s="26"/>
      <c r="D81" s="25">
        <f t="shared" ref="D81:D83" si="20">J80</f>
        <v>14.92</v>
      </c>
      <c r="G81" s="24" t="s">
        <v>122</v>
      </c>
      <c r="H81" s="31">
        <v>36</v>
      </c>
      <c r="I81" s="47"/>
      <c r="J81" s="50">
        <v>33.04</v>
      </c>
    </row>
    <row r="82" spans="1:10" ht="22.5">
      <c r="A82" s="24" t="s">
        <v>123</v>
      </c>
      <c r="B82" s="25">
        <f>H81</f>
        <v>36</v>
      </c>
      <c r="C82" s="26"/>
      <c r="D82" s="25">
        <f t="shared" si="20"/>
        <v>33.04</v>
      </c>
      <c r="G82" s="24" t="s">
        <v>124</v>
      </c>
      <c r="H82" s="31">
        <v>5</v>
      </c>
      <c r="I82" s="47"/>
      <c r="J82" s="50">
        <v>2.04</v>
      </c>
    </row>
    <row r="83" spans="1:10" ht="22.5">
      <c r="A83" s="24" t="s">
        <v>125</v>
      </c>
      <c r="B83" s="25">
        <f>H82</f>
        <v>5</v>
      </c>
      <c r="C83" s="26"/>
      <c r="D83" s="25">
        <f t="shared" si="20"/>
        <v>2.04</v>
      </c>
      <c r="G83" s="22"/>
      <c r="H83" s="23" t="s">
        <v>95</v>
      </c>
      <c r="I83" s="45" t="s">
        <v>98</v>
      </c>
      <c r="J83" s="46" t="s">
        <v>99</v>
      </c>
    </row>
    <row r="84" spans="1:10">
      <c r="G84" s="24" t="s">
        <v>126</v>
      </c>
      <c r="H84" s="32">
        <v>0.15010000000000001</v>
      </c>
      <c r="I84" s="47"/>
      <c r="J84" s="51">
        <v>0.1502</v>
      </c>
    </row>
    <row r="85" spans="1:10">
      <c r="B85" s="6">
        <f>B6</f>
        <v>859510379.75</v>
      </c>
      <c r="G85" s="24" t="s">
        <v>127</v>
      </c>
      <c r="H85" s="32">
        <v>0.16</v>
      </c>
      <c r="I85" s="47"/>
      <c r="J85" s="51">
        <v>0.16</v>
      </c>
    </row>
    <row r="86" spans="1:10">
      <c r="B86" s="6">
        <f>B2</f>
        <v>2626917.0499999998</v>
      </c>
      <c r="G86" s="24" t="s">
        <v>128</v>
      </c>
      <c r="H86" s="32">
        <v>0.1</v>
      </c>
      <c r="I86" s="47"/>
      <c r="J86" s="51">
        <v>0.1</v>
      </c>
    </row>
    <row r="87" spans="1:10">
      <c r="B87" s="2" t="s">
        <v>129</v>
      </c>
    </row>
    <row r="88" spans="1:10">
      <c r="B88" s="6">
        <f>SUM(B85:B87)</f>
        <v>862137296.79999995</v>
      </c>
    </row>
    <row r="90" spans="1:10">
      <c r="A90" s="33">
        <v>42557</v>
      </c>
      <c r="B90" s="34">
        <v>0.9889</v>
      </c>
      <c r="C90" s="35">
        <v>4063447142.3299999</v>
      </c>
      <c r="D90" s="34">
        <v>0.98970000000000002</v>
      </c>
    </row>
    <row r="91" spans="1:10">
      <c r="A91" s="36">
        <v>301</v>
      </c>
      <c r="B91" s="37">
        <v>7.0000000000000001E-3</v>
      </c>
      <c r="C91" s="38">
        <v>26108570.109999999</v>
      </c>
      <c r="D91" s="37">
        <v>6.4000000000000003E-3</v>
      </c>
    </row>
    <row r="92" spans="1:10">
      <c r="A92" s="36">
        <v>119</v>
      </c>
      <c r="B92" s="37">
        <v>2.8E-3</v>
      </c>
      <c r="C92" s="38">
        <v>10595148.439999999</v>
      </c>
      <c r="D92" s="37">
        <v>2.5999999999999999E-3</v>
      </c>
    </row>
    <row r="93" spans="1:10">
      <c r="A93" s="36">
        <v>56</v>
      </c>
      <c r="B93" s="37">
        <v>1.2999999999999999E-3</v>
      </c>
      <c r="C93" s="38">
        <v>5656125.4199999999</v>
      </c>
      <c r="D93" s="37">
        <v>1.2999999999999999E-3</v>
      </c>
    </row>
    <row r="94" spans="1:10">
      <c r="A94" s="36" t="s">
        <v>129</v>
      </c>
      <c r="B94" s="37">
        <v>0</v>
      </c>
      <c r="C94" s="39" t="s">
        <v>129</v>
      </c>
      <c r="D94" s="37">
        <v>0</v>
      </c>
    </row>
    <row r="95" spans="1:10">
      <c r="A95" s="40">
        <f>SUM(A90:A94)</f>
        <v>43033</v>
      </c>
      <c r="B95" s="19">
        <f>SUM(B90:B94)</f>
        <v>1</v>
      </c>
      <c r="C95" s="35">
        <f>SUM(C90:C94)</f>
        <v>4105806986.3000002</v>
      </c>
      <c r="D95" s="19">
        <f>SUM(D90:D94)</f>
        <v>1</v>
      </c>
    </row>
    <row r="97" spans="1:6">
      <c r="A97" s="41">
        <v>44286</v>
      </c>
      <c r="B97" s="41">
        <f>A97+15</f>
        <v>44301</v>
      </c>
      <c r="C97" s="35">
        <v>4965317366.0500002</v>
      </c>
      <c r="D97" s="42">
        <v>859510379.75</v>
      </c>
      <c r="E97" s="35">
        <v>2626917.0499999998</v>
      </c>
      <c r="F97" s="35">
        <v>4105806986.3000002</v>
      </c>
    </row>
    <row r="98" spans="1:6">
      <c r="A98" s="43">
        <v>44316</v>
      </c>
      <c r="B98" s="41">
        <f t="shared" ref="B98:B130" si="21">A98+15</f>
        <v>44331</v>
      </c>
      <c r="C98" s="38">
        <v>4105806986.3000002</v>
      </c>
      <c r="D98" s="38">
        <v>187734707.69999999</v>
      </c>
      <c r="E98" s="38">
        <v>52077469.32</v>
      </c>
      <c r="F98" s="44">
        <v>3918072278.5999999</v>
      </c>
    </row>
    <row r="99" spans="1:6">
      <c r="A99" s="43">
        <v>44347</v>
      </c>
      <c r="B99" s="41">
        <f t="shared" si="21"/>
        <v>44362</v>
      </c>
      <c r="C99" s="38">
        <v>3918072278.5999999</v>
      </c>
      <c r="D99" s="38">
        <v>187481547.08000001</v>
      </c>
      <c r="E99" s="38">
        <v>49049247.759999998</v>
      </c>
      <c r="F99" s="44">
        <v>3730590731.52</v>
      </c>
    </row>
    <row r="100" spans="1:6">
      <c r="A100" s="43">
        <v>44377</v>
      </c>
      <c r="B100" s="41">
        <f t="shared" si="21"/>
        <v>44392</v>
      </c>
      <c r="C100" s="38">
        <v>3730590731.52</v>
      </c>
      <c r="D100" s="38">
        <v>189826475.03999999</v>
      </c>
      <c r="E100" s="38">
        <v>46704319.490000002</v>
      </c>
      <c r="F100" s="44">
        <v>3540764256.48</v>
      </c>
    </row>
    <row r="101" spans="1:6">
      <c r="A101" s="43">
        <v>44408</v>
      </c>
      <c r="B101" s="41">
        <f t="shared" si="21"/>
        <v>44423</v>
      </c>
      <c r="C101" s="38">
        <v>3540764256.48</v>
      </c>
      <c r="D101" s="38">
        <v>190121474.94999999</v>
      </c>
      <c r="E101" s="38">
        <v>44329754.100000001</v>
      </c>
      <c r="F101" s="44">
        <v>3350642781.5300002</v>
      </c>
    </row>
    <row r="102" spans="1:6">
      <c r="A102" s="43">
        <v>44439</v>
      </c>
      <c r="B102" s="41">
        <f t="shared" si="21"/>
        <v>44454</v>
      </c>
      <c r="C102" s="38">
        <v>3350642781.5300002</v>
      </c>
      <c r="D102" s="38">
        <v>189537081.71000001</v>
      </c>
      <c r="E102" s="38">
        <v>41950689.240000002</v>
      </c>
      <c r="F102" s="44">
        <v>3161105699.8200002</v>
      </c>
    </row>
    <row r="103" spans="1:6">
      <c r="A103" s="43">
        <v>44469</v>
      </c>
      <c r="B103" s="41">
        <f t="shared" si="21"/>
        <v>44484</v>
      </c>
      <c r="C103" s="38">
        <v>3161105699.8200002</v>
      </c>
      <c r="D103" s="38">
        <v>188643264.88</v>
      </c>
      <c r="E103" s="38">
        <v>39577780.810000002</v>
      </c>
      <c r="F103" s="44">
        <v>2972462434.9400001</v>
      </c>
    </row>
    <row r="104" spans="1:6">
      <c r="A104" s="43">
        <v>44500</v>
      </c>
      <c r="B104" s="41">
        <f t="shared" si="21"/>
        <v>44515</v>
      </c>
      <c r="C104" s="38">
        <v>2972462434.9400001</v>
      </c>
      <c r="D104" s="38">
        <v>187181725.41999999</v>
      </c>
      <c r="E104" s="38">
        <v>37215430.549999997</v>
      </c>
      <c r="F104" s="44">
        <v>2785280709.52</v>
      </c>
    </row>
    <row r="105" spans="1:6">
      <c r="A105" s="43">
        <v>44530</v>
      </c>
      <c r="B105" s="41">
        <f t="shared" si="21"/>
        <v>44545</v>
      </c>
      <c r="C105" s="38">
        <v>2785280709.52</v>
      </c>
      <c r="D105" s="38">
        <v>186149658.66</v>
      </c>
      <c r="E105" s="38">
        <v>34870518.490000002</v>
      </c>
      <c r="F105" s="38">
        <v>2599131050.8600001</v>
      </c>
    </row>
    <row r="106" spans="1:6">
      <c r="A106" s="43">
        <v>44561</v>
      </c>
      <c r="B106" s="41">
        <f t="shared" si="21"/>
        <v>44576</v>
      </c>
      <c r="C106" s="38">
        <v>2599131050.8600001</v>
      </c>
      <c r="D106" s="38">
        <v>186267302.58000001</v>
      </c>
      <c r="E106" s="38">
        <v>32537399.559999999</v>
      </c>
      <c r="F106" s="44">
        <v>2412863748.2800002</v>
      </c>
    </row>
    <row r="107" spans="1:6">
      <c r="A107" s="43">
        <v>44592</v>
      </c>
      <c r="B107" s="41">
        <f t="shared" si="21"/>
        <v>44607</v>
      </c>
      <c r="C107" s="38">
        <v>2412863748.2800002</v>
      </c>
      <c r="D107" s="38">
        <v>186264703.49000001</v>
      </c>
      <c r="E107" s="38">
        <v>30203015.600000001</v>
      </c>
      <c r="F107" s="44">
        <v>2226599044.79</v>
      </c>
    </row>
    <row r="108" spans="1:6">
      <c r="A108" s="43">
        <v>44620</v>
      </c>
      <c r="B108" s="41">
        <f t="shared" si="21"/>
        <v>44635</v>
      </c>
      <c r="C108" s="38">
        <v>2226599044.79</v>
      </c>
      <c r="D108" s="38">
        <v>176376857.37</v>
      </c>
      <c r="E108" s="38">
        <v>27868622.09</v>
      </c>
      <c r="F108" s="44">
        <v>2050222187.4200001</v>
      </c>
    </row>
    <row r="109" spans="1:6">
      <c r="A109" s="43">
        <v>44651</v>
      </c>
      <c r="B109" s="41">
        <f t="shared" si="21"/>
        <v>44666</v>
      </c>
      <c r="C109" s="38">
        <v>2050222187.4200001</v>
      </c>
      <c r="D109" s="38">
        <v>174516956.30000001</v>
      </c>
      <c r="E109" s="38">
        <v>25659920.399999999</v>
      </c>
      <c r="F109" s="44">
        <v>1875705231.1199999</v>
      </c>
    </row>
    <row r="110" spans="1:6">
      <c r="A110" s="43">
        <v>44681</v>
      </c>
      <c r="B110" s="41">
        <f t="shared" si="21"/>
        <v>44696</v>
      </c>
      <c r="C110" s="38">
        <v>1875705231.1199999</v>
      </c>
      <c r="D110" s="38">
        <v>163806991.34</v>
      </c>
      <c r="E110" s="38">
        <v>23473826.510000002</v>
      </c>
      <c r="F110" s="44">
        <v>1711898239.78</v>
      </c>
    </row>
    <row r="111" spans="1:6">
      <c r="A111" s="43">
        <v>44712</v>
      </c>
      <c r="B111" s="41">
        <f t="shared" si="21"/>
        <v>44727</v>
      </c>
      <c r="C111" s="38">
        <v>1711898239.78</v>
      </c>
      <c r="D111" s="38">
        <v>154352187.03</v>
      </c>
      <c r="E111" s="38">
        <v>21421893.82</v>
      </c>
      <c r="F111" s="44">
        <v>1557546052.75</v>
      </c>
    </row>
    <row r="112" spans="1:6">
      <c r="A112" s="43">
        <v>44742</v>
      </c>
      <c r="B112" s="41">
        <f t="shared" si="21"/>
        <v>44757</v>
      </c>
      <c r="C112" s="38">
        <v>1557546052.75</v>
      </c>
      <c r="D112" s="38">
        <v>144979899.22</v>
      </c>
      <c r="E112" s="38">
        <v>19487460.120000001</v>
      </c>
      <c r="F112" s="44">
        <v>1412566153.53</v>
      </c>
    </row>
    <row r="113" spans="1:6">
      <c r="A113" s="43">
        <v>44773</v>
      </c>
      <c r="B113" s="41">
        <f t="shared" si="21"/>
        <v>44788</v>
      </c>
      <c r="C113" s="38">
        <v>1412566153.53</v>
      </c>
      <c r="D113" s="38">
        <v>134231653.62</v>
      </c>
      <c r="E113" s="38">
        <v>17669281.969999999</v>
      </c>
      <c r="F113" s="44">
        <v>1278334499.9100001</v>
      </c>
    </row>
    <row r="114" spans="1:6">
      <c r="A114" s="43">
        <v>44804</v>
      </c>
      <c r="B114" s="41">
        <f t="shared" si="21"/>
        <v>44819</v>
      </c>
      <c r="C114" s="38">
        <v>1278334499.9100001</v>
      </c>
      <c r="D114" s="38">
        <v>125655791.53</v>
      </c>
      <c r="E114" s="38">
        <v>15986869.6</v>
      </c>
      <c r="F114" s="38">
        <v>1152678708.3800001</v>
      </c>
    </row>
    <row r="115" spans="1:6">
      <c r="A115" s="43">
        <v>44834</v>
      </c>
      <c r="B115" s="41">
        <f t="shared" si="21"/>
        <v>44849</v>
      </c>
      <c r="C115" s="38">
        <v>1152678708.3800001</v>
      </c>
      <c r="D115" s="38">
        <v>118615625.77</v>
      </c>
      <c r="E115" s="38">
        <v>14411610.08</v>
      </c>
      <c r="F115" s="38">
        <v>1034063082.61</v>
      </c>
    </row>
    <row r="116" spans="1:6">
      <c r="A116" s="43">
        <v>44865</v>
      </c>
      <c r="B116" s="41">
        <f t="shared" si="21"/>
        <v>44880</v>
      </c>
      <c r="C116" s="38">
        <v>1034063082.61</v>
      </c>
      <c r="D116" s="38">
        <v>110510366.06999999</v>
      </c>
      <c r="E116" s="38">
        <v>12924055.279999999</v>
      </c>
      <c r="F116" s="38">
        <v>923552716.53999996</v>
      </c>
    </row>
    <row r="117" spans="1:6">
      <c r="A117" s="43">
        <v>44895</v>
      </c>
      <c r="B117" s="41">
        <f t="shared" si="21"/>
        <v>44910</v>
      </c>
      <c r="C117" s="38">
        <v>923552716.53999996</v>
      </c>
      <c r="D117" s="38">
        <v>104316116.75</v>
      </c>
      <c r="E117" s="38">
        <v>11537983.01</v>
      </c>
      <c r="F117" s="38">
        <v>819236599.78999996</v>
      </c>
    </row>
    <row r="118" spans="1:6">
      <c r="A118" s="43">
        <v>44926</v>
      </c>
      <c r="B118" s="41">
        <f t="shared" si="21"/>
        <v>44941</v>
      </c>
      <c r="C118" s="38">
        <v>819236599.78999996</v>
      </c>
      <c r="D118" s="38">
        <v>99372262.670000002</v>
      </c>
      <c r="E118" s="38">
        <v>10228445.539999999</v>
      </c>
      <c r="F118" s="38">
        <v>719864337.12</v>
      </c>
    </row>
    <row r="119" spans="1:6">
      <c r="A119" s="43">
        <v>44957</v>
      </c>
      <c r="B119" s="41">
        <f t="shared" si="21"/>
        <v>44972</v>
      </c>
      <c r="C119" s="38">
        <v>719864337.12</v>
      </c>
      <c r="D119" s="38">
        <v>93128249.590000004</v>
      </c>
      <c r="E119" s="38">
        <v>8982658.0999999996</v>
      </c>
      <c r="F119" s="38">
        <v>626736087.52999997</v>
      </c>
    </row>
    <row r="120" spans="1:6">
      <c r="A120" s="43">
        <v>44985</v>
      </c>
      <c r="B120" s="41">
        <f t="shared" si="21"/>
        <v>45000</v>
      </c>
      <c r="C120" s="38">
        <v>626736087.52999997</v>
      </c>
      <c r="D120" s="38">
        <v>86239981.890000001</v>
      </c>
      <c r="E120" s="38">
        <v>7816117.7999999998</v>
      </c>
      <c r="F120" s="38">
        <v>540496105.63999999</v>
      </c>
    </row>
    <row r="121" spans="1:6">
      <c r="A121" s="43">
        <v>45016</v>
      </c>
      <c r="B121" s="41">
        <f t="shared" si="21"/>
        <v>45031</v>
      </c>
      <c r="C121" s="38">
        <v>540496105.63999999</v>
      </c>
      <c r="D121" s="38">
        <v>86156434.549999997</v>
      </c>
      <c r="E121" s="38">
        <v>6737366.9400000004</v>
      </c>
      <c r="F121" s="38">
        <v>454339671.08999997</v>
      </c>
    </row>
    <row r="122" spans="1:6">
      <c r="A122" s="43">
        <v>45046</v>
      </c>
      <c r="B122" s="41">
        <f t="shared" si="21"/>
        <v>45061</v>
      </c>
      <c r="C122" s="38">
        <v>454339671.08999997</v>
      </c>
      <c r="D122" s="38">
        <v>77067278.769999996</v>
      </c>
      <c r="E122" s="38">
        <v>5659583.3799999999</v>
      </c>
      <c r="F122" s="38">
        <v>377272392.31999999</v>
      </c>
    </row>
    <row r="123" spans="1:6">
      <c r="A123" s="43">
        <v>45077</v>
      </c>
      <c r="B123" s="41">
        <f t="shared" si="21"/>
        <v>45092</v>
      </c>
      <c r="C123" s="38">
        <v>377272392.31999999</v>
      </c>
      <c r="D123" s="38">
        <v>72621293.329999998</v>
      </c>
      <c r="E123" s="38">
        <v>4699612.93</v>
      </c>
      <c r="F123" s="38">
        <v>304651098.99000001</v>
      </c>
    </row>
    <row r="124" spans="1:6">
      <c r="A124" s="43">
        <v>45107</v>
      </c>
      <c r="B124" s="41">
        <f t="shared" si="21"/>
        <v>45122</v>
      </c>
      <c r="C124" s="38">
        <v>304651098.99000001</v>
      </c>
      <c r="D124" s="38">
        <v>68930061.180000007</v>
      </c>
      <c r="E124" s="38">
        <v>3795463.76</v>
      </c>
      <c r="F124" s="38">
        <v>235721037.81</v>
      </c>
    </row>
    <row r="125" spans="1:6">
      <c r="A125" s="43">
        <v>45138</v>
      </c>
      <c r="B125" s="41">
        <f t="shared" si="21"/>
        <v>45153</v>
      </c>
      <c r="C125" s="38">
        <v>235721037.81</v>
      </c>
      <c r="D125" s="38">
        <v>64731919.969999999</v>
      </c>
      <c r="E125" s="38">
        <v>2937060.38</v>
      </c>
      <c r="F125" s="38">
        <v>170989117.84</v>
      </c>
    </row>
    <row r="126" spans="1:6">
      <c r="A126" s="43">
        <v>45169</v>
      </c>
      <c r="B126" s="41">
        <f t="shared" si="21"/>
        <v>45184</v>
      </c>
      <c r="C126" s="38">
        <v>170989117.84</v>
      </c>
      <c r="D126" s="38">
        <v>57647167.82</v>
      </c>
      <c r="E126" s="38">
        <v>2130635.9900000002</v>
      </c>
      <c r="F126" s="38">
        <v>113341950.02</v>
      </c>
    </row>
    <row r="127" spans="1:6">
      <c r="A127" s="43">
        <v>45199</v>
      </c>
      <c r="B127" s="41">
        <f t="shared" si="21"/>
        <v>45214</v>
      </c>
      <c r="C127" s="38">
        <v>113341950.02</v>
      </c>
      <c r="D127" s="38">
        <v>47271568.030000001</v>
      </c>
      <c r="E127" s="38">
        <v>1412753.17</v>
      </c>
      <c r="F127" s="44">
        <v>66070381.990000002</v>
      </c>
    </row>
    <row r="128" spans="1:6">
      <c r="A128" s="43">
        <v>45230</v>
      </c>
      <c r="B128" s="41">
        <f t="shared" si="21"/>
        <v>45245</v>
      </c>
      <c r="C128" s="38">
        <v>66070381.990000002</v>
      </c>
      <c r="D128" s="38">
        <v>32979765.09</v>
      </c>
      <c r="E128" s="38">
        <v>824395.8</v>
      </c>
      <c r="F128" s="44">
        <v>33090616.899999999</v>
      </c>
    </row>
    <row r="129" spans="1:6">
      <c r="A129" s="43">
        <v>45260</v>
      </c>
      <c r="B129" s="41">
        <f t="shared" si="21"/>
        <v>45275</v>
      </c>
      <c r="C129" s="38">
        <v>33090616.899999999</v>
      </c>
      <c r="D129" s="38">
        <v>21075703.489999998</v>
      </c>
      <c r="E129" s="38">
        <v>414161.96</v>
      </c>
      <c r="F129" s="44">
        <v>12014913.41</v>
      </c>
    </row>
    <row r="130" spans="1:6">
      <c r="A130" s="43">
        <v>45291</v>
      </c>
      <c r="B130" s="41">
        <f t="shared" si="21"/>
        <v>45306</v>
      </c>
      <c r="C130" s="38">
        <v>12014913.41</v>
      </c>
      <c r="D130" s="38">
        <v>12014913.41</v>
      </c>
      <c r="E130" s="38">
        <v>149925.12</v>
      </c>
      <c r="F130" s="52">
        <v>0</v>
      </c>
    </row>
    <row r="134" spans="1:6" ht="15.75">
      <c r="A134" s="53"/>
      <c r="B134" s="54" t="s">
        <v>130</v>
      </c>
      <c r="C134" s="54" t="s">
        <v>131</v>
      </c>
      <c r="D134" s="54" t="s">
        <v>132</v>
      </c>
      <c r="F134" s="6">
        <f>E14</f>
        <v>85693.599999999991</v>
      </c>
    </row>
    <row r="135" spans="1:6">
      <c r="A135" s="55" t="s">
        <v>133</v>
      </c>
      <c r="B135" s="56">
        <v>3970000000</v>
      </c>
      <c r="C135" s="56">
        <v>400000000</v>
      </c>
      <c r="D135" s="56">
        <v>595317366.04999995</v>
      </c>
    </row>
    <row r="136" spans="1:6">
      <c r="A136" s="55" t="s">
        <v>134</v>
      </c>
      <c r="B136" s="56">
        <v>3970000000</v>
      </c>
      <c r="C136" s="56">
        <v>400000000</v>
      </c>
      <c r="D136" s="56">
        <v>595317366.04999995</v>
      </c>
      <c r="F136" s="6">
        <f>G11</f>
        <v>9781841.5700000003</v>
      </c>
    </row>
    <row r="137" spans="1:6">
      <c r="A137" s="55" t="s">
        <v>135</v>
      </c>
      <c r="B137" s="57" t="s">
        <v>129</v>
      </c>
      <c r="C137" s="57" t="s">
        <v>129</v>
      </c>
      <c r="D137" s="57" t="s">
        <v>129</v>
      </c>
    </row>
    <row r="138" spans="1:6" ht="23.25">
      <c r="A138" s="55" t="s">
        <v>136</v>
      </c>
      <c r="B138" s="56">
        <f>E34</f>
        <v>844777684.93000007</v>
      </c>
      <c r="C138" s="57" t="s">
        <v>129</v>
      </c>
      <c r="D138" s="57" t="s">
        <v>129</v>
      </c>
      <c r="F138" s="6">
        <f>SUM(F134:F137)</f>
        <v>9867535.1699999999</v>
      </c>
    </row>
    <row r="139" spans="1:6">
      <c r="A139" s="55" t="s">
        <v>137</v>
      </c>
      <c r="B139" s="56">
        <f>B138</f>
        <v>844777684.93000007</v>
      </c>
      <c r="C139" s="57" t="s">
        <v>129</v>
      </c>
      <c r="D139" s="57" t="s">
        <v>129</v>
      </c>
    </row>
    <row r="140" spans="1:6">
      <c r="A140" s="55" t="s">
        <v>138</v>
      </c>
      <c r="B140" s="57">
        <f>ROUND(B139/B135,4)</f>
        <v>0.21279999999999999</v>
      </c>
      <c r="C140" s="57" t="s">
        <v>129</v>
      </c>
      <c r="D140" s="57" t="s">
        <v>129</v>
      </c>
    </row>
    <row r="141" spans="1:6">
      <c r="A141" s="55" t="s">
        <v>139</v>
      </c>
      <c r="B141" s="57" t="s">
        <v>129</v>
      </c>
      <c r="C141" s="57" t="s">
        <v>129</v>
      </c>
      <c r="D141" s="57" t="s">
        <v>129</v>
      </c>
    </row>
    <row r="142" spans="1:6">
      <c r="A142" s="55" t="s">
        <v>140</v>
      </c>
      <c r="B142" s="57" t="s">
        <v>129</v>
      </c>
      <c r="C142" s="57" t="s">
        <v>129</v>
      </c>
      <c r="D142" s="57" t="s">
        <v>129</v>
      </c>
    </row>
    <row r="143" spans="1:6">
      <c r="A143" s="55" t="s">
        <v>141</v>
      </c>
      <c r="B143" s="58">
        <f>B136-B139</f>
        <v>3125222315.0699997</v>
      </c>
      <c r="C143" s="56">
        <v>400000000</v>
      </c>
      <c r="D143" s="56">
        <v>595317366.04999995</v>
      </c>
    </row>
    <row r="144" spans="1:6">
      <c r="A144" s="55" t="s">
        <v>142</v>
      </c>
      <c r="B144" s="57">
        <v>3.89</v>
      </c>
      <c r="C144" s="57">
        <v>4.12</v>
      </c>
      <c r="D144" s="57" t="s">
        <v>129</v>
      </c>
    </row>
    <row r="145" spans="1:4" ht="23.25">
      <c r="A145" s="55" t="s">
        <v>143</v>
      </c>
      <c r="B145" s="59">
        <f>D34</f>
        <v>6769665.7399999993</v>
      </c>
      <c r="C145" s="59">
        <f>D39</f>
        <v>722410.96</v>
      </c>
      <c r="D145" s="59">
        <f>D45</f>
        <v>0</v>
      </c>
    </row>
    <row r="146" spans="1:4" ht="23.25">
      <c r="A146" s="55" t="s">
        <v>144</v>
      </c>
      <c r="B146" s="59">
        <f>B145</f>
        <v>6769665.7399999993</v>
      </c>
      <c r="C146" s="59">
        <f t="shared" ref="C146:D146" si="22">C145</f>
        <v>722410.96</v>
      </c>
      <c r="D146" s="59">
        <f t="shared" si="22"/>
        <v>0</v>
      </c>
    </row>
    <row r="147" spans="1:4" ht="34.5">
      <c r="A147" s="55" t="s">
        <v>145</v>
      </c>
      <c r="B147" s="57" t="s">
        <v>129</v>
      </c>
      <c r="C147" s="57" t="s">
        <v>129</v>
      </c>
      <c r="D147" s="57" t="s">
        <v>129</v>
      </c>
    </row>
    <row r="148" spans="1:4">
      <c r="A148" s="55" t="s">
        <v>146</v>
      </c>
      <c r="B148" s="59">
        <f>B139+B146</f>
        <v>851547350.67000008</v>
      </c>
      <c r="C148" s="59">
        <f>C146</f>
        <v>722410.96</v>
      </c>
      <c r="D148" s="59">
        <f>D146</f>
        <v>0</v>
      </c>
    </row>
    <row r="149" spans="1:4">
      <c r="A149" s="55" t="s">
        <v>147</v>
      </c>
      <c r="B149" s="57" t="s">
        <v>148</v>
      </c>
      <c r="C149" s="57" t="s">
        <v>149</v>
      </c>
      <c r="D149" s="60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5" sqref="H35"/>
    </sheetView>
  </sheetViews>
  <sheetFormatPr defaultColWidth="9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H81" sqref="H81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模板</vt:lpstr>
      <vt:lpstr>台账</vt:lpstr>
      <vt:lpstr>2021-4</vt:lpstr>
      <vt:lpstr>投资人账户信息</vt:lpstr>
      <vt:lpstr>费用账户信息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DAVY ZHAO</cp:lastModifiedBy>
  <dcterms:created xsi:type="dcterms:W3CDTF">2006-09-16T00:00:00Z</dcterms:created>
  <dcterms:modified xsi:type="dcterms:W3CDTF">2021-06-12T07:48:26Z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</Properties>
</file>